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855" yWindow="-210" windowWidth="14940" windowHeight="9150"/>
  </bookViews>
  <sheets>
    <sheet name="各部门费用" sheetId="22" r:id="rId1"/>
    <sheet name="按费用归口管理部门分" sheetId="15" r:id="rId2"/>
  </sheets>
  <externalReferences>
    <externalReference r:id="rId3"/>
  </externalReferences>
  <definedNames>
    <definedName name="_xlnm._FilterDatabase" localSheetId="1" hidden="1">按费用归口管理部门分!$A$5:$G$45</definedName>
    <definedName name="_xlnm._FilterDatabase" localSheetId="0" hidden="1">各部门费用!$A$1:$Q$16</definedName>
  </definedNames>
  <calcPr calcId="114210"/>
</workbook>
</file>

<file path=xl/calcChain.xml><?xml version="1.0" encoding="utf-8"?>
<calcChain xmlns="http://schemas.openxmlformats.org/spreadsheetml/2006/main">
  <c r="E61" i="22"/>
  <c r="P14"/>
  <c r="Q52"/>
  <c r="E42"/>
  <c r="F42"/>
  <c r="G42"/>
  <c r="H42"/>
  <c r="I42"/>
  <c r="J42"/>
  <c r="K42"/>
  <c r="L42"/>
  <c r="M42"/>
  <c r="N42"/>
  <c r="O42"/>
  <c r="E41"/>
  <c r="F41"/>
  <c r="G41"/>
  <c r="H41"/>
  <c r="I41"/>
  <c r="J41"/>
  <c r="K41"/>
  <c r="L41"/>
  <c r="M41"/>
  <c r="N41"/>
  <c r="O41"/>
  <c r="E40"/>
  <c r="F40"/>
  <c r="G40"/>
  <c r="H40"/>
  <c r="I40"/>
  <c r="J40"/>
  <c r="K40"/>
  <c r="L40"/>
  <c r="M40"/>
  <c r="N40"/>
  <c r="O40"/>
  <c r="E39"/>
  <c r="F39"/>
  <c r="G39"/>
  <c r="H39"/>
  <c r="I39"/>
  <c r="J39"/>
  <c r="K39"/>
  <c r="L39"/>
  <c r="M39"/>
  <c r="N39"/>
  <c r="O39"/>
  <c r="E38"/>
  <c r="F38"/>
  <c r="G38"/>
  <c r="H38"/>
  <c r="I38"/>
  <c r="J38"/>
  <c r="K38"/>
  <c r="L38"/>
  <c r="M38"/>
  <c r="N38"/>
  <c r="O38"/>
  <c r="E37"/>
  <c r="F37"/>
  <c r="G37"/>
  <c r="H37"/>
  <c r="I37"/>
  <c r="J37"/>
  <c r="K37"/>
  <c r="L37"/>
  <c r="M37"/>
  <c r="N37"/>
  <c r="O37"/>
  <c r="P42"/>
  <c r="P39"/>
  <c r="P38"/>
  <c r="P37"/>
  <c r="E34"/>
  <c r="F34"/>
  <c r="G34"/>
  <c r="H34"/>
  <c r="I34"/>
  <c r="J34"/>
  <c r="K34"/>
  <c r="L34"/>
  <c r="M34"/>
  <c r="N34"/>
  <c r="O34"/>
  <c r="M54"/>
  <c r="Q5"/>
  <c r="Q107"/>
  <c r="Q108"/>
  <c r="Q119"/>
  <c r="Q114"/>
  <c r="P113"/>
  <c r="M113"/>
  <c r="J113"/>
  <c r="Q35"/>
  <c r="Q36"/>
  <c r="Q43"/>
  <c r="Q44"/>
  <c r="Q45"/>
  <c r="Q46"/>
  <c r="Q47"/>
  <c r="Q48"/>
  <c r="Q42"/>
  <c r="P41"/>
  <c r="Q41"/>
  <c r="P40"/>
  <c r="Q40"/>
  <c r="Q39"/>
  <c r="Q38"/>
  <c r="Q37"/>
  <c r="P34"/>
  <c r="Q34"/>
  <c r="Q33"/>
  <c r="Q75"/>
  <c r="Q73"/>
  <c r="Q74"/>
  <c r="Q54"/>
  <c r="Q55"/>
  <c r="Q56"/>
  <c r="Q57"/>
  <c r="Q58"/>
  <c r="Q30"/>
  <c r="Q96"/>
  <c r="Q97"/>
  <c r="Q101"/>
  <c r="Q24"/>
  <c r="Q25"/>
  <c r="Q18"/>
  <c r="Q19"/>
  <c r="Q87"/>
  <c r="Q112"/>
  <c r="Q113"/>
  <c r="Q68"/>
  <c r="Q67"/>
  <c r="Q72"/>
  <c r="Q66"/>
  <c r="Q32"/>
  <c r="Q31"/>
  <c r="Q29"/>
  <c r="Q23"/>
  <c r="I17"/>
  <c r="J17"/>
  <c r="K17"/>
  <c r="L17"/>
  <c r="M17"/>
  <c r="N17"/>
  <c r="H17"/>
  <c r="Q80"/>
  <c r="Q81"/>
  <c r="Q82"/>
  <c r="Q83"/>
  <c r="Q84"/>
  <c r="Q85"/>
  <c r="Q88"/>
  <c r="Q89"/>
  <c r="Q53"/>
  <c r="Q59"/>
  <c r="Q60"/>
  <c r="Q16"/>
  <c r="Q10"/>
  <c r="Q9"/>
  <c r="Q11"/>
  <c r="Q14"/>
  <c r="I15"/>
  <c r="I13"/>
  <c r="J13"/>
  <c r="K13"/>
  <c r="L13"/>
  <c r="M13"/>
  <c r="N13"/>
  <c r="O13"/>
  <c r="P13"/>
  <c r="I12"/>
  <c r="J12"/>
  <c r="Q4"/>
  <c r="P6"/>
  <c r="O6"/>
  <c r="N6"/>
  <c r="M6"/>
  <c r="L6"/>
  <c r="K6"/>
  <c r="J6"/>
  <c r="I6"/>
  <c r="H6"/>
  <c r="Q17"/>
  <c r="J15"/>
  <c r="K15"/>
  <c r="L15"/>
  <c r="M15"/>
  <c r="N15"/>
  <c r="O15"/>
  <c r="P15"/>
  <c r="K12"/>
  <c r="L12"/>
  <c r="M12"/>
  <c r="N12"/>
  <c r="O12"/>
  <c r="P12"/>
  <c r="Q13"/>
  <c r="Q86"/>
  <c r="Q15"/>
  <c r="Q12"/>
  <c r="Q8"/>
  <c r="Q7"/>
  <c r="Q3"/>
  <c r="Q21"/>
  <c r="Q94"/>
  <c r="H116"/>
  <c r="J116"/>
  <c r="M116"/>
  <c r="O116"/>
  <c r="P116"/>
  <c r="H110"/>
  <c r="J110"/>
  <c r="L110"/>
  <c r="M110"/>
  <c r="O110"/>
  <c r="P110"/>
  <c r="H105"/>
  <c r="J105"/>
  <c r="L105"/>
  <c r="M105"/>
  <c r="O105"/>
  <c r="P105"/>
  <c r="Q99"/>
  <c r="Q91"/>
  <c r="Q78"/>
  <c r="H70"/>
  <c r="Q64"/>
  <c r="Q50"/>
  <c r="Q27"/>
  <c r="H115"/>
  <c r="I115"/>
  <c r="J115"/>
  <c r="K115"/>
  <c r="L115"/>
  <c r="M115"/>
  <c r="N115"/>
  <c r="O115"/>
  <c r="P115"/>
  <c r="H109"/>
  <c r="I109"/>
  <c r="J109"/>
  <c r="K109"/>
  <c r="L109"/>
  <c r="M109"/>
  <c r="N109"/>
  <c r="O109"/>
  <c r="P109"/>
  <c r="H104"/>
  <c r="I104"/>
  <c r="J104"/>
  <c r="K104"/>
  <c r="L104"/>
  <c r="M104"/>
  <c r="N104"/>
  <c r="O104"/>
  <c r="P104"/>
  <c r="H98"/>
  <c r="I98"/>
  <c r="J98"/>
  <c r="K98"/>
  <c r="L98"/>
  <c r="M98"/>
  <c r="N98"/>
  <c r="O98"/>
  <c r="P98"/>
  <c r="H93"/>
  <c r="I93"/>
  <c r="J93"/>
  <c r="K93"/>
  <c r="L93"/>
  <c r="M93"/>
  <c r="N93"/>
  <c r="O93"/>
  <c r="P93"/>
  <c r="H90"/>
  <c r="I90"/>
  <c r="J90"/>
  <c r="K90"/>
  <c r="L90"/>
  <c r="M90"/>
  <c r="N90"/>
  <c r="O90"/>
  <c r="P90"/>
  <c r="H77"/>
  <c r="I77"/>
  <c r="J77"/>
  <c r="K77"/>
  <c r="L77"/>
  <c r="M77"/>
  <c r="N77"/>
  <c r="O77"/>
  <c r="P77"/>
  <c r="H69"/>
  <c r="I69"/>
  <c r="J69"/>
  <c r="K69"/>
  <c r="L69"/>
  <c r="M69"/>
  <c r="N69"/>
  <c r="O69"/>
  <c r="P69"/>
  <c r="H63"/>
  <c r="I63"/>
  <c r="J63"/>
  <c r="K63"/>
  <c r="L63"/>
  <c r="M63"/>
  <c r="N63"/>
  <c r="O63"/>
  <c r="P63"/>
  <c r="H49"/>
  <c r="I49"/>
  <c r="J49"/>
  <c r="K49"/>
  <c r="L49"/>
  <c r="M49"/>
  <c r="N49"/>
  <c r="O49"/>
  <c r="P49"/>
  <c r="H26"/>
  <c r="I26"/>
  <c r="J26"/>
  <c r="K26"/>
  <c r="L26"/>
  <c r="M26"/>
  <c r="N26"/>
  <c r="O26"/>
  <c r="P26"/>
  <c r="H20"/>
  <c r="I20"/>
  <c r="J20"/>
  <c r="K20"/>
  <c r="L20"/>
  <c r="M20"/>
  <c r="N20"/>
  <c r="O20"/>
  <c r="P20"/>
  <c r="H2"/>
  <c r="I2"/>
  <c r="J2"/>
  <c r="K2"/>
  <c r="L2"/>
  <c r="M2"/>
  <c r="N2"/>
  <c r="O2"/>
  <c r="P2"/>
  <c r="Q102"/>
  <c r="Q103"/>
  <c r="H117"/>
  <c r="I117"/>
  <c r="J117"/>
  <c r="K117"/>
  <c r="L117"/>
  <c r="M117"/>
  <c r="N117"/>
  <c r="O117"/>
  <c r="P117"/>
  <c r="H111"/>
  <c r="I111"/>
  <c r="J111"/>
  <c r="K111"/>
  <c r="L111"/>
  <c r="M111"/>
  <c r="N111"/>
  <c r="O111"/>
  <c r="P111"/>
  <c r="H106"/>
  <c r="I106"/>
  <c r="J106"/>
  <c r="K106"/>
  <c r="L106"/>
  <c r="M106"/>
  <c r="N106"/>
  <c r="O106"/>
  <c r="P106"/>
  <c r="H100"/>
  <c r="I100"/>
  <c r="J100"/>
  <c r="K100"/>
  <c r="L100"/>
  <c r="M100"/>
  <c r="N100"/>
  <c r="O100"/>
  <c r="P100"/>
  <c r="H95"/>
  <c r="I95"/>
  <c r="J95"/>
  <c r="K95"/>
  <c r="L95"/>
  <c r="M95"/>
  <c r="N95"/>
  <c r="O95"/>
  <c r="P95"/>
  <c r="H92"/>
  <c r="I92"/>
  <c r="J92"/>
  <c r="K92"/>
  <c r="L92"/>
  <c r="M92"/>
  <c r="N92"/>
  <c r="O92"/>
  <c r="P92"/>
  <c r="H79"/>
  <c r="I79"/>
  <c r="J79"/>
  <c r="K79"/>
  <c r="L79"/>
  <c r="M79"/>
  <c r="N79"/>
  <c r="O79"/>
  <c r="P79"/>
  <c r="Q76"/>
  <c r="H71"/>
  <c r="I71"/>
  <c r="J71"/>
  <c r="K71"/>
  <c r="L71"/>
  <c r="M71"/>
  <c r="N71"/>
  <c r="O71"/>
  <c r="P71"/>
  <c r="H65"/>
  <c r="I65"/>
  <c r="J65"/>
  <c r="K65"/>
  <c r="L65"/>
  <c r="M65"/>
  <c r="N65"/>
  <c r="O65"/>
  <c r="P65"/>
  <c r="Q61"/>
  <c r="Q62"/>
  <c r="H51"/>
  <c r="I51"/>
  <c r="J51"/>
  <c r="K51"/>
  <c r="L51"/>
  <c r="M51"/>
  <c r="N51"/>
  <c r="O51"/>
  <c r="P51"/>
  <c r="H28"/>
  <c r="I28"/>
  <c r="J28"/>
  <c r="K28"/>
  <c r="L28"/>
  <c r="M28"/>
  <c r="N28"/>
  <c r="O28"/>
  <c r="P28"/>
  <c r="H22"/>
  <c r="I22"/>
  <c r="J22"/>
  <c r="K22"/>
  <c r="L22"/>
  <c r="M22"/>
  <c r="N22"/>
  <c r="O22"/>
  <c r="P22"/>
  <c r="Q118"/>
  <c r="K8" i="15"/>
  <c r="K14"/>
  <c r="K18"/>
  <c r="K26"/>
  <c r="K46"/>
  <c r="J8"/>
  <c r="J9"/>
  <c r="K9"/>
  <c r="J10"/>
  <c r="K10"/>
  <c r="J11"/>
  <c r="K11"/>
  <c r="J14"/>
  <c r="J17"/>
  <c r="K17"/>
  <c r="J18"/>
  <c r="J21"/>
  <c r="K21"/>
  <c r="J26"/>
  <c r="J27"/>
  <c r="K27"/>
  <c r="J29"/>
  <c r="K29"/>
  <c r="J33"/>
  <c r="K33"/>
  <c r="J35"/>
  <c r="K35"/>
  <c r="J37"/>
  <c r="K37"/>
  <c r="J39"/>
  <c r="K39"/>
  <c r="J41"/>
  <c r="K41"/>
  <c r="J43"/>
  <c r="K43"/>
  <c r="J45"/>
  <c r="K45"/>
  <c r="J6"/>
  <c r="K6"/>
  <c r="I23"/>
  <c r="J23"/>
  <c r="K23"/>
  <c r="I24"/>
  <c r="J24"/>
  <c r="K24"/>
  <c r="H22"/>
  <c r="I22"/>
  <c r="I17"/>
  <c r="I5"/>
  <c r="I40"/>
  <c r="J40"/>
  <c r="K40"/>
  <c r="I41"/>
  <c r="I42"/>
  <c r="J42"/>
  <c r="K42"/>
  <c r="I43"/>
  <c r="I44"/>
  <c r="J44"/>
  <c r="K44"/>
  <c r="I39"/>
  <c r="I33"/>
  <c r="I16"/>
  <c r="J16"/>
  <c r="K16"/>
  <c r="I19"/>
  <c r="J19"/>
  <c r="K19"/>
  <c r="I20"/>
  <c r="J20"/>
  <c r="K20"/>
  <c r="I15"/>
  <c r="J15"/>
  <c r="K15"/>
  <c r="I11"/>
  <c r="I7"/>
  <c r="J7"/>
  <c r="K7"/>
  <c r="H7"/>
  <c r="H36"/>
  <c r="I36"/>
  <c r="J36"/>
  <c r="K36"/>
  <c r="H34"/>
  <c r="I34"/>
  <c r="J34"/>
  <c r="K34"/>
  <c r="H32"/>
  <c r="I32"/>
  <c r="J32"/>
  <c r="K32"/>
  <c r="H31"/>
  <c r="I31"/>
  <c r="J31"/>
  <c r="K31"/>
  <c r="H30"/>
  <c r="I30"/>
  <c r="J30"/>
  <c r="K30"/>
  <c r="H29"/>
  <c r="I29"/>
  <c r="H28"/>
  <c r="I28"/>
  <c r="J28"/>
  <c r="K28"/>
  <c r="H24"/>
  <c r="H16"/>
  <c r="H12"/>
  <c r="H13"/>
  <c r="D28"/>
  <c r="D31"/>
  <c r="D12"/>
  <c r="E19"/>
  <c r="E46"/>
  <c r="F19"/>
  <c r="G19"/>
  <c r="G46"/>
  <c r="H19"/>
  <c r="D29"/>
  <c r="D38"/>
  <c r="D16"/>
  <c r="D19"/>
  <c r="D24"/>
  <c r="E45"/>
  <c r="F45"/>
  <c r="G45"/>
  <c r="H45"/>
  <c r="I45"/>
  <c r="E38"/>
  <c r="F38"/>
  <c r="G38"/>
  <c r="E25"/>
  <c r="F25"/>
  <c r="G25"/>
  <c r="D13"/>
  <c r="E13"/>
  <c r="F13"/>
  <c r="F46"/>
  <c r="G13"/>
  <c r="D27"/>
  <c r="D25"/>
  <c r="D45"/>
  <c r="H38"/>
  <c r="Q110" i="22"/>
  <c r="Q105"/>
  <c r="Q70"/>
  <c r="Q116"/>
  <c r="Q77"/>
  <c r="Q98"/>
  <c r="Q26"/>
  <c r="Q115"/>
  <c r="Q49"/>
  <c r="Q90"/>
  <c r="Q104"/>
  <c r="Q109"/>
  <c r="Q20"/>
  <c r="Q69"/>
  <c r="Q63"/>
  <c r="Q93"/>
  <c r="Q2"/>
  <c r="Q95"/>
  <c r="Q22"/>
  <c r="Q51"/>
  <c r="Q79"/>
  <c r="Q28"/>
  <c r="Q92"/>
  <c r="Q111"/>
  <c r="Q6"/>
  <c r="Q65"/>
  <c r="Q71"/>
  <c r="Q100"/>
  <c r="Q117"/>
  <c r="Q106"/>
  <c r="D46" i="15"/>
  <c r="I25"/>
  <c r="J25"/>
  <c r="K25"/>
  <c r="J22"/>
  <c r="K22"/>
  <c r="H25"/>
  <c r="H46"/>
  <c r="I12"/>
  <c r="J12"/>
  <c r="K12"/>
  <c r="I38"/>
  <c r="J38"/>
  <c r="K38"/>
  <c r="I13"/>
  <c r="I46"/>
  <c r="J13"/>
  <c r="K13"/>
</calcChain>
</file>

<file path=xl/comments1.xml><?xml version="1.0" encoding="utf-8"?>
<comments xmlns="http://schemas.openxmlformats.org/spreadsheetml/2006/main">
  <authors>
    <author>Sky123.Org</author>
  </authors>
  <commentList>
    <comment ref="H14" authorId="0">
      <text>
        <r>
          <rPr>
            <b/>
            <sz val="9"/>
            <color indexed="81"/>
            <rFont val="Tahoma"/>
            <family val="2"/>
          </rPr>
          <t>Sky123.Org: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不含研发人员薪酬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Sky123.Org: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含制造外协</t>
        </r>
        <r>
          <rPr>
            <sz val="9"/>
            <color indexed="81"/>
            <rFont val="Tahoma"/>
            <family val="2"/>
          </rPr>
          <t>70W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Sky123.Org: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测算边际贡献时，已算入单车材料成本了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Sky123.Org: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车身保洁</t>
        </r>
        <r>
          <rPr>
            <sz val="9"/>
            <color indexed="81"/>
            <rFont val="Tahoma"/>
            <family val="2"/>
          </rPr>
          <t>80W,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Sky123.Org: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设动委外</t>
        </r>
        <r>
          <rPr>
            <sz val="9"/>
            <color indexed="81"/>
            <rFont val="Tahoma"/>
            <family val="2"/>
          </rPr>
          <t>60w</t>
        </r>
        <r>
          <rPr>
            <sz val="9"/>
            <color indexed="81"/>
            <rFont val="宋体"/>
            <charset val="134"/>
          </rPr>
          <t>，修理用备件</t>
        </r>
        <r>
          <rPr>
            <sz val="9"/>
            <color indexed="81"/>
            <rFont val="Tahoma"/>
            <family val="2"/>
          </rPr>
          <t>230w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Sky123.Org:</t>
        </r>
        <r>
          <rPr>
            <b/>
            <sz val="9"/>
            <color indexed="81"/>
            <rFont val="宋体"/>
            <charset val="134"/>
          </rPr>
          <t>外部物流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Sky123.Org: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内部物流</t>
        </r>
      </text>
    </comment>
  </commentList>
</comments>
</file>

<file path=xl/sharedStrings.xml><?xml version="1.0" encoding="utf-8"?>
<sst xmlns="http://schemas.openxmlformats.org/spreadsheetml/2006/main" count="295" uniqueCount="186">
  <si>
    <t>技术中心</t>
  </si>
  <si>
    <t>财务部</t>
  </si>
  <si>
    <t>费用项目</t>
    <phoneticPr fontId="2" type="noConversion"/>
  </si>
  <si>
    <t>明细（费用执行部门）</t>
    <phoneticPr fontId="2" type="noConversion"/>
  </si>
  <si>
    <t>费用归口       管理部门</t>
    <phoneticPr fontId="2" type="noConversion"/>
  </si>
  <si>
    <t>综合管理部</t>
    <phoneticPr fontId="2" type="noConversion"/>
  </si>
  <si>
    <t>财务部 汇总</t>
  </si>
  <si>
    <t>技术中心 汇总</t>
  </si>
  <si>
    <t>项目部 汇总</t>
  </si>
  <si>
    <t>制造部 汇总</t>
  </si>
  <si>
    <t>质量部 汇总</t>
  </si>
  <si>
    <t>总计</t>
  </si>
  <si>
    <t>财务部</t>
    <phoneticPr fontId="2" type="noConversion"/>
  </si>
  <si>
    <t xml:space="preserve">    金融机构手续费</t>
    <phoneticPr fontId="2" type="noConversion"/>
  </si>
  <si>
    <t xml:space="preserve">    利息支出</t>
    <phoneticPr fontId="2" type="noConversion"/>
  </si>
  <si>
    <r>
      <t>长期贷款</t>
    </r>
    <r>
      <rPr>
        <sz val="10"/>
        <rFont val="Arial"/>
        <family val="2"/>
      </rPr>
      <t>2.5</t>
    </r>
    <r>
      <rPr>
        <sz val="10"/>
        <rFont val="宋体"/>
        <charset val="134"/>
      </rPr>
      <t>亿元</t>
    </r>
    <r>
      <rPr>
        <sz val="10"/>
        <rFont val="Arial"/>
        <family val="2"/>
      </rPr>
      <t>,</t>
    </r>
    <r>
      <rPr>
        <sz val="10"/>
        <rFont val="宋体"/>
        <charset val="134"/>
      </rPr>
      <t>其中第</t>
    </r>
    <r>
      <rPr>
        <sz val="10"/>
        <rFont val="Arial"/>
        <family val="2"/>
      </rPr>
      <t>2</t>
    </r>
    <r>
      <rPr>
        <sz val="10"/>
        <rFont val="宋体"/>
        <charset val="134"/>
      </rPr>
      <t>季度</t>
    </r>
    <r>
      <rPr>
        <sz val="10"/>
        <rFont val="Arial"/>
        <family val="2"/>
      </rPr>
      <t>0.6</t>
    </r>
    <r>
      <rPr>
        <sz val="10"/>
        <rFont val="宋体"/>
        <charset val="134"/>
      </rPr>
      <t>亿元、第</t>
    </r>
    <r>
      <rPr>
        <sz val="10"/>
        <rFont val="Arial"/>
        <family val="2"/>
      </rPr>
      <t>3</t>
    </r>
    <r>
      <rPr>
        <sz val="10"/>
        <rFont val="宋体"/>
        <charset val="134"/>
      </rPr>
      <t>季度</t>
    </r>
    <r>
      <rPr>
        <sz val="10"/>
        <rFont val="Arial"/>
        <family val="2"/>
      </rPr>
      <t>1.1</t>
    </r>
    <r>
      <rPr>
        <sz val="10"/>
        <rFont val="宋体"/>
        <charset val="134"/>
      </rPr>
      <t>亿元第</t>
    </r>
    <r>
      <rPr>
        <sz val="10"/>
        <rFont val="Arial"/>
        <family val="2"/>
      </rPr>
      <t>2</t>
    </r>
    <r>
      <rPr>
        <sz val="10"/>
        <rFont val="宋体"/>
        <charset val="134"/>
      </rPr>
      <t>季度</t>
    </r>
    <r>
      <rPr>
        <sz val="10"/>
        <rFont val="Arial"/>
        <family val="2"/>
      </rPr>
      <t>0.8</t>
    </r>
    <r>
      <rPr>
        <sz val="10"/>
        <rFont val="宋体"/>
        <charset val="134"/>
      </rPr>
      <t>亿元</t>
    </r>
    <phoneticPr fontId="2" type="noConversion"/>
  </si>
  <si>
    <t xml:space="preserve">    税金----房产税</t>
    <phoneticPr fontId="2" type="noConversion"/>
  </si>
  <si>
    <t xml:space="preserve">    税金----土地使用税</t>
    <phoneticPr fontId="2" type="noConversion"/>
  </si>
  <si>
    <t xml:space="preserve">    税金----印花税</t>
    <phoneticPr fontId="2" type="noConversion"/>
  </si>
  <si>
    <t xml:space="preserve">    无形资产摊销</t>
    <phoneticPr fontId="2" type="noConversion"/>
  </si>
  <si>
    <t xml:space="preserve">   差旅费</t>
    <phoneticPr fontId="2" type="noConversion"/>
  </si>
  <si>
    <t>技术中心</t>
    <phoneticPr fontId="2" type="noConversion"/>
  </si>
  <si>
    <t xml:space="preserve">    研究与开发费</t>
    <phoneticPr fontId="2" type="noConversion"/>
  </si>
  <si>
    <t xml:space="preserve">    业务招待费</t>
    <phoneticPr fontId="2" type="noConversion"/>
  </si>
  <si>
    <r>
      <t>比</t>
    </r>
    <r>
      <rPr>
        <sz val="10"/>
        <rFont val="Arial"/>
        <family val="2"/>
      </rPr>
      <t>2011</t>
    </r>
    <r>
      <rPr>
        <sz val="10"/>
        <rFont val="宋体"/>
        <charset val="134"/>
      </rPr>
      <t>年发生额</t>
    </r>
    <r>
      <rPr>
        <sz val="10"/>
        <rFont val="Arial"/>
        <family val="2"/>
      </rPr>
      <t>+20%</t>
    </r>
    <phoneticPr fontId="2" type="noConversion"/>
  </si>
  <si>
    <t>制造部</t>
    <phoneticPr fontId="2" type="noConversion"/>
  </si>
  <si>
    <t xml:space="preserve">    折旧费</t>
    <phoneticPr fontId="2" type="noConversion"/>
  </si>
  <si>
    <t>预计联合厂房和车架车间在2012年6月底完成转资手续，按30年计提折旧，残值率3%/新总装线设备和车架生产线在2012年6月底完成转资手续，按10年计提折旧，残值率3%//其他厂房、办公楼和职工宿舍等在2012年9月底完成转资手续，按30年计提折旧，残值率3%/涂装线焊装线等设备在2012年9月底完成转资手续，按10年计提折旧，残值率3%</t>
    <phoneticPr fontId="2" type="noConversion"/>
  </si>
  <si>
    <t xml:space="preserve">    水电费</t>
    <phoneticPr fontId="2" type="noConversion"/>
  </si>
  <si>
    <r>
      <t>按产量</t>
    </r>
    <r>
      <rPr>
        <sz val="10"/>
        <rFont val="Arial"/>
        <family val="2"/>
      </rPr>
      <t>7150X</t>
    </r>
    <r>
      <rPr>
        <sz val="10"/>
        <rFont val="宋体"/>
        <charset val="134"/>
      </rPr>
      <t>单耗</t>
    </r>
    <r>
      <rPr>
        <sz val="10"/>
        <rFont val="Arial"/>
        <family val="2"/>
      </rPr>
      <t>330</t>
    </r>
    <r>
      <rPr>
        <sz val="10"/>
        <rFont val="宋体"/>
        <charset val="134"/>
      </rPr>
      <t>计算</t>
    </r>
    <phoneticPr fontId="2" type="noConversion"/>
  </si>
  <si>
    <t xml:space="preserve">    外部加工费</t>
    <phoneticPr fontId="2" type="noConversion"/>
  </si>
  <si>
    <r>
      <t>按产量</t>
    </r>
    <r>
      <rPr>
        <sz val="10"/>
        <rFont val="Arial"/>
        <family val="2"/>
      </rPr>
      <t>7150X</t>
    </r>
    <r>
      <rPr>
        <sz val="10"/>
        <rFont val="宋体"/>
        <charset val="134"/>
      </rPr>
      <t>单台</t>
    </r>
    <r>
      <rPr>
        <sz val="10"/>
        <rFont val="Arial"/>
        <family val="2"/>
      </rPr>
      <t>2</t>
    </r>
    <r>
      <rPr>
        <sz val="10"/>
        <rFont val="Arial"/>
        <family val="2"/>
      </rPr>
      <t>00</t>
    </r>
    <r>
      <rPr>
        <sz val="10"/>
        <rFont val="宋体"/>
        <charset val="134"/>
      </rPr>
      <t>匡算</t>
    </r>
    <phoneticPr fontId="2" type="noConversion"/>
  </si>
  <si>
    <t xml:space="preserve">    物料消耗</t>
    <phoneticPr fontId="2" type="noConversion"/>
  </si>
  <si>
    <t>按产量7150X单耗420计算</t>
    <phoneticPr fontId="2" type="noConversion"/>
  </si>
  <si>
    <t xml:space="preserve">    修理费</t>
    <phoneticPr fontId="2" type="noConversion"/>
  </si>
  <si>
    <t xml:space="preserve">    运输费</t>
    <phoneticPr fontId="2" type="noConversion"/>
  </si>
  <si>
    <r>
      <t>按产量</t>
    </r>
    <r>
      <rPr>
        <sz val="10"/>
        <rFont val="Arial"/>
        <family val="2"/>
      </rPr>
      <t>7150X</t>
    </r>
    <r>
      <rPr>
        <sz val="10"/>
        <rFont val="宋体"/>
        <charset val="134"/>
      </rPr>
      <t>单台</t>
    </r>
    <r>
      <rPr>
        <sz val="10"/>
        <rFont val="Arial"/>
        <family val="2"/>
      </rPr>
      <t>5</t>
    </r>
    <r>
      <rPr>
        <sz val="10"/>
        <rFont val="Arial"/>
        <family val="2"/>
      </rPr>
      <t>00</t>
    </r>
    <r>
      <rPr>
        <sz val="10"/>
        <rFont val="宋体"/>
        <charset val="134"/>
      </rPr>
      <t>元匡算，剔除金王子配件物流费和平和搬迁因素</t>
    </r>
    <phoneticPr fontId="2" type="noConversion"/>
  </si>
  <si>
    <t>质量部</t>
    <phoneticPr fontId="2" type="noConversion"/>
  </si>
  <si>
    <t xml:space="preserve">   质量检测费</t>
    <phoneticPr fontId="2" type="noConversion"/>
  </si>
  <si>
    <t xml:space="preserve">    办公费</t>
    <phoneticPr fontId="2" type="noConversion"/>
  </si>
  <si>
    <t>财务部购买发票、帐簿凭证打印纸及日常办公用品</t>
    <phoneticPr fontId="2" type="noConversion"/>
  </si>
  <si>
    <t>加计融资等费用</t>
    <phoneticPr fontId="2" type="noConversion"/>
  </si>
  <si>
    <t xml:space="preserve">    印刷费</t>
    <phoneticPr fontId="2" type="noConversion"/>
  </si>
  <si>
    <t>印制产品说明书等</t>
    <phoneticPr fontId="2" type="noConversion"/>
  </si>
  <si>
    <t xml:space="preserve">    通讯费</t>
    <phoneticPr fontId="2" type="noConversion"/>
  </si>
  <si>
    <t xml:space="preserve">    业务宣传费</t>
    <phoneticPr fontId="2" type="noConversion"/>
  </si>
  <si>
    <r>
      <t>与管理费用</t>
    </r>
    <r>
      <rPr>
        <sz val="10"/>
        <rFont val="Arial"/>
        <family val="2"/>
      </rPr>
      <t>(</t>
    </r>
    <r>
      <rPr>
        <sz val="10"/>
        <rFont val="宋体"/>
        <charset val="134"/>
      </rPr>
      <t>印刷费</t>
    </r>
    <r>
      <rPr>
        <sz val="10"/>
        <rFont val="Arial"/>
        <family val="2"/>
      </rPr>
      <t>)</t>
    </r>
    <r>
      <rPr>
        <sz val="10"/>
        <rFont val="宋体"/>
        <charset val="134"/>
      </rPr>
      <t>一起考核</t>
    </r>
    <phoneticPr fontId="2" type="noConversion"/>
  </si>
  <si>
    <t xml:space="preserve">   会议费</t>
    <phoneticPr fontId="2" type="noConversion"/>
  </si>
  <si>
    <r>
      <t>商务大会及供应商大会之会务安排由综合办公室统筹协调，比</t>
    </r>
    <r>
      <rPr>
        <sz val="10"/>
        <rFont val="Arial"/>
        <family val="2"/>
      </rPr>
      <t>2011</t>
    </r>
    <r>
      <rPr>
        <sz val="10"/>
        <rFont val="宋体"/>
        <charset val="134"/>
      </rPr>
      <t>年发生额</t>
    </r>
    <r>
      <rPr>
        <sz val="10"/>
        <rFont val="Arial"/>
        <family val="2"/>
      </rPr>
      <t>+20%</t>
    </r>
    <phoneticPr fontId="2" type="noConversion"/>
  </si>
  <si>
    <t xml:space="preserve">    聘请中介机构费</t>
    <phoneticPr fontId="2" type="noConversion"/>
  </si>
  <si>
    <t>年终审计、税审及其他专项审计费用</t>
    <phoneticPr fontId="2" type="noConversion"/>
  </si>
  <si>
    <r>
      <t>3C</t>
    </r>
    <r>
      <rPr>
        <sz val="10"/>
        <rFont val="宋体"/>
        <charset val="134"/>
      </rPr>
      <t>认证、</t>
    </r>
    <r>
      <rPr>
        <sz val="10"/>
        <rFont val="Arial"/>
        <family val="2"/>
      </rPr>
      <t>ISO</t>
    </r>
    <r>
      <rPr>
        <sz val="10"/>
        <rFont val="宋体"/>
        <charset val="134"/>
      </rPr>
      <t>认证、车辆检测费用</t>
    </r>
    <phoneticPr fontId="2" type="noConversion"/>
  </si>
  <si>
    <t>本指标不作下达，通报时公布执行情况</t>
    <phoneticPr fontId="2" type="noConversion"/>
  </si>
  <si>
    <t>法审部</t>
    <phoneticPr fontId="2" type="noConversion"/>
  </si>
  <si>
    <t>综合管理部</t>
    <phoneticPr fontId="2" type="noConversion"/>
  </si>
  <si>
    <t>设备动能部</t>
    <phoneticPr fontId="2" type="noConversion"/>
  </si>
  <si>
    <t>法审部 汇总</t>
    <phoneticPr fontId="2" type="noConversion"/>
  </si>
  <si>
    <t>综合管理部 汇总</t>
    <phoneticPr fontId="2" type="noConversion"/>
  </si>
  <si>
    <t>单位：元</t>
    <phoneticPr fontId="2" type="noConversion"/>
  </si>
  <si>
    <t>质量部</t>
    <phoneticPr fontId="2" type="noConversion"/>
  </si>
  <si>
    <t>咨询费</t>
    <phoneticPr fontId="2" type="noConversion"/>
  </si>
  <si>
    <t>制造部</t>
    <phoneticPr fontId="2" type="noConversion"/>
  </si>
  <si>
    <t>咨询费</t>
    <phoneticPr fontId="2" type="noConversion"/>
  </si>
  <si>
    <t>法审部</t>
    <phoneticPr fontId="2" type="noConversion"/>
  </si>
  <si>
    <t>备注</t>
    <phoneticPr fontId="2" type="noConversion"/>
  </si>
  <si>
    <t>设动部</t>
    <phoneticPr fontId="2" type="noConversion"/>
  </si>
  <si>
    <t>排污费</t>
    <phoneticPr fontId="2" type="noConversion"/>
  </si>
  <si>
    <t>企业财产保险</t>
    <phoneticPr fontId="2" type="noConversion"/>
  </si>
  <si>
    <t>保安劳务费</t>
    <phoneticPr fontId="2" type="noConversion"/>
  </si>
  <si>
    <t>2014年计划指标（602W）</t>
    <phoneticPr fontId="2" type="noConversion"/>
  </si>
  <si>
    <r>
      <t>2014</t>
    </r>
    <r>
      <rPr>
        <sz val="12"/>
        <rFont val="宋体"/>
        <charset val="134"/>
      </rPr>
      <t>年计划指标</t>
    </r>
    <phoneticPr fontId="2" type="noConversion"/>
  </si>
  <si>
    <r>
      <t>14</t>
    </r>
    <r>
      <rPr>
        <sz val="10"/>
        <rFont val="宋体"/>
        <charset val="134"/>
      </rPr>
      <t>年</t>
    </r>
    <r>
      <rPr>
        <sz val="10"/>
        <rFont val="Arial"/>
        <family val="2"/>
      </rPr>
      <t>2</t>
    </r>
    <r>
      <rPr>
        <sz val="10"/>
        <rFont val="宋体"/>
        <charset val="134"/>
      </rPr>
      <t>月</t>
    </r>
    <r>
      <rPr>
        <sz val="10"/>
        <rFont val="Arial"/>
        <family val="2"/>
      </rPr>
      <t>11</t>
    </r>
    <r>
      <rPr>
        <sz val="10"/>
        <rFont val="宋体"/>
        <charset val="134"/>
      </rPr>
      <t>日下午讨论：</t>
    </r>
    <phoneticPr fontId="2" type="noConversion"/>
  </si>
  <si>
    <t>维修费</t>
    <phoneticPr fontId="2" type="noConversion"/>
  </si>
  <si>
    <t>车身部</t>
    <phoneticPr fontId="2" type="noConversion"/>
  </si>
  <si>
    <t>采购部</t>
    <phoneticPr fontId="2" type="noConversion"/>
  </si>
  <si>
    <t>采购部</t>
    <phoneticPr fontId="2" type="noConversion"/>
  </si>
  <si>
    <t>运输费</t>
    <phoneticPr fontId="2" type="noConversion"/>
  </si>
  <si>
    <t>均摊到每月</t>
    <phoneticPr fontId="2" type="noConversion"/>
  </si>
  <si>
    <t>每月四舍五入</t>
    <phoneticPr fontId="2" type="noConversion"/>
  </si>
  <si>
    <t>01</t>
  </si>
  <si>
    <t>综合管理部</t>
  </si>
  <si>
    <t>02</t>
  </si>
  <si>
    <t>法审部</t>
  </si>
  <si>
    <t>03</t>
  </si>
  <si>
    <t>人力资源部</t>
  </si>
  <si>
    <t>04</t>
  </si>
  <si>
    <t>06</t>
  </si>
  <si>
    <t>质量部</t>
  </si>
  <si>
    <t>07</t>
  </si>
  <si>
    <t>设备动能部</t>
  </si>
  <si>
    <t>08</t>
  </si>
  <si>
    <t>05</t>
  </si>
  <si>
    <t>工艺部</t>
  </si>
  <si>
    <t>09</t>
  </si>
  <si>
    <t>采购及外协部</t>
  </si>
  <si>
    <t>10</t>
  </si>
  <si>
    <t>制造部</t>
  </si>
  <si>
    <t>11</t>
  </si>
  <si>
    <t>总装部</t>
  </si>
  <si>
    <t>12</t>
  </si>
  <si>
    <t>车身部</t>
  </si>
  <si>
    <t>13</t>
  </si>
  <si>
    <t>车架部</t>
  </si>
  <si>
    <t>中试和产品试制模具、工艺装备开发及制造费</t>
  </si>
  <si>
    <t>研发成果论证、鉴定、评审、验收费</t>
  </si>
  <si>
    <t>新产品设计费</t>
  </si>
  <si>
    <t>新工艺规程制定费</t>
  </si>
  <si>
    <t>技术图书资料费</t>
  </si>
  <si>
    <t>资料翻译费</t>
  </si>
  <si>
    <t>委托外部研究开发费</t>
  </si>
  <si>
    <t>研发人员培训费</t>
  </si>
  <si>
    <t>印花税</t>
  </si>
  <si>
    <t>土地使用税</t>
  </si>
  <si>
    <t>房产税</t>
  </si>
  <si>
    <t>金融机构手续费</t>
  </si>
  <si>
    <t>工会经费</t>
  </si>
  <si>
    <t>教育经费</t>
  </si>
  <si>
    <t>劳动保险费</t>
  </si>
  <si>
    <t>基本养老保险</t>
  </si>
  <si>
    <t>失业保险金</t>
  </si>
  <si>
    <t>医疗保险</t>
  </si>
  <si>
    <t>工伤保险金</t>
  </si>
  <si>
    <t>生育保险金</t>
  </si>
  <si>
    <t>住房公积金</t>
  </si>
  <si>
    <t>车辆补贴</t>
  </si>
  <si>
    <t>大学生房补</t>
  </si>
  <si>
    <t>辞退福利</t>
  </si>
  <si>
    <t>离退休工资</t>
  </si>
  <si>
    <t>离退休药费</t>
  </si>
  <si>
    <t>残疾人就业保障金</t>
  </si>
  <si>
    <t>研发活动租赁费</t>
  </si>
  <si>
    <t>部门编号</t>
    <phoneticPr fontId="2" type="noConversion"/>
  </si>
  <si>
    <t>部门名称</t>
    <phoneticPr fontId="2" type="noConversion"/>
  </si>
  <si>
    <t>科目名称</t>
    <phoneticPr fontId="2" type="noConversion"/>
  </si>
  <si>
    <r>
      <t>1</t>
    </r>
    <r>
      <rPr>
        <sz val="10"/>
        <rFont val="宋体"/>
        <charset val="134"/>
      </rPr>
      <t>月</t>
    </r>
    <phoneticPr fontId="2" type="noConversion"/>
  </si>
  <si>
    <r>
      <t>2</t>
    </r>
    <r>
      <rPr>
        <sz val="10"/>
        <rFont val="宋体"/>
        <charset val="134"/>
      </rPr>
      <t>月</t>
    </r>
    <phoneticPr fontId="2" type="noConversion"/>
  </si>
  <si>
    <r>
      <t>3</t>
    </r>
    <r>
      <rPr>
        <sz val="10"/>
        <rFont val="宋体"/>
        <charset val="134"/>
      </rPr>
      <t>月</t>
    </r>
    <phoneticPr fontId="2" type="noConversion"/>
  </si>
  <si>
    <r>
      <t>4</t>
    </r>
    <r>
      <rPr>
        <sz val="10"/>
        <rFont val="宋体"/>
        <charset val="134"/>
      </rPr>
      <t>月</t>
    </r>
    <phoneticPr fontId="2" type="noConversion"/>
  </si>
  <si>
    <r>
      <t>5</t>
    </r>
    <r>
      <rPr>
        <sz val="10"/>
        <rFont val="宋体"/>
        <charset val="134"/>
      </rPr>
      <t>月</t>
    </r>
    <phoneticPr fontId="2" type="noConversion"/>
  </si>
  <si>
    <r>
      <t>6</t>
    </r>
    <r>
      <rPr>
        <sz val="10"/>
        <rFont val="宋体"/>
        <charset val="134"/>
      </rPr>
      <t>月</t>
    </r>
    <phoneticPr fontId="2" type="noConversion"/>
  </si>
  <si>
    <r>
      <t>7</t>
    </r>
    <r>
      <rPr>
        <sz val="10"/>
        <rFont val="宋体"/>
        <charset val="134"/>
      </rPr>
      <t>月</t>
    </r>
    <phoneticPr fontId="2" type="noConversion"/>
  </si>
  <si>
    <r>
      <t>8</t>
    </r>
    <r>
      <rPr>
        <sz val="10"/>
        <rFont val="宋体"/>
        <charset val="134"/>
      </rPr>
      <t>月</t>
    </r>
    <phoneticPr fontId="2" type="noConversion"/>
  </si>
  <si>
    <r>
      <t>9</t>
    </r>
    <r>
      <rPr>
        <sz val="10"/>
        <rFont val="宋体"/>
        <charset val="134"/>
      </rPr>
      <t>月</t>
    </r>
    <phoneticPr fontId="2" type="noConversion"/>
  </si>
  <si>
    <r>
      <t>10</t>
    </r>
    <r>
      <rPr>
        <sz val="10"/>
        <rFont val="宋体"/>
        <charset val="134"/>
      </rPr>
      <t>月</t>
    </r>
    <phoneticPr fontId="2" type="noConversion"/>
  </si>
  <si>
    <r>
      <t>11</t>
    </r>
    <r>
      <rPr>
        <sz val="10"/>
        <rFont val="宋体"/>
        <charset val="134"/>
      </rPr>
      <t>月</t>
    </r>
    <phoneticPr fontId="2" type="noConversion"/>
  </si>
  <si>
    <r>
      <t>12</t>
    </r>
    <r>
      <rPr>
        <sz val="10"/>
        <rFont val="宋体"/>
        <charset val="134"/>
      </rPr>
      <t>月</t>
    </r>
    <phoneticPr fontId="2" type="noConversion"/>
  </si>
  <si>
    <t>合计</t>
    <phoneticPr fontId="2" type="noConversion"/>
  </si>
  <si>
    <t>办公用品费</t>
    <phoneticPr fontId="2" type="noConversion"/>
  </si>
  <si>
    <t>邮寄费</t>
    <phoneticPr fontId="2" type="noConversion"/>
  </si>
  <si>
    <t>其他办公费</t>
    <phoneticPr fontId="2" type="noConversion"/>
  </si>
  <si>
    <t>报纸订阅费</t>
    <phoneticPr fontId="2" type="noConversion"/>
  </si>
  <si>
    <t>业务招待费</t>
    <phoneticPr fontId="2" type="noConversion"/>
  </si>
  <si>
    <t>印刷费</t>
    <phoneticPr fontId="2" type="noConversion"/>
  </si>
  <si>
    <r>
      <t xml:space="preserve"> </t>
    </r>
    <r>
      <rPr>
        <sz val="10"/>
        <rFont val="宋体"/>
        <charset val="134"/>
      </rPr>
      <t>通讯费</t>
    </r>
    <phoneticPr fontId="2" type="noConversion"/>
  </si>
  <si>
    <t>办公修理</t>
    <phoneticPr fontId="2" type="noConversion"/>
  </si>
  <si>
    <t>车辆修理</t>
    <phoneticPr fontId="2" type="noConversion"/>
  </si>
  <si>
    <t>业务宣传费</t>
    <phoneticPr fontId="2" type="noConversion"/>
  </si>
  <si>
    <t>排污费</t>
    <phoneticPr fontId="2" type="noConversion"/>
  </si>
  <si>
    <t>物业管理费（含绿化费）</t>
    <phoneticPr fontId="2" type="noConversion"/>
  </si>
  <si>
    <t>企业财产保险（车辆）</t>
    <phoneticPr fontId="2" type="noConversion"/>
  </si>
  <si>
    <t>保安劳务费</t>
    <phoneticPr fontId="2" type="noConversion"/>
  </si>
  <si>
    <t>会议费</t>
    <phoneticPr fontId="2" type="noConversion"/>
  </si>
  <si>
    <t>差旅费（含领导）</t>
    <phoneticPr fontId="2" type="noConversion"/>
  </si>
  <si>
    <t>工作服</t>
    <phoneticPr fontId="2" type="noConversion"/>
  </si>
  <si>
    <t>劳保用品</t>
    <phoneticPr fontId="2" type="noConversion"/>
  </si>
  <si>
    <t>差旅费</t>
    <phoneticPr fontId="2" type="noConversion"/>
  </si>
  <si>
    <t>证件年检费</t>
    <phoneticPr fontId="2" type="noConversion"/>
  </si>
  <si>
    <t>咨询费</t>
    <phoneticPr fontId="2" type="noConversion"/>
  </si>
  <si>
    <t>探亲费</t>
    <phoneticPr fontId="2" type="noConversion"/>
  </si>
  <si>
    <t>新员工入厂杂费</t>
    <phoneticPr fontId="2" type="noConversion"/>
  </si>
  <si>
    <t>劳务费</t>
    <phoneticPr fontId="2" type="noConversion"/>
  </si>
  <si>
    <t>工资</t>
    <phoneticPr fontId="2" type="noConversion"/>
  </si>
  <si>
    <t>其他</t>
    <phoneticPr fontId="2" type="noConversion"/>
  </si>
  <si>
    <t>质量检测费</t>
    <phoneticPr fontId="2" type="noConversion"/>
  </si>
  <si>
    <t>水电费</t>
    <phoneticPr fontId="2" type="noConversion"/>
  </si>
  <si>
    <t>设备修理</t>
    <phoneticPr fontId="2" type="noConversion"/>
  </si>
  <si>
    <t>生产物料消耗</t>
    <phoneticPr fontId="2" type="noConversion"/>
  </si>
  <si>
    <t>审计费</t>
    <phoneticPr fontId="2" type="noConversion"/>
  </si>
  <si>
    <t>无形资产摊销</t>
    <phoneticPr fontId="2" type="noConversion"/>
  </si>
  <si>
    <t>折旧费</t>
    <phoneticPr fontId="2" type="noConversion"/>
  </si>
  <si>
    <t>存款利息收入</t>
    <phoneticPr fontId="2" type="noConversion"/>
  </si>
  <si>
    <t>运输费</t>
    <phoneticPr fontId="2" type="noConversion"/>
  </si>
  <si>
    <t>环境保护费</t>
    <phoneticPr fontId="2" type="noConversion"/>
  </si>
  <si>
    <t>外协改制费</t>
    <phoneticPr fontId="2" type="noConversion"/>
  </si>
  <si>
    <t>外协工序费</t>
    <phoneticPr fontId="2" type="noConversion"/>
  </si>
  <si>
    <t>科目编号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</si>
</sst>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#,##0.00_ "/>
    <numFmt numFmtId="178" formatCode="#,##0.00_);[Red]\(#,##0.00\)"/>
    <numFmt numFmtId="179" formatCode="#,##0_);[Red]\(#,##0\)"/>
    <numFmt numFmtId="180" formatCode="_ * #,##0_ ;_ * \-#,##0_ ;_ * &quot;-&quot;??_ ;_ @_ "/>
  </numFmts>
  <fonts count="21">
    <font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10"/>
      <name val="宋体"/>
      <charset val="134"/>
    </font>
    <font>
      <sz val="12"/>
      <name val="Arial"/>
      <family val="2"/>
    </font>
    <font>
      <sz val="12"/>
      <name val="宋体"/>
      <charset val="134"/>
    </font>
    <font>
      <sz val="10"/>
      <name val="Times New Roman"/>
      <family val="1"/>
    </font>
    <font>
      <sz val="14"/>
      <name val="宋体"/>
      <charset val="134"/>
    </font>
    <font>
      <sz val="14"/>
      <name val="Arial"/>
      <family val="2"/>
    </font>
    <font>
      <sz val="12"/>
      <color indexed="0"/>
      <name val="宋体"/>
      <charset val="134"/>
    </font>
    <font>
      <sz val="14"/>
      <color indexed="8"/>
      <name val="宋体"/>
      <charset val="134"/>
    </font>
    <font>
      <b/>
      <sz val="12"/>
      <name val="Arial"/>
      <family val="2"/>
    </font>
    <font>
      <b/>
      <sz val="12"/>
      <name val="宋体"/>
      <charset val="134"/>
    </font>
    <font>
      <sz val="10"/>
      <color indexed="10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2"/>
      <name val="Times New Roman"/>
      <family val="1"/>
    </font>
    <font>
      <sz val="20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>
      <protection locked="0"/>
    </xf>
    <xf numFmtId="176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178" fontId="0" fillId="0" borderId="0" xfId="0" applyNumberFormat="1"/>
    <xf numFmtId="2" fontId="9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1" fillId="0" borderId="0" xfId="0" applyFont="1" applyAlignment="1">
      <alignment vertical="center" wrapText="1"/>
    </xf>
    <xf numFmtId="178" fontId="4" fillId="2" borderId="1" xfId="0" applyNumberFormat="1" applyFont="1" applyFill="1" applyBorder="1"/>
    <xf numFmtId="0" fontId="12" fillId="2" borderId="1" xfId="0" applyFont="1" applyFill="1" applyBorder="1"/>
    <xf numFmtId="178" fontId="11" fillId="2" borderId="1" xfId="0" applyNumberFormat="1" applyFont="1" applyFill="1" applyBorder="1"/>
    <xf numFmtId="177" fontId="11" fillId="2" borderId="1" xfId="0" applyNumberFormat="1" applyFont="1" applyFill="1" applyBorder="1"/>
    <xf numFmtId="0" fontId="5" fillId="2" borderId="0" xfId="0" applyFont="1" applyFill="1" applyBorder="1"/>
    <xf numFmtId="0" fontId="4" fillId="0" borderId="0" xfId="0" applyFont="1" applyBorder="1"/>
    <xf numFmtId="178" fontId="4" fillId="0" borderId="0" xfId="0" applyNumberFormat="1" applyFont="1" applyBorder="1"/>
    <xf numFmtId="2" fontId="9" fillId="2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49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49" fontId="12" fillId="2" borderId="1" xfId="0" applyNumberFormat="1" applyFont="1" applyFill="1" applyBorder="1"/>
    <xf numFmtId="2" fontId="9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vertical="center" wrapText="1"/>
    </xf>
    <xf numFmtId="177" fontId="4" fillId="0" borderId="1" xfId="0" applyNumberFormat="1" applyFont="1" applyFill="1" applyBorder="1"/>
    <xf numFmtId="178" fontId="4" fillId="0" borderId="1" xfId="0" applyNumberFormat="1" applyFont="1" applyFill="1" applyBorder="1"/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5" fillId="0" borderId="0" xfId="0" applyNumberFormat="1" applyFont="1" applyAlignment="1">
      <alignment horizontal="right"/>
    </xf>
    <xf numFmtId="179" fontId="5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/>
    <xf numFmtId="179" fontId="16" fillId="0" borderId="1" xfId="0" applyNumberFormat="1" applyFont="1" applyFill="1" applyBorder="1" applyAlignment="1" applyProtection="1">
      <alignment vertical="center" wrapText="1"/>
      <protection locked="0"/>
    </xf>
    <xf numFmtId="17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4" fillId="0" borderId="3" xfId="0" applyNumberFormat="1" applyFont="1" applyFill="1" applyBorder="1" applyAlignment="1" applyProtection="1">
      <alignment vertical="center" wrapText="1"/>
      <protection locked="0"/>
    </xf>
    <xf numFmtId="179" fontId="4" fillId="0" borderId="0" xfId="0" applyNumberFormat="1" applyFont="1" applyBorder="1"/>
    <xf numFmtId="179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13" fillId="2" borderId="4" xfId="0" applyFont="1" applyFill="1" applyBorder="1" applyAlignment="1">
      <alignment vertical="center" wrapText="1"/>
    </xf>
    <xf numFmtId="178" fontId="4" fillId="2" borderId="4" xfId="0" applyNumberFormat="1" applyFont="1" applyFill="1" applyBorder="1"/>
    <xf numFmtId="179" fontId="4" fillId="4" borderId="1" xfId="0" applyNumberFormat="1" applyFont="1" applyFill="1" applyBorder="1"/>
    <xf numFmtId="179" fontId="11" fillId="4" borderId="1" xfId="0" applyNumberFormat="1" applyFont="1" applyFill="1" applyBorder="1"/>
    <xf numFmtId="179" fontId="5" fillId="4" borderId="1" xfId="0" applyNumberFormat="1" applyFont="1" applyFill="1" applyBorder="1"/>
    <xf numFmtId="179" fontId="4" fillId="0" borderId="1" xfId="0" applyNumberFormat="1" applyFont="1" applyFill="1" applyBorder="1"/>
    <xf numFmtId="177" fontId="0" fillId="0" borderId="0" xfId="0" applyNumberFormat="1" applyFont="1" applyFill="1"/>
    <xf numFmtId="177" fontId="0" fillId="0" borderId="1" xfId="0" applyNumberFormat="1" applyFont="1" applyFill="1" applyBorder="1"/>
    <xf numFmtId="178" fontId="0" fillId="0" borderId="0" xfId="0" applyNumberFormat="1" applyFont="1" applyFill="1"/>
    <xf numFmtId="178" fontId="0" fillId="0" borderId="1" xfId="0" applyNumberFormat="1" applyFont="1" applyFill="1" applyBorder="1"/>
    <xf numFmtId="178" fontId="4" fillId="2" borderId="5" xfId="0" applyNumberFormat="1" applyFont="1" applyFill="1" applyBorder="1"/>
    <xf numFmtId="178" fontId="4" fillId="0" borderId="0" xfId="0" applyNumberFormat="1" applyFont="1" applyFill="1"/>
    <xf numFmtId="178" fontId="0" fillId="4" borderId="0" xfId="0" applyNumberFormat="1" applyFill="1"/>
    <xf numFmtId="0" fontId="3" fillId="0" borderId="0" xfId="0" applyFont="1"/>
    <xf numFmtId="49" fontId="3" fillId="0" borderId="1" xfId="0" applyNumberFormat="1" applyFont="1" applyBorder="1"/>
    <xf numFmtId="177" fontId="3" fillId="0" borderId="1" xfId="0" applyNumberFormat="1" applyFont="1" applyBorder="1"/>
    <xf numFmtId="49" fontId="3" fillId="0" borderId="1" xfId="0" applyNumberFormat="1" applyFont="1" applyFill="1" applyBorder="1"/>
    <xf numFmtId="0" fontId="3" fillId="0" borderId="1" xfId="0" applyFont="1" applyBorder="1"/>
    <xf numFmtId="49" fontId="1" fillId="0" borderId="1" xfId="0" applyNumberFormat="1" applyFont="1" applyBorder="1"/>
    <xf numFmtId="177" fontId="20" fillId="0" borderId="1" xfId="0" applyNumberFormat="1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49" fontId="20" fillId="0" borderId="1" xfId="0" applyNumberFormat="1" applyFont="1" applyBorder="1"/>
    <xf numFmtId="49" fontId="20" fillId="0" borderId="1" xfId="0" applyNumberFormat="1" applyFont="1" applyFill="1" applyBorder="1"/>
    <xf numFmtId="180" fontId="6" fillId="0" borderId="1" xfId="2" applyNumberFormat="1" applyFont="1" applyFill="1" applyBorder="1" applyAlignment="1" applyProtection="1">
      <protection locked="0"/>
    </xf>
    <xf numFmtId="177" fontId="20" fillId="0" borderId="1" xfId="0" applyNumberFormat="1" applyFont="1" applyFill="1" applyBorder="1"/>
    <xf numFmtId="0" fontId="17" fillId="0" borderId="0" xfId="0" applyFont="1" applyAlignment="1">
      <alignment horizont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6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6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6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6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6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6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6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6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6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7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7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7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7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7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7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7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7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7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7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8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8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8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8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8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8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8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8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8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8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9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9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9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9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9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9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9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9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9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59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0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0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0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0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0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0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0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0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0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0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1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1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1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1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1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1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1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1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1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1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2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2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2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2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2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2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2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2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2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2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3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3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3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3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3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3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3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3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3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3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4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4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4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4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4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4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4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4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4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4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5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5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5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5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5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5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5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5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5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5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6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6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6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6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6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6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6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6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6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6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7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7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7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7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7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7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7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7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7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7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8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8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8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8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8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8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8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8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8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8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9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9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9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9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9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9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9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9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9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69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0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0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0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0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0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0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0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0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0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0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1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1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1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1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1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1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1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1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1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1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2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2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2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2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2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2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2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2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2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2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3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3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3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3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3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3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3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3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3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3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4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4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4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4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4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4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4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4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4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4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5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5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5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5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5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5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5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5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5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5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6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6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6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6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6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6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6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6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6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6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7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7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7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7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7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7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7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7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7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7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8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8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8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8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8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8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8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8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8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8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9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9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9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9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9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9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9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9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9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79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0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0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0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0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0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0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0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0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0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0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1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1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1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1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1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1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1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1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1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1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2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2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2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2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2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2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2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2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2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2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3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3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3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3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3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3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3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3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3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3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4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4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4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4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4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4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4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4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4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4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5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5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5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5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5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5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5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5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58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5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6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6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62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6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6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6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6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6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68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69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70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71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72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73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74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75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76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77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78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79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80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81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82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83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84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85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86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87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88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8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90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91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92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93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94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95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96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97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898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899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0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01" name="Text Box 5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02" name="Text Box 7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03" name="Text Box 9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04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05" name="Text Box 5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06" name="Text Box 7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07" name="Text Box 9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08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09" name="Text Box 5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10" name="Text Box 7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11" name="Text Box 9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12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13" name="Text Box 5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14" name="Text Box 7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15" name="Text Box 9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16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17" name="Text Box 5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18" name="Text Box 7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19" name="Text Box 9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20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21" name="Text Box 5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22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23" name="Text Box 5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24" name="Text Box 7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25" name="Text Box 9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26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27" name="Text Box 5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28" name="Text Box 7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29" name="Text Box 9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30" name="Text Box 3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31" name="Text Box 5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32" name="Text Box 7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16</xdr:row>
      <xdr:rowOff>304800</xdr:rowOff>
    </xdr:to>
    <xdr:sp macro="" textlink="">
      <xdr:nvSpPr>
        <xdr:cNvPr id="23933" name="Text Box 9"/>
        <xdr:cNvSpPr txBox="1">
          <a:spLocks noChangeArrowheads="1"/>
        </xdr:cNvSpPr>
      </xdr:nvSpPr>
      <xdr:spPr bwMode="auto">
        <a:xfrm>
          <a:off x="401955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34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35" name="Text Box 5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36" name="Text Box 7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37" name="Text Box 9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38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39" name="Text Box 5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40" name="Text Box 7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41" name="Text Box 9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42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43" name="Text Box 5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44" name="Text Box 7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45" name="Text Box 9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46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47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48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49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50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51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52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53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54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55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56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57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58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59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60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61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62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63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64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65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66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67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68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69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70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71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72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73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74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75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76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77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78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79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80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81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82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83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84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85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86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87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88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89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90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91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92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93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94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95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96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97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98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3999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00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01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02" name="Text Box 20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03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04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05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06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07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08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09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10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11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12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13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14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15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16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</xdr:col>
      <xdr:colOff>76200</xdr:colOff>
      <xdr:row>5</xdr:row>
      <xdr:rowOff>0</xdr:rowOff>
    </xdr:to>
    <xdr:sp macro="" textlink="">
      <xdr:nvSpPr>
        <xdr:cNvPr id="24017" name="Text Box 3"/>
        <xdr:cNvSpPr txBox="1">
          <a:spLocks noChangeArrowheads="1"/>
        </xdr:cNvSpPr>
      </xdr:nvSpPr>
      <xdr:spPr bwMode="auto">
        <a:xfrm>
          <a:off x="4019550" y="1085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18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19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20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21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22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23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24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25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26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27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28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29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30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31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32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33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34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35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36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16</xdr:row>
      <xdr:rowOff>304800</xdr:rowOff>
    </xdr:to>
    <xdr:sp macro="" textlink="">
      <xdr:nvSpPr>
        <xdr:cNvPr id="24037" name="Text Box 3"/>
        <xdr:cNvSpPr txBox="1">
          <a:spLocks noChangeArrowheads="1"/>
        </xdr:cNvSpPr>
      </xdr:nvSpPr>
      <xdr:spPr bwMode="auto">
        <a:xfrm>
          <a:off x="2209800" y="108585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3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3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4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4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4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4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4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4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4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4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4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4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5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5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5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5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5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5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5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5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5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5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6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6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6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6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6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6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6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6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6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6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7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7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7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7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7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7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7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7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7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7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8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8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8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8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8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8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8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8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8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8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9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9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9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9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9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9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9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9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9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09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0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0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0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0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0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0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0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0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0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0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1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1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1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1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1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1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1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1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1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1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2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2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2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2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2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2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2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2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2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2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3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3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3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3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3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3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3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3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3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3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4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4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4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4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4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4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4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4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4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4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5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5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5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5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5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5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5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5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5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5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6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6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6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6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6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6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6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6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6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6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7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7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7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7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7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7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7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7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7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7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8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8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8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8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8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8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8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8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8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8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9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9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9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9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9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9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9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9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9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19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0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0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0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0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0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0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0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0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0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0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1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1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1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1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1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1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1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1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1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1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2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2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2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2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2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2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2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2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2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2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3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3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3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3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3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3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3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3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3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3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4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4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4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4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4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4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4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4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4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4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5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5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5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5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5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5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5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5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5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5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6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6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6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6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6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6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6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6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6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6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7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7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7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7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7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7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7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7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7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7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8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8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8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8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8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8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8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8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8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8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9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9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9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9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9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9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9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9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9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29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0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0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0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0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0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0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0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0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0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0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1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1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1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1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1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1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1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1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1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1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2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2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2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2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2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2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2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2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2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2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3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3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3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3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3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35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36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37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38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39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40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41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42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43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7</xdr:col>
      <xdr:colOff>76200</xdr:colOff>
      <xdr:row>47</xdr:row>
      <xdr:rowOff>0</xdr:rowOff>
    </xdr:to>
    <xdr:sp macro="" textlink="">
      <xdr:nvSpPr>
        <xdr:cNvPr id="24344" name="Text Box 3"/>
        <xdr:cNvSpPr txBox="1">
          <a:spLocks noChangeArrowheads="1"/>
        </xdr:cNvSpPr>
      </xdr:nvSpPr>
      <xdr:spPr bwMode="auto">
        <a:xfrm>
          <a:off x="401955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45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46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47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48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49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50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51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52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53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54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55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56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57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58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59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60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61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62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63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64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7</xdr:col>
      <xdr:colOff>76200</xdr:colOff>
      <xdr:row>29</xdr:row>
      <xdr:rowOff>0</xdr:rowOff>
    </xdr:to>
    <xdr:sp macro="" textlink="">
      <xdr:nvSpPr>
        <xdr:cNvPr id="24365" name="Text Box 20"/>
        <xdr:cNvSpPr txBox="1">
          <a:spLocks noChangeArrowheads="1"/>
        </xdr:cNvSpPr>
      </xdr:nvSpPr>
      <xdr:spPr bwMode="auto">
        <a:xfrm>
          <a:off x="4019550" y="83343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85725</xdr:rowOff>
    </xdr:from>
    <xdr:to>
      <xdr:col>7</xdr:col>
      <xdr:colOff>76200</xdr:colOff>
      <xdr:row>17</xdr:row>
      <xdr:rowOff>171450</xdr:rowOff>
    </xdr:to>
    <xdr:sp macro="" textlink="">
      <xdr:nvSpPr>
        <xdr:cNvPr id="24366" name="Text Box 3"/>
        <xdr:cNvSpPr txBox="1">
          <a:spLocks noChangeArrowheads="1"/>
        </xdr:cNvSpPr>
      </xdr:nvSpPr>
      <xdr:spPr bwMode="auto">
        <a:xfrm>
          <a:off x="4019550" y="1419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7</xdr:col>
      <xdr:colOff>76200</xdr:colOff>
      <xdr:row>29</xdr:row>
      <xdr:rowOff>0</xdr:rowOff>
    </xdr:to>
    <xdr:sp macro="" textlink="">
      <xdr:nvSpPr>
        <xdr:cNvPr id="24367" name="Text Box 20"/>
        <xdr:cNvSpPr txBox="1">
          <a:spLocks noChangeArrowheads="1"/>
        </xdr:cNvSpPr>
      </xdr:nvSpPr>
      <xdr:spPr bwMode="auto">
        <a:xfrm>
          <a:off x="4019550" y="83343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85725</xdr:rowOff>
    </xdr:from>
    <xdr:to>
      <xdr:col>7</xdr:col>
      <xdr:colOff>76200</xdr:colOff>
      <xdr:row>17</xdr:row>
      <xdr:rowOff>171450</xdr:rowOff>
    </xdr:to>
    <xdr:sp macro="" textlink="">
      <xdr:nvSpPr>
        <xdr:cNvPr id="24368" name="Text Box 3"/>
        <xdr:cNvSpPr txBox="1">
          <a:spLocks noChangeArrowheads="1"/>
        </xdr:cNvSpPr>
      </xdr:nvSpPr>
      <xdr:spPr bwMode="auto">
        <a:xfrm>
          <a:off x="4019550" y="1419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7</xdr:col>
      <xdr:colOff>76200</xdr:colOff>
      <xdr:row>29</xdr:row>
      <xdr:rowOff>0</xdr:rowOff>
    </xdr:to>
    <xdr:sp macro="" textlink="">
      <xdr:nvSpPr>
        <xdr:cNvPr id="24369" name="Text Box 20"/>
        <xdr:cNvSpPr txBox="1">
          <a:spLocks noChangeArrowheads="1"/>
        </xdr:cNvSpPr>
      </xdr:nvSpPr>
      <xdr:spPr bwMode="auto">
        <a:xfrm>
          <a:off x="4019550" y="83343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85725</xdr:rowOff>
    </xdr:from>
    <xdr:to>
      <xdr:col>7</xdr:col>
      <xdr:colOff>76200</xdr:colOff>
      <xdr:row>17</xdr:row>
      <xdr:rowOff>171450</xdr:rowOff>
    </xdr:to>
    <xdr:sp macro="" textlink="">
      <xdr:nvSpPr>
        <xdr:cNvPr id="24370" name="Text Box 3"/>
        <xdr:cNvSpPr txBox="1">
          <a:spLocks noChangeArrowheads="1"/>
        </xdr:cNvSpPr>
      </xdr:nvSpPr>
      <xdr:spPr bwMode="auto">
        <a:xfrm>
          <a:off x="4019550" y="1419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7</xdr:col>
      <xdr:colOff>76200</xdr:colOff>
      <xdr:row>29</xdr:row>
      <xdr:rowOff>0</xdr:rowOff>
    </xdr:to>
    <xdr:sp macro="" textlink="">
      <xdr:nvSpPr>
        <xdr:cNvPr id="24371" name="Text Box 20"/>
        <xdr:cNvSpPr txBox="1">
          <a:spLocks noChangeArrowheads="1"/>
        </xdr:cNvSpPr>
      </xdr:nvSpPr>
      <xdr:spPr bwMode="auto">
        <a:xfrm>
          <a:off x="4019550" y="83343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85725</xdr:rowOff>
    </xdr:from>
    <xdr:to>
      <xdr:col>7</xdr:col>
      <xdr:colOff>76200</xdr:colOff>
      <xdr:row>17</xdr:row>
      <xdr:rowOff>171450</xdr:rowOff>
    </xdr:to>
    <xdr:sp macro="" textlink="">
      <xdr:nvSpPr>
        <xdr:cNvPr id="24372" name="Text Box 3"/>
        <xdr:cNvSpPr txBox="1">
          <a:spLocks noChangeArrowheads="1"/>
        </xdr:cNvSpPr>
      </xdr:nvSpPr>
      <xdr:spPr bwMode="auto">
        <a:xfrm>
          <a:off x="4019550" y="1419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7</xdr:col>
      <xdr:colOff>76200</xdr:colOff>
      <xdr:row>29</xdr:row>
      <xdr:rowOff>0</xdr:rowOff>
    </xdr:to>
    <xdr:sp macro="" textlink="">
      <xdr:nvSpPr>
        <xdr:cNvPr id="24373" name="Text Box 20"/>
        <xdr:cNvSpPr txBox="1">
          <a:spLocks noChangeArrowheads="1"/>
        </xdr:cNvSpPr>
      </xdr:nvSpPr>
      <xdr:spPr bwMode="auto">
        <a:xfrm>
          <a:off x="4019550" y="83343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85725</xdr:rowOff>
    </xdr:from>
    <xdr:to>
      <xdr:col>7</xdr:col>
      <xdr:colOff>76200</xdr:colOff>
      <xdr:row>17</xdr:row>
      <xdr:rowOff>171450</xdr:rowOff>
    </xdr:to>
    <xdr:sp macro="" textlink="">
      <xdr:nvSpPr>
        <xdr:cNvPr id="24374" name="Text Box 3"/>
        <xdr:cNvSpPr txBox="1">
          <a:spLocks noChangeArrowheads="1"/>
        </xdr:cNvSpPr>
      </xdr:nvSpPr>
      <xdr:spPr bwMode="auto">
        <a:xfrm>
          <a:off x="4019550" y="1419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7</xdr:col>
      <xdr:colOff>76200</xdr:colOff>
      <xdr:row>29</xdr:row>
      <xdr:rowOff>0</xdr:rowOff>
    </xdr:to>
    <xdr:sp macro="" textlink="">
      <xdr:nvSpPr>
        <xdr:cNvPr id="24375" name="Text Box 20"/>
        <xdr:cNvSpPr txBox="1">
          <a:spLocks noChangeArrowheads="1"/>
        </xdr:cNvSpPr>
      </xdr:nvSpPr>
      <xdr:spPr bwMode="auto">
        <a:xfrm>
          <a:off x="4019550" y="83343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85725</xdr:rowOff>
    </xdr:from>
    <xdr:to>
      <xdr:col>7</xdr:col>
      <xdr:colOff>76200</xdr:colOff>
      <xdr:row>17</xdr:row>
      <xdr:rowOff>171450</xdr:rowOff>
    </xdr:to>
    <xdr:sp macro="" textlink="">
      <xdr:nvSpPr>
        <xdr:cNvPr id="24376" name="Text Box 3"/>
        <xdr:cNvSpPr txBox="1">
          <a:spLocks noChangeArrowheads="1"/>
        </xdr:cNvSpPr>
      </xdr:nvSpPr>
      <xdr:spPr bwMode="auto">
        <a:xfrm>
          <a:off x="4019550" y="1419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7</xdr:col>
      <xdr:colOff>76200</xdr:colOff>
      <xdr:row>20</xdr:row>
      <xdr:rowOff>161925</xdr:rowOff>
    </xdr:to>
    <xdr:sp macro="" textlink="">
      <xdr:nvSpPr>
        <xdr:cNvPr id="24377" name="Text Box 3"/>
        <xdr:cNvSpPr txBox="1">
          <a:spLocks noChangeArrowheads="1"/>
        </xdr:cNvSpPr>
      </xdr:nvSpPr>
      <xdr:spPr bwMode="auto">
        <a:xfrm>
          <a:off x="4019550" y="2181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7</xdr:col>
      <xdr:colOff>76200</xdr:colOff>
      <xdr:row>20</xdr:row>
      <xdr:rowOff>161925</xdr:rowOff>
    </xdr:to>
    <xdr:sp macro="" textlink="">
      <xdr:nvSpPr>
        <xdr:cNvPr id="24378" name="Text Box 5"/>
        <xdr:cNvSpPr txBox="1">
          <a:spLocks noChangeArrowheads="1"/>
        </xdr:cNvSpPr>
      </xdr:nvSpPr>
      <xdr:spPr bwMode="auto">
        <a:xfrm>
          <a:off x="4019550" y="2181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7</xdr:col>
      <xdr:colOff>76200</xdr:colOff>
      <xdr:row>20</xdr:row>
      <xdr:rowOff>161925</xdr:rowOff>
    </xdr:to>
    <xdr:sp macro="" textlink="">
      <xdr:nvSpPr>
        <xdr:cNvPr id="24379" name="Text Box 7"/>
        <xdr:cNvSpPr txBox="1">
          <a:spLocks noChangeArrowheads="1"/>
        </xdr:cNvSpPr>
      </xdr:nvSpPr>
      <xdr:spPr bwMode="auto">
        <a:xfrm>
          <a:off x="4019550" y="2181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7</xdr:col>
      <xdr:colOff>76200</xdr:colOff>
      <xdr:row>20</xdr:row>
      <xdr:rowOff>161925</xdr:rowOff>
    </xdr:to>
    <xdr:sp macro="" textlink="">
      <xdr:nvSpPr>
        <xdr:cNvPr id="24380" name="Text Box 9"/>
        <xdr:cNvSpPr txBox="1">
          <a:spLocks noChangeArrowheads="1"/>
        </xdr:cNvSpPr>
      </xdr:nvSpPr>
      <xdr:spPr bwMode="auto">
        <a:xfrm>
          <a:off x="4019550" y="2181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7</xdr:col>
      <xdr:colOff>76200</xdr:colOff>
      <xdr:row>20</xdr:row>
      <xdr:rowOff>161925</xdr:rowOff>
    </xdr:to>
    <xdr:sp macro="" textlink="">
      <xdr:nvSpPr>
        <xdr:cNvPr id="24381" name="Text Box 3"/>
        <xdr:cNvSpPr txBox="1">
          <a:spLocks noChangeArrowheads="1"/>
        </xdr:cNvSpPr>
      </xdr:nvSpPr>
      <xdr:spPr bwMode="auto">
        <a:xfrm>
          <a:off x="4019550" y="2181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7</xdr:col>
      <xdr:colOff>76200</xdr:colOff>
      <xdr:row>20</xdr:row>
      <xdr:rowOff>161925</xdr:rowOff>
    </xdr:to>
    <xdr:sp macro="" textlink="">
      <xdr:nvSpPr>
        <xdr:cNvPr id="24382" name="Text Box 5"/>
        <xdr:cNvSpPr txBox="1">
          <a:spLocks noChangeArrowheads="1"/>
        </xdr:cNvSpPr>
      </xdr:nvSpPr>
      <xdr:spPr bwMode="auto">
        <a:xfrm>
          <a:off x="4019550" y="2181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7</xdr:col>
      <xdr:colOff>76200</xdr:colOff>
      <xdr:row>20</xdr:row>
      <xdr:rowOff>161925</xdr:rowOff>
    </xdr:to>
    <xdr:sp macro="" textlink="">
      <xdr:nvSpPr>
        <xdr:cNvPr id="24383" name="Text Box 7"/>
        <xdr:cNvSpPr txBox="1">
          <a:spLocks noChangeArrowheads="1"/>
        </xdr:cNvSpPr>
      </xdr:nvSpPr>
      <xdr:spPr bwMode="auto">
        <a:xfrm>
          <a:off x="4019550" y="2181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7</xdr:col>
      <xdr:colOff>76200</xdr:colOff>
      <xdr:row>20</xdr:row>
      <xdr:rowOff>161925</xdr:rowOff>
    </xdr:to>
    <xdr:sp macro="" textlink="">
      <xdr:nvSpPr>
        <xdr:cNvPr id="24384" name="Text Box 9"/>
        <xdr:cNvSpPr txBox="1">
          <a:spLocks noChangeArrowheads="1"/>
        </xdr:cNvSpPr>
      </xdr:nvSpPr>
      <xdr:spPr bwMode="auto">
        <a:xfrm>
          <a:off x="4019550" y="2181225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85" name="Text Box 3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86" name="Text Box 5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87" name="Text Box 7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88" name="Text Box 9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89" name="Text Box 3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90" name="Text Box 5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91" name="Text Box 7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92" name="Text Box 9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93" name="Text Box 3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94" name="Text Box 5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95" name="Text Box 7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96" name="Text Box 9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97" name="Text Box 3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7</xdr:col>
      <xdr:colOff>76200</xdr:colOff>
      <xdr:row>30</xdr:row>
      <xdr:rowOff>0</xdr:rowOff>
    </xdr:to>
    <xdr:sp macro="" textlink="">
      <xdr:nvSpPr>
        <xdr:cNvPr id="24398" name="Text Box 5"/>
        <xdr:cNvSpPr txBox="1">
          <a:spLocks noChangeArrowheads="1"/>
        </xdr:cNvSpPr>
      </xdr:nvSpPr>
      <xdr:spPr bwMode="auto">
        <a:xfrm>
          <a:off x="4019550" y="858202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399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00" name="Text Box 5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01" name="Text Box 7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02" name="Text Box 9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7</xdr:col>
      <xdr:colOff>76200</xdr:colOff>
      <xdr:row>17</xdr:row>
      <xdr:rowOff>85725</xdr:rowOff>
    </xdr:to>
    <xdr:sp macro="" textlink="">
      <xdr:nvSpPr>
        <xdr:cNvPr id="24403" name="Text Box 3"/>
        <xdr:cNvSpPr txBox="1">
          <a:spLocks noChangeArrowheads="1"/>
        </xdr:cNvSpPr>
      </xdr:nvSpPr>
      <xdr:spPr bwMode="auto">
        <a:xfrm>
          <a:off x="4019550" y="133350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7</xdr:col>
      <xdr:colOff>76200</xdr:colOff>
      <xdr:row>17</xdr:row>
      <xdr:rowOff>85725</xdr:rowOff>
    </xdr:to>
    <xdr:sp macro="" textlink="">
      <xdr:nvSpPr>
        <xdr:cNvPr id="24404" name="Text Box 5"/>
        <xdr:cNvSpPr txBox="1">
          <a:spLocks noChangeArrowheads="1"/>
        </xdr:cNvSpPr>
      </xdr:nvSpPr>
      <xdr:spPr bwMode="auto">
        <a:xfrm>
          <a:off x="4019550" y="133350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7</xdr:col>
      <xdr:colOff>76200</xdr:colOff>
      <xdr:row>17</xdr:row>
      <xdr:rowOff>85725</xdr:rowOff>
    </xdr:to>
    <xdr:sp macro="" textlink="">
      <xdr:nvSpPr>
        <xdr:cNvPr id="24405" name="Text Box 7"/>
        <xdr:cNvSpPr txBox="1">
          <a:spLocks noChangeArrowheads="1"/>
        </xdr:cNvSpPr>
      </xdr:nvSpPr>
      <xdr:spPr bwMode="auto">
        <a:xfrm>
          <a:off x="4019550" y="133350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7</xdr:col>
      <xdr:colOff>76200</xdr:colOff>
      <xdr:row>17</xdr:row>
      <xdr:rowOff>85725</xdr:rowOff>
    </xdr:to>
    <xdr:sp macro="" textlink="">
      <xdr:nvSpPr>
        <xdr:cNvPr id="24406" name="Text Box 9"/>
        <xdr:cNvSpPr txBox="1">
          <a:spLocks noChangeArrowheads="1"/>
        </xdr:cNvSpPr>
      </xdr:nvSpPr>
      <xdr:spPr bwMode="auto">
        <a:xfrm>
          <a:off x="4019550" y="133350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7</xdr:col>
      <xdr:colOff>76200</xdr:colOff>
      <xdr:row>17</xdr:row>
      <xdr:rowOff>85725</xdr:rowOff>
    </xdr:to>
    <xdr:sp macro="" textlink="">
      <xdr:nvSpPr>
        <xdr:cNvPr id="24407" name="Text Box 3"/>
        <xdr:cNvSpPr txBox="1">
          <a:spLocks noChangeArrowheads="1"/>
        </xdr:cNvSpPr>
      </xdr:nvSpPr>
      <xdr:spPr bwMode="auto">
        <a:xfrm>
          <a:off x="4019550" y="133350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7</xdr:col>
      <xdr:colOff>76200</xdr:colOff>
      <xdr:row>17</xdr:row>
      <xdr:rowOff>85725</xdr:rowOff>
    </xdr:to>
    <xdr:sp macro="" textlink="">
      <xdr:nvSpPr>
        <xdr:cNvPr id="24408" name="Text Box 5"/>
        <xdr:cNvSpPr txBox="1">
          <a:spLocks noChangeArrowheads="1"/>
        </xdr:cNvSpPr>
      </xdr:nvSpPr>
      <xdr:spPr bwMode="auto">
        <a:xfrm>
          <a:off x="4019550" y="133350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7</xdr:col>
      <xdr:colOff>76200</xdr:colOff>
      <xdr:row>17</xdr:row>
      <xdr:rowOff>85725</xdr:rowOff>
    </xdr:to>
    <xdr:sp macro="" textlink="">
      <xdr:nvSpPr>
        <xdr:cNvPr id="24409" name="Text Box 7"/>
        <xdr:cNvSpPr txBox="1">
          <a:spLocks noChangeArrowheads="1"/>
        </xdr:cNvSpPr>
      </xdr:nvSpPr>
      <xdr:spPr bwMode="auto">
        <a:xfrm>
          <a:off x="4019550" y="133350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7</xdr:col>
      <xdr:colOff>76200</xdr:colOff>
      <xdr:row>17</xdr:row>
      <xdr:rowOff>85725</xdr:rowOff>
    </xdr:to>
    <xdr:sp macro="" textlink="">
      <xdr:nvSpPr>
        <xdr:cNvPr id="24410" name="Text Box 9"/>
        <xdr:cNvSpPr txBox="1">
          <a:spLocks noChangeArrowheads="1"/>
        </xdr:cNvSpPr>
      </xdr:nvSpPr>
      <xdr:spPr bwMode="auto">
        <a:xfrm>
          <a:off x="4019550" y="1333500"/>
          <a:ext cx="76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11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12" name="Text Box 5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13" name="Text Box 7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14" name="Text Box 9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15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16" name="Text Box 5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17" name="Text Box 7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18" name="Text Box 9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19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20" name="Text Box 5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21" name="Text Box 7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22" name="Text Box 9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23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24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25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26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27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28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29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30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31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32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33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34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35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36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37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38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39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40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41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42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43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44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45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46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47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48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49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50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51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52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53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54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55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56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57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58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59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60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61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62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63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64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65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66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67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68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69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70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71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72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73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74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75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76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77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78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76200</xdr:colOff>
      <xdr:row>19</xdr:row>
      <xdr:rowOff>0</xdr:rowOff>
    </xdr:to>
    <xdr:sp macro="" textlink="">
      <xdr:nvSpPr>
        <xdr:cNvPr id="24479" name="Text Box 20"/>
        <xdr:cNvSpPr txBox="1">
          <a:spLocks noChangeArrowheads="1"/>
        </xdr:cNvSpPr>
      </xdr:nvSpPr>
      <xdr:spPr bwMode="auto">
        <a:xfrm>
          <a:off x="4019550" y="533400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80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81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82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83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84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85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86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87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88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89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90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91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92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93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7</xdr:col>
      <xdr:colOff>76200</xdr:colOff>
      <xdr:row>15</xdr:row>
      <xdr:rowOff>0</xdr:rowOff>
    </xdr:to>
    <xdr:sp macro="" textlink="">
      <xdr:nvSpPr>
        <xdr:cNvPr id="24494" name="Text Box 3"/>
        <xdr:cNvSpPr txBox="1">
          <a:spLocks noChangeArrowheads="1"/>
        </xdr:cNvSpPr>
      </xdr:nvSpPr>
      <xdr:spPr bwMode="auto">
        <a:xfrm>
          <a:off x="4019550" y="3876675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495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496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497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498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499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00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01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02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03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04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05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06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07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08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09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10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11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12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13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76200</xdr:colOff>
      <xdr:row>47</xdr:row>
      <xdr:rowOff>0</xdr:rowOff>
    </xdr:to>
    <xdr:sp macro="" textlink="">
      <xdr:nvSpPr>
        <xdr:cNvPr id="24514" name="Text Box 3"/>
        <xdr:cNvSpPr txBox="1">
          <a:spLocks noChangeArrowheads="1"/>
        </xdr:cNvSpPr>
      </xdr:nvSpPr>
      <xdr:spPr bwMode="auto">
        <a:xfrm>
          <a:off x="2209800" y="125444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468;&#20214;2&#12289;&#38468;&#20214;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LTQJ"/>
      <sheetName val="附件2各部门分解"/>
      <sheetName val="附件3办公费分解指标"/>
    </sheetNames>
    <sheetDataSet>
      <sheetData sheetId="0"/>
      <sheetData sheetId="1">
        <row r="4">
          <cell r="D4">
            <v>4000</v>
          </cell>
        </row>
        <row r="5">
          <cell r="D5">
            <v>300</v>
          </cell>
        </row>
        <row r="6">
          <cell r="D6">
            <v>1500</v>
          </cell>
        </row>
        <row r="7">
          <cell r="D7">
            <v>1800</v>
          </cell>
        </row>
        <row r="8">
          <cell r="D8">
            <v>300</v>
          </cell>
        </row>
        <row r="9">
          <cell r="D9">
            <v>1000</v>
          </cell>
        </row>
        <row r="10">
          <cell r="D10">
            <v>1000</v>
          </cell>
        </row>
        <row r="11">
          <cell r="D11">
            <v>300</v>
          </cell>
        </row>
        <row r="12">
          <cell r="D12">
            <v>300</v>
          </cell>
        </row>
        <row r="13">
          <cell r="D13">
            <v>300</v>
          </cell>
        </row>
        <row r="14">
          <cell r="D14">
            <v>1000</v>
          </cell>
        </row>
        <row r="15">
          <cell r="D15">
            <v>500</v>
          </cell>
        </row>
        <row r="16">
          <cell r="D16">
            <v>1000</v>
          </cell>
        </row>
        <row r="17">
          <cell r="D17">
            <v>800</v>
          </cell>
        </row>
      </sheetData>
      <sheetData sheetId="2">
        <row r="5">
          <cell r="C5">
            <v>320</v>
          </cell>
          <cell r="D5">
            <v>704</v>
          </cell>
          <cell r="E5">
            <v>352</v>
          </cell>
          <cell r="F5">
            <v>352</v>
          </cell>
          <cell r="G5">
            <v>368</v>
          </cell>
          <cell r="H5">
            <v>272</v>
          </cell>
          <cell r="I5">
            <v>208</v>
          </cell>
          <cell r="J5">
            <v>96</v>
          </cell>
          <cell r="K5">
            <v>80</v>
          </cell>
          <cell r="L5">
            <v>160</v>
          </cell>
          <cell r="M5">
            <v>198</v>
          </cell>
          <cell r="N5">
            <v>99</v>
          </cell>
          <cell r="O5">
            <v>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R1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2.75"/>
  <cols>
    <col min="1" max="1" width="9.140625" style="60"/>
    <col min="2" max="3" width="13.42578125" style="60" customWidth="1"/>
    <col min="4" max="4" width="36.7109375" style="60" customWidth="1"/>
    <col min="5" max="7" width="13.28515625" style="59" bestFit="1" customWidth="1"/>
    <col min="8" max="8" width="13.7109375" style="59" customWidth="1"/>
    <col min="9" max="14" width="13.28515625" style="59" bestFit="1" customWidth="1"/>
    <col min="15" max="15" width="12.5703125" style="59" customWidth="1"/>
    <col min="16" max="17" width="15.140625" style="59" customWidth="1"/>
    <col min="18" max="18" width="9.42578125" style="60" bestFit="1" customWidth="1"/>
    <col min="19" max="16384" width="9.140625" style="60"/>
  </cols>
  <sheetData>
    <row r="1" spans="1:17">
      <c r="A1" s="58" t="s">
        <v>131</v>
      </c>
      <c r="B1" s="58" t="s">
        <v>132</v>
      </c>
      <c r="C1" s="54" t="s">
        <v>185</v>
      </c>
      <c r="D1" s="54" t="s">
        <v>133</v>
      </c>
      <c r="E1" s="59" t="s">
        <v>134</v>
      </c>
      <c r="F1" s="59" t="s">
        <v>135</v>
      </c>
      <c r="G1" s="59" t="s">
        <v>136</v>
      </c>
      <c r="H1" s="59" t="s">
        <v>137</v>
      </c>
      <c r="I1" s="59" t="s">
        <v>138</v>
      </c>
      <c r="J1" s="59" t="s">
        <v>139</v>
      </c>
      <c r="K1" s="59" t="s">
        <v>140</v>
      </c>
      <c r="L1" s="59" t="s">
        <v>141</v>
      </c>
      <c r="M1" s="59" t="s">
        <v>142</v>
      </c>
      <c r="N1" s="59" t="s">
        <v>143</v>
      </c>
      <c r="O1" s="59" t="s">
        <v>144</v>
      </c>
      <c r="P1" s="59" t="s">
        <v>145</v>
      </c>
      <c r="Q1" s="55" t="s">
        <v>146</v>
      </c>
    </row>
    <row r="2" spans="1:17" ht="17.25" customHeight="1">
      <c r="A2" s="61" t="s">
        <v>79</v>
      </c>
      <c r="B2" s="62" t="s">
        <v>80</v>
      </c>
      <c r="C2" s="62"/>
      <c r="D2" s="54" t="s">
        <v>147</v>
      </c>
      <c r="H2" s="59">
        <f>[1]附件3办公费分解指标!$C$5</f>
        <v>320</v>
      </c>
      <c r="I2" s="59">
        <f>[1]附件3办公费分解指标!$C$5</f>
        <v>320</v>
      </c>
      <c r="J2" s="59">
        <f>[1]附件3办公费分解指标!$C$5</f>
        <v>320</v>
      </c>
      <c r="K2" s="59">
        <f>[1]附件3办公费分解指标!$C$5</f>
        <v>320</v>
      </c>
      <c r="L2" s="59">
        <f>[1]附件3办公费分解指标!$C$5</f>
        <v>320</v>
      </c>
      <c r="M2" s="59">
        <f>[1]附件3办公费分解指标!$C$5</f>
        <v>320</v>
      </c>
      <c r="N2" s="59">
        <f>[1]附件3办公费分解指标!$C$5</f>
        <v>320</v>
      </c>
      <c r="O2" s="59">
        <f>[1]附件3办公费分解指标!$C$5</f>
        <v>320</v>
      </c>
      <c r="P2" s="59">
        <f>[1]附件3办公费分解指标!$C$5</f>
        <v>320</v>
      </c>
      <c r="Q2" s="59">
        <f t="shared" ref="Q2:Q7" si="0">SUM(E2:P2)</f>
        <v>2880</v>
      </c>
    </row>
    <row r="3" spans="1:17" ht="17.25" customHeight="1">
      <c r="A3" s="61"/>
      <c r="B3" s="62"/>
      <c r="C3" s="62"/>
      <c r="D3" s="54" t="s">
        <v>148</v>
      </c>
      <c r="H3" s="59">
        <v>150</v>
      </c>
      <c r="I3" s="59">
        <v>100</v>
      </c>
      <c r="J3" s="59">
        <v>150</v>
      </c>
      <c r="K3" s="59">
        <v>150</v>
      </c>
      <c r="L3" s="59">
        <v>150</v>
      </c>
      <c r="M3" s="59">
        <v>150</v>
      </c>
      <c r="N3" s="59">
        <v>150</v>
      </c>
      <c r="O3" s="59">
        <v>150</v>
      </c>
      <c r="P3" s="59">
        <v>150</v>
      </c>
      <c r="Q3" s="59">
        <f t="shared" si="0"/>
        <v>1300</v>
      </c>
    </row>
    <row r="4" spans="1:17" ht="17.25" customHeight="1">
      <c r="A4" s="61"/>
      <c r="B4" s="62"/>
      <c r="C4" s="62"/>
      <c r="D4" s="54" t="s">
        <v>149</v>
      </c>
      <c r="P4" s="59">
        <v>10000</v>
      </c>
      <c r="Q4" s="59">
        <f t="shared" si="0"/>
        <v>10000</v>
      </c>
    </row>
    <row r="5" spans="1:17" ht="17.25" customHeight="1">
      <c r="A5" s="61"/>
      <c r="B5" s="62"/>
      <c r="C5" s="62"/>
      <c r="D5" s="54" t="s">
        <v>150</v>
      </c>
      <c r="P5" s="59">
        <v>10000</v>
      </c>
      <c r="Q5" s="59">
        <f t="shared" si="0"/>
        <v>10000</v>
      </c>
    </row>
    <row r="6" spans="1:17" ht="17.25" customHeight="1">
      <c r="A6" s="61"/>
      <c r="B6" s="62"/>
      <c r="C6" s="62"/>
      <c r="D6" s="54" t="s">
        <v>151</v>
      </c>
      <c r="H6" s="59">
        <f>[1]附件2各部门分解!$D$4+[1]附件2各部门分解!$D$14</f>
        <v>5000</v>
      </c>
      <c r="I6" s="59">
        <f>[1]附件2各部门分解!$D$4+[1]附件2各部门分解!$D$14</f>
        <v>5000</v>
      </c>
      <c r="J6" s="59">
        <f>[1]附件2各部门分解!$D$4+[1]附件2各部门分解!$D$14</f>
        <v>5000</v>
      </c>
      <c r="K6" s="59">
        <f>[1]附件2各部门分解!$D$4+[1]附件2各部门分解!$D$14</f>
        <v>5000</v>
      </c>
      <c r="L6" s="59">
        <f>[1]附件2各部门分解!$D$4+[1]附件2各部门分解!$D$14</f>
        <v>5000</v>
      </c>
      <c r="M6" s="59">
        <f>[1]附件2各部门分解!$D$4+[1]附件2各部门分解!$D$14</f>
        <v>5000</v>
      </c>
      <c r="N6" s="59">
        <f>[1]附件2各部门分解!$D$4+[1]附件2各部门分解!$D$14</f>
        <v>5000</v>
      </c>
      <c r="O6" s="59">
        <f>[1]附件2各部门分解!$D$4+[1]附件2各部门分解!$D$14</f>
        <v>5000</v>
      </c>
      <c r="P6" s="59">
        <f>[1]附件2各部门分解!$D$4+[1]附件2各部门分解!$D$14</f>
        <v>5000</v>
      </c>
      <c r="Q6" s="59">
        <f t="shared" si="0"/>
        <v>45000</v>
      </c>
    </row>
    <row r="7" spans="1:17" ht="17.25" customHeight="1">
      <c r="A7" s="61"/>
      <c r="B7" s="62"/>
      <c r="C7" s="62"/>
      <c r="D7" s="56" t="s">
        <v>152</v>
      </c>
      <c r="H7" s="59">
        <v>6000</v>
      </c>
      <c r="I7" s="59">
        <v>6000</v>
      </c>
      <c r="J7" s="59">
        <v>6000</v>
      </c>
      <c r="K7" s="59">
        <v>6000</v>
      </c>
      <c r="L7" s="59">
        <v>6000</v>
      </c>
      <c r="M7" s="59">
        <v>6000</v>
      </c>
      <c r="N7" s="59">
        <v>6000</v>
      </c>
      <c r="O7" s="59">
        <v>6000</v>
      </c>
      <c r="P7" s="59">
        <v>6000</v>
      </c>
      <c r="Q7" s="59">
        <f t="shared" si="0"/>
        <v>54000</v>
      </c>
    </row>
    <row r="8" spans="1:17" ht="17.25" customHeight="1">
      <c r="A8" s="61"/>
      <c r="B8" s="62"/>
      <c r="C8" s="62"/>
      <c r="D8" s="62" t="s">
        <v>153</v>
      </c>
      <c r="H8" s="59">
        <v>23000</v>
      </c>
      <c r="I8" s="59">
        <v>23000</v>
      </c>
      <c r="J8" s="59">
        <v>23000</v>
      </c>
      <c r="K8" s="59">
        <v>23000</v>
      </c>
      <c r="L8" s="59">
        <v>23000</v>
      </c>
      <c r="M8" s="59">
        <v>23000</v>
      </c>
      <c r="N8" s="59">
        <v>23000</v>
      </c>
      <c r="O8" s="59">
        <v>23000</v>
      </c>
      <c r="P8" s="59">
        <v>23000</v>
      </c>
      <c r="Q8" s="59">
        <f t="shared" ref="Q8:Q19" si="1">SUM(E8:P8)</f>
        <v>207000</v>
      </c>
    </row>
    <row r="9" spans="1:17" ht="17.25" customHeight="1">
      <c r="A9" s="61"/>
      <c r="B9" s="62"/>
      <c r="C9" s="62"/>
      <c r="D9" s="54" t="s">
        <v>154</v>
      </c>
      <c r="P9" s="59">
        <v>25000</v>
      </c>
      <c r="Q9" s="59">
        <f t="shared" si="1"/>
        <v>25000</v>
      </c>
    </row>
    <row r="10" spans="1:17" ht="17.25" customHeight="1">
      <c r="A10" s="61"/>
      <c r="B10" s="62"/>
      <c r="C10" s="62"/>
      <c r="D10" s="54" t="s">
        <v>155</v>
      </c>
      <c r="P10" s="59">
        <v>25000</v>
      </c>
      <c r="Q10" s="59">
        <f t="shared" si="1"/>
        <v>25000</v>
      </c>
    </row>
    <row r="11" spans="1:17" ht="17.25" customHeight="1">
      <c r="A11" s="61"/>
      <c r="B11" s="62"/>
      <c r="C11" s="62"/>
      <c r="D11" s="54" t="s">
        <v>156</v>
      </c>
      <c r="Q11" s="59">
        <f t="shared" si="1"/>
        <v>0</v>
      </c>
    </row>
    <row r="12" spans="1:17" ht="17.25" customHeight="1">
      <c r="A12" s="61"/>
      <c r="B12" s="62"/>
      <c r="C12" s="62"/>
      <c r="D12" s="54" t="s">
        <v>157</v>
      </c>
      <c r="H12" s="59">
        <v>27600</v>
      </c>
      <c r="I12" s="59">
        <f>H12</f>
        <v>27600</v>
      </c>
      <c r="J12" s="59">
        <f t="shared" ref="J12:P12" si="2">I12</f>
        <v>27600</v>
      </c>
      <c r="K12" s="59">
        <f t="shared" si="2"/>
        <v>27600</v>
      </c>
      <c r="L12" s="59">
        <f t="shared" si="2"/>
        <v>27600</v>
      </c>
      <c r="M12" s="59">
        <f t="shared" si="2"/>
        <v>27600</v>
      </c>
      <c r="N12" s="59">
        <f t="shared" si="2"/>
        <v>27600</v>
      </c>
      <c r="O12" s="59">
        <f t="shared" si="2"/>
        <v>27600</v>
      </c>
      <c r="P12" s="59">
        <f t="shared" si="2"/>
        <v>27600</v>
      </c>
      <c r="Q12" s="59">
        <f t="shared" si="1"/>
        <v>248400</v>
      </c>
    </row>
    <row r="13" spans="1:17" ht="17.25" customHeight="1">
      <c r="A13" s="61"/>
      <c r="B13" s="62"/>
      <c r="C13" s="62"/>
      <c r="D13" s="54" t="s">
        <v>158</v>
      </c>
      <c r="H13" s="59">
        <v>23210</v>
      </c>
      <c r="I13" s="59">
        <f>H13</f>
        <v>23210</v>
      </c>
      <c r="J13" s="59">
        <f t="shared" ref="J13:P13" si="3">I13</f>
        <v>23210</v>
      </c>
      <c r="K13" s="59">
        <f t="shared" si="3"/>
        <v>23210</v>
      </c>
      <c r="L13" s="59">
        <f t="shared" si="3"/>
        <v>23210</v>
      </c>
      <c r="M13" s="59">
        <f t="shared" si="3"/>
        <v>23210</v>
      </c>
      <c r="N13" s="59">
        <f t="shared" si="3"/>
        <v>23210</v>
      </c>
      <c r="O13" s="59">
        <f t="shared" si="3"/>
        <v>23210</v>
      </c>
      <c r="P13" s="59">
        <f t="shared" si="3"/>
        <v>23210</v>
      </c>
      <c r="Q13" s="59">
        <f t="shared" si="1"/>
        <v>208890</v>
      </c>
    </row>
    <row r="14" spans="1:17" ht="17.25" customHeight="1">
      <c r="A14" s="61"/>
      <c r="B14" s="62"/>
      <c r="C14" s="62"/>
      <c r="D14" s="54" t="s">
        <v>159</v>
      </c>
      <c r="G14" s="59">
        <v>19619.509999999998</v>
      </c>
      <c r="P14" s="59">
        <f>20000-G14</f>
        <v>380.4900000000016</v>
      </c>
      <c r="Q14" s="59">
        <f t="shared" si="1"/>
        <v>20000</v>
      </c>
    </row>
    <row r="15" spans="1:17" ht="17.25" customHeight="1">
      <c r="A15" s="61"/>
      <c r="B15" s="62"/>
      <c r="C15" s="62"/>
      <c r="D15" s="62" t="s">
        <v>160</v>
      </c>
      <c r="H15" s="59">
        <v>82620</v>
      </c>
      <c r="I15" s="59">
        <f>H15</f>
        <v>82620</v>
      </c>
      <c r="J15" s="59">
        <f t="shared" ref="J15:P15" si="4">I15</f>
        <v>82620</v>
      </c>
      <c r="K15" s="59">
        <f t="shared" si="4"/>
        <v>82620</v>
      </c>
      <c r="L15" s="59">
        <f t="shared" si="4"/>
        <v>82620</v>
      </c>
      <c r="M15" s="59">
        <f t="shared" si="4"/>
        <v>82620</v>
      </c>
      <c r="N15" s="59">
        <f t="shared" si="4"/>
        <v>82620</v>
      </c>
      <c r="O15" s="59">
        <f t="shared" si="4"/>
        <v>82620</v>
      </c>
      <c r="P15" s="59">
        <f t="shared" si="4"/>
        <v>82620</v>
      </c>
      <c r="Q15" s="59">
        <f t="shared" si="1"/>
        <v>743580</v>
      </c>
    </row>
    <row r="16" spans="1:17" ht="17.25" customHeight="1">
      <c r="A16" s="61"/>
      <c r="B16" s="62"/>
      <c r="C16" s="62"/>
      <c r="D16" s="54" t="s">
        <v>161</v>
      </c>
      <c r="Q16" s="59">
        <f t="shared" si="1"/>
        <v>0</v>
      </c>
    </row>
    <row r="17" spans="1:17" ht="17.25" customHeight="1">
      <c r="A17" s="61"/>
      <c r="B17" s="62"/>
      <c r="C17" s="62"/>
      <c r="D17" s="54" t="s">
        <v>162</v>
      </c>
      <c r="G17" s="59">
        <v>90222.04</v>
      </c>
      <c r="H17" s="59">
        <f>2000*9+2000+5000</f>
        <v>25000</v>
      </c>
      <c r="I17" s="59">
        <f t="shared" ref="I17:N17" si="5">2000*9+2000+5000</f>
        <v>25000</v>
      </c>
      <c r="J17" s="59">
        <f t="shared" si="5"/>
        <v>25000</v>
      </c>
      <c r="K17" s="59">
        <f t="shared" si="5"/>
        <v>25000</v>
      </c>
      <c r="L17" s="59">
        <f t="shared" si="5"/>
        <v>25000</v>
      </c>
      <c r="M17" s="59">
        <f t="shared" si="5"/>
        <v>25000</v>
      </c>
      <c r="N17" s="59">
        <f t="shared" si="5"/>
        <v>25000</v>
      </c>
      <c r="O17" s="59">
        <v>30000</v>
      </c>
      <c r="P17" s="59">
        <v>30000</v>
      </c>
      <c r="Q17" s="59">
        <f t="shared" si="1"/>
        <v>325222.03999999998</v>
      </c>
    </row>
    <row r="18" spans="1:17" ht="17.25" customHeight="1">
      <c r="A18" s="61"/>
      <c r="B18" s="62"/>
      <c r="C18" s="62"/>
      <c r="D18" s="54" t="s">
        <v>163</v>
      </c>
      <c r="P18" s="59">
        <v>5000</v>
      </c>
      <c r="Q18" s="59">
        <f t="shared" si="1"/>
        <v>5000</v>
      </c>
    </row>
    <row r="19" spans="1:17" ht="17.25" customHeight="1">
      <c r="A19" s="61"/>
      <c r="B19" s="62"/>
      <c r="C19" s="62"/>
      <c r="D19" s="54" t="s">
        <v>164</v>
      </c>
      <c r="P19" s="59">
        <v>100000</v>
      </c>
      <c r="Q19" s="59">
        <f t="shared" si="1"/>
        <v>100000</v>
      </c>
    </row>
    <row r="20" spans="1:17">
      <c r="A20" s="61" t="s">
        <v>81</v>
      </c>
      <c r="B20" s="62" t="s">
        <v>82</v>
      </c>
      <c r="C20" s="62"/>
      <c r="D20" s="54" t="s">
        <v>147</v>
      </c>
      <c r="H20" s="59">
        <f>[1]附件3办公费分解指标!$J$5</f>
        <v>96</v>
      </c>
      <c r="I20" s="59">
        <f>[1]附件3办公费分解指标!$J$5</f>
        <v>96</v>
      </c>
      <c r="J20" s="59">
        <f>[1]附件3办公费分解指标!$J$5</f>
        <v>96</v>
      </c>
      <c r="K20" s="59">
        <f>[1]附件3办公费分解指标!$J$5</f>
        <v>96</v>
      </c>
      <c r="L20" s="59">
        <f>[1]附件3办公费分解指标!$J$5</f>
        <v>96</v>
      </c>
      <c r="M20" s="59">
        <f>[1]附件3办公费分解指标!$J$5</f>
        <v>96</v>
      </c>
      <c r="N20" s="59">
        <f>[1]附件3办公费分解指标!$J$5</f>
        <v>96</v>
      </c>
      <c r="O20" s="59">
        <f>[1]附件3办公费分解指标!$J$5</f>
        <v>96</v>
      </c>
      <c r="P20" s="59">
        <f>[1]附件3办公费分解指标!$J$5</f>
        <v>96</v>
      </c>
      <c r="Q20" s="59">
        <f t="shared" ref="Q20:Q25" si="6">SUM(E20:P20)</f>
        <v>864</v>
      </c>
    </row>
    <row r="21" spans="1:17">
      <c r="A21" s="61"/>
      <c r="B21" s="62"/>
      <c r="C21" s="62"/>
      <c r="D21" s="54" t="s">
        <v>148</v>
      </c>
      <c r="H21" s="59">
        <v>50</v>
      </c>
      <c r="I21" s="59">
        <v>100</v>
      </c>
      <c r="J21" s="59">
        <v>50</v>
      </c>
      <c r="K21" s="59">
        <v>100</v>
      </c>
      <c r="L21" s="59">
        <v>50</v>
      </c>
      <c r="M21" s="59">
        <v>100</v>
      </c>
      <c r="N21" s="59">
        <v>50</v>
      </c>
      <c r="O21" s="59">
        <v>50</v>
      </c>
      <c r="P21" s="59">
        <v>100</v>
      </c>
      <c r="Q21" s="59">
        <f t="shared" si="6"/>
        <v>650</v>
      </c>
    </row>
    <row r="22" spans="1:17">
      <c r="A22" s="61"/>
      <c r="B22" s="62"/>
      <c r="C22" s="62"/>
      <c r="D22" s="54" t="s">
        <v>151</v>
      </c>
      <c r="H22" s="59">
        <f>[1]附件2各部门分解!$D$15</f>
        <v>500</v>
      </c>
      <c r="I22" s="59">
        <f>[1]附件2各部门分解!$D$15</f>
        <v>500</v>
      </c>
      <c r="J22" s="59">
        <f>[1]附件2各部门分解!$D$15</f>
        <v>500</v>
      </c>
      <c r="K22" s="59">
        <f>[1]附件2各部门分解!$D$15</f>
        <v>500</v>
      </c>
      <c r="L22" s="59">
        <f>[1]附件2各部门分解!$D$15</f>
        <v>500</v>
      </c>
      <c r="M22" s="59">
        <f>[1]附件2各部门分解!$D$15</f>
        <v>500</v>
      </c>
      <c r="N22" s="59">
        <f>[1]附件2各部门分解!$D$15</f>
        <v>500</v>
      </c>
      <c r="O22" s="59">
        <f>[1]附件2各部门分解!$D$15</f>
        <v>500</v>
      </c>
      <c r="P22" s="59">
        <f>[1]附件2各部门分解!$D$15</f>
        <v>500</v>
      </c>
      <c r="Q22" s="59">
        <f t="shared" si="6"/>
        <v>4500</v>
      </c>
    </row>
    <row r="23" spans="1:17">
      <c r="A23" s="61"/>
      <c r="B23" s="62"/>
      <c r="C23" s="62"/>
      <c r="D23" s="54" t="s">
        <v>165</v>
      </c>
      <c r="G23" s="59">
        <v>8659</v>
      </c>
      <c r="J23" s="59">
        <v>2500</v>
      </c>
      <c r="M23" s="59">
        <v>2500</v>
      </c>
      <c r="P23" s="59">
        <v>2500</v>
      </c>
      <c r="Q23" s="59">
        <f t="shared" si="6"/>
        <v>16159</v>
      </c>
    </row>
    <row r="24" spans="1:17">
      <c r="A24" s="61"/>
      <c r="B24" s="62"/>
      <c r="C24" s="62"/>
      <c r="D24" s="54" t="s">
        <v>166</v>
      </c>
      <c r="P24" s="59">
        <v>500</v>
      </c>
      <c r="Q24" s="59">
        <f t="shared" si="6"/>
        <v>500</v>
      </c>
    </row>
    <row r="25" spans="1:17">
      <c r="A25" s="61"/>
      <c r="B25" s="62"/>
      <c r="C25" s="62"/>
      <c r="D25" s="54" t="s">
        <v>167</v>
      </c>
      <c r="P25" s="59">
        <v>800</v>
      </c>
      <c r="Q25" s="59">
        <f t="shared" si="6"/>
        <v>800</v>
      </c>
    </row>
    <row r="26" spans="1:17">
      <c r="A26" s="61" t="s">
        <v>83</v>
      </c>
      <c r="B26" s="62" t="s">
        <v>84</v>
      </c>
      <c r="C26" s="62"/>
      <c r="D26" s="54" t="s">
        <v>147</v>
      </c>
      <c r="H26" s="59">
        <f>[1]附件3办公费分解指标!$K$5</f>
        <v>80</v>
      </c>
      <c r="I26" s="59">
        <f>[1]附件3办公费分解指标!$K$5</f>
        <v>80</v>
      </c>
      <c r="J26" s="59">
        <f>[1]附件3办公费分解指标!$K$5</f>
        <v>80</v>
      </c>
      <c r="K26" s="59">
        <f>[1]附件3办公费分解指标!$K$5</f>
        <v>80</v>
      </c>
      <c r="L26" s="59">
        <f>[1]附件3办公费分解指标!$K$5</f>
        <v>80</v>
      </c>
      <c r="M26" s="59">
        <f>[1]附件3办公费分解指标!$K$5</f>
        <v>80</v>
      </c>
      <c r="N26" s="59">
        <f>[1]附件3办公费分解指标!$K$5</f>
        <v>80</v>
      </c>
      <c r="O26" s="59">
        <f>[1]附件3办公费分解指标!$K$5</f>
        <v>80</v>
      </c>
      <c r="P26" s="59">
        <f>[1]附件3办公费分解指标!$K$5</f>
        <v>80</v>
      </c>
      <c r="Q26" s="59">
        <f t="shared" ref="Q26:Q34" si="7">SUM(E26:P26)</f>
        <v>720</v>
      </c>
    </row>
    <row r="27" spans="1:17">
      <c r="A27" s="61"/>
      <c r="B27" s="62"/>
      <c r="C27" s="62"/>
      <c r="D27" s="54" t="s">
        <v>148</v>
      </c>
      <c r="H27" s="59">
        <v>100</v>
      </c>
      <c r="I27" s="59">
        <v>100</v>
      </c>
      <c r="J27" s="59">
        <v>200</v>
      </c>
      <c r="K27" s="59">
        <v>100</v>
      </c>
      <c r="L27" s="59">
        <v>100</v>
      </c>
      <c r="M27" s="59">
        <v>100</v>
      </c>
      <c r="N27" s="59">
        <v>100</v>
      </c>
      <c r="O27" s="59">
        <v>100</v>
      </c>
      <c r="P27" s="59">
        <v>100</v>
      </c>
      <c r="Q27" s="59">
        <f t="shared" si="7"/>
        <v>1000</v>
      </c>
    </row>
    <row r="28" spans="1:17">
      <c r="A28" s="61"/>
      <c r="B28" s="62"/>
      <c r="C28" s="62"/>
      <c r="D28" s="54" t="s">
        <v>151</v>
      </c>
      <c r="H28" s="59">
        <f>[1]附件2各部门分解!$D$5</f>
        <v>300</v>
      </c>
      <c r="I28" s="59">
        <f>[1]附件2各部门分解!$D$5</f>
        <v>300</v>
      </c>
      <c r="J28" s="59">
        <f>[1]附件2各部门分解!$D$5</f>
        <v>300</v>
      </c>
      <c r="K28" s="59">
        <f>[1]附件2各部门分解!$D$5</f>
        <v>300</v>
      </c>
      <c r="L28" s="59">
        <f>[1]附件2各部门分解!$D$5</f>
        <v>300</v>
      </c>
      <c r="M28" s="59">
        <f>[1]附件2各部门分解!$D$5</f>
        <v>300</v>
      </c>
      <c r="N28" s="59">
        <f>[1]附件2各部门分解!$D$5</f>
        <v>300</v>
      </c>
      <c r="O28" s="59">
        <f>[1]附件2各部门分解!$D$5</f>
        <v>300</v>
      </c>
      <c r="P28" s="59">
        <f>[1]附件2各部门分解!$D$5</f>
        <v>300</v>
      </c>
      <c r="Q28" s="59">
        <f t="shared" si="7"/>
        <v>2700</v>
      </c>
    </row>
    <row r="29" spans="1:17">
      <c r="A29" s="61"/>
      <c r="B29" s="62"/>
      <c r="C29" s="62"/>
      <c r="D29" s="54" t="s">
        <v>165</v>
      </c>
      <c r="J29" s="59">
        <v>2500</v>
      </c>
      <c r="M29" s="59">
        <v>2500</v>
      </c>
      <c r="P29" s="59">
        <v>2500</v>
      </c>
      <c r="Q29" s="59">
        <f t="shared" si="7"/>
        <v>7500</v>
      </c>
    </row>
    <row r="30" spans="1:17">
      <c r="A30" s="61"/>
      <c r="B30" s="62"/>
      <c r="C30" s="62"/>
      <c r="D30" s="54" t="s">
        <v>168</v>
      </c>
      <c r="Q30" s="59">
        <f t="shared" si="7"/>
        <v>0</v>
      </c>
    </row>
    <row r="31" spans="1:17">
      <c r="A31" s="61"/>
      <c r="B31" s="62"/>
      <c r="C31" s="62"/>
      <c r="D31" s="54" t="s">
        <v>169</v>
      </c>
      <c r="P31" s="59">
        <v>1000</v>
      </c>
      <c r="Q31" s="59">
        <f t="shared" si="7"/>
        <v>1000</v>
      </c>
    </row>
    <row r="32" spans="1:17">
      <c r="A32" s="61"/>
      <c r="B32" s="62"/>
      <c r="C32" s="62"/>
      <c r="D32" s="54" t="s">
        <v>170</v>
      </c>
      <c r="E32" s="59">
        <v>928333</v>
      </c>
      <c r="F32" s="59">
        <v>928333</v>
      </c>
      <c r="G32" s="59">
        <v>928333</v>
      </c>
      <c r="H32" s="59">
        <v>928333</v>
      </c>
      <c r="I32" s="59">
        <v>928333</v>
      </c>
      <c r="J32" s="59">
        <v>928333</v>
      </c>
      <c r="K32" s="59">
        <v>928333</v>
      </c>
      <c r="L32" s="59">
        <v>928333</v>
      </c>
      <c r="M32" s="59">
        <v>928333</v>
      </c>
      <c r="N32" s="59">
        <v>928333</v>
      </c>
      <c r="O32" s="59">
        <v>928333</v>
      </c>
      <c r="P32" s="59">
        <v>928337</v>
      </c>
      <c r="Q32" s="59">
        <f t="shared" si="7"/>
        <v>11140000</v>
      </c>
    </row>
    <row r="33" spans="1:17" ht="12" customHeight="1">
      <c r="A33" s="61"/>
      <c r="B33" s="62"/>
      <c r="C33" s="62"/>
      <c r="D33" s="54" t="s">
        <v>171</v>
      </c>
      <c r="E33" s="59">
        <v>1432500</v>
      </c>
      <c r="F33" s="59">
        <v>1432500</v>
      </c>
      <c r="G33" s="59">
        <v>1432500</v>
      </c>
      <c r="H33" s="59">
        <v>1432500</v>
      </c>
      <c r="I33" s="59">
        <v>1432500</v>
      </c>
      <c r="J33" s="59">
        <v>1432500</v>
      </c>
      <c r="K33" s="59">
        <v>1432500</v>
      </c>
      <c r="L33" s="59">
        <v>1432500</v>
      </c>
      <c r="M33" s="59">
        <v>1432500</v>
      </c>
      <c r="N33" s="59">
        <v>1432500</v>
      </c>
      <c r="O33" s="59">
        <v>1432500</v>
      </c>
      <c r="P33" s="59">
        <v>1432500</v>
      </c>
      <c r="Q33" s="59">
        <f t="shared" si="7"/>
        <v>17190000</v>
      </c>
    </row>
    <row r="34" spans="1:17">
      <c r="A34" s="61"/>
      <c r="B34" s="62"/>
      <c r="C34" s="62"/>
      <c r="D34" s="62" t="s">
        <v>115</v>
      </c>
      <c r="E34" s="59">
        <f t="shared" ref="E34:O34" si="8">E33*0.02</f>
        <v>28650</v>
      </c>
      <c r="F34" s="59">
        <f t="shared" si="8"/>
        <v>28650</v>
      </c>
      <c r="G34" s="59">
        <f t="shared" si="8"/>
        <v>28650</v>
      </c>
      <c r="H34" s="59">
        <f t="shared" si="8"/>
        <v>28650</v>
      </c>
      <c r="I34" s="59">
        <f t="shared" si="8"/>
        <v>28650</v>
      </c>
      <c r="J34" s="59">
        <f t="shared" si="8"/>
        <v>28650</v>
      </c>
      <c r="K34" s="59">
        <f t="shared" si="8"/>
        <v>28650</v>
      </c>
      <c r="L34" s="59">
        <f t="shared" si="8"/>
        <v>28650</v>
      </c>
      <c r="M34" s="59">
        <f t="shared" si="8"/>
        <v>28650</v>
      </c>
      <c r="N34" s="59">
        <f t="shared" si="8"/>
        <v>28650</v>
      </c>
      <c r="O34" s="59">
        <f t="shared" si="8"/>
        <v>28650</v>
      </c>
      <c r="P34" s="59">
        <f>P33*0.02</f>
        <v>28650</v>
      </c>
      <c r="Q34" s="59">
        <f t="shared" si="7"/>
        <v>343800</v>
      </c>
    </row>
    <row r="35" spans="1:17">
      <c r="A35" s="61"/>
      <c r="B35" s="62"/>
      <c r="C35" s="62"/>
      <c r="D35" s="62" t="s">
        <v>116</v>
      </c>
      <c r="Q35" s="59">
        <f t="shared" ref="Q35:Q48" si="9">SUM(E35:P35)</f>
        <v>0</v>
      </c>
    </row>
    <row r="36" spans="1:17">
      <c r="A36" s="61"/>
      <c r="B36" s="62"/>
      <c r="C36" s="62"/>
      <c r="D36" s="62" t="s">
        <v>117</v>
      </c>
      <c r="Q36" s="59">
        <f t="shared" si="9"/>
        <v>0</v>
      </c>
    </row>
    <row r="37" spans="1:17">
      <c r="A37" s="61"/>
      <c r="B37" s="62"/>
      <c r="C37" s="62"/>
      <c r="D37" s="62" t="s">
        <v>118</v>
      </c>
      <c r="E37" s="59">
        <f t="shared" ref="E37:O37" si="10">E33*(0.18+0.08)</f>
        <v>372450</v>
      </c>
      <c r="F37" s="59">
        <f t="shared" si="10"/>
        <v>372450</v>
      </c>
      <c r="G37" s="59">
        <f t="shared" si="10"/>
        <v>372450</v>
      </c>
      <c r="H37" s="59">
        <f t="shared" si="10"/>
        <v>372450</v>
      </c>
      <c r="I37" s="59">
        <f t="shared" si="10"/>
        <v>372450</v>
      </c>
      <c r="J37" s="59">
        <f t="shared" si="10"/>
        <v>372450</v>
      </c>
      <c r="K37" s="59">
        <f t="shared" si="10"/>
        <v>372450</v>
      </c>
      <c r="L37" s="59">
        <f t="shared" si="10"/>
        <v>372450</v>
      </c>
      <c r="M37" s="59">
        <f t="shared" si="10"/>
        <v>372450</v>
      </c>
      <c r="N37" s="59">
        <f t="shared" si="10"/>
        <v>372450</v>
      </c>
      <c r="O37" s="59">
        <f t="shared" si="10"/>
        <v>372450</v>
      </c>
      <c r="P37" s="59">
        <f>P33*(0.18+0.08)</f>
        <v>372450</v>
      </c>
      <c r="Q37" s="59">
        <f t="shared" si="9"/>
        <v>4469400</v>
      </c>
    </row>
    <row r="38" spans="1:17">
      <c r="A38" s="61"/>
      <c r="B38" s="62"/>
      <c r="C38" s="62"/>
      <c r="D38" s="62" t="s">
        <v>119</v>
      </c>
      <c r="E38" s="59">
        <f t="shared" ref="E38:O38" si="11">E33*(0.02+0.01)</f>
        <v>42975</v>
      </c>
      <c r="F38" s="59">
        <f t="shared" si="11"/>
        <v>42975</v>
      </c>
      <c r="G38" s="59">
        <f t="shared" si="11"/>
        <v>42975</v>
      </c>
      <c r="H38" s="59">
        <f t="shared" si="11"/>
        <v>42975</v>
      </c>
      <c r="I38" s="59">
        <f t="shared" si="11"/>
        <v>42975</v>
      </c>
      <c r="J38" s="59">
        <f t="shared" si="11"/>
        <v>42975</v>
      </c>
      <c r="K38" s="59">
        <f t="shared" si="11"/>
        <v>42975</v>
      </c>
      <c r="L38" s="59">
        <f t="shared" si="11"/>
        <v>42975</v>
      </c>
      <c r="M38" s="59">
        <f t="shared" si="11"/>
        <v>42975</v>
      </c>
      <c r="N38" s="59">
        <f t="shared" si="11"/>
        <v>42975</v>
      </c>
      <c r="O38" s="59">
        <f t="shared" si="11"/>
        <v>42975</v>
      </c>
      <c r="P38" s="59">
        <f>P33*(0.02+0.01)</f>
        <v>42975</v>
      </c>
      <c r="Q38" s="59">
        <f t="shared" si="9"/>
        <v>515700</v>
      </c>
    </row>
    <row r="39" spans="1:17">
      <c r="A39" s="61"/>
      <c r="B39" s="62"/>
      <c r="C39" s="62"/>
      <c r="D39" s="62" t="s">
        <v>120</v>
      </c>
      <c r="E39" s="59">
        <f t="shared" ref="E39:O39" si="12">E33*(0.08+0.02)</f>
        <v>143250</v>
      </c>
      <c r="F39" s="59">
        <f t="shared" si="12"/>
        <v>143250</v>
      </c>
      <c r="G39" s="59">
        <f t="shared" si="12"/>
        <v>143250</v>
      </c>
      <c r="H39" s="59">
        <f t="shared" si="12"/>
        <v>143250</v>
      </c>
      <c r="I39" s="59">
        <f t="shared" si="12"/>
        <v>143250</v>
      </c>
      <c r="J39" s="59">
        <f t="shared" si="12"/>
        <v>143250</v>
      </c>
      <c r="K39" s="59">
        <f t="shared" si="12"/>
        <v>143250</v>
      </c>
      <c r="L39" s="59">
        <f t="shared" si="12"/>
        <v>143250</v>
      </c>
      <c r="M39" s="59">
        <f t="shared" si="12"/>
        <v>143250</v>
      </c>
      <c r="N39" s="59">
        <f t="shared" si="12"/>
        <v>143250</v>
      </c>
      <c r="O39" s="59">
        <f t="shared" si="12"/>
        <v>143250</v>
      </c>
      <c r="P39" s="59">
        <f>P33*(0.08+0.02)</f>
        <v>143250</v>
      </c>
      <c r="Q39" s="59">
        <f t="shared" si="9"/>
        <v>1719000</v>
      </c>
    </row>
    <row r="40" spans="1:17">
      <c r="A40" s="61"/>
      <c r="B40" s="62"/>
      <c r="C40" s="62"/>
      <c r="D40" s="62" t="s">
        <v>121</v>
      </c>
      <c r="E40" s="59">
        <f t="shared" ref="E40:O40" si="13">E33*0.012</f>
        <v>17190</v>
      </c>
      <c r="F40" s="59">
        <f t="shared" si="13"/>
        <v>17190</v>
      </c>
      <c r="G40" s="59">
        <f t="shared" si="13"/>
        <v>17190</v>
      </c>
      <c r="H40" s="59">
        <f t="shared" si="13"/>
        <v>17190</v>
      </c>
      <c r="I40" s="59">
        <f t="shared" si="13"/>
        <v>17190</v>
      </c>
      <c r="J40" s="59">
        <f t="shared" si="13"/>
        <v>17190</v>
      </c>
      <c r="K40" s="59">
        <f t="shared" si="13"/>
        <v>17190</v>
      </c>
      <c r="L40" s="59">
        <f t="shared" si="13"/>
        <v>17190</v>
      </c>
      <c r="M40" s="59">
        <f t="shared" si="13"/>
        <v>17190</v>
      </c>
      <c r="N40" s="59">
        <f t="shared" si="13"/>
        <v>17190</v>
      </c>
      <c r="O40" s="59">
        <f t="shared" si="13"/>
        <v>17190</v>
      </c>
      <c r="P40" s="59">
        <f>P33*0.012</f>
        <v>17190</v>
      </c>
      <c r="Q40" s="59">
        <f t="shared" si="9"/>
        <v>206280</v>
      </c>
    </row>
    <row r="41" spans="1:17">
      <c r="A41" s="61"/>
      <c r="B41" s="62"/>
      <c r="C41" s="62"/>
      <c r="D41" s="62" t="s">
        <v>122</v>
      </c>
      <c r="E41" s="59">
        <f t="shared" ref="E41:O41" si="14">E33*0.007</f>
        <v>10027.5</v>
      </c>
      <c r="F41" s="59">
        <f t="shared" si="14"/>
        <v>10027.5</v>
      </c>
      <c r="G41" s="59">
        <f t="shared" si="14"/>
        <v>10027.5</v>
      </c>
      <c r="H41" s="59">
        <f t="shared" si="14"/>
        <v>10027.5</v>
      </c>
      <c r="I41" s="59">
        <f t="shared" si="14"/>
        <v>10027.5</v>
      </c>
      <c r="J41" s="59">
        <f t="shared" si="14"/>
        <v>10027.5</v>
      </c>
      <c r="K41" s="59">
        <f t="shared" si="14"/>
        <v>10027.5</v>
      </c>
      <c r="L41" s="59">
        <f t="shared" si="14"/>
        <v>10027.5</v>
      </c>
      <c r="M41" s="59">
        <f t="shared" si="14"/>
        <v>10027.5</v>
      </c>
      <c r="N41" s="59">
        <f t="shared" si="14"/>
        <v>10027.5</v>
      </c>
      <c r="O41" s="59">
        <f t="shared" si="14"/>
        <v>10027.5</v>
      </c>
      <c r="P41" s="59">
        <f>P33*0.007</f>
        <v>10027.5</v>
      </c>
      <c r="Q41" s="59">
        <f t="shared" si="9"/>
        <v>120330</v>
      </c>
    </row>
    <row r="42" spans="1:17">
      <c r="A42" s="61"/>
      <c r="B42" s="62"/>
      <c r="C42" s="62"/>
      <c r="D42" s="62" t="s">
        <v>123</v>
      </c>
      <c r="E42" s="59">
        <f t="shared" ref="E42:O42" si="15">E33*(0.12+0.12)</f>
        <v>343800</v>
      </c>
      <c r="F42" s="59">
        <f t="shared" si="15"/>
        <v>343800</v>
      </c>
      <c r="G42" s="59">
        <f t="shared" si="15"/>
        <v>343800</v>
      </c>
      <c r="H42" s="59">
        <f t="shared" si="15"/>
        <v>343800</v>
      </c>
      <c r="I42" s="59">
        <f t="shared" si="15"/>
        <v>343800</v>
      </c>
      <c r="J42" s="59">
        <f t="shared" si="15"/>
        <v>343800</v>
      </c>
      <c r="K42" s="59">
        <f t="shared" si="15"/>
        <v>343800</v>
      </c>
      <c r="L42" s="59">
        <f t="shared" si="15"/>
        <v>343800</v>
      </c>
      <c r="M42" s="59">
        <f t="shared" si="15"/>
        <v>343800</v>
      </c>
      <c r="N42" s="59">
        <f t="shared" si="15"/>
        <v>343800</v>
      </c>
      <c r="O42" s="59">
        <f t="shared" si="15"/>
        <v>343800</v>
      </c>
      <c r="P42" s="59">
        <f>P33*(0.12+0.12)</f>
        <v>343800</v>
      </c>
      <c r="Q42" s="59">
        <f t="shared" si="9"/>
        <v>4125600</v>
      </c>
    </row>
    <row r="43" spans="1:17">
      <c r="A43" s="61"/>
      <c r="B43" s="62"/>
      <c r="C43" s="62"/>
      <c r="D43" s="62" t="s">
        <v>124</v>
      </c>
      <c r="Q43" s="59">
        <f t="shared" si="9"/>
        <v>0</v>
      </c>
    </row>
    <row r="44" spans="1:17">
      <c r="A44" s="61"/>
      <c r="B44" s="62"/>
      <c r="C44" s="62"/>
      <c r="D44" s="62" t="s">
        <v>125</v>
      </c>
      <c r="Q44" s="59">
        <f t="shared" si="9"/>
        <v>0</v>
      </c>
    </row>
    <row r="45" spans="1:17">
      <c r="A45" s="61"/>
      <c r="B45" s="62"/>
      <c r="C45" s="62"/>
      <c r="D45" s="62" t="s">
        <v>126</v>
      </c>
      <c r="Q45" s="59">
        <f t="shared" si="9"/>
        <v>0</v>
      </c>
    </row>
    <row r="46" spans="1:17">
      <c r="A46" s="61"/>
      <c r="B46" s="62"/>
      <c r="C46" s="62"/>
      <c r="D46" s="62" t="s">
        <v>127</v>
      </c>
      <c r="Q46" s="59">
        <f t="shared" si="9"/>
        <v>0</v>
      </c>
    </row>
    <row r="47" spans="1:17">
      <c r="A47" s="61"/>
      <c r="B47" s="62"/>
      <c r="C47" s="62"/>
      <c r="D47" s="62" t="s">
        <v>128</v>
      </c>
      <c r="Q47" s="59">
        <f t="shared" si="9"/>
        <v>0</v>
      </c>
    </row>
    <row r="48" spans="1:17">
      <c r="A48" s="61"/>
      <c r="B48" s="62"/>
      <c r="C48" s="62"/>
      <c r="D48" s="62" t="s">
        <v>129</v>
      </c>
      <c r="Q48" s="59">
        <f t="shared" si="9"/>
        <v>0</v>
      </c>
    </row>
    <row r="49" spans="1:17">
      <c r="A49" s="61" t="s">
        <v>85</v>
      </c>
      <c r="B49" s="62" t="s">
        <v>0</v>
      </c>
      <c r="C49" s="62"/>
      <c r="D49" s="54" t="s">
        <v>147</v>
      </c>
      <c r="H49" s="59">
        <f>[1]附件3办公费分解指标!$D$5</f>
        <v>704</v>
      </c>
      <c r="I49" s="59">
        <f>[1]附件3办公费分解指标!$D$5</f>
        <v>704</v>
      </c>
      <c r="J49" s="59">
        <f>[1]附件3办公费分解指标!$D$5</f>
        <v>704</v>
      </c>
      <c r="K49" s="59">
        <f>[1]附件3办公费分解指标!$D$5</f>
        <v>704</v>
      </c>
      <c r="L49" s="59">
        <f>[1]附件3办公费分解指标!$D$5</f>
        <v>704</v>
      </c>
      <c r="M49" s="59">
        <f>[1]附件3办公费分解指标!$D$5</f>
        <v>704</v>
      </c>
      <c r="N49" s="59">
        <f>[1]附件3办公费分解指标!$D$5</f>
        <v>704</v>
      </c>
      <c r="O49" s="59">
        <f>[1]附件3办公费分解指标!$D$5</f>
        <v>704</v>
      </c>
      <c r="P49" s="59">
        <f>[1]附件3办公费分解指标!$D$5</f>
        <v>704</v>
      </c>
      <c r="Q49" s="59">
        <f>SUM(E49:P49)</f>
        <v>6336</v>
      </c>
    </row>
    <row r="50" spans="1:17">
      <c r="A50" s="61"/>
      <c r="B50" s="62"/>
      <c r="C50" s="62"/>
      <c r="D50" s="54" t="s">
        <v>148</v>
      </c>
      <c r="H50" s="59">
        <v>200</v>
      </c>
      <c r="I50" s="59">
        <v>200</v>
      </c>
      <c r="J50" s="59">
        <v>200</v>
      </c>
      <c r="K50" s="59">
        <v>200</v>
      </c>
      <c r="L50" s="59">
        <v>200</v>
      </c>
      <c r="M50" s="59">
        <v>200</v>
      </c>
      <c r="N50" s="59">
        <v>200</v>
      </c>
      <c r="O50" s="59">
        <v>200</v>
      </c>
      <c r="P50" s="59">
        <v>200</v>
      </c>
      <c r="Q50" s="59">
        <f>SUM(E50:P50)</f>
        <v>1800</v>
      </c>
    </row>
    <row r="51" spans="1:17">
      <c r="A51" s="61"/>
      <c r="B51" s="62"/>
      <c r="C51" s="62"/>
      <c r="D51" s="54" t="s">
        <v>151</v>
      </c>
      <c r="H51" s="59">
        <f>[1]附件2各部门分解!$D$7</f>
        <v>1800</v>
      </c>
      <c r="I51" s="59">
        <f>[1]附件2各部门分解!$D$7</f>
        <v>1800</v>
      </c>
      <c r="J51" s="59">
        <f>[1]附件2各部门分解!$D$7</f>
        <v>1800</v>
      </c>
      <c r="K51" s="59">
        <f>[1]附件2各部门分解!$D$7</f>
        <v>1800</v>
      </c>
      <c r="L51" s="59">
        <f>[1]附件2各部门分解!$D$7</f>
        <v>1800</v>
      </c>
      <c r="M51" s="59">
        <f>[1]附件2各部门分解!$D$7</f>
        <v>1800</v>
      </c>
      <c r="N51" s="59">
        <f>[1]附件2各部门分解!$D$7</f>
        <v>1800</v>
      </c>
      <c r="O51" s="59">
        <f>[1]附件2各部门分解!$D$7</f>
        <v>1800</v>
      </c>
      <c r="P51" s="59">
        <f>[1]附件2各部门分解!$D$7</f>
        <v>1800</v>
      </c>
      <c r="Q51" s="59">
        <f t="shared" ref="Q51:Q62" si="16">SUM(E51:P51)</f>
        <v>16200</v>
      </c>
    </row>
    <row r="52" spans="1:17">
      <c r="A52" s="61"/>
      <c r="B52" s="62"/>
      <c r="C52" s="62"/>
      <c r="D52" s="54" t="s">
        <v>130</v>
      </c>
      <c r="E52" s="59">
        <v>6300</v>
      </c>
      <c r="Q52" s="59">
        <f t="shared" si="16"/>
        <v>6300</v>
      </c>
    </row>
    <row r="53" spans="1:17">
      <c r="A53" s="61"/>
      <c r="B53" s="62"/>
      <c r="C53" s="62"/>
      <c r="D53" s="63" t="s">
        <v>103</v>
      </c>
      <c r="G53" s="64"/>
      <c r="H53" s="65"/>
      <c r="I53" s="65"/>
      <c r="J53" s="64">
        <v>100000</v>
      </c>
      <c r="K53" s="65"/>
      <c r="L53" s="65"/>
      <c r="M53" s="64">
        <v>100000</v>
      </c>
      <c r="N53" s="65"/>
      <c r="O53" s="65"/>
      <c r="P53" s="64">
        <v>120000</v>
      </c>
      <c r="Q53" s="59">
        <f t="shared" si="16"/>
        <v>320000</v>
      </c>
    </row>
    <row r="54" spans="1:17">
      <c r="A54" s="61"/>
      <c r="B54" s="62"/>
      <c r="C54" s="62"/>
      <c r="D54" s="63" t="s">
        <v>104</v>
      </c>
      <c r="E54" s="59">
        <v>242026</v>
      </c>
      <c r="G54" s="64">
        <v>1600</v>
      </c>
      <c r="H54" s="65"/>
      <c r="I54" s="65"/>
      <c r="J54" s="64">
        <v>2000000</v>
      </c>
      <c r="K54" s="65"/>
      <c r="L54" s="65"/>
      <c r="M54" s="64">
        <f>1050000-430000</f>
        <v>620000</v>
      </c>
      <c r="N54" s="65"/>
      <c r="O54" s="65"/>
      <c r="P54" s="64">
        <v>2000000</v>
      </c>
      <c r="Q54" s="59">
        <f t="shared" si="16"/>
        <v>4863626</v>
      </c>
    </row>
    <row r="55" spans="1:17">
      <c r="A55" s="61"/>
      <c r="B55" s="62"/>
      <c r="C55" s="62"/>
      <c r="D55" s="63" t="s">
        <v>105</v>
      </c>
      <c r="G55" s="64"/>
      <c r="H55" s="65"/>
      <c r="I55" s="65"/>
      <c r="J55" s="64">
        <v>150000</v>
      </c>
      <c r="K55" s="65"/>
      <c r="L55" s="65"/>
      <c r="M55" s="64">
        <v>150000</v>
      </c>
      <c r="N55" s="65"/>
      <c r="O55" s="65"/>
      <c r="P55" s="64">
        <v>180000</v>
      </c>
      <c r="Q55" s="59">
        <f t="shared" si="16"/>
        <v>480000</v>
      </c>
    </row>
    <row r="56" spans="1:17">
      <c r="A56" s="61"/>
      <c r="B56" s="62"/>
      <c r="C56" s="62"/>
      <c r="D56" s="63" t="s">
        <v>106</v>
      </c>
      <c r="G56" s="64">
        <v>0</v>
      </c>
      <c r="H56" s="65"/>
      <c r="I56" s="65"/>
      <c r="J56" s="64">
        <v>0</v>
      </c>
      <c r="K56" s="65"/>
      <c r="L56" s="65"/>
      <c r="M56" s="64">
        <v>0</v>
      </c>
      <c r="N56" s="65"/>
      <c r="O56" s="65"/>
      <c r="P56" s="64">
        <v>30000</v>
      </c>
      <c r="Q56" s="59">
        <f t="shared" si="16"/>
        <v>30000</v>
      </c>
    </row>
    <row r="57" spans="1:17">
      <c r="A57" s="61"/>
      <c r="B57" s="62"/>
      <c r="C57" s="62"/>
      <c r="D57" s="63" t="s">
        <v>107</v>
      </c>
      <c r="E57" s="59">
        <v>3923.5</v>
      </c>
      <c r="G57" s="64">
        <v>0</v>
      </c>
      <c r="H57" s="65"/>
      <c r="I57" s="65"/>
      <c r="J57" s="64">
        <v>10000</v>
      </c>
      <c r="K57" s="65"/>
      <c r="L57" s="65"/>
      <c r="M57" s="64">
        <v>10000</v>
      </c>
      <c r="N57" s="65"/>
      <c r="O57" s="65"/>
      <c r="P57" s="64">
        <v>10000</v>
      </c>
      <c r="Q57" s="59">
        <f t="shared" si="16"/>
        <v>33923.5</v>
      </c>
    </row>
    <row r="58" spans="1:17">
      <c r="A58" s="61"/>
      <c r="B58" s="62"/>
      <c r="C58" s="62"/>
      <c r="D58" s="63" t="s">
        <v>108</v>
      </c>
      <c r="G58" s="64">
        <v>0</v>
      </c>
      <c r="H58" s="65"/>
      <c r="I58" s="65"/>
      <c r="J58" s="64">
        <v>0</v>
      </c>
      <c r="K58" s="65"/>
      <c r="L58" s="65"/>
      <c r="M58" s="64">
        <v>0</v>
      </c>
      <c r="N58" s="65"/>
      <c r="O58" s="65"/>
      <c r="P58" s="64">
        <v>20000</v>
      </c>
      <c r="Q58" s="59">
        <f t="shared" si="16"/>
        <v>20000</v>
      </c>
    </row>
    <row r="59" spans="1:17">
      <c r="A59" s="61"/>
      <c r="B59" s="62"/>
      <c r="C59" s="62"/>
      <c r="D59" s="63" t="s">
        <v>109</v>
      </c>
      <c r="G59" s="64"/>
      <c r="H59" s="65"/>
      <c r="I59" s="65"/>
      <c r="J59" s="64">
        <v>600000</v>
      </c>
      <c r="K59" s="65"/>
      <c r="L59" s="65"/>
      <c r="M59" s="64">
        <v>200000</v>
      </c>
      <c r="N59" s="65"/>
      <c r="O59" s="65"/>
      <c r="P59" s="64">
        <v>0</v>
      </c>
      <c r="Q59" s="59">
        <f t="shared" si="16"/>
        <v>800000</v>
      </c>
    </row>
    <row r="60" spans="1:17">
      <c r="A60" s="61"/>
      <c r="B60" s="62"/>
      <c r="C60" s="62"/>
      <c r="D60" s="63" t="s">
        <v>110</v>
      </c>
      <c r="G60" s="64"/>
      <c r="H60" s="65"/>
      <c r="I60" s="65"/>
      <c r="J60" s="64">
        <v>20000</v>
      </c>
      <c r="K60" s="65"/>
      <c r="L60" s="65"/>
      <c r="M60" s="64">
        <v>10000</v>
      </c>
      <c r="N60" s="65"/>
      <c r="O60" s="65"/>
      <c r="P60" s="64">
        <v>30000</v>
      </c>
      <c r="Q60" s="59">
        <f t="shared" si="16"/>
        <v>60000</v>
      </c>
    </row>
    <row r="61" spans="1:17">
      <c r="A61" s="61"/>
      <c r="B61" s="62"/>
      <c r="C61" s="62"/>
      <c r="D61" s="54" t="s">
        <v>165</v>
      </c>
      <c r="E61" s="59">
        <f>58397.46+3160</f>
        <v>61557.46</v>
      </c>
      <c r="F61" s="59">
        <v>7500</v>
      </c>
      <c r="G61" s="64">
        <v>8874.2000000000007</v>
      </c>
      <c r="H61" s="65"/>
      <c r="I61" s="65"/>
      <c r="J61" s="64">
        <v>100000</v>
      </c>
      <c r="K61" s="65"/>
      <c r="L61" s="65"/>
      <c r="M61" s="64">
        <v>110000</v>
      </c>
      <c r="N61" s="65"/>
      <c r="O61" s="65"/>
      <c r="P61" s="64">
        <v>100000</v>
      </c>
      <c r="Q61" s="59">
        <f>SUM(E61:P61)</f>
        <v>387931.66</v>
      </c>
    </row>
    <row r="62" spans="1:17">
      <c r="A62" s="61"/>
      <c r="B62" s="62"/>
      <c r="C62" s="62"/>
      <c r="D62" s="54" t="s">
        <v>172</v>
      </c>
      <c r="E62" s="59">
        <v>1414.6</v>
      </c>
      <c r="F62" s="59">
        <v>3785.99</v>
      </c>
      <c r="G62" s="59">
        <v>8366.1</v>
      </c>
      <c r="Q62" s="59">
        <f t="shared" si="16"/>
        <v>13566.69</v>
      </c>
    </row>
    <row r="63" spans="1:17">
      <c r="A63" s="61" t="s">
        <v>86</v>
      </c>
      <c r="B63" s="62" t="s">
        <v>87</v>
      </c>
      <c r="C63" s="62"/>
      <c r="D63" s="54" t="s">
        <v>147</v>
      </c>
      <c r="H63" s="59">
        <f>[1]附件3办公费分解指标!$H$5</f>
        <v>272</v>
      </c>
      <c r="I63" s="59">
        <f>[1]附件3办公费分解指标!$H$5</f>
        <v>272</v>
      </c>
      <c r="J63" s="59">
        <f>[1]附件3办公费分解指标!$H$5</f>
        <v>272</v>
      </c>
      <c r="K63" s="59">
        <f>[1]附件3办公费分解指标!$H$5</f>
        <v>272</v>
      </c>
      <c r="L63" s="59">
        <f>[1]附件3办公费分解指标!$H$5</f>
        <v>272</v>
      </c>
      <c r="M63" s="59">
        <f>[1]附件3办公费分解指标!$H$5</f>
        <v>272</v>
      </c>
      <c r="N63" s="59">
        <f>[1]附件3办公费分解指标!$H$5</f>
        <v>272</v>
      </c>
      <c r="O63" s="59">
        <f>[1]附件3办公费分解指标!$H$5</f>
        <v>272</v>
      </c>
      <c r="P63" s="59">
        <f>[1]附件3办公费分解指标!$H$5</f>
        <v>272</v>
      </c>
      <c r="Q63" s="59">
        <f t="shared" ref="Q63:Q70" si="17">SUM(E63:P63)</f>
        <v>2448</v>
      </c>
    </row>
    <row r="64" spans="1:17">
      <c r="A64" s="61"/>
      <c r="B64" s="62"/>
      <c r="C64" s="62"/>
      <c r="D64" s="54" t="s">
        <v>148</v>
      </c>
      <c r="H64" s="59">
        <v>200</v>
      </c>
      <c r="I64" s="59">
        <v>150</v>
      </c>
      <c r="J64" s="59">
        <v>200</v>
      </c>
      <c r="K64" s="59">
        <v>220</v>
      </c>
      <c r="L64" s="59">
        <v>200</v>
      </c>
      <c r="M64" s="59">
        <v>100</v>
      </c>
      <c r="N64" s="59">
        <v>200</v>
      </c>
      <c r="O64" s="59">
        <v>230</v>
      </c>
      <c r="P64" s="59">
        <v>200</v>
      </c>
      <c r="Q64" s="59">
        <f t="shared" si="17"/>
        <v>1700</v>
      </c>
    </row>
    <row r="65" spans="1:17">
      <c r="A65" s="61"/>
      <c r="B65" s="62"/>
      <c r="C65" s="62"/>
      <c r="D65" s="54" t="s">
        <v>151</v>
      </c>
      <c r="H65" s="59">
        <f>[1]附件2各部门分解!$D$6</f>
        <v>1500</v>
      </c>
      <c r="I65" s="59">
        <f>[1]附件2各部门分解!$D$6</f>
        <v>1500</v>
      </c>
      <c r="J65" s="59">
        <f>[1]附件2各部门分解!$D$6</f>
        <v>1500</v>
      </c>
      <c r="K65" s="59">
        <f>[1]附件2各部门分解!$D$6</f>
        <v>1500</v>
      </c>
      <c r="L65" s="59">
        <f>[1]附件2各部门分解!$D$6</f>
        <v>1500</v>
      </c>
      <c r="M65" s="59">
        <f>[1]附件2各部门分解!$D$6</f>
        <v>1500</v>
      </c>
      <c r="N65" s="59">
        <f>[1]附件2各部门分解!$D$6</f>
        <v>1500</v>
      </c>
      <c r="O65" s="59">
        <f>[1]附件2各部门分解!$D$6</f>
        <v>1500</v>
      </c>
      <c r="P65" s="59">
        <f>[1]附件2各部门分解!$D$6</f>
        <v>1500</v>
      </c>
      <c r="Q65" s="59">
        <f t="shared" si="17"/>
        <v>13500</v>
      </c>
    </row>
    <row r="66" spans="1:17">
      <c r="A66" s="61"/>
      <c r="B66" s="62"/>
      <c r="C66" s="62"/>
      <c r="D66" s="54" t="s">
        <v>165</v>
      </c>
      <c r="G66" s="59">
        <v>4040</v>
      </c>
      <c r="H66" s="59">
        <v>3000</v>
      </c>
      <c r="I66" s="59">
        <v>3000</v>
      </c>
      <c r="J66" s="59">
        <v>2000</v>
      </c>
      <c r="M66" s="59">
        <v>2000</v>
      </c>
      <c r="O66" s="59">
        <v>3000</v>
      </c>
      <c r="P66" s="59">
        <v>2000</v>
      </c>
      <c r="Q66" s="59">
        <f t="shared" si="17"/>
        <v>19040</v>
      </c>
    </row>
    <row r="67" spans="1:17">
      <c r="A67" s="61"/>
      <c r="B67" s="62"/>
      <c r="C67" s="62"/>
      <c r="D67" s="54" t="s">
        <v>173</v>
      </c>
      <c r="I67" s="59">
        <v>30000</v>
      </c>
      <c r="P67" s="59">
        <v>60000</v>
      </c>
      <c r="Q67" s="59">
        <f t="shared" si="17"/>
        <v>90000</v>
      </c>
    </row>
    <row r="68" spans="1:17">
      <c r="A68" s="61"/>
      <c r="B68" s="62"/>
      <c r="C68" s="62"/>
      <c r="D68" s="54" t="s">
        <v>167</v>
      </c>
      <c r="J68" s="59">
        <v>162000</v>
      </c>
      <c r="O68" s="59">
        <v>2800</v>
      </c>
      <c r="Q68" s="59">
        <f t="shared" si="17"/>
        <v>164800</v>
      </c>
    </row>
    <row r="69" spans="1:17">
      <c r="A69" s="61" t="s">
        <v>88</v>
      </c>
      <c r="B69" s="62" t="s">
        <v>89</v>
      </c>
      <c r="C69" s="62"/>
      <c r="D69" s="54" t="s">
        <v>147</v>
      </c>
      <c r="H69" s="59">
        <f>[1]附件3办公费分解指标!$F$5</f>
        <v>352</v>
      </c>
      <c r="I69" s="59">
        <f>[1]附件3办公费分解指标!$F$5</f>
        <v>352</v>
      </c>
      <c r="J69" s="59">
        <f>[1]附件3办公费分解指标!$F$5</f>
        <v>352</v>
      </c>
      <c r="K69" s="59">
        <f>[1]附件3办公费分解指标!$F$5</f>
        <v>352</v>
      </c>
      <c r="L69" s="59">
        <f>[1]附件3办公费分解指标!$F$5</f>
        <v>352</v>
      </c>
      <c r="M69" s="59">
        <f>[1]附件3办公费分解指标!$F$5</f>
        <v>352</v>
      </c>
      <c r="N69" s="59">
        <f>[1]附件3办公费分解指标!$F$5</f>
        <v>352</v>
      </c>
      <c r="O69" s="59">
        <f>[1]附件3办公费分解指标!$F$5</f>
        <v>352</v>
      </c>
      <c r="P69" s="59">
        <f>[1]附件3办公费分解指标!$F$5</f>
        <v>352</v>
      </c>
      <c r="Q69" s="59">
        <f t="shared" si="17"/>
        <v>3168</v>
      </c>
    </row>
    <row r="70" spans="1:17">
      <c r="A70" s="61"/>
      <c r="B70" s="62"/>
      <c r="C70" s="62"/>
      <c r="D70" s="54" t="s">
        <v>148</v>
      </c>
      <c r="H70" s="59">
        <f>50</f>
        <v>50</v>
      </c>
      <c r="I70" s="59">
        <v>20</v>
      </c>
      <c r="J70" s="59">
        <v>20</v>
      </c>
      <c r="P70" s="59">
        <v>50</v>
      </c>
      <c r="Q70" s="59">
        <f t="shared" si="17"/>
        <v>140</v>
      </c>
    </row>
    <row r="71" spans="1:17">
      <c r="A71" s="61"/>
      <c r="B71" s="62"/>
      <c r="C71" s="62"/>
      <c r="D71" s="54" t="s">
        <v>151</v>
      </c>
      <c r="H71" s="59">
        <f>[1]附件2各部门分解!$D$9</f>
        <v>1000</v>
      </c>
      <c r="I71" s="59">
        <f>[1]附件2各部门分解!$D$9</f>
        <v>1000</v>
      </c>
      <c r="J71" s="59">
        <f>[1]附件2各部门分解!$D$9</f>
        <v>1000</v>
      </c>
      <c r="K71" s="59">
        <f>[1]附件2各部门分解!$D$9</f>
        <v>1000</v>
      </c>
      <c r="L71" s="59">
        <f>[1]附件2各部门分解!$D$9</f>
        <v>1000</v>
      </c>
      <c r="M71" s="59">
        <f>[1]附件2各部门分解!$D$9</f>
        <v>1000</v>
      </c>
      <c r="N71" s="59">
        <f>[1]附件2各部门分解!$D$9</f>
        <v>1000</v>
      </c>
      <c r="O71" s="59">
        <f>[1]附件2各部门分解!$D$9</f>
        <v>1000</v>
      </c>
      <c r="P71" s="59">
        <f>[1]附件2各部门分解!$D$9</f>
        <v>1000</v>
      </c>
      <c r="Q71" s="59">
        <f t="shared" ref="Q71:Q76" si="18">SUM(E71:P71)</f>
        <v>9000</v>
      </c>
    </row>
    <row r="72" spans="1:17">
      <c r="A72" s="61"/>
      <c r="B72" s="62"/>
      <c r="C72" s="62"/>
      <c r="D72" s="54" t="s">
        <v>165</v>
      </c>
      <c r="I72" s="59">
        <v>2000</v>
      </c>
      <c r="J72" s="59">
        <v>2000</v>
      </c>
      <c r="O72" s="59">
        <v>2000</v>
      </c>
      <c r="P72" s="59">
        <v>2000</v>
      </c>
      <c r="Q72" s="59">
        <f t="shared" si="18"/>
        <v>8000</v>
      </c>
    </row>
    <row r="73" spans="1:17">
      <c r="A73" s="61"/>
      <c r="B73" s="62"/>
      <c r="C73" s="62"/>
      <c r="D73" s="54" t="s">
        <v>174</v>
      </c>
      <c r="P73" s="59">
        <v>3600000</v>
      </c>
      <c r="Q73" s="59">
        <f t="shared" si="18"/>
        <v>3600000</v>
      </c>
    </row>
    <row r="74" spans="1:17">
      <c r="A74" s="61"/>
      <c r="B74" s="62"/>
      <c r="C74" s="62"/>
      <c r="D74" s="54" t="s">
        <v>175</v>
      </c>
      <c r="P74" s="59">
        <v>600000</v>
      </c>
      <c r="Q74" s="59">
        <f t="shared" si="18"/>
        <v>600000</v>
      </c>
    </row>
    <row r="75" spans="1:17">
      <c r="A75" s="61"/>
      <c r="B75" s="62"/>
      <c r="C75" s="62"/>
      <c r="D75" s="54" t="s">
        <v>176</v>
      </c>
      <c r="P75" s="59">
        <v>2300000</v>
      </c>
      <c r="Q75" s="59">
        <f t="shared" si="18"/>
        <v>2300000</v>
      </c>
    </row>
    <row r="76" spans="1:17">
      <c r="A76" s="61"/>
      <c r="B76" s="62"/>
      <c r="C76" s="62"/>
      <c r="D76" s="54" t="s">
        <v>167</v>
      </c>
      <c r="J76" s="59">
        <v>100000</v>
      </c>
      <c r="O76" s="59">
        <v>100000</v>
      </c>
      <c r="Q76" s="59">
        <f t="shared" si="18"/>
        <v>200000</v>
      </c>
    </row>
    <row r="77" spans="1:17">
      <c r="A77" s="61" t="s">
        <v>90</v>
      </c>
      <c r="B77" s="62" t="s">
        <v>1</v>
      </c>
      <c r="C77" s="62"/>
      <c r="D77" s="54" t="s">
        <v>147</v>
      </c>
      <c r="H77" s="59">
        <f>[1]附件3办公费分解指标!$L$5</f>
        <v>160</v>
      </c>
      <c r="I77" s="59">
        <f>[1]附件3办公费分解指标!$L$5</f>
        <v>160</v>
      </c>
      <c r="J77" s="59">
        <f>[1]附件3办公费分解指标!$L$5</f>
        <v>160</v>
      </c>
      <c r="K77" s="59">
        <f>[1]附件3办公费分解指标!$L$5</f>
        <v>160</v>
      </c>
      <c r="L77" s="59">
        <f>[1]附件3办公费分解指标!$L$5</f>
        <v>160</v>
      </c>
      <c r="M77" s="59">
        <f>[1]附件3办公费分解指标!$L$5</f>
        <v>160</v>
      </c>
      <c r="N77" s="59">
        <f>[1]附件3办公费分解指标!$L$5</f>
        <v>160</v>
      </c>
      <c r="O77" s="59">
        <f>[1]附件3办公费分解指标!$L$5</f>
        <v>160</v>
      </c>
      <c r="P77" s="59">
        <f>[1]附件3办公费分解指标!$L$5</f>
        <v>160</v>
      </c>
      <c r="Q77" s="59">
        <f>SUM(E77:P77)</f>
        <v>1440</v>
      </c>
    </row>
    <row r="78" spans="1:17">
      <c r="A78" s="61"/>
      <c r="B78" s="62"/>
      <c r="C78" s="62"/>
      <c r="D78" s="54" t="s">
        <v>148</v>
      </c>
      <c r="H78" s="59">
        <v>280</v>
      </c>
      <c r="I78" s="59">
        <v>200</v>
      </c>
      <c r="J78" s="59">
        <v>250</v>
      </c>
      <c r="K78" s="59">
        <v>250</v>
      </c>
      <c r="L78" s="59">
        <v>250</v>
      </c>
      <c r="M78" s="59">
        <v>300</v>
      </c>
      <c r="N78" s="59">
        <v>320</v>
      </c>
      <c r="O78" s="59">
        <v>350</v>
      </c>
      <c r="P78" s="59">
        <v>400</v>
      </c>
      <c r="Q78" s="59">
        <f>SUM(E78:P78)</f>
        <v>2600</v>
      </c>
    </row>
    <row r="79" spans="1:17">
      <c r="A79" s="61"/>
      <c r="B79" s="62"/>
      <c r="C79" s="62"/>
      <c r="D79" s="54" t="s">
        <v>151</v>
      </c>
      <c r="H79" s="59">
        <f>[1]附件2各部门分解!$D$16</f>
        <v>1000</v>
      </c>
      <c r="I79" s="59">
        <f>[1]附件2各部门分解!$D$16</f>
        <v>1000</v>
      </c>
      <c r="J79" s="59">
        <f>[1]附件2各部门分解!$D$16</f>
        <v>1000</v>
      </c>
      <c r="K79" s="59">
        <f>[1]附件2各部门分解!$D$16</f>
        <v>1000</v>
      </c>
      <c r="L79" s="59">
        <f>[1]附件2各部门分解!$D$16</f>
        <v>1000</v>
      </c>
      <c r="M79" s="59">
        <f>[1]附件2各部门分解!$D$16</f>
        <v>1000</v>
      </c>
      <c r="N79" s="59">
        <f>[1]附件2各部门分解!$D$16</f>
        <v>1000</v>
      </c>
      <c r="O79" s="59">
        <f>[1]附件2各部门分解!$D$16</f>
        <v>1000</v>
      </c>
      <c r="P79" s="59">
        <f>[1]附件2各部门分解!$D$16</f>
        <v>1000</v>
      </c>
      <c r="Q79" s="59">
        <f t="shared" ref="Q79:Q89" si="19">SUM(E79:P79)</f>
        <v>9000</v>
      </c>
    </row>
    <row r="80" spans="1:17">
      <c r="A80" s="61"/>
      <c r="B80" s="62"/>
      <c r="C80" s="62"/>
      <c r="D80" s="54" t="s">
        <v>165</v>
      </c>
      <c r="G80" s="59">
        <v>7480.5</v>
      </c>
      <c r="H80" s="59">
        <v>2000</v>
      </c>
      <c r="I80" s="59">
        <v>2000</v>
      </c>
      <c r="K80" s="59">
        <v>2000</v>
      </c>
      <c r="M80" s="59">
        <v>2000</v>
      </c>
      <c r="O80" s="59">
        <v>3000</v>
      </c>
      <c r="P80" s="59">
        <v>6000</v>
      </c>
      <c r="Q80" s="59">
        <f t="shared" si="19"/>
        <v>24480.5</v>
      </c>
    </row>
    <row r="81" spans="1:18">
      <c r="A81" s="61"/>
      <c r="B81" s="62"/>
      <c r="C81" s="62"/>
      <c r="D81" s="54" t="s">
        <v>177</v>
      </c>
      <c r="I81" s="59">
        <v>8000</v>
      </c>
      <c r="J81" s="59">
        <v>7500</v>
      </c>
      <c r="K81" s="59">
        <v>15000</v>
      </c>
      <c r="P81" s="59">
        <v>100000</v>
      </c>
      <c r="Q81" s="59">
        <f t="shared" si="19"/>
        <v>130500</v>
      </c>
    </row>
    <row r="82" spans="1:18">
      <c r="A82" s="61"/>
      <c r="B82" s="62"/>
      <c r="C82" s="62"/>
      <c r="D82" s="57" t="s">
        <v>167</v>
      </c>
      <c r="J82" s="59">
        <v>10000</v>
      </c>
      <c r="Q82" s="59">
        <f t="shared" si="19"/>
        <v>10000</v>
      </c>
    </row>
    <row r="83" spans="1:18">
      <c r="A83" s="61"/>
      <c r="B83" s="62"/>
      <c r="C83" s="62"/>
      <c r="D83" s="62" t="s">
        <v>111</v>
      </c>
      <c r="J83" s="59">
        <v>8000</v>
      </c>
      <c r="M83" s="59">
        <v>7500</v>
      </c>
      <c r="P83" s="59">
        <v>8500</v>
      </c>
      <c r="Q83" s="59">
        <f t="shared" si="19"/>
        <v>24000</v>
      </c>
    </row>
    <row r="84" spans="1:18">
      <c r="A84" s="61"/>
      <c r="B84" s="62"/>
      <c r="C84" s="62"/>
      <c r="D84" s="62" t="s">
        <v>112</v>
      </c>
      <c r="J84" s="59">
        <v>1534210</v>
      </c>
      <c r="P84" s="59">
        <v>1534210</v>
      </c>
      <c r="Q84" s="59">
        <f t="shared" si="19"/>
        <v>3068420</v>
      </c>
    </row>
    <row r="85" spans="1:18">
      <c r="A85" s="61"/>
      <c r="B85" s="62"/>
      <c r="C85" s="62"/>
      <c r="D85" s="62" t="s">
        <v>113</v>
      </c>
      <c r="J85" s="59">
        <v>1011906.69</v>
      </c>
      <c r="P85" s="59">
        <v>1011906.69</v>
      </c>
      <c r="Q85" s="59">
        <f t="shared" si="19"/>
        <v>2023813.38</v>
      </c>
    </row>
    <row r="86" spans="1:18">
      <c r="A86" s="61"/>
      <c r="B86" s="62"/>
      <c r="C86" s="62"/>
      <c r="D86" s="54" t="s">
        <v>178</v>
      </c>
      <c r="H86" s="59">
        <v>180455.88</v>
      </c>
      <c r="I86" s="59">
        <v>180455.88</v>
      </c>
      <c r="J86" s="59">
        <v>180455.88</v>
      </c>
      <c r="K86" s="59">
        <v>180455.88</v>
      </c>
      <c r="L86" s="59">
        <v>180455.88</v>
      </c>
      <c r="M86" s="59">
        <v>180455.88</v>
      </c>
      <c r="N86" s="59">
        <v>180455.88</v>
      </c>
      <c r="O86" s="59">
        <v>180455.88</v>
      </c>
      <c r="P86" s="59">
        <v>180455.88</v>
      </c>
      <c r="Q86" s="59">
        <f t="shared" si="19"/>
        <v>1624102.92</v>
      </c>
    </row>
    <row r="87" spans="1:18">
      <c r="A87" s="61"/>
      <c r="B87" s="62"/>
      <c r="C87" s="62"/>
      <c r="D87" s="54" t="s">
        <v>179</v>
      </c>
      <c r="H87" s="59">
        <v>1500000</v>
      </c>
      <c r="I87" s="59">
        <v>1510000</v>
      </c>
      <c r="J87" s="59">
        <v>1520000</v>
      </c>
      <c r="K87" s="59">
        <v>1520000</v>
      </c>
      <c r="L87" s="59">
        <v>1520000</v>
      </c>
      <c r="M87" s="59">
        <v>1520000</v>
      </c>
      <c r="N87" s="59">
        <v>1520000</v>
      </c>
      <c r="O87" s="59">
        <v>1520000</v>
      </c>
      <c r="P87" s="59">
        <v>1520000</v>
      </c>
      <c r="Q87" s="59">
        <f t="shared" si="19"/>
        <v>13650000</v>
      </c>
    </row>
    <row r="88" spans="1:18">
      <c r="A88" s="61"/>
      <c r="B88" s="62"/>
      <c r="C88" s="62"/>
      <c r="D88" s="54" t="s">
        <v>180</v>
      </c>
      <c r="H88" s="59">
        <v>418234</v>
      </c>
      <c r="I88" s="59">
        <v>418234</v>
      </c>
      <c r="J88" s="59">
        <v>418234</v>
      </c>
      <c r="K88" s="59">
        <v>418234</v>
      </c>
      <c r="L88" s="59">
        <v>418234</v>
      </c>
      <c r="M88" s="59">
        <v>418234</v>
      </c>
      <c r="N88" s="59">
        <v>418234</v>
      </c>
      <c r="O88" s="59">
        <v>418234</v>
      </c>
      <c r="P88" s="59">
        <v>418234</v>
      </c>
      <c r="Q88" s="59">
        <f t="shared" si="19"/>
        <v>3764106</v>
      </c>
    </row>
    <row r="89" spans="1:18">
      <c r="A89" s="61"/>
      <c r="B89" s="62"/>
      <c r="C89" s="62"/>
      <c r="D89" s="62" t="s">
        <v>114</v>
      </c>
      <c r="H89" s="59">
        <v>5000</v>
      </c>
      <c r="I89" s="59">
        <v>5000</v>
      </c>
      <c r="J89" s="59">
        <v>5000</v>
      </c>
      <c r="K89" s="59">
        <v>5000</v>
      </c>
      <c r="L89" s="59">
        <v>5000</v>
      </c>
      <c r="M89" s="59">
        <v>5000</v>
      </c>
      <c r="N89" s="59">
        <v>5000</v>
      </c>
      <c r="O89" s="59">
        <v>5000</v>
      </c>
      <c r="P89" s="59">
        <v>5000</v>
      </c>
      <c r="Q89" s="59">
        <f t="shared" si="19"/>
        <v>45000</v>
      </c>
    </row>
    <row r="90" spans="1:18">
      <c r="A90" s="61" t="s">
        <v>91</v>
      </c>
      <c r="B90" s="62" t="s">
        <v>92</v>
      </c>
      <c r="C90" s="62"/>
      <c r="D90" s="54" t="s">
        <v>147</v>
      </c>
      <c r="H90" s="59">
        <f>[1]附件3办公费分解指标!$E$5</f>
        <v>352</v>
      </c>
      <c r="I90" s="59">
        <f>[1]附件3办公费分解指标!$E$5</f>
        <v>352</v>
      </c>
      <c r="J90" s="59">
        <f>[1]附件3办公费分解指标!$E$5</f>
        <v>352</v>
      </c>
      <c r="K90" s="59">
        <f>[1]附件3办公费分解指标!$E$5</f>
        <v>352</v>
      </c>
      <c r="L90" s="59">
        <f>[1]附件3办公费分解指标!$E$5</f>
        <v>352</v>
      </c>
      <c r="M90" s="59">
        <f>[1]附件3办公费分解指标!$E$5</f>
        <v>352</v>
      </c>
      <c r="N90" s="59">
        <f>[1]附件3办公费分解指标!$E$5</f>
        <v>352</v>
      </c>
      <c r="O90" s="59">
        <f>[1]附件3办公费分解指标!$E$5</f>
        <v>352</v>
      </c>
      <c r="P90" s="59">
        <f>[1]附件3办公费分解指标!$E$5</f>
        <v>352</v>
      </c>
      <c r="Q90" s="59">
        <f t="shared" ref="Q90:Q95" si="20">SUM(E90:P90)</f>
        <v>3168</v>
      </c>
    </row>
    <row r="91" spans="1:18">
      <c r="A91" s="61"/>
      <c r="B91" s="62"/>
      <c r="C91" s="62"/>
      <c r="D91" s="54" t="s">
        <v>148</v>
      </c>
      <c r="H91" s="59">
        <v>50</v>
      </c>
      <c r="I91" s="59">
        <v>20</v>
      </c>
      <c r="J91" s="59">
        <v>20</v>
      </c>
      <c r="N91" s="59">
        <v>20</v>
      </c>
      <c r="P91" s="59">
        <v>40</v>
      </c>
      <c r="Q91" s="59">
        <f t="shared" si="20"/>
        <v>150</v>
      </c>
    </row>
    <row r="92" spans="1:18">
      <c r="A92" s="61"/>
      <c r="B92" s="62"/>
      <c r="C92" s="62"/>
      <c r="D92" s="54" t="s">
        <v>151</v>
      </c>
      <c r="H92" s="59">
        <f>[1]附件2各部门分解!$D$8</f>
        <v>300</v>
      </c>
      <c r="I92" s="59">
        <f>[1]附件2各部门分解!$D$8</f>
        <v>300</v>
      </c>
      <c r="J92" s="59">
        <f>[1]附件2各部门分解!$D$8</f>
        <v>300</v>
      </c>
      <c r="K92" s="59">
        <f>[1]附件2各部门分解!$D$8</f>
        <v>300</v>
      </c>
      <c r="L92" s="59">
        <f>[1]附件2各部门分解!$D$8</f>
        <v>300</v>
      </c>
      <c r="M92" s="59">
        <f>[1]附件2各部门分解!$D$8</f>
        <v>300</v>
      </c>
      <c r="N92" s="59">
        <f>[1]附件2各部门分解!$D$8</f>
        <v>300</v>
      </c>
      <c r="O92" s="59">
        <f>[1]附件2各部门分解!$D$8</f>
        <v>300</v>
      </c>
      <c r="P92" s="59">
        <f>[1]附件2各部门分解!$D$8</f>
        <v>300</v>
      </c>
      <c r="Q92" s="59">
        <f t="shared" si="20"/>
        <v>2700</v>
      </c>
    </row>
    <row r="93" spans="1:18">
      <c r="A93" s="61" t="s">
        <v>93</v>
      </c>
      <c r="B93" s="62" t="s">
        <v>94</v>
      </c>
      <c r="C93" s="62"/>
      <c r="D93" s="54" t="s">
        <v>147</v>
      </c>
      <c r="H93" s="59">
        <f>[1]附件3办公费分解指标!$I$5</f>
        <v>208</v>
      </c>
      <c r="I93" s="59">
        <f>[1]附件3办公费分解指标!$I$5</f>
        <v>208</v>
      </c>
      <c r="J93" s="59">
        <f>[1]附件3办公费分解指标!$I$5</f>
        <v>208</v>
      </c>
      <c r="K93" s="59">
        <f>[1]附件3办公费分解指标!$I$5</f>
        <v>208</v>
      </c>
      <c r="L93" s="59">
        <f>[1]附件3办公费分解指标!$I$5</f>
        <v>208</v>
      </c>
      <c r="M93" s="59">
        <f>[1]附件3办公费分解指标!$I$5</f>
        <v>208</v>
      </c>
      <c r="N93" s="59">
        <f>[1]附件3办公费分解指标!$I$5</f>
        <v>208</v>
      </c>
      <c r="O93" s="59">
        <f>[1]附件3办公费分解指标!$I$5</f>
        <v>208</v>
      </c>
      <c r="P93" s="59">
        <f>[1]附件3办公费分解指标!$I$5</f>
        <v>208</v>
      </c>
      <c r="Q93" s="59">
        <f t="shared" si="20"/>
        <v>1872</v>
      </c>
    </row>
    <row r="94" spans="1:18">
      <c r="A94" s="61"/>
      <c r="B94" s="62"/>
      <c r="C94" s="62"/>
      <c r="D94" s="54" t="s">
        <v>148</v>
      </c>
      <c r="H94" s="59">
        <v>800</v>
      </c>
      <c r="I94" s="59">
        <v>800</v>
      </c>
      <c r="J94" s="59">
        <v>600</v>
      </c>
      <c r="K94" s="59">
        <v>500</v>
      </c>
      <c r="L94" s="59">
        <v>500</v>
      </c>
      <c r="M94" s="59">
        <v>600</v>
      </c>
      <c r="N94" s="59">
        <v>500</v>
      </c>
      <c r="O94" s="59">
        <v>600</v>
      </c>
      <c r="P94" s="59">
        <v>800</v>
      </c>
      <c r="Q94" s="59">
        <f t="shared" si="20"/>
        <v>5700</v>
      </c>
      <c r="R94" s="59"/>
    </row>
    <row r="95" spans="1:18">
      <c r="A95" s="61"/>
      <c r="B95" s="62"/>
      <c r="C95" s="62"/>
      <c r="D95" s="54" t="s">
        <v>151</v>
      </c>
      <c r="H95" s="59">
        <f>[1]附件2各部门分解!$D$17</f>
        <v>800</v>
      </c>
      <c r="I95" s="59">
        <f>[1]附件2各部门分解!$D$17</f>
        <v>800</v>
      </c>
      <c r="J95" s="59">
        <f>[1]附件2各部门分解!$D$17</f>
        <v>800</v>
      </c>
      <c r="K95" s="59">
        <f>[1]附件2各部门分解!$D$17</f>
        <v>800</v>
      </c>
      <c r="L95" s="59">
        <f>[1]附件2各部门分解!$D$17</f>
        <v>800</v>
      </c>
      <c r="M95" s="59">
        <f>[1]附件2各部门分解!$D$17</f>
        <v>800</v>
      </c>
      <c r="N95" s="59">
        <f>[1]附件2各部门分解!$D$17</f>
        <v>800</v>
      </c>
      <c r="O95" s="59">
        <f>[1]附件2各部门分解!$D$17</f>
        <v>800</v>
      </c>
      <c r="P95" s="59">
        <f>[1]附件2各部门分解!$D$17</f>
        <v>800</v>
      </c>
      <c r="Q95" s="59">
        <f t="shared" si="20"/>
        <v>7200</v>
      </c>
    </row>
    <row r="96" spans="1:18">
      <c r="A96" s="61"/>
      <c r="B96" s="62"/>
      <c r="C96" s="62"/>
      <c r="D96" s="54" t="s">
        <v>165</v>
      </c>
      <c r="G96" s="59">
        <v>7878.7</v>
      </c>
      <c r="H96" s="59">
        <v>2000</v>
      </c>
      <c r="I96" s="59">
        <v>2000</v>
      </c>
      <c r="J96" s="59">
        <v>2000</v>
      </c>
      <c r="N96" s="59">
        <v>2000</v>
      </c>
      <c r="O96" s="59">
        <v>2000</v>
      </c>
      <c r="P96" s="59">
        <v>2000</v>
      </c>
      <c r="Q96" s="59">
        <f t="shared" ref="Q96:Q110" si="21">SUM(E96:P96)</f>
        <v>19878.7</v>
      </c>
    </row>
    <row r="97" spans="1:17">
      <c r="A97" s="61"/>
      <c r="B97" s="62"/>
      <c r="C97" s="62"/>
      <c r="D97" s="54" t="s">
        <v>181</v>
      </c>
      <c r="P97" s="59">
        <v>840000</v>
      </c>
      <c r="Q97" s="59">
        <f t="shared" si="21"/>
        <v>840000</v>
      </c>
    </row>
    <row r="98" spans="1:17">
      <c r="A98" s="61" t="s">
        <v>95</v>
      </c>
      <c r="B98" s="62" t="s">
        <v>96</v>
      </c>
      <c r="C98" s="62"/>
      <c r="D98" s="54" t="s">
        <v>147</v>
      </c>
      <c r="H98" s="59">
        <f>[1]附件3办公费分解指标!$G$5</f>
        <v>368</v>
      </c>
      <c r="I98" s="59">
        <f>[1]附件3办公费分解指标!$G$5</f>
        <v>368</v>
      </c>
      <c r="J98" s="59">
        <f>[1]附件3办公费分解指标!$G$5</f>
        <v>368</v>
      </c>
      <c r="K98" s="59">
        <f>[1]附件3办公费分解指标!$G$5</f>
        <v>368</v>
      </c>
      <c r="L98" s="59">
        <f>[1]附件3办公费分解指标!$G$5</f>
        <v>368</v>
      </c>
      <c r="M98" s="59">
        <f>[1]附件3办公费分解指标!$G$5</f>
        <v>368</v>
      </c>
      <c r="N98" s="59">
        <f>[1]附件3办公费分解指标!$G$5</f>
        <v>368</v>
      </c>
      <c r="O98" s="59">
        <f>[1]附件3办公费分解指标!$G$5</f>
        <v>368</v>
      </c>
      <c r="P98" s="59">
        <f>[1]附件3办公费分解指标!$G$5</f>
        <v>368</v>
      </c>
      <c r="Q98" s="59">
        <f t="shared" si="21"/>
        <v>3312</v>
      </c>
    </row>
    <row r="99" spans="1:17">
      <c r="A99" s="61"/>
      <c r="B99" s="62"/>
      <c r="C99" s="62"/>
      <c r="D99" s="54" t="s">
        <v>148</v>
      </c>
      <c r="H99" s="59">
        <v>50</v>
      </c>
      <c r="J99" s="59">
        <v>50</v>
      </c>
      <c r="K99" s="59">
        <v>20</v>
      </c>
      <c r="L99" s="59">
        <v>50</v>
      </c>
      <c r="M99" s="59">
        <v>50</v>
      </c>
      <c r="N99" s="59">
        <v>20</v>
      </c>
      <c r="O99" s="59">
        <v>50</v>
      </c>
      <c r="Q99" s="59">
        <f t="shared" si="21"/>
        <v>290</v>
      </c>
    </row>
    <row r="100" spans="1:17">
      <c r="A100" s="61"/>
      <c r="B100" s="62"/>
      <c r="C100" s="62"/>
      <c r="D100" s="54" t="s">
        <v>151</v>
      </c>
      <c r="H100" s="59">
        <f>[1]附件2各部门分解!$D$10</f>
        <v>1000</v>
      </c>
      <c r="I100" s="59">
        <f>[1]附件2各部门分解!$D$10</f>
        <v>1000</v>
      </c>
      <c r="J100" s="59">
        <f>[1]附件2各部门分解!$D$10</f>
        <v>1000</v>
      </c>
      <c r="K100" s="59">
        <f>[1]附件2各部门分解!$D$10</f>
        <v>1000</v>
      </c>
      <c r="L100" s="59">
        <f>[1]附件2各部门分解!$D$10</f>
        <v>1000</v>
      </c>
      <c r="M100" s="59">
        <f>[1]附件2各部门分解!$D$10</f>
        <v>1000</v>
      </c>
      <c r="N100" s="59">
        <f>[1]附件2各部门分解!$D$10</f>
        <v>1000</v>
      </c>
      <c r="O100" s="59">
        <f>[1]附件2各部门分解!$D$10</f>
        <v>1000</v>
      </c>
      <c r="P100" s="59">
        <f>[1]附件2各部门分解!$D$10</f>
        <v>1000</v>
      </c>
      <c r="Q100" s="59">
        <f t="shared" si="21"/>
        <v>9000</v>
      </c>
    </row>
    <row r="101" spans="1:17">
      <c r="A101" s="61"/>
      <c r="B101" s="62"/>
      <c r="C101" s="62"/>
      <c r="D101" s="54" t="s">
        <v>165</v>
      </c>
      <c r="G101" s="59">
        <v>2206.5</v>
      </c>
      <c r="H101" s="59">
        <v>2000</v>
      </c>
      <c r="K101" s="59">
        <v>2000</v>
      </c>
      <c r="P101" s="59">
        <v>2000</v>
      </c>
      <c r="Q101" s="59">
        <f t="shared" si="21"/>
        <v>8206.5</v>
      </c>
    </row>
    <row r="102" spans="1:17">
      <c r="A102" s="61"/>
      <c r="B102" s="62"/>
      <c r="C102" s="62"/>
      <c r="D102" s="54" t="s">
        <v>182</v>
      </c>
      <c r="Q102" s="59">
        <f t="shared" si="21"/>
        <v>0</v>
      </c>
    </row>
    <row r="103" spans="1:17">
      <c r="A103" s="61"/>
      <c r="B103" s="62"/>
      <c r="C103" s="62"/>
      <c r="D103" s="54" t="s">
        <v>183</v>
      </c>
      <c r="H103" s="59">
        <v>100000</v>
      </c>
      <c r="I103" s="59">
        <v>60000</v>
      </c>
      <c r="J103" s="59">
        <v>60000</v>
      </c>
      <c r="K103" s="59">
        <v>60000</v>
      </c>
      <c r="L103" s="59">
        <v>60000</v>
      </c>
      <c r="M103" s="59">
        <v>80000</v>
      </c>
      <c r="N103" s="59">
        <v>60000</v>
      </c>
      <c r="O103" s="59">
        <v>60000</v>
      </c>
      <c r="P103" s="59">
        <v>80000</v>
      </c>
      <c r="Q103" s="59">
        <f t="shared" si="21"/>
        <v>620000</v>
      </c>
    </row>
    <row r="104" spans="1:17">
      <c r="A104" s="61" t="s">
        <v>97</v>
      </c>
      <c r="B104" s="62" t="s">
        <v>98</v>
      </c>
      <c r="C104" s="62"/>
      <c r="D104" s="54" t="s">
        <v>147</v>
      </c>
      <c r="H104" s="59">
        <f>[1]附件3办公费分解指标!$M$5</f>
        <v>198</v>
      </c>
      <c r="I104" s="59">
        <f>[1]附件3办公费分解指标!$M$5</f>
        <v>198</v>
      </c>
      <c r="J104" s="59">
        <f>[1]附件3办公费分解指标!$M$5</f>
        <v>198</v>
      </c>
      <c r="K104" s="59">
        <f>[1]附件3办公费分解指标!$M$5</f>
        <v>198</v>
      </c>
      <c r="L104" s="59">
        <f>[1]附件3办公费分解指标!$M$5</f>
        <v>198</v>
      </c>
      <c r="M104" s="59">
        <f>[1]附件3办公费分解指标!$M$5</f>
        <v>198</v>
      </c>
      <c r="N104" s="59">
        <f>[1]附件3办公费分解指标!$M$5</f>
        <v>198</v>
      </c>
      <c r="O104" s="59">
        <f>[1]附件3办公费分解指标!$M$5</f>
        <v>198</v>
      </c>
      <c r="P104" s="59">
        <f>[1]附件3办公费分解指标!$M$5</f>
        <v>198</v>
      </c>
      <c r="Q104" s="59">
        <f t="shared" si="21"/>
        <v>1782</v>
      </c>
    </row>
    <row r="105" spans="1:17">
      <c r="A105" s="61"/>
      <c r="B105" s="62"/>
      <c r="C105" s="62"/>
      <c r="D105" s="54" t="s">
        <v>148</v>
      </c>
      <c r="H105" s="59">
        <f>20</f>
        <v>20</v>
      </c>
      <c r="J105" s="59">
        <f>20</f>
        <v>20</v>
      </c>
      <c r="L105" s="59">
        <f>20</f>
        <v>20</v>
      </c>
      <c r="M105" s="59">
        <f>20</f>
        <v>20</v>
      </c>
      <c r="O105" s="59">
        <f>20</f>
        <v>20</v>
      </c>
      <c r="P105" s="59">
        <f>20</f>
        <v>20</v>
      </c>
      <c r="Q105" s="59">
        <f t="shared" si="21"/>
        <v>120</v>
      </c>
    </row>
    <row r="106" spans="1:17">
      <c r="A106" s="61"/>
      <c r="B106" s="62"/>
      <c r="C106" s="62"/>
      <c r="D106" s="54" t="s">
        <v>151</v>
      </c>
      <c r="H106" s="59">
        <f>[1]附件2各部门分解!$D$11</f>
        <v>300</v>
      </c>
      <c r="I106" s="59">
        <f>[1]附件2各部门分解!$D$11</f>
        <v>300</v>
      </c>
      <c r="J106" s="59">
        <f>[1]附件2各部门分解!$D$11</f>
        <v>300</v>
      </c>
      <c r="K106" s="59">
        <f>[1]附件2各部门分解!$D$11</f>
        <v>300</v>
      </c>
      <c r="L106" s="59">
        <f>[1]附件2各部门分解!$D$11</f>
        <v>300</v>
      </c>
      <c r="M106" s="59">
        <f>[1]附件2各部门分解!$D$11</f>
        <v>300</v>
      </c>
      <c r="N106" s="59">
        <f>[1]附件2各部门分解!$D$11</f>
        <v>300</v>
      </c>
      <c r="O106" s="59">
        <f>[1]附件2各部门分解!$D$11</f>
        <v>300</v>
      </c>
      <c r="P106" s="59">
        <f>[1]附件2各部门分解!$D$11</f>
        <v>300</v>
      </c>
      <c r="Q106" s="59">
        <f t="shared" si="21"/>
        <v>2700</v>
      </c>
    </row>
    <row r="107" spans="1:17">
      <c r="A107" s="61"/>
      <c r="B107" s="62"/>
      <c r="C107" s="62"/>
      <c r="D107" s="54" t="s">
        <v>165</v>
      </c>
      <c r="K107" s="59">
        <v>2000</v>
      </c>
      <c r="P107" s="59">
        <v>2000</v>
      </c>
      <c r="Q107" s="59">
        <f t="shared" si="21"/>
        <v>4000</v>
      </c>
    </row>
    <row r="108" spans="1:17">
      <c r="A108" s="61"/>
      <c r="B108" s="62"/>
      <c r="C108" s="62"/>
      <c r="D108" s="54" t="s">
        <v>176</v>
      </c>
      <c r="P108" s="59">
        <v>3795000</v>
      </c>
      <c r="Q108" s="59">
        <f t="shared" si="21"/>
        <v>3795000</v>
      </c>
    </row>
    <row r="109" spans="1:17">
      <c r="A109" s="61" t="s">
        <v>99</v>
      </c>
      <c r="B109" s="62" t="s">
        <v>100</v>
      </c>
      <c r="C109" s="62"/>
      <c r="D109" s="54" t="s">
        <v>147</v>
      </c>
      <c r="H109" s="59">
        <f>[1]附件3办公费分解指标!$N$5</f>
        <v>99</v>
      </c>
      <c r="I109" s="59">
        <f>[1]附件3办公费分解指标!$N$5</f>
        <v>99</v>
      </c>
      <c r="J109" s="59">
        <f>[1]附件3办公费分解指标!$N$5</f>
        <v>99</v>
      </c>
      <c r="K109" s="59">
        <f>[1]附件3办公费分解指标!$N$5</f>
        <v>99</v>
      </c>
      <c r="L109" s="59">
        <f>[1]附件3办公费分解指标!$N$5</f>
        <v>99</v>
      </c>
      <c r="M109" s="59">
        <f>[1]附件3办公费分解指标!$N$5</f>
        <v>99</v>
      </c>
      <c r="N109" s="59">
        <f>[1]附件3办公费分解指标!$N$5</f>
        <v>99</v>
      </c>
      <c r="O109" s="59">
        <f>[1]附件3办公费分解指标!$N$5</f>
        <v>99</v>
      </c>
      <c r="P109" s="59">
        <f>[1]附件3办公费分解指标!$N$5</f>
        <v>99</v>
      </c>
      <c r="Q109" s="59">
        <f t="shared" si="21"/>
        <v>891</v>
      </c>
    </row>
    <row r="110" spans="1:17">
      <c r="A110" s="61"/>
      <c r="B110" s="62"/>
      <c r="C110" s="62"/>
      <c r="D110" s="54" t="s">
        <v>148</v>
      </c>
      <c r="H110" s="59">
        <f>20</f>
        <v>20</v>
      </c>
      <c r="J110" s="59">
        <f>20</f>
        <v>20</v>
      </c>
      <c r="L110" s="59">
        <f>20</f>
        <v>20</v>
      </c>
      <c r="M110" s="59">
        <f>20</f>
        <v>20</v>
      </c>
      <c r="O110" s="59">
        <f>20</f>
        <v>20</v>
      </c>
      <c r="P110" s="59">
        <f>20</f>
        <v>20</v>
      </c>
      <c r="Q110" s="59">
        <f t="shared" si="21"/>
        <v>120</v>
      </c>
    </row>
    <row r="111" spans="1:17">
      <c r="A111" s="61"/>
      <c r="B111" s="62"/>
      <c r="C111" s="62"/>
      <c r="D111" s="54" t="s">
        <v>151</v>
      </c>
      <c r="H111" s="59">
        <f>[1]附件2各部门分解!$D$13</f>
        <v>300</v>
      </c>
      <c r="I111" s="59">
        <f>[1]附件2各部门分解!$D$13</f>
        <v>300</v>
      </c>
      <c r="J111" s="59">
        <f>[1]附件2各部门分解!$D$13</f>
        <v>300</v>
      </c>
      <c r="K111" s="59">
        <f>[1]附件2各部门分解!$D$13</f>
        <v>300</v>
      </c>
      <c r="L111" s="59">
        <f>[1]附件2各部门分解!$D$13</f>
        <v>300</v>
      </c>
      <c r="M111" s="59">
        <f>[1]附件2各部门分解!$D$13</f>
        <v>300</v>
      </c>
      <c r="N111" s="59">
        <f>[1]附件2各部门分解!$D$13</f>
        <v>300</v>
      </c>
      <c r="O111" s="59">
        <f>[1]附件2各部门分解!$D$13</f>
        <v>300</v>
      </c>
      <c r="P111" s="59">
        <f>[1]附件2各部门分解!$D$13</f>
        <v>300</v>
      </c>
      <c r="Q111" s="59">
        <f t="shared" ref="Q111:Q116" si="22">SUM(E111:P111)</f>
        <v>2700</v>
      </c>
    </row>
    <row r="112" spans="1:17">
      <c r="A112" s="61"/>
      <c r="B112" s="62"/>
      <c r="C112" s="62"/>
      <c r="D112" s="54" t="s">
        <v>165</v>
      </c>
      <c r="G112" s="59">
        <v>6566.5</v>
      </c>
      <c r="K112" s="59">
        <v>2000</v>
      </c>
      <c r="P112" s="59">
        <v>2000</v>
      </c>
      <c r="Q112" s="59">
        <f t="shared" si="22"/>
        <v>10566.5</v>
      </c>
    </row>
    <row r="113" spans="1:17">
      <c r="A113" s="61"/>
      <c r="B113" s="62"/>
      <c r="C113" s="62"/>
      <c r="D113" s="54" t="s">
        <v>184</v>
      </c>
      <c r="J113" s="59">
        <f>200000+523200</f>
        <v>723200</v>
      </c>
      <c r="M113" s="59">
        <f>200000+523200</f>
        <v>723200</v>
      </c>
      <c r="P113" s="59">
        <f>200000+523200</f>
        <v>723200</v>
      </c>
      <c r="Q113" s="59">
        <f t="shared" si="22"/>
        <v>2169600</v>
      </c>
    </row>
    <row r="114" spans="1:17">
      <c r="A114" s="61"/>
      <c r="B114" s="62"/>
      <c r="C114" s="62"/>
      <c r="D114" s="54" t="s">
        <v>176</v>
      </c>
      <c r="P114" s="59">
        <v>2060560</v>
      </c>
      <c r="Q114" s="59">
        <f t="shared" si="22"/>
        <v>2060560</v>
      </c>
    </row>
    <row r="115" spans="1:17">
      <c r="A115" s="61" t="s">
        <v>101</v>
      </c>
      <c r="B115" s="62" t="s">
        <v>102</v>
      </c>
      <c r="C115" s="62"/>
      <c r="D115" s="54" t="s">
        <v>147</v>
      </c>
      <c r="H115" s="59">
        <f>[1]附件3办公费分解指标!$O$5</f>
        <v>88</v>
      </c>
      <c r="I115" s="59">
        <f>[1]附件3办公费分解指标!$O$5</f>
        <v>88</v>
      </c>
      <c r="J115" s="59">
        <f>[1]附件3办公费分解指标!$O$5</f>
        <v>88</v>
      </c>
      <c r="K115" s="59">
        <f>[1]附件3办公费分解指标!$O$5</f>
        <v>88</v>
      </c>
      <c r="L115" s="59">
        <f>[1]附件3办公费分解指标!$O$5</f>
        <v>88</v>
      </c>
      <c r="M115" s="59">
        <f>[1]附件3办公费分解指标!$O$5</f>
        <v>88</v>
      </c>
      <c r="N115" s="59">
        <f>[1]附件3办公费分解指标!$O$5</f>
        <v>88</v>
      </c>
      <c r="O115" s="59">
        <f>[1]附件3办公费分解指标!$O$5</f>
        <v>88</v>
      </c>
      <c r="P115" s="59">
        <f>[1]附件3办公费分解指标!$O$5</f>
        <v>88</v>
      </c>
      <c r="Q115" s="59">
        <f t="shared" si="22"/>
        <v>792</v>
      </c>
    </row>
    <row r="116" spans="1:17">
      <c r="A116" s="61"/>
      <c r="B116" s="62"/>
      <c r="C116" s="62"/>
      <c r="D116" s="54" t="s">
        <v>148</v>
      </c>
      <c r="H116" s="59">
        <f>20</f>
        <v>20</v>
      </c>
      <c r="J116" s="59">
        <f>20</f>
        <v>20</v>
      </c>
      <c r="L116" s="59">
        <v>20</v>
      </c>
      <c r="M116" s="59">
        <f>20</f>
        <v>20</v>
      </c>
      <c r="O116" s="59">
        <f>20</f>
        <v>20</v>
      </c>
      <c r="P116" s="59">
        <f>20</f>
        <v>20</v>
      </c>
      <c r="Q116" s="59">
        <f t="shared" si="22"/>
        <v>120</v>
      </c>
    </row>
    <row r="117" spans="1:17">
      <c r="D117" s="54" t="s">
        <v>151</v>
      </c>
      <c r="H117" s="59">
        <f>[1]附件2各部门分解!$D$12</f>
        <v>300</v>
      </c>
      <c r="I117" s="59">
        <f>[1]附件2各部门分解!$D$12</f>
        <v>300</v>
      </c>
      <c r="J117" s="59">
        <f>[1]附件2各部门分解!$D$12</f>
        <v>300</v>
      </c>
      <c r="K117" s="59">
        <f>[1]附件2各部门分解!$D$12</f>
        <v>300</v>
      </c>
      <c r="L117" s="59">
        <f>[1]附件2各部门分解!$D$12</f>
        <v>300</v>
      </c>
      <c r="M117" s="59">
        <f>[1]附件2各部门分解!$D$12</f>
        <v>300</v>
      </c>
      <c r="N117" s="59">
        <f>[1]附件2各部门分解!$D$12</f>
        <v>300</v>
      </c>
      <c r="O117" s="59">
        <f>[1]附件2各部门分解!$D$12</f>
        <v>300</v>
      </c>
      <c r="P117" s="59">
        <f>[1]附件2各部门分解!$D$12</f>
        <v>300</v>
      </c>
      <c r="Q117" s="59">
        <f>SUM(E117:P117)</f>
        <v>2700</v>
      </c>
    </row>
    <row r="118" spans="1:17">
      <c r="D118" s="57" t="s">
        <v>165</v>
      </c>
      <c r="K118" s="59">
        <v>2000</v>
      </c>
      <c r="P118" s="59">
        <v>2000</v>
      </c>
      <c r="Q118" s="59">
        <f>SUM(E118:P118)</f>
        <v>4000</v>
      </c>
    </row>
    <row r="119" spans="1:17">
      <c r="D119" s="57" t="s">
        <v>176</v>
      </c>
      <c r="P119" s="59">
        <v>831175</v>
      </c>
      <c r="Q119" s="59">
        <f>SUM(E119:P119)</f>
        <v>831175</v>
      </c>
    </row>
  </sheetData>
  <autoFilter ref="A1:Q16"/>
  <phoneticPr fontId="2" type="noConversion"/>
  <pageMargins left="0.75" right="0.75" top="1" bottom="1" header="0.5" footer="0.5"/>
  <pageSetup paperSize="9" orientation="portrait" horizontalDpi="180" verticalDpi="180" r:id="rId1"/>
  <headerFooter alignWithMargins="0"/>
  <ignoredErrors>
    <ignoredError sqref="M54" unlockedFormula="1"/>
    <ignoredError sqref="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2:K47"/>
  <sheetViews>
    <sheetView zoomScaleNormal="100" workbookViewId="0">
      <pane xSplit="1" ySplit="5" topLeftCell="B33" activePane="bottomRight" state="frozen"/>
      <selection pane="topRight" activeCell="C1" sqref="C1"/>
      <selection pane="bottomLeft" activeCell="A6" sqref="A6"/>
      <selection pane="bottomRight" activeCell="I12" sqref="I12"/>
    </sheetView>
  </sheetViews>
  <sheetFormatPr defaultRowHeight="12.75" outlineLevelRow="2"/>
  <cols>
    <col min="1" max="1" width="18.28515625" customWidth="1"/>
    <col min="2" max="2" width="14.85546875" customWidth="1"/>
    <col min="3" max="3" width="27.140625" customWidth="1"/>
    <col min="4" max="4" width="31.28515625" style="37" hidden="1" customWidth="1"/>
    <col min="5" max="5" width="18.140625" hidden="1" customWidth="1"/>
    <col min="6" max="6" width="19.7109375" hidden="1" customWidth="1"/>
    <col min="7" max="7" width="0" hidden="1" customWidth="1"/>
    <col min="8" max="8" width="26.28515625" style="46" customWidth="1"/>
    <col min="9" max="9" width="20.140625" style="48" customWidth="1"/>
    <col min="10" max="10" width="11.7109375" bestFit="1" customWidth="1"/>
  </cols>
  <sheetData>
    <row r="2" spans="1:11" ht="15" customHeight="1">
      <c r="A2" s="66"/>
      <c r="B2" s="66"/>
      <c r="C2" s="66"/>
      <c r="D2" s="66"/>
      <c r="E2" s="66"/>
      <c r="F2" s="66"/>
    </row>
    <row r="3" spans="1:11" ht="19.5" customHeight="1">
      <c r="A3" s="66"/>
      <c r="B3" s="66"/>
      <c r="C3" s="66"/>
      <c r="D3" s="66"/>
      <c r="E3" s="66"/>
      <c r="F3" s="66"/>
    </row>
    <row r="4" spans="1:11" ht="15">
      <c r="A4" s="1"/>
      <c r="B4" s="2"/>
      <c r="D4" s="30" t="s">
        <v>58</v>
      </c>
      <c r="E4" s="1"/>
      <c r="F4" s="6"/>
      <c r="I4" s="52" t="s">
        <v>71</v>
      </c>
      <c r="J4" s="53" t="s">
        <v>77</v>
      </c>
      <c r="K4" s="53" t="s">
        <v>78</v>
      </c>
    </row>
    <row r="5" spans="1:11" s="27" customFormat="1" ht="23.25" customHeight="1">
      <c r="A5" s="17" t="s">
        <v>4</v>
      </c>
      <c r="B5" s="18" t="s">
        <v>3</v>
      </c>
      <c r="C5" s="16" t="s">
        <v>2</v>
      </c>
      <c r="D5" s="31" t="s">
        <v>69</v>
      </c>
      <c r="E5" s="29"/>
      <c r="F5" s="28" t="s">
        <v>64</v>
      </c>
      <c r="G5" s="2"/>
      <c r="H5" s="25" t="s">
        <v>70</v>
      </c>
      <c r="I5" s="51">
        <f>(602+700+1500+375)*10000</f>
        <v>31770000</v>
      </c>
    </row>
    <row r="6" spans="1:11" ht="20.100000000000001" customHeight="1" outlineLevel="2">
      <c r="A6" s="5" t="s">
        <v>12</v>
      </c>
      <c r="B6" s="19" t="s">
        <v>12</v>
      </c>
      <c r="C6" s="4" t="s">
        <v>13</v>
      </c>
      <c r="D6" s="32"/>
      <c r="E6" s="7"/>
      <c r="F6" s="20"/>
      <c r="H6" s="47">
        <v>120000</v>
      </c>
      <c r="I6" s="48">
        <v>0</v>
      </c>
      <c r="J6">
        <f>I6/12</f>
        <v>0</v>
      </c>
      <c r="K6">
        <f>ROUND(J6,2)</f>
        <v>0</v>
      </c>
    </row>
    <row r="7" spans="1:11" ht="27.75" customHeight="1" outlineLevel="2">
      <c r="A7" s="5" t="s">
        <v>12</v>
      </c>
      <c r="B7" s="19" t="s">
        <v>12</v>
      </c>
      <c r="C7" s="4" t="s">
        <v>14</v>
      </c>
      <c r="D7" s="33"/>
      <c r="E7" s="7"/>
      <c r="F7" s="21" t="s">
        <v>15</v>
      </c>
      <c r="H7" s="47">
        <f>5018800/12*10</f>
        <v>4182333.333333333</v>
      </c>
      <c r="I7" s="48">
        <f>H7</f>
        <v>4182333.333333333</v>
      </c>
      <c r="J7">
        <f t="shared" ref="J7:J45" si="0">I7/12</f>
        <v>348527.77777777775</v>
      </c>
      <c r="K7">
        <f t="shared" ref="K7:K46" si="1">ROUND(J7,2)</f>
        <v>348527.78</v>
      </c>
    </row>
    <row r="8" spans="1:11" ht="20.100000000000001" customHeight="1" outlineLevel="2">
      <c r="A8" s="5" t="s">
        <v>12</v>
      </c>
      <c r="B8" s="19" t="s">
        <v>12</v>
      </c>
      <c r="C8" s="4" t="s">
        <v>16</v>
      </c>
      <c r="D8" s="32"/>
      <c r="E8" s="7"/>
      <c r="F8" s="20"/>
      <c r="G8" s="40" t="s">
        <v>52</v>
      </c>
      <c r="H8" s="47"/>
      <c r="J8">
        <f t="shared" si="0"/>
        <v>0</v>
      </c>
      <c r="K8">
        <f t="shared" si="1"/>
        <v>0</v>
      </c>
    </row>
    <row r="9" spans="1:11" ht="20.100000000000001" customHeight="1" outlineLevel="2">
      <c r="A9" s="5" t="s">
        <v>12</v>
      </c>
      <c r="B9" s="19" t="s">
        <v>12</v>
      </c>
      <c r="C9" s="4" t="s">
        <v>17</v>
      </c>
      <c r="D9" s="32"/>
      <c r="E9" s="7"/>
      <c r="F9" s="20"/>
      <c r="G9" s="40" t="s">
        <v>52</v>
      </c>
      <c r="H9" s="47"/>
      <c r="J9">
        <f t="shared" si="0"/>
        <v>0</v>
      </c>
      <c r="K9">
        <f t="shared" si="1"/>
        <v>0</v>
      </c>
    </row>
    <row r="10" spans="1:11" ht="20.100000000000001" customHeight="1" outlineLevel="2">
      <c r="A10" s="5" t="s">
        <v>12</v>
      </c>
      <c r="B10" s="19" t="s">
        <v>12</v>
      </c>
      <c r="C10" s="4" t="s">
        <v>18</v>
      </c>
      <c r="D10" s="32"/>
      <c r="E10" s="7"/>
      <c r="F10" s="20"/>
      <c r="G10" s="40" t="s">
        <v>52</v>
      </c>
      <c r="H10" s="47"/>
      <c r="J10">
        <f t="shared" si="0"/>
        <v>0</v>
      </c>
      <c r="K10">
        <f t="shared" si="1"/>
        <v>0</v>
      </c>
    </row>
    <row r="11" spans="1:11" ht="20.100000000000001" customHeight="1" outlineLevel="2">
      <c r="A11" s="5" t="s">
        <v>12</v>
      </c>
      <c r="B11" s="19" t="s">
        <v>12</v>
      </c>
      <c r="C11" s="4" t="s">
        <v>19</v>
      </c>
      <c r="D11" s="32"/>
      <c r="E11" s="7"/>
      <c r="F11" s="20"/>
      <c r="H11" s="47">
        <v>2165470.56</v>
      </c>
      <c r="I11" s="48">
        <f>H11</f>
        <v>2165470.56</v>
      </c>
      <c r="J11">
        <f t="shared" si="0"/>
        <v>180455.88</v>
      </c>
      <c r="K11">
        <f t="shared" si="1"/>
        <v>180455.88</v>
      </c>
    </row>
    <row r="12" spans="1:11" ht="20.100000000000001" customHeight="1" outlineLevel="2">
      <c r="A12" s="5" t="s">
        <v>12</v>
      </c>
      <c r="B12" s="19" t="s">
        <v>1</v>
      </c>
      <c r="C12" s="4" t="s">
        <v>20</v>
      </c>
      <c r="D12" s="44">
        <f>10000*12</f>
        <v>120000</v>
      </c>
      <c r="E12" s="7"/>
      <c r="F12" s="20"/>
      <c r="H12" s="47">
        <f>1200000</f>
        <v>1200000</v>
      </c>
      <c r="I12" s="48">
        <f>H12</f>
        <v>1200000</v>
      </c>
      <c r="J12">
        <f t="shared" si="0"/>
        <v>100000</v>
      </c>
      <c r="K12">
        <f t="shared" si="1"/>
        <v>100000</v>
      </c>
    </row>
    <row r="13" spans="1:11" ht="20.100000000000001" customHeight="1" outlineLevel="1">
      <c r="A13" s="22" t="s">
        <v>6</v>
      </c>
      <c r="B13" s="19"/>
      <c r="C13" s="4"/>
      <c r="D13" s="7">
        <f t="shared" ref="D13:I13" si="2">SUM(D6:D12)</f>
        <v>120000</v>
      </c>
      <c r="E13" s="7">
        <f t="shared" si="2"/>
        <v>0</v>
      </c>
      <c r="F13" s="7">
        <f t="shared" si="2"/>
        <v>0</v>
      </c>
      <c r="G13" s="41">
        <f t="shared" si="2"/>
        <v>0</v>
      </c>
      <c r="H13" s="26">
        <f t="shared" si="2"/>
        <v>7667803.8933333326</v>
      </c>
      <c r="I13" s="26">
        <f t="shared" si="2"/>
        <v>7547803.8933333326</v>
      </c>
      <c r="J13">
        <f t="shared" si="0"/>
        <v>628983.65777777776</v>
      </c>
      <c r="K13">
        <f t="shared" si="1"/>
        <v>628983.66</v>
      </c>
    </row>
    <row r="14" spans="1:11" ht="33.75" customHeight="1" outlineLevel="2">
      <c r="A14" s="5" t="s">
        <v>21</v>
      </c>
      <c r="B14" s="19" t="s">
        <v>21</v>
      </c>
      <c r="C14" s="4" t="s">
        <v>22</v>
      </c>
      <c r="D14" s="34"/>
      <c r="E14" s="7"/>
      <c r="F14" s="20"/>
      <c r="H14" s="47">
        <v>10000000</v>
      </c>
      <c r="I14" s="48">
        <v>8000000</v>
      </c>
      <c r="J14">
        <f t="shared" si="0"/>
        <v>666666.66666666663</v>
      </c>
      <c r="K14">
        <f t="shared" si="1"/>
        <v>666666.67000000004</v>
      </c>
    </row>
    <row r="15" spans="1:11" ht="21.75" customHeight="1" outlineLevel="1">
      <c r="A15" s="8" t="s">
        <v>7</v>
      </c>
      <c r="B15" s="19"/>
      <c r="C15" s="4"/>
      <c r="D15" s="32"/>
      <c r="E15" s="7"/>
      <c r="F15" s="20"/>
      <c r="H15" s="47">
        <v>10000000</v>
      </c>
      <c r="I15" s="49">
        <f>I14</f>
        <v>8000000</v>
      </c>
      <c r="J15">
        <f t="shared" si="0"/>
        <v>666666.66666666663</v>
      </c>
      <c r="K15">
        <f t="shared" si="1"/>
        <v>666666.67000000004</v>
      </c>
    </row>
    <row r="16" spans="1:11" ht="36.75" customHeight="1" outlineLevel="2">
      <c r="A16" s="5" t="s">
        <v>55</v>
      </c>
      <c r="B16" s="19" t="s">
        <v>25</v>
      </c>
      <c r="C16" s="4" t="s">
        <v>28</v>
      </c>
      <c r="D16" s="7">
        <f>900*3000</f>
        <v>2700000</v>
      </c>
      <c r="E16" s="7"/>
      <c r="F16" s="21" t="s">
        <v>29</v>
      </c>
      <c r="H16" s="47">
        <f>950*3000</f>
        <v>2850000</v>
      </c>
      <c r="I16" s="48">
        <f>1200*3000</f>
        <v>3600000</v>
      </c>
      <c r="J16">
        <f t="shared" si="0"/>
        <v>300000</v>
      </c>
      <c r="K16">
        <f t="shared" si="1"/>
        <v>300000</v>
      </c>
    </row>
    <row r="17" spans="1:11" ht="36.75" customHeight="1" outlineLevel="2">
      <c r="A17" s="5" t="s">
        <v>55</v>
      </c>
      <c r="B17" s="19"/>
      <c r="C17" s="4" t="s">
        <v>72</v>
      </c>
      <c r="D17" s="7"/>
      <c r="E17" s="7"/>
      <c r="F17" s="21"/>
      <c r="H17" s="47"/>
      <c r="I17" s="48">
        <f>2300000+600000</f>
        <v>2900000</v>
      </c>
      <c r="J17">
        <f t="shared" si="0"/>
        <v>241666.66666666666</v>
      </c>
      <c r="K17">
        <f t="shared" si="1"/>
        <v>241666.67</v>
      </c>
    </row>
    <row r="18" spans="1:11" ht="21.75" customHeight="1" outlineLevel="2">
      <c r="A18" s="5" t="s">
        <v>55</v>
      </c>
      <c r="B18" s="19" t="s">
        <v>25</v>
      </c>
      <c r="C18" s="4" t="s">
        <v>26</v>
      </c>
      <c r="D18" s="32"/>
      <c r="E18" s="7"/>
      <c r="F18" s="21" t="s">
        <v>27</v>
      </c>
      <c r="G18" s="40" t="s">
        <v>52</v>
      </c>
      <c r="H18" s="47"/>
      <c r="J18">
        <f t="shared" si="0"/>
        <v>0</v>
      </c>
      <c r="K18">
        <f t="shared" si="1"/>
        <v>0</v>
      </c>
    </row>
    <row r="19" spans="1:11" ht="20.100000000000001" customHeight="1" outlineLevel="1">
      <c r="A19" s="8" t="s">
        <v>8</v>
      </c>
      <c r="B19" s="19"/>
      <c r="C19" s="4"/>
      <c r="D19" s="32">
        <f t="shared" ref="D19:I19" si="3">SUM(D16:D18)</f>
        <v>2700000</v>
      </c>
      <c r="E19" s="32">
        <f t="shared" si="3"/>
        <v>0</v>
      </c>
      <c r="F19" s="32">
        <f t="shared" si="3"/>
        <v>0</v>
      </c>
      <c r="G19" s="32">
        <f t="shared" si="3"/>
        <v>0</v>
      </c>
      <c r="H19" s="45">
        <f t="shared" si="3"/>
        <v>2850000</v>
      </c>
      <c r="I19" s="45">
        <f t="shared" si="3"/>
        <v>6500000</v>
      </c>
      <c r="J19">
        <f t="shared" si="0"/>
        <v>541666.66666666663</v>
      </c>
      <c r="K19">
        <f t="shared" si="1"/>
        <v>541666.67000000004</v>
      </c>
    </row>
    <row r="20" spans="1:11" ht="20.100000000000001" customHeight="1" outlineLevel="2">
      <c r="A20" s="5" t="s">
        <v>25</v>
      </c>
      <c r="B20" s="19" t="s">
        <v>25</v>
      </c>
      <c r="C20" s="4" t="s">
        <v>30</v>
      </c>
      <c r="D20" s="32"/>
      <c r="E20" s="7"/>
      <c r="F20" s="21" t="s">
        <v>31</v>
      </c>
      <c r="H20" s="47">
        <v>2792800</v>
      </c>
      <c r="I20" s="48">
        <f>H20</f>
        <v>2792800</v>
      </c>
      <c r="J20">
        <f t="shared" si="0"/>
        <v>232733.33333333334</v>
      </c>
      <c r="K20">
        <f t="shared" si="1"/>
        <v>232733.33</v>
      </c>
    </row>
    <row r="21" spans="1:11" ht="28.5" customHeight="1" outlineLevel="2">
      <c r="A21" s="5" t="s">
        <v>25</v>
      </c>
      <c r="B21" s="19" t="s">
        <v>25</v>
      </c>
      <c r="C21" s="4" t="s">
        <v>32</v>
      </c>
      <c r="D21" s="33"/>
      <c r="E21" s="7"/>
      <c r="F21" s="24" t="s">
        <v>33</v>
      </c>
      <c r="H21" s="47"/>
      <c r="J21">
        <f t="shared" si="0"/>
        <v>0</v>
      </c>
      <c r="K21">
        <f t="shared" si="1"/>
        <v>0</v>
      </c>
    </row>
    <row r="22" spans="1:11" ht="27" customHeight="1" outlineLevel="2">
      <c r="A22" s="5" t="s">
        <v>5</v>
      </c>
      <c r="B22" s="5" t="s">
        <v>73</v>
      </c>
      <c r="C22" s="4" t="s">
        <v>34</v>
      </c>
      <c r="D22" s="35">
        <v>800000</v>
      </c>
      <c r="E22" s="7"/>
      <c r="F22" s="24"/>
      <c r="H22" s="47">
        <f>800000</f>
        <v>800000</v>
      </c>
      <c r="I22" s="48">
        <f>H22</f>
        <v>800000</v>
      </c>
      <c r="J22">
        <f t="shared" si="0"/>
        <v>66666.666666666672</v>
      </c>
      <c r="K22">
        <f t="shared" si="1"/>
        <v>66666.67</v>
      </c>
    </row>
    <row r="23" spans="1:11" ht="27" customHeight="1" outlineLevel="2">
      <c r="A23" s="5" t="s">
        <v>74</v>
      </c>
      <c r="B23" s="5" t="s">
        <v>75</v>
      </c>
      <c r="C23" s="4" t="s">
        <v>76</v>
      </c>
      <c r="D23" s="35"/>
      <c r="E23" s="7"/>
      <c r="F23" s="24"/>
      <c r="H23" s="47">
        <v>840000</v>
      </c>
      <c r="I23" s="48">
        <f>H23</f>
        <v>840000</v>
      </c>
      <c r="J23">
        <f t="shared" si="0"/>
        <v>70000</v>
      </c>
      <c r="K23">
        <f t="shared" si="1"/>
        <v>70000</v>
      </c>
    </row>
    <row r="24" spans="1:11" ht="36.75" customHeight="1" outlineLevel="2">
      <c r="A24" s="5" t="s">
        <v>25</v>
      </c>
      <c r="B24" s="19" t="s">
        <v>25</v>
      </c>
      <c r="C24" s="4" t="s">
        <v>35</v>
      </c>
      <c r="D24" s="33">
        <f>840000</f>
        <v>840000</v>
      </c>
      <c r="E24" s="7"/>
      <c r="F24" s="21" t="s">
        <v>36</v>
      </c>
      <c r="H24" s="47">
        <f>700000+840000</f>
        <v>1540000</v>
      </c>
      <c r="I24" s="48">
        <f>700000*1.33</f>
        <v>931000</v>
      </c>
      <c r="J24">
        <f t="shared" si="0"/>
        <v>77583.333333333328</v>
      </c>
      <c r="K24">
        <f t="shared" si="1"/>
        <v>77583.33</v>
      </c>
    </row>
    <row r="25" spans="1:11" ht="20.100000000000001" customHeight="1" outlineLevel="1">
      <c r="A25" s="8" t="s">
        <v>9</v>
      </c>
      <c r="B25" s="19"/>
      <c r="C25" s="4"/>
      <c r="D25" s="7">
        <f t="shared" ref="D25:I25" si="4">SUM(D20:D24)</f>
        <v>1640000</v>
      </c>
      <c r="E25" s="7">
        <f t="shared" si="4"/>
        <v>0</v>
      </c>
      <c r="F25" s="7">
        <f t="shared" si="4"/>
        <v>0</v>
      </c>
      <c r="G25" s="7">
        <f t="shared" si="4"/>
        <v>0</v>
      </c>
      <c r="H25" s="26">
        <f t="shared" si="4"/>
        <v>5972800</v>
      </c>
      <c r="I25" s="26">
        <f t="shared" si="4"/>
        <v>5363800</v>
      </c>
      <c r="J25">
        <f t="shared" si="0"/>
        <v>446983.33333333331</v>
      </c>
      <c r="K25">
        <f t="shared" si="1"/>
        <v>446983.33</v>
      </c>
    </row>
    <row r="26" spans="1:11" ht="20.100000000000001" customHeight="1" outlineLevel="2">
      <c r="A26" s="5" t="s">
        <v>37</v>
      </c>
      <c r="B26" s="19" t="s">
        <v>37</v>
      </c>
      <c r="C26" s="4" t="s">
        <v>38</v>
      </c>
      <c r="D26" s="32">
        <v>122000</v>
      </c>
      <c r="E26" s="7"/>
      <c r="F26" s="20" t="s">
        <v>24</v>
      </c>
      <c r="H26" s="47"/>
      <c r="J26">
        <f t="shared" si="0"/>
        <v>0</v>
      </c>
      <c r="K26">
        <f t="shared" si="1"/>
        <v>0</v>
      </c>
    </row>
    <row r="27" spans="1:11" ht="20.100000000000001" customHeight="1" outlineLevel="1">
      <c r="A27" s="8" t="s">
        <v>10</v>
      </c>
      <c r="B27" s="19"/>
      <c r="C27" s="4"/>
      <c r="D27" s="7">
        <f>D26</f>
        <v>122000</v>
      </c>
      <c r="E27" s="7"/>
      <c r="F27" s="20"/>
      <c r="H27" s="47"/>
      <c r="J27">
        <f t="shared" si="0"/>
        <v>0</v>
      </c>
      <c r="K27">
        <f t="shared" si="1"/>
        <v>0</v>
      </c>
    </row>
    <row r="28" spans="1:11" ht="20.100000000000001" customHeight="1" outlineLevel="2">
      <c r="A28" s="5" t="s">
        <v>5</v>
      </c>
      <c r="B28" s="5" t="s">
        <v>54</v>
      </c>
      <c r="C28" s="4" t="s">
        <v>39</v>
      </c>
      <c r="D28" s="42">
        <f>1750*12</f>
        <v>21000</v>
      </c>
      <c r="E28" s="7"/>
      <c r="F28" s="20" t="s">
        <v>40</v>
      </c>
      <c r="H28" s="47">
        <f>500000</f>
        <v>500000</v>
      </c>
      <c r="I28" s="48">
        <f>H28</f>
        <v>500000</v>
      </c>
      <c r="J28">
        <f t="shared" si="0"/>
        <v>41666.666666666664</v>
      </c>
      <c r="K28">
        <f t="shared" si="1"/>
        <v>41666.67</v>
      </c>
    </row>
    <row r="29" spans="1:11" ht="20.100000000000001" customHeight="1" outlineLevel="2">
      <c r="A29" s="5" t="s">
        <v>5</v>
      </c>
      <c r="B29" s="5" t="s">
        <v>54</v>
      </c>
      <c r="C29" s="4" t="s">
        <v>23</v>
      </c>
      <c r="D29" s="43">
        <f>8000*12</f>
        <v>96000</v>
      </c>
      <c r="E29" s="10"/>
      <c r="F29" s="21" t="s">
        <v>41</v>
      </c>
      <c r="H29" s="47">
        <f>250000</f>
        <v>250000</v>
      </c>
      <c r="I29" s="48">
        <f t="shared" ref="I29:I34" si="5">H29</f>
        <v>250000</v>
      </c>
      <c r="J29">
        <f t="shared" si="0"/>
        <v>20833.333333333332</v>
      </c>
      <c r="K29">
        <f t="shared" si="1"/>
        <v>20833.330000000002</v>
      </c>
    </row>
    <row r="30" spans="1:11" ht="20.100000000000001" customHeight="1" outlineLevel="2">
      <c r="A30" s="5" t="s">
        <v>5</v>
      </c>
      <c r="B30" s="5" t="s">
        <v>54</v>
      </c>
      <c r="C30" s="4" t="s">
        <v>42</v>
      </c>
      <c r="D30" s="43"/>
      <c r="E30" s="9"/>
      <c r="F30" s="20" t="s">
        <v>43</v>
      </c>
      <c r="H30" s="47">
        <f>21667</f>
        <v>21667</v>
      </c>
      <c r="I30" s="48">
        <f t="shared" si="5"/>
        <v>21667</v>
      </c>
      <c r="J30">
        <f t="shared" si="0"/>
        <v>1805.5833333333333</v>
      </c>
      <c r="K30">
        <f t="shared" si="1"/>
        <v>1805.58</v>
      </c>
    </row>
    <row r="31" spans="1:11" ht="20.100000000000001" customHeight="1" outlineLevel="2">
      <c r="A31" s="5" t="s">
        <v>5</v>
      </c>
      <c r="B31" s="5" t="s">
        <v>54</v>
      </c>
      <c r="C31" s="4" t="s">
        <v>44</v>
      </c>
      <c r="D31" s="43">
        <f>3000*12</f>
        <v>36000</v>
      </c>
      <c r="E31" s="9"/>
      <c r="F31" s="20"/>
      <c r="H31" s="47">
        <f>336000</f>
        <v>336000</v>
      </c>
      <c r="I31" s="48">
        <f t="shared" si="5"/>
        <v>336000</v>
      </c>
      <c r="J31">
        <f t="shared" si="0"/>
        <v>28000</v>
      </c>
      <c r="K31">
        <f t="shared" si="1"/>
        <v>28000</v>
      </c>
    </row>
    <row r="32" spans="1:11" ht="20.100000000000001" customHeight="1" outlineLevel="2">
      <c r="A32" s="5" t="s">
        <v>5</v>
      </c>
      <c r="B32" s="5" t="s">
        <v>54</v>
      </c>
      <c r="C32" s="4" t="s">
        <v>34</v>
      </c>
      <c r="D32" s="42"/>
      <c r="E32" s="7"/>
      <c r="F32" s="20"/>
      <c r="H32" s="47">
        <f>100000</f>
        <v>100000</v>
      </c>
      <c r="I32" s="48">
        <f t="shared" si="5"/>
        <v>100000</v>
      </c>
      <c r="J32">
        <f t="shared" si="0"/>
        <v>8333.3333333333339</v>
      </c>
      <c r="K32">
        <f t="shared" si="1"/>
        <v>8333.33</v>
      </c>
    </row>
    <row r="33" spans="1:11" ht="20.100000000000001" customHeight="1" outlineLevel="2">
      <c r="A33" s="5" t="s">
        <v>5</v>
      </c>
      <c r="B33" s="5" t="s">
        <v>54</v>
      </c>
      <c r="C33" s="4" t="s">
        <v>45</v>
      </c>
      <c r="D33" s="42"/>
      <c r="E33" s="7"/>
      <c r="F33" s="21" t="s">
        <v>46</v>
      </c>
      <c r="H33" s="47"/>
      <c r="I33" s="48">
        <f t="shared" si="5"/>
        <v>0</v>
      </c>
      <c r="J33">
        <f t="shared" si="0"/>
        <v>0</v>
      </c>
      <c r="K33">
        <f t="shared" si="1"/>
        <v>0</v>
      </c>
    </row>
    <row r="34" spans="1:11" ht="20.100000000000001" customHeight="1" outlineLevel="2">
      <c r="A34" s="5" t="s">
        <v>5</v>
      </c>
      <c r="B34" s="5" t="s">
        <v>54</v>
      </c>
      <c r="C34" s="4" t="s">
        <v>66</v>
      </c>
      <c r="D34" s="42">
        <v>20000</v>
      </c>
      <c r="E34" s="7"/>
      <c r="F34" s="21"/>
      <c r="H34" s="47">
        <f>334200</f>
        <v>334200</v>
      </c>
      <c r="I34" s="48">
        <f t="shared" si="5"/>
        <v>334200</v>
      </c>
      <c r="J34">
        <f t="shared" si="0"/>
        <v>27850</v>
      </c>
      <c r="K34">
        <f t="shared" si="1"/>
        <v>27850</v>
      </c>
    </row>
    <row r="35" spans="1:11" ht="20.100000000000001" customHeight="1" outlineLevel="2">
      <c r="A35" s="5" t="s">
        <v>5</v>
      </c>
      <c r="B35" s="5" t="s">
        <v>54</v>
      </c>
      <c r="C35" s="4" t="s">
        <v>67</v>
      </c>
      <c r="D35" s="32">
        <v>20162.66</v>
      </c>
      <c r="E35" s="7"/>
      <c r="F35" s="21"/>
      <c r="H35" s="47"/>
      <c r="J35">
        <f t="shared" si="0"/>
        <v>0</v>
      </c>
      <c r="K35">
        <f t="shared" si="1"/>
        <v>0</v>
      </c>
    </row>
    <row r="36" spans="1:11" ht="20.100000000000001" customHeight="1" outlineLevel="2">
      <c r="A36" s="5" t="s">
        <v>5</v>
      </c>
      <c r="B36" s="5" t="s">
        <v>54</v>
      </c>
      <c r="C36" s="4" t="s">
        <v>68</v>
      </c>
      <c r="D36" s="32">
        <v>900000</v>
      </c>
      <c r="E36" s="7"/>
      <c r="F36" s="21"/>
      <c r="H36" s="47">
        <f>980000</f>
        <v>980000</v>
      </c>
      <c r="I36" s="48">
        <f>H36</f>
        <v>980000</v>
      </c>
      <c r="J36">
        <f t="shared" si="0"/>
        <v>81666.666666666672</v>
      </c>
      <c r="K36">
        <f t="shared" si="1"/>
        <v>81666.67</v>
      </c>
    </row>
    <row r="37" spans="1:11" ht="20.100000000000001" customHeight="1" outlineLevel="2">
      <c r="A37" s="5" t="s">
        <v>5</v>
      </c>
      <c r="B37" s="5" t="s">
        <v>54</v>
      </c>
      <c r="C37" s="4" t="s">
        <v>47</v>
      </c>
      <c r="D37" s="32"/>
      <c r="E37" s="7"/>
      <c r="F37" s="20" t="s">
        <v>48</v>
      </c>
      <c r="H37" s="47"/>
      <c r="J37">
        <f t="shared" si="0"/>
        <v>0</v>
      </c>
      <c r="K37">
        <f t="shared" si="1"/>
        <v>0</v>
      </c>
    </row>
    <row r="38" spans="1:11" ht="20.100000000000001" customHeight="1" outlineLevel="1">
      <c r="A38" s="8" t="s">
        <v>57</v>
      </c>
      <c r="B38" s="19"/>
      <c r="C38" s="4"/>
      <c r="D38" s="7">
        <f t="shared" ref="D38:I38" si="6">SUM(D28:D37)</f>
        <v>1093162.6599999999</v>
      </c>
      <c r="E38" s="7">
        <f t="shared" si="6"/>
        <v>0</v>
      </c>
      <c r="F38" s="7">
        <f t="shared" si="6"/>
        <v>0</v>
      </c>
      <c r="G38" s="7">
        <f t="shared" si="6"/>
        <v>0</v>
      </c>
      <c r="H38" s="26">
        <f t="shared" si="6"/>
        <v>2521867</v>
      </c>
      <c r="I38" s="26">
        <f t="shared" si="6"/>
        <v>2521867</v>
      </c>
      <c r="J38">
        <f t="shared" si="0"/>
        <v>210155.58333333334</v>
      </c>
      <c r="K38">
        <f t="shared" si="1"/>
        <v>210155.58</v>
      </c>
    </row>
    <row r="39" spans="1:11" ht="20.100000000000001" customHeight="1" outlineLevel="2">
      <c r="A39" s="5" t="s">
        <v>53</v>
      </c>
      <c r="B39" s="19" t="s">
        <v>12</v>
      </c>
      <c r="C39" s="4" t="s">
        <v>49</v>
      </c>
      <c r="D39" s="32">
        <v>150000</v>
      </c>
      <c r="E39" s="7"/>
      <c r="F39" s="20" t="s">
        <v>50</v>
      </c>
      <c r="H39" s="47">
        <v>200000</v>
      </c>
      <c r="I39" s="48">
        <f>H39</f>
        <v>200000</v>
      </c>
      <c r="J39">
        <f t="shared" si="0"/>
        <v>16666.666666666668</v>
      </c>
      <c r="K39">
        <f t="shared" si="1"/>
        <v>16666.669999999998</v>
      </c>
    </row>
    <row r="40" spans="1:11" ht="20.100000000000001" customHeight="1" outlineLevel="2">
      <c r="A40" s="5" t="s">
        <v>53</v>
      </c>
      <c r="B40" s="19" t="s">
        <v>0</v>
      </c>
      <c r="C40" s="4" t="s">
        <v>49</v>
      </c>
      <c r="D40" s="32"/>
      <c r="E40" s="7"/>
      <c r="F40" s="20"/>
      <c r="H40" s="47"/>
      <c r="I40" s="48">
        <f t="shared" ref="I40:I45" si="7">H40</f>
        <v>0</v>
      </c>
      <c r="J40">
        <f t="shared" si="0"/>
        <v>0</v>
      </c>
      <c r="K40">
        <f t="shared" si="1"/>
        <v>0</v>
      </c>
    </row>
    <row r="41" spans="1:11" ht="20.100000000000001" customHeight="1" outlineLevel="2">
      <c r="A41" s="5" t="s">
        <v>53</v>
      </c>
      <c r="B41" s="5" t="s">
        <v>59</v>
      </c>
      <c r="C41" s="23" t="s">
        <v>60</v>
      </c>
      <c r="D41" s="32">
        <v>100000</v>
      </c>
      <c r="E41" s="7"/>
      <c r="F41" s="20"/>
      <c r="H41" s="47">
        <v>207000</v>
      </c>
      <c r="I41" s="48">
        <f t="shared" si="7"/>
        <v>207000</v>
      </c>
      <c r="J41">
        <f t="shared" si="0"/>
        <v>17250</v>
      </c>
      <c r="K41">
        <f t="shared" si="1"/>
        <v>17250</v>
      </c>
    </row>
    <row r="42" spans="1:11" ht="20.100000000000001" customHeight="1" outlineLevel="2">
      <c r="A42" s="5" t="s">
        <v>53</v>
      </c>
      <c r="B42" s="5" t="s">
        <v>61</v>
      </c>
      <c r="C42" s="23" t="s">
        <v>62</v>
      </c>
      <c r="D42" s="32"/>
      <c r="E42" s="7"/>
      <c r="F42" s="20"/>
      <c r="H42" s="47"/>
      <c r="I42" s="48">
        <f t="shared" si="7"/>
        <v>0</v>
      </c>
      <c r="J42">
        <f t="shared" si="0"/>
        <v>0</v>
      </c>
      <c r="K42">
        <f t="shared" si="1"/>
        <v>0</v>
      </c>
    </row>
    <row r="43" spans="1:11" ht="20.100000000000001" customHeight="1" outlineLevel="2">
      <c r="A43" s="5" t="s">
        <v>53</v>
      </c>
      <c r="B43" s="5" t="s">
        <v>65</v>
      </c>
      <c r="C43" s="23" t="s">
        <v>62</v>
      </c>
      <c r="D43" s="32">
        <v>100000</v>
      </c>
      <c r="E43" s="7"/>
      <c r="F43" s="20"/>
      <c r="H43" s="47">
        <v>202000</v>
      </c>
      <c r="I43" s="48">
        <f t="shared" si="7"/>
        <v>202000</v>
      </c>
      <c r="J43">
        <f t="shared" si="0"/>
        <v>16833.333333333332</v>
      </c>
      <c r="K43">
        <f t="shared" si="1"/>
        <v>16833.330000000002</v>
      </c>
    </row>
    <row r="44" spans="1:11" ht="20.100000000000001" customHeight="1" outlineLevel="2">
      <c r="A44" s="5" t="s">
        <v>53</v>
      </c>
      <c r="B44" s="39" t="s">
        <v>63</v>
      </c>
      <c r="C44" s="38" t="s">
        <v>62</v>
      </c>
      <c r="D44" s="32"/>
      <c r="E44" s="7"/>
      <c r="F44" s="20" t="s">
        <v>51</v>
      </c>
      <c r="H44" s="47"/>
      <c r="I44" s="48">
        <f t="shared" si="7"/>
        <v>0</v>
      </c>
      <c r="J44">
        <f t="shared" si="0"/>
        <v>0</v>
      </c>
      <c r="K44">
        <f t="shared" si="1"/>
        <v>0</v>
      </c>
    </row>
    <row r="45" spans="1:11" ht="20.100000000000001" customHeight="1" outlineLevel="1">
      <c r="A45" s="8" t="s">
        <v>56</v>
      </c>
      <c r="B45" s="19"/>
      <c r="C45" s="4"/>
      <c r="D45" s="7">
        <f>SUM(D39:D44)</f>
        <v>350000</v>
      </c>
      <c r="E45" s="7">
        <f>SUM(E39:E44)</f>
        <v>0</v>
      </c>
      <c r="F45" s="7">
        <f>SUM(F39:F44)</f>
        <v>0</v>
      </c>
      <c r="G45" s="7">
        <f>SUM(G39:G44)</f>
        <v>0</v>
      </c>
      <c r="H45" s="26">
        <f>SUM(H39:H44)</f>
        <v>609000</v>
      </c>
      <c r="I45" s="48">
        <f t="shared" si="7"/>
        <v>609000</v>
      </c>
      <c r="J45">
        <f t="shared" si="0"/>
        <v>50750</v>
      </c>
      <c r="K45">
        <f t="shared" si="1"/>
        <v>50750</v>
      </c>
    </row>
    <row r="46" spans="1:11" ht="20.100000000000001" customHeight="1">
      <c r="A46" s="8" t="s">
        <v>11</v>
      </c>
      <c r="B46" s="19"/>
      <c r="C46" s="4"/>
      <c r="D46" s="7">
        <f t="shared" ref="D46:I46" si="8">D13+D15+D19+D25+D27+D38+D45</f>
        <v>6025162.6600000001</v>
      </c>
      <c r="E46" s="7">
        <f t="shared" si="8"/>
        <v>0</v>
      </c>
      <c r="F46" s="7">
        <f t="shared" si="8"/>
        <v>0</v>
      </c>
      <c r="G46" s="7">
        <f t="shared" si="8"/>
        <v>0</v>
      </c>
      <c r="H46" s="26">
        <f t="shared" si="8"/>
        <v>29621470.893333331</v>
      </c>
      <c r="I46" s="26">
        <f t="shared" si="8"/>
        <v>30542470.893333331</v>
      </c>
      <c r="J46" s="50"/>
      <c r="K46">
        <f t="shared" si="1"/>
        <v>0</v>
      </c>
    </row>
    <row r="47" spans="1:11" ht="15">
      <c r="A47" s="11"/>
      <c r="B47" s="12"/>
      <c r="C47" s="14"/>
      <c r="D47" s="36"/>
      <c r="E47" s="13"/>
      <c r="F47" s="15"/>
      <c r="J47" s="3"/>
    </row>
  </sheetData>
  <autoFilter ref="A5:G45"/>
  <dataConsolidate/>
  <mergeCells count="1">
    <mergeCell ref="A2:F3"/>
  </mergeCells>
  <phoneticPr fontId="2" type="noConversion"/>
  <pageMargins left="0.75" right="0.75" top="1" bottom="1" header="0.5" footer="0.5"/>
  <pageSetup paperSize="9" orientation="landscape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各部门费用</vt:lpstr>
      <vt:lpstr>按费用归口管理部门分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lvcc</cp:lastModifiedBy>
  <cp:lastPrinted>2012-05-25T13:16:29Z</cp:lastPrinted>
  <dcterms:created xsi:type="dcterms:W3CDTF">2012-02-06T09:08:09Z</dcterms:created>
  <dcterms:modified xsi:type="dcterms:W3CDTF">2014-04-24T02:20:03Z</dcterms:modified>
</cp:coreProperties>
</file>