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advancement" sheetId="4" r:id="rId1"/>
    <sheet name="进阶要求" sheetId="32" r:id="rId2"/>
    <sheet name="武将总属性分配" sheetId="12" r:id="rId3"/>
    <sheet name="6星每级加强属性曲线演算" sheetId="13" r:id="rId4"/>
    <sheet name="5星每级加强属性曲线演算" sheetId="30" r:id="rId5"/>
    <sheet name="4星每级加强属性曲线演算" sheetId="29" r:id="rId6"/>
    <sheet name="3星每级加强属性曲线演算" sheetId="28" r:id="rId7"/>
    <sheet name="2星每级加强属性曲线演算" sheetId="27" r:id="rId8"/>
    <sheet name="1星每级加强属性曲线演算" sheetId="25" r:id="rId9"/>
    <sheet name="职业分类属性" sheetId="9" r:id="rId10"/>
    <sheet name="职业属性偏向" sheetId="10" r:id="rId11"/>
    <sheet name="星级总属性" sheetId="11" r:id="rId12"/>
    <sheet name="属性分配方式1" sheetId="14" r:id="rId13"/>
    <sheet name="属性分配方式2" sheetId="15" r:id="rId14"/>
    <sheet name="属性分配方式3" sheetId="16" r:id="rId15"/>
    <sheet name="属性顺序表" sheetId="31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localSheetId="0" hidden="1">advancement!#REF!</definedName>
    <definedName name="NPC功能列表" localSheetId="8">#REF!</definedName>
    <definedName name="NPC功能列表" localSheetId="7">#REF!</definedName>
    <definedName name="NPC功能列表" localSheetId="6">#REF!</definedName>
    <definedName name="NPC功能列表" localSheetId="5">#REF!</definedName>
    <definedName name="NPC功能列表" localSheetId="4">#REF!</definedName>
    <definedName name="NPC功能列表" localSheetId="14">#REF!</definedName>
    <definedName name="NPC功能列表">#REF!</definedName>
    <definedName name="抽卡卡包" localSheetId="8">#REF!</definedName>
    <definedName name="抽卡卡包" localSheetId="7">#REF!</definedName>
    <definedName name="抽卡卡包" localSheetId="6">#REF!</definedName>
    <definedName name="抽卡卡包" localSheetId="5">#REF!</definedName>
    <definedName name="抽卡卡包" localSheetId="4">#REF!</definedName>
    <definedName name="抽卡卡包" localSheetId="14">#REF!</definedName>
    <definedName name="抽卡卡包">#REF!</definedName>
    <definedName name="敌人死亡动画">[1]Skill!$AP$2:$AP$5</definedName>
    <definedName name="飞行物轨迹">[1]Skill!$AQ$2:$AQ$6</definedName>
    <definedName name="符文类型" localSheetId="8">#REF!</definedName>
    <definedName name="符文类型" localSheetId="7">#REF!</definedName>
    <definedName name="符文类型" localSheetId="6">#REF!</definedName>
    <definedName name="符文类型" localSheetId="5">#REF!</definedName>
    <definedName name="符文类型" localSheetId="4">#REF!</definedName>
    <definedName name="符文类型" localSheetId="14">#REF!</definedName>
    <definedName name="符文类型">#REF!</definedName>
    <definedName name="符文品阶" localSheetId="8">#REF!</definedName>
    <definedName name="符文品阶" localSheetId="7">#REF!</definedName>
    <definedName name="符文品阶" localSheetId="6">#REF!</definedName>
    <definedName name="符文品阶" localSheetId="5">#REF!</definedName>
    <definedName name="符文品阶" localSheetId="4">#REF!</definedName>
    <definedName name="符文品阶" localSheetId="14">#REF!</definedName>
    <definedName name="符文品阶">#REF!</definedName>
    <definedName name="格子类型" localSheetId="8">#REF!</definedName>
    <definedName name="格子类型" localSheetId="7">#REF!</definedName>
    <definedName name="格子类型" localSheetId="6">#REF!</definedName>
    <definedName name="格子类型" localSheetId="5">#REF!</definedName>
    <definedName name="格子类型" localSheetId="4">#REF!</definedName>
    <definedName name="格子类型" localSheetId="14">#REF!</definedName>
    <definedName name="格子类型">#REF!</definedName>
    <definedName name="公会活动类型" localSheetId="8">#REF!</definedName>
    <definedName name="公会活动类型" localSheetId="7">#REF!</definedName>
    <definedName name="公会活动类型" localSheetId="6">#REF!</definedName>
    <definedName name="公会活动类型" localSheetId="5">#REF!</definedName>
    <definedName name="公会活动类型" localSheetId="4">#REF!</definedName>
    <definedName name="公会活动类型" localSheetId="14">#REF!</definedName>
    <definedName name="公会活动类型">#REF!</definedName>
    <definedName name="攻击策略">[1]Enemy!$AD$2:$AD$8</definedName>
    <definedName name="技能类型">[1]Skill!$AN$2:$AN$15</definedName>
    <definedName name="加点效果" localSheetId="8">#REF!</definedName>
    <definedName name="加点效果" localSheetId="7">#REF!</definedName>
    <definedName name="加点效果" localSheetId="6">#REF!</definedName>
    <definedName name="加点效果" localSheetId="5">#REF!</definedName>
    <definedName name="加点效果" localSheetId="4">#REF!</definedName>
    <definedName name="加点效果" localSheetId="14">#REF!</definedName>
    <definedName name="加点效果">#REF!</definedName>
    <definedName name="卡牌技能生效范围" localSheetId="8">#REF!</definedName>
    <definedName name="卡牌技能生效范围" localSheetId="7">#REF!</definedName>
    <definedName name="卡牌技能生效范围" localSheetId="6">#REF!</definedName>
    <definedName name="卡牌技能生效范围" localSheetId="5">#REF!</definedName>
    <definedName name="卡牌技能生效范围" localSheetId="4">#REF!</definedName>
    <definedName name="卡牌技能生效范围" localSheetId="14">#REF!</definedName>
    <definedName name="卡牌技能生效范围">#REF!</definedName>
    <definedName name="开启条件列表" localSheetId="8">#REF!</definedName>
    <definedName name="开启条件列表" localSheetId="7">#REF!</definedName>
    <definedName name="开启条件列表" localSheetId="6">#REF!</definedName>
    <definedName name="开启条件列表" localSheetId="5">#REF!</definedName>
    <definedName name="开启条件列表" localSheetId="4">#REF!</definedName>
    <definedName name="开启条件列表" localSheetId="14">#REF!</definedName>
    <definedName name="开启条件列表">#REF!</definedName>
    <definedName name="迷宫类型" localSheetId="8">#REF!</definedName>
    <definedName name="迷宫类型" localSheetId="7">#REF!</definedName>
    <definedName name="迷宫类型" localSheetId="6">#REF!</definedName>
    <definedName name="迷宫类型" localSheetId="5">#REF!</definedName>
    <definedName name="迷宫类型" localSheetId="4">#REF!</definedName>
    <definedName name="迷宫类型" localSheetId="14">#REF!</definedName>
    <definedName name="迷宫类型">#REF!</definedName>
    <definedName name="生效对象">[1]achevements!$AJ$2:$AJ$9</definedName>
    <definedName name="使用对象" localSheetId="8">#REF!</definedName>
    <definedName name="使用对象" localSheetId="7">#REF!</definedName>
    <definedName name="使用对象" localSheetId="6">#REF!</definedName>
    <definedName name="使用对象" localSheetId="5">#REF!</definedName>
    <definedName name="使用对象" localSheetId="4">#REF!</definedName>
    <definedName name="使用对象" localSheetId="14">#REF!</definedName>
    <definedName name="使用对象">#REF!</definedName>
    <definedName name="完成条件">[1]achevements!$AI$2:$AI$21</definedName>
    <definedName name="物品类型" localSheetId="8">#REF!</definedName>
    <definedName name="物品类型" localSheetId="7">#REF!</definedName>
    <definedName name="物品类型" localSheetId="6">#REF!</definedName>
    <definedName name="物品类型" localSheetId="5">#REF!</definedName>
    <definedName name="物品类型" localSheetId="4">#REF!</definedName>
    <definedName name="物品类型" localSheetId="14">#REF!</definedName>
    <definedName name="物品类型">#REF!</definedName>
    <definedName name="物品效果" localSheetId="8">#REF!</definedName>
    <definedName name="物品效果" localSheetId="7">#REF!</definedName>
    <definedName name="物品效果" localSheetId="6">#REF!</definedName>
    <definedName name="物品效果" localSheetId="5">#REF!</definedName>
    <definedName name="物品效果" localSheetId="4">#REF!</definedName>
    <definedName name="物品效果" localSheetId="14">#REF!</definedName>
    <definedName name="物品效果">#REF!</definedName>
    <definedName name="优惠图">[2]pay!$I$23:$I$25</definedName>
    <definedName name="游戏活动类型">[3]activities!$T$2:$T$26</definedName>
    <definedName name="驭兽效果" localSheetId="8">#REF!</definedName>
    <definedName name="驭兽效果" localSheetId="7">#REF!</definedName>
    <definedName name="驭兽效果" localSheetId="6">#REF!</definedName>
    <definedName name="驭兽效果" localSheetId="5">#REF!</definedName>
    <definedName name="驭兽效果" localSheetId="4">#REF!</definedName>
    <definedName name="驭兽效果" localSheetId="14">#REF!</definedName>
    <definedName name="驭兽效果">#REF!</definedName>
    <definedName name="装备特性">[1]item!$X$2:$X$6</definedName>
  </definedNames>
  <calcPr calcId="152511"/>
</workbook>
</file>

<file path=xl/calcChain.xml><?xml version="1.0" encoding="utf-8"?>
<calcChain xmlns="http://schemas.openxmlformats.org/spreadsheetml/2006/main">
  <c r="C3" i="32" l="1"/>
  <c r="E10" i="4" s="1"/>
  <c r="C4" i="32"/>
  <c r="E11" i="4" s="1"/>
  <c r="C5" i="32"/>
  <c r="E12" i="4" s="1"/>
  <c r="C6" i="32"/>
  <c r="E13" i="4" s="1"/>
  <c r="C7" i="32"/>
  <c r="E7" i="4" s="1"/>
  <c r="C8" i="32"/>
  <c r="E15" i="4" s="1"/>
  <c r="C9" i="32"/>
  <c r="E16" i="4" s="1"/>
  <c r="C10" i="32"/>
  <c r="C11" i="32"/>
  <c r="E18" i="4" s="1"/>
  <c r="C12" i="32"/>
  <c r="E29" i="4" s="1"/>
  <c r="C13" i="32"/>
  <c r="E30" i="4" s="1"/>
  <c r="C14" i="32"/>
  <c r="E31" i="4" s="1"/>
  <c r="C15" i="32"/>
  <c r="C16" i="32"/>
  <c r="C17" i="32"/>
  <c r="C2" i="32"/>
  <c r="E9" i="4" s="1"/>
  <c r="E17" i="4"/>
  <c r="E23" i="4"/>
  <c r="E3" i="4"/>
  <c r="E6" i="4"/>
  <c r="F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2" i="4"/>
  <c r="F23" i="4"/>
  <c r="F26" i="4"/>
  <c r="F27" i="4"/>
  <c r="F29" i="4"/>
  <c r="F30" i="4"/>
  <c r="F31" i="4"/>
  <c r="F3" i="4"/>
  <c r="B19" i="4"/>
  <c r="B20" i="4"/>
  <c r="E20" i="4" s="1"/>
  <c r="B21" i="4"/>
  <c r="F21" i="4" s="1"/>
  <c r="B22" i="4"/>
  <c r="B23" i="4"/>
  <c r="B24" i="4"/>
  <c r="F24" i="4" s="1"/>
  <c r="B25" i="4"/>
  <c r="F25" i="4" s="1"/>
  <c r="B26" i="4"/>
  <c r="B27" i="4"/>
  <c r="E27" i="4" s="1"/>
  <c r="B28" i="4"/>
  <c r="F28" i="4" s="1"/>
  <c r="N20" i="4"/>
  <c r="N21" i="4" s="1"/>
  <c r="N22" i="4" s="1"/>
  <c r="N23" i="4" s="1"/>
  <c r="N24" i="4" s="1"/>
  <c r="N25" i="4" s="1"/>
  <c r="N26" i="4" s="1"/>
  <c r="N27" i="4" s="1"/>
  <c r="N28" i="4" s="1"/>
  <c r="M20" i="4"/>
  <c r="M21" i="4" s="1"/>
  <c r="M22" i="4" s="1"/>
  <c r="M23" i="4" s="1"/>
  <c r="M24" i="4" s="1"/>
  <c r="M25" i="4" s="1"/>
  <c r="M26" i="4" s="1"/>
  <c r="M27" i="4" s="1"/>
  <c r="M28" i="4" s="1"/>
  <c r="L20" i="4"/>
  <c r="L21" i="4" s="1"/>
  <c r="L22" i="4" s="1"/>
  <c r="L23" i="4" s="1"/>
  <c r="L24" i="4" s="1"/>
  <c r="L25" i="4" s="1"/>
  <c r="L26" i="4" s="1"/>
  <c r="L27" i="4" s="1"/>
  <c r="L28" i="4" s="1"/>
  <c r="L10" i="4"/>
  <c r="L11" i="4" s="1"/>
  <c r="L12" i="4" s="1"/>
  <c r="L13" i="4" s="1"/>
  <c r="L14" i="4" s="1"/>
  <c r="L15" i="4" s="1"/>
  <c r="L16" i="4" s="1"/>
  <c r="L17" i="4" s="1"/>
  <c r="L18" i="4" s="1"/>
  <c r="M10" i="4"/>
  <c r="M11" i="4" s="1"/>
  <c r="M12" i="4" s="1"/>
  <c r="M13" i="4" s="1"/>
  <c r="M14" i="4" s="1"/>
  <c r="M15" i="4" s="1"/>
  <c r="M16" i="4" s="1"/>
  <c r="M17" i="4" s="1"/>
  <c r="M18" i="4" s="1"/>
  <c r="N10" i="4"/>
  <c r="N11" i="4" s="1"/>
  <c r="N12" i="4" s="1"/>
  <c r="N13" i="4" s="1"/>
  <c r="N14" i="4" s="1"/>
  <c r="N15" i="4" s="1"/>
  <c r="N16" i="4" s="1"/>
  <c r="N17" i="4" s="1"/>
  <c r="N18" i="4" s="1"/>
  <c r="F20" i="4" l="1"/>
  <c r="E26" i="4"/>
  <c r="E28" i="4"/>
  <c r="E25" i="4"/>
  <c r="E8" i="4"/>
  <c r="E14" i="4"/>
  <c r="E24" i="4"/>
  <c r="E5" i="4"/>
  <c r="E22" i="4"/>
  <c r="E4" i="4"/>
  <c r="E21" i="4"/>
  <c r="E19" i="4"/>
  <c r="E2" i="4"/>
  <c r="H2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F1" i="13"/>
  <c r="G1" i="13"/>
  <c r="H1" i="13"/>
  <c r="I1" i="13"/>
  <c r="F2" i="13"/>
  <c r="G2" i="13"/>
  <c r="B3" i="13" s="1"/>
  <c r="I2" i="13"/>
  <c r="H2" i="28" l="1"/>
  <c r="J2" i="28" s="1"/>
  <c r="H2" i="29"/>
  <c r="J2" i="29" s="1"/>
  <c r="H2" i="25"/>
  <c r="J2" i="25" s="1"/>
  <c r="H2" i="30"/>
  <c r="H2" i="27"/>
  <c r="J2" i="27" s="1"/>
  <c r="L17" i="30"/>
  <c r="L16" i="30"/>
  <c r="L15" i="30"/>
  <c r="L14" i="30"/>
  <c r="L13" i="30"/>
  <c r="L12" i="30"/>
  <c r="L11" i="30"/>
  <c r="L10" i="30"/>
  <c r="L9" i="30"/>
  <c r="L8" i="30"/>
  <c r="L7" i="30"/>
  <c r="L6" i="30"/>
  <c r="L5" i="30"/>
  <c r="L4" i="30"/>
  <c r="L3" i="30"/>
  <c r="J2" i="30"/>
  <c r="L17" i="29"/>
  <c r="L16" i="29"/>
  <c r="L15" i="29"/>
  <c r="L14" i="29"/>
  <c r="L13" i="29"/>
  <c r="L12" i="29"/>
  <c r="L11" i="29"/>
  <c r="L10" i="29"/>
  <c r="L9" i="29"/>
  <c r="L8" i="29"/>
  <c r="L7" i="29"/>
  <c r="L6" i="29"/>
  <c r="L5" i="29"/>
  <c r="L4" i="29"/>
  <c r="L3" i="29"/>
  <c r="L17" i="28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17" i="27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17" i="25"/>
  <c r="L16" i="25"/>
  <c r="L15" i="25"/>
  <c r="L14" i="25"/>
  <c r="L13" i="25"/>
  <c r="L12" i="25"/>
  <c r="L11" i="25"/>
  <c r="L10" i="25"/>
  <c r="L9" i="25"/>
  <c r="L8" i="25"/>
  <c r="L7" i="25"/>
  <c r="L6" i="25"/>
  <c r="L5" i="25"/>
  <c r="L4" i="25"/>
  <c r="L3" i="25"/>
  <c r="H4" i="16"/>
  <c r="G4" i="16"/>
  <c r="F4" i="16"/>
  <c r="E4" i="16"/>
  <c r="D4" i="16"/>
  <c r="C4" i="16"/>
  <c r="B4" i="16"/>
  <c r="H4" i="14"/>
  <c r="C4" i="14"/>
  <c r="D4" i="14"/>
  <c r="E4" i="14"/>
  <c r="F4" i="14"/>
  <c r="G4" i="14"/>
  <c r="B4" i="14"/>
  <c r="B35" i="12"/>
  <c r="C35" i="12"/>
  <c r="D35" i="12"/>
  <c r="E35" i="12"/>
  <c r="H4" i="12" l="1"/>
  <c r="H3" i="16"/>
  <c r="G52" i="12"/>
  <c r="F52" i="12"/>
  <c r="E52" i="12"/>
  <c r="D52" i="12"/>
  <c r="C52" i="12"/>
  <c r="B52" i="12"/>
  <c r="H3" i="15"/>
  <c r="H3" i="14"/>
  <c r="G35" i="12"/>
  <c r="F35" i="12"/>
  <c r="G17" i="12"/>
  <c r="F17" i="12"/>
  <c r="L3" i="13"/>
  <c r="J2" i="13"/>
  <c r="C3" i="13" l="1"/>
  <c r="B4" i="13" s="1"/>
  <c r="D4" i="13" s="1"/>
  <c r="E4" i="15"/>
  <c r="H4" i="15"/>
  <c r="D4" i="15"/>
  <c r="G4" i="15"/>
  <c r="C4" i="15"/>
  <c r="F4" i="15"/>
  <c r="B4" i="15"/>
  <c r="C11" i="13"/>
  <c r="C7" i="13"/>
  <c r="C15" i="13"/>
  <c r="C14" i="13"/>
  <c r="C10" i="13"/>
  <c r="C6" i="13"/>
  <c r="C17" i="13"/>
  <c r="C13" i="13"/>
  <c r="C9" i="13"/>
  <c r="C5" i="13"/>
  <c r="C16" i="13"/>
  <c r="C12" i="13"/>
  <c r="C8" i="13"/>
  <c r="C4" i="13"/>
  <c r="B5" i="13" l="1"/>
  <c r="D5" i="13" s="1"/>
  <c r="E17" i="12"/>
  <c r="D17" i="12"/>
  <c r="C17" i="12"/>
  <c r="B17" i="12"/>
  <c r="B6" i="13" l="1"/>
  <c r="D6" i="13" s="1"/>
  <c r="C16" i="10"/>
  <c r="D16" i="10"/>
  <c r="E16" i="10"/>
  <c r="B16" i="10"/>
  <c r="B7" i="13" l="1"/>
  <c r="D7" i="13" s="1"/>
  <c r="B8" i="13" l="1"/>
  <c r="D8" i="13" s="1"/>
  <c r="D4" i="10"/>
  <c r="B5" i="10"/>
  <c r="D7" i="10"/>
  <c r="C8" i="10"/>
  <c r="B9" i="10"/>
  <c r="E11" i="10"/>
  <c r="D12" i="10"/>
  <c r="E14" i="10"/>
  <c r="D15" i="10"/>
  <c r="C16" i="9"/>
  <c r="E5" i="10" s="1"/>
  <c r="D16" i="9"/>
  <c r="D9" i="10" s="1"/>
  <c r="E16" i="9"/>
  <c r="C5" i="10" s="1"/>
  <c r="B16" i="9"/>
  <c r="B7" i="10" s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E3" i="10" l="1"/>
  <c r="E15" i="10"/>
  <c r="B14" i="10"/>
  <c r="C13" i="10"/>
  <c r="E12" i="10"/>
  <c r="B10" i="10"/>
  <c r="C9" i="10"/>
  <c r="D8" i="10"/>
  <c r="E7" i="10"/>
  <c r="B6" i="10"/>
  <c r="D5" i="10"/>
  <c r="E4" i="10"/>
  <c r="B13" i="10"/>
  <c r="B3" i="10"/>
  <c r="C3" i="10"/>
  <c r="C15" i="10"/>
  <c r="D14" i="10"/>
  <c r="E13" i="10"/>
  <c r="C12" i="10"/>
  <c r="D11" i="10"/>
  <c r="E10" i="10"/>
  <c r="E9" i="10"/>
  <c r="B8" i="10"/>
  <c r="C7" i="10"/>
  <c r="E6" i="10"/>
  <c r="B4" i="10"/>
  <c r="B15" i="10"/>
  <c r="C14" i="10"/>
  <c r="D13" i="10"/>
  <c r="B11" i="10"/>
  <c r="C10" i="10"/>
  <c r="E8" i="10"/>
  <c r="C6" i="10"/>
  <c r="D10" i="10"/>
  <c r="D6" i="10"/>
  <c r="D3" i="10"/>
  <c r="C4" i="10"/>
  <c r="B12" i="10"/>
  <c r="C11" i="10"/>
  <c r="B9" i="13"/>
  <c r="O3" i="4"/>
  <c r="O14" i="4"/>
  <c r="C21" i="4"/>
  <c r="C28" i="4"/>
  <c r="O23" i="4"/>
  <c r="C18" i="4"/>
  <c r="O5" i="4"/>
  <c r="O26" i="4"/>
  <c r="C30" i="4"/>
  <c r="C23" i="4"/>
  <c r="O24" i="4"/>
  <c r="C27" i="4"/>
  <c r="O12" i="4"/>
  <c r="C29" i="4"/>
  <c r="C9" i="4"/>
  <c r="O17" i="4"/>
  <c r="C22" i="4"/>
  <c r="O7" i="4"/>
  <c r="C17" i="4"/>
  <c r="O11" i="4"/>
  <c r="C19" i="4"/>
  <c r="O25" i="4"/>
  <c r="O22" i="4"/>
  <c r="C16" i="4"/>
  <c r="C31" i="4"/>
  <c r="O16" i="4"/>
  <c r="C20" i="4"/>
  <c r="O29" i="4"/>
  <c r="O13" i="4"/>
  <c r="C14" i="4"/>
  <c r="C7" i="4"/>
  <c r="O2" i="4"/>
  <c r="O21" i="4"/>
  <c r="O20" i="4"/>
  <c r="C24" i="4"/>
  <c r="C8" i="4"/>
  <c r="O30" i="4"/>
  <c r="C15" i="4"/>
  <c r="C11" i="4"/>
  <c r="C2" i="4"/>
  <c r="O31" i="4"/>
  <c r="C26" i="4"/>
  <c r="O6" i="4"/>
  <c r="O27" i="4"/>
  <c r="C6" i="4"/>
  <c r="O9" i="4"/>
  <c r="C13" i="4"/>
  <c r="O15" i="4"/>
  <c r="O18" i="4"/>
  <c r="C5" i="4"/>
  <c r="C12" i="4"/>
  <c r="O8" i="4"/>
  <c r="C25" i="4"/>
  <c r="O4" i="4"/>
  <c r="O19" i="4"/>
  <c r="C10" i="4"/>
  <c r="C3" i="4"/>
  <c r="O10" i="4"/>
  <c r="C4" i="4"/>
  <c r="O28" i="4"/>
  <c r="B10" i="13" l="1"/>
  <c r="D10" i="13" s="1"/>
  <c r="D9" i="13"/>
  <c r="B11" i="13" l="1"/>
  <c r="B12" i="13" s="1"/>
  <c r="D11" i="13" l="1"/>
  <c r="B13" i="13"/>
  <c r="D12" i="13"/>
  <c r="D13" i="13" l="1"/>
  <c r="B14" i="13"/>
  <c r="B15" i="13" l="1"/>
  <c r="D14" i="13"/>
  <c r="B16" i="13" l="1"/>
  <c r="D15" i="13"/>
  <c r="B17" i="13" l="1"/>
  <c r="D16" i="13"/>
  <c r="I4" i="13"/>
  <c r="G4" i="13" l="1"/>
  <c r="J4" i="13"/>
  <c r="H4" i="13"/>
  <c r="D17" i="13"/>
  <c r="F29" i="12"/>
  <c r="G29" i="12" s="1"/>
  <c r="F49" i="12"/>
  <c r="G49" i="12" s="1"/>
  <c r="F32" i="12"/>
  <c r="G32" i="12" s="1"/>
  <c r="F6" i="12"/>
  <c r="G6" i="12" s="1"/>
  <c r="F26" i="12"/>
  <c r="G26" i="12" s="1"/>
  <c r="F13" i="12"/>
  <c r="G13" i="12" s="1"/>
  <c r="F44" i="12"/>
  <c r="G44" i="12" s="1"/>
  <c r="F28" i="12"/>
  <c r="G28" i="12" s="1"/>
  <c r="F16" i="12"/>
  <c r="G16" i="12" s="1"/>
  <c r="F48" i="12"/>
  <c r="G48" i="12" s="1"/>
  <c r="F41" i="12"/>
  <c r="G41" i="12" s="1"/>
  <c r="F34" i="12"/>
  <c r="G34" i="12" s="1"/>
  <c r="F43" i="12"/>
  <c r="G43" i="12" s="1"/>
  <c r="F27" i="12"/>
  <c r="G27" i="12" s="1"/>
  <c r="F10" i="12"/>
  <c r="G10" i="12" s="1"/>
  <c r="F9" i="12"/>
  <c r="G9" i="12" s="1"/>
  <c r="F14" i="12"/>
  <c r="G14" i="12" s="1"/>
  <c r="F51" i="12"/>
  <c r="G51" i="12" s="1"/>
  <c r="F12" i="12"/>
  <c r="G12" i="12" s="1"/>
  <c r="F42" i="12"/>
  <c r="G42" i="12" s="1"/>
  <c r="G5" i="11"/>
  <c r="F46" i="12"/>
  <c r="G46" i="12" s="1"/>
  <c r="F11" i="12"/>
  <c r="G11" i="12" s="1"/>
  <c r="F7" i="12"/>
  <c r="G7" i="12" s="1"/>
  <c r="F15" i="12"/>
  <c r="G15" i="12" s="1"/>
  <c r="F23" i="12"/>
  <c r="G23" i="12" s="1"/>
  <c r="F4" i="12"/>
  <c r="G4" i="12" s="1"/>
  <c r="F25" i="12"/>
  <c r="G25" i="12" s="1"/>
  <c r="F33" i="12"/>
  <c r="G33" i="12" s="1"/>
  <c r="F40" i="12"/>
  <c r="G40" i="12" s="1"/>
  <c r="F39" i="12"/>
  <c r="G39" i="12" s="1"/>
  <c r="F8" i="12"/>
  <c r="G8" i="12" s="1"/>
  <c r="F22" i="12"/>
  <c r="G22" i="12" s="1"/>
  <c r="F31" i="12"/>
  <c r="G31" i="12" s="1"/>
  <c r="F50" i="12"/>
  <c r="G50" i="12" s="1"/>
  <c r="F24" i="12"/>
  <c r="G24" i="12" s="1"/>
  <c r="F5" i="12"/>
  <c r="G5" i="12" s="1"/>
  <c r="F30" i="12"/>
  <c r="G30" i="12" s="1"/>
  <c r="F45" i="12"/>
  <c r="G45" i="12" s="1"/>
  <c r="F47" i="12"/>
  <c r="G47" i="12" s="1"/>
  <c r="M5" i="13" l="1"/>
  <c r="M16" i="13"/>
  <c r="M4" i="13"/>
  <c r="M12" i="13"/>
  <c r="M8" i="13"/>
  <c r="M3" i="13"/>
  <c r="M15" i="13"/>
  <c r="M11" i="13"/>
  <c r="M7" i="13"/>
  <c r="M14" i="13"/>
  <c r="M10" i="13"/>
  <c r="M6" i="13"/>
  <c r="M17" i="13"/>
  <c r="M13" i="13"/>
  <c r="M9" i="13"/>
  <c r="G3" i="11"/>
  <c r="F5" i="11"/>
  <c r="G4" i="11"/>
  <c r="E23" i="12"/>
  <c r="B50" i="12"/>
  <c r="C22" i="12"/>
  <c r="E11" i="12"/>
  <c r="E39" i="12"/>
  <c r="C8" i="12"/>
  <c r="D7" i="12"/>
  <c r="B27" i="12"/>
  <c r="B45" i="12"/>
  <c r="D43" i="12"/>
  <c r="E33" i="12"/>
  <c r="B48" i="12"/>
  <c r="E6" i="12"/>
  <c r="C12" i="12"/>
  <c r="C33" i="12"/>
  <c r="E41" i="12"/>
  <c r="E27" i="12"/>
  <c r="D14" i="12"/>
  <c r="D47" i="12"/>
  <c r="E49" i="12"/>
  <c r="E9" i="12"/>
  <c r="C24" i="12"/>
  <c r="D28" i="12"/>
  <c r="C39" i="12"/>
  <c r="B30" i="12"/>
  <c r="D15" i="12"/>
  <c r="B40" i="12"/>
  <c r="D26" i="12"/>
  <c r="B14" i="12"/>
  <c r="E34" i="12"/>
  <c r="E43" i="12"/>
  <c r="D44" i="12"/>
  <c r="C40" i="12"/>
  <c r="B28" i="12"/>
  <c r="C7" i="12"/>
  <c r="D13" i="12"/>
  <c r="B5" i="12"/>
  <c r="B12" i="12"/>
  <c r="D31" i="12"/>
  <c r="E42" i="12"/>
  <c r="D11" i="12"/>
  <c r="B41" i="12"/>
  <c r="C34" i="12"/>
  <c r="D24" i="12"/>
  <c r="C47" i="12"/>
  <c r="E4" i="12"/>
  <c r="B47" i="12"/>
  <c r="D42" i="12"/>
  <c r="C48" i="12"/>
  <c r="C13" i="12"/>
  <c r="D30" i="12"/>
  <c r="B8" i="12"/>
  <c r="C45" i="12"/>
  <c r="C11" i="12"/>
  <c r="D51" i="12"/>
  <c r="D41" i="12"/>
  <c r="D10" i="12"/>
  <c r="D25" i="12"/>
  <c r="B10" i="12"/>
  <c r="C25" i="12"/>
  <c r="C28" i="12"/>
  <c r="B39" i="12"/>
  <c r="D4" i="12"/>
  <c r="B4" i="12"/>
  <c r="C4" i="12"/>
  <c r="B23" i="12"/>
  <c r="E45" i="12"/>
  <c r="E10" i="12"/>
  <c r="D27" i="12"/>
  <c r="B6" i="12"/>
  <c r="B32" i="12"/>
  <c r="E8" i="12"/>
  <c r="C50" i="12"/>
  <c r="B26" i="12"/>
  <c r="E50" i="12"/>
  <c r="D39" i="12"/>
  <c r="C46" i="12"/>
  <c r="D45" i="12"/>
  <c r="E40" i="12"/>
  <c r="E28" i="12"/>
  <c r="C42" i="12"/>
  <c r="D5" i="12"/>
  <c r="C6" i="12"/>
  <c r="C9" i="12"/>
  <c r="B44" i="12"/>
  <c r="B11" i="12"/>
  <c r="C15" i="12"/>
  <c r="E24" i="12"/>
  <c r="C51" i="12"/>
  <c r="B31" i="12"/>
  <c r="E32" i="12"/>
  <c r="C5" i="12"/>
  <c r="B15" i="12"/>
  <c r="B51" i="12"/>
  <c r="D9" i="12"/>
  <c r="B16" i="12"/>
  <c r="E51" i="12"/>
  <c r="C16" i="12"/>
  <c r="E13" i="12"/>
  <c r="E47" i="12"/>
  <c r="B42" i="12"/>
  <c r="B25" i="12"/>
  <c r="C49" i="12"/>
  <c r="C30" i="12"/>
  <c r="E16" i="12"/>
  <c r="B13" i="12"/>
  <c r="E29" i="12"/>
  <c r="C43" i="12"/>
  <c r="D46" i="12"/>
  <c r="E12" i="12"/>
  <c r="D8" i="12"/>
  <c r="E22" i="12"/>
  <c r="D50" i="12"/>
  <c r="D23" i="12"/>
  <c r="D40" i="12"/>
  <c r="B43" i="12"/>
  <c r="C14" i="12"/>
  <c r="E15" i="12"/>
  <c r="D33" i="12"/>
  <c r="D29" i="12"/>
  <c r="E30" i="12"/>
  <c r="B24" i="12"/>
  <c r="E25" i="12"/>
  <c r="C41" i="12"/>
  <c r="E26" i="12"/>
  <c r="D22" i="12"/>
  <c r="D34" i="12"/>
  <c r="C27" i="12"/>
  <c r="B33" i="12"/>
  <c r="B9" i="12"/>
  <c r="D32" i="12"/>
  <c r="E44" i="12"/>
  <c r="B46" i="12"/>
  <c r="B29" i="12"/>
  <c r="C26" i="12"/>
  <c r="B49" i="12"/>
  <c r="E5" i="12"/>
  <c r="D16" i="12"/>
  <c r="D6" i="12"/>
  <c r="C44" i="12"/>
  <c r="B22" i="12"/>
  <c r="C23" i="12"/>
  <c r="C31" i="12"/>
  <c r="C29" i="12"/>
  <c r="C10" i="12"/>
  <c r="E48" i="12"/>
  <c r="E46" i="12"/>
  <c r="E14" i="12"/>
  <c r="D48" i="12"/>
  <c r="D49" i="12"/>
  <c r="B7" i="12"/>
  <c r="B34" i="12"/>
  <c r="E31" i="12"/>
  <c r="E7" i="12"/>
  <c r="D12" i="12"/>
  <c r="C32" i="12"/>
  <c r="F6" i="11" l="1"/>
  <c r="F4" i="11"/>
  <c r="F3" i="11"/>
  <c r="E5" i="11"/>
  <c r="I2" i="30" l="1"/>
  <c r="G2" i="30"/>
  <c r="B3" i="30" s="1"/>
  <c r="E4" i="11"/>
  <c r="D5" i="11"/>
  <c r="E3" i="11"/>
  <c r="E6" i="11"/>
  <c r="I2" i="29" l="1"/>
  <c r="G2" i="29"/>
  <c r="B3" i="29" s="1"/>
  <c r="C8" i="30"/>
  <c r="C5" i="30"/>
  <c r="C9" i="30"/>
  <c r="C17" i="30"/>
  <c r="C13" i="30"/>
  <c r="C14" i="30"/>
  <c r="C3" i="30"/>
  <c r="B4" i="30" s="1"/>
  <c r="C15" i="30"/>
  <c r="C10" i="30"/>
  <c r="C11" i="30"/>
  <c r="C12" i="30"/>
  <c r="C16" i="30"/>
  <c r="C4" i="30"/>
  <c r="C7" i="30"/>
  <c r="C6" i="30"/>
  <c r="D3" i="11"/>
  <c r="C5" i="11"/>
  <c r="D4" i="11"/>
  <c r="D6" i="11"/>
  <c r="G2" i="28" l="1"/>
  <c r="B3" i="28" s="1"/>
  <c r="I2" i="28"/>
  <c r="C3" i="11"/>
  <c r="C4" i="11"/>
  <c r="C6" i="11"/>
  <c r="B5" i="11"/>
  <c r="B5" i="30"/>
  <c r="D4" i="30"/>
  <c r="C5" i="29"/>
  <c r="C6" i="29"/>
  <c r="C17" i="29"/>
  <c r="C7" i="29"/>
  <c r="C13" i="29"/>
  <c r="C10" i="29"/>
  <c r="C15" i="29"/>
  <c r="C12" i="29"/>
  <c r="C11" i="29"/>
  <c r="C8" i="29"/>
  <c r="C14" i="29"/>
  <c r="C9" i="29"/>
  <c r="C3" i="29"/>
  <c r="B4" i="29" s="1"/>
  <c r="C4" i="29"/>
  <c r="C16" i="29"/>
  <c r="B6" i="11" l="1"/>
  <c r="B4" i="11"/>
  <c r="B3" i="11"/>
  <c r="B5" i="29"/>
  <c r="D4" i="29"/>
  <c r="I2" i="27"/>
  <c r="G2" i="27"/>
  <c r="B3" i="27" s="1"/>
  <c r="C11" i="28"/>
  <c r="C13" i="28"/>
  <c r="C6" i="28"/>
  <c r="C17" i="28"/>
  <c r="C7" i="28"/>
  <c r="C12" i="28"/>
  <c r="C15" i="28"/>
  <c r="C16" i="28"/>
  <c r="C3" i="28"/>
  <c r="B4" i="28" s="1"/>
  <c r="C14" i="28"/>
  <c r="C5" i="28"/>
  <c r="C8" i="28"/>
  <c r="C4" i="28"/>
  <c r="C10" i="28"/>
  <c r="C9" i="28"/>
  <c r="B6" i="30"/>
  <c r="D5" i="30"/>
  <c r="D4" i="28" l="1"/>
  <c r="B5" i="28"/>
  <c r="B6" i="29"/>
  <c r="D5" i="29"/>
  <c r="B7" i="30"/>
  <c r="D6" i="30"/>
  <c r="C3" i="27"/>
  <c r="B4" i="27" s="1"/>
  <c r="C9" i="27"/>
  <c r="C6" i="27"/>
  <c r="C4" i="27"/>
  <c r="C17" i="27"/>
  <c r="C13" i="27"/>
  <c r="C14" i="27"/>
  <c r="C5" i="27"/>
  <c r="C10" i="27"/>
  <c r="C8" i="27"/>
  <c r="C7" i="27"/>
  <c r="C16" i="27"/>
  <c r="C11" i="27"/>
  <c r="C12" i="27"/>
  <c r="C15" i="27"/>
  <c r="I2" i="25"/>
  <c r="G2" i="25"/>
  <c r="B3" i="25" s="1"/>
  <c r="D4" i="27" l="1"/>
  <c r="B5" i="27"/>
  <c r="B7" i="29"/>
  <c r="D6" i="29"/>
  <c r="C17" i="25"/>
  <c r="C4" i="25"/>
  <c r="C14" i="25"/>
  <c r="C8" i="25"/>
  <c r="C12" i="25"/>
  <c r="C5" i="25"/>
  <c r="C10" i="25"/>
  <c r="C15" i="25"/>
  <c r="C7" i="25"/>
  <c r="C13" i="25"/>
  <c r="C16" i="25"/>
  <c r="C6" i="25"/>
  <c r="C9" i="25"/>
  <c r="C11" i="25"/>
  <c r="C3" i="25"/>
  <c r="B4" i="25" s="1"/>
  <c r="B6" i="28"/>
  <c r="D5" i="28"/>
  <c r="B8" i="30"/>
  <c r="D7" i="30"/>
  <c r="B7" i="28" l="1"/>
  <c r="D6" i="28"/>
  <c r="D4" i="25"/>
  <c r="B5" i="25"/>
  <c r="D8" i="30"/>
  <c r="B9" i="30"/>
  <c r="B6" i="27"/>
  <c r="D5" i="27"/>
  <c r="B8" i="29"/>
  <c r="D7" i="29"/>
  <c r="B6" i="25" l="1"/>
  <c r="D5" i="25"/>
  <c r="B10" i="30"/>
  <c r="D9" i="30"/>
  <c r="B7" i="27"/>
  <c r="D6" i="27"/>
  <c r="D8" i="29"/>
  <c r="B9" i="29"/>
  <c r="B8" i="28"/>
  <c r="D7" i="28"/>
  <c r="B10" i="29" l="1"/>
  <c r="D9" i="29"/>
  <c r="B11" i="30"/>
  <c r="D10" i="30"/>
  <c r="B9" i="28"/>
  <c r="D8" i="28"/>
  <c r="B8" i="27"/>
  <c r="D7" i="27"/>
  <c r="B7" i="25"/>
  <c r="D6" i="25"/>
  <c r="D8" i="27" l="1"/>
  <c r="B9" i="27"/>
  <c r="B12" i="30"/>
  <c r="D11" i="30"/>
  <c r="B8" i="25"/>
  <c r="D7" i="25"/>
  <c r="D9" i="28"/>
  <c r="B10" i="28"/>
  <c r="B11" i="29"/>
  <c r="D10" i="29"/>
  <c r="B13" i="30" l="1"/>
  <c r="D12" i="30"/>
  <c r="D10" i="28"/>
  <c r="B11" i="28"/>
  <c r="B12" i="29"/>
  <c r="D11" i="29"/>
  <c r="B9" i="25"/>
  <c r="D8" i="25"/>
  <c r="B10" i="27"/>
  <c r="D9" i="27"/>
  <c r="B11" i="27" l="1"/>
  <c r="D10" i="27"/>
  <c r="D13" i="30"/>
  <c r="B14" i="30"/>
  <c r="B13" i="29"/>
  <c r="D12" i="29"/>
  <c r="B10" i="25"/>
  <c r="D9" i="25"/>
  <c r="D11" i="28"/>
  <c r="B12" i="28"/>
  <c r="B15" i="30" l="1"/>
  <c r="D14" i="30"/>
  <c r="D12" i="28"/>
  <c r="B13" i="28"/>
  <c r="D13" i="29"/>
  <c r="B14" i="29"/>
  <c r="B12" i="27"/>
  <c r="D11" i="27"/>
  <c r="B11" i="25"/>
  <c r="D10" i="25"/>
  <c r="B15" i="29" l="1"/>
  <c r="D14" i="29"/>
  <c r="D13" i="28"/>
  <c r="B14" i="28"/>
  <c r="B16" i="30"/>
  <c r="D15" i="30"/>
  <c r="B12" i="25"/>
  <c r="D11" i="25"/>
  <c r="B13" i="27"/>
  <c r="D12" i="27"/>
  <c r="B16" i="29" l="1"/>
  <c r="D15" i="29"/>
  <c r="B13" i="25"/>
  <c r="D12" i="25"/>
  <c r="B17" i="30"/>
  <c r="D16" i="30"/>
  <c r="D13" i="27"/>
  <c r="B14" i="27"/>
  <c r="D14" i="28"/>
  <c r="B15" i="28"/>
  <c r="J4" i="30"/>
  <c r="D15" i="28" l="1"/>
  <c r="B16" i="28"/>
  <c r="B15" i="27"/>
  <c r="D14" i="27"/>
  <c r="D17" i="30"/>
  <c r="I4" i="30"/>
  <c r="H4" i="30"/>
  <c r="G4" i="30"/>
  <c r="B17" i="29"/>
  <c r="G4" i="29" s="1"/>
  <c r="D16" i="29"/>
  <c r="D13" i="25"/>
  <c r="B14" i="25"/>
  <c r="M10" i="30" l="1"/>
  <c r="M16" i="30"/>
  <c r="M6" i="30"/>
  <c r="M7" i="30"/>
  <c r="M4" i="30"/>
  <c r="M5" i="30"/>
  <c r="M14" i="30"/>
  <c r="M13" i="30"/>
  <c r="M15" i="30"/>
  <c r="M12" i="30"/>
  <c r="M17" i="30"/>
  <c r="M11" i="30"/>
  <c r="M8" i="30"/>
  <c r="M9" i="30"/>
  <c r="M3" i="30"/>
  <c r="B15" i="25"/>
  <c r="D14" i="25"/>
  <c r="D17" i="29"/>
  <c r="H4" i="29"/>
  <c r="J4" i="29"/>
  <c r="I4" i="29"/>
  <c r="B17" i="28"/>
  <c r="D16" i="28"/>
  <c r="B16" i="27"/>
  <c r="D15" i="27"/>
  <c r="M10" i="29" l="1"/>
  <c r="M17" i="29"/>
  <c r="B17" i="27"/>
  <c r="J4" i="27" s="1"/>
  <c r="D16" i="27"/>
  <c r="M16" i="29"/>
  <c r="M12" i="29"/>
  <c r="M4" i="29"/>
  <c r="M11" i="29"/>
  <c r="M6" i="29"/>
  <c r="M13" i="29"/>
  <c r="M9" i="29"/>
  <c r="B16" i="25"/>
  <c r="D15" i="25"/>
  <c r="M5" i="29"/>
  <c r="M8" i="29"/>
  <c r="M7" i="29"/>
  <c r="M3" i="29"/>
  <c r="M15" i="29"/>
  <c r="M14" i="29"/>
  <c r="D17" i="28"/>
  <c r="I4" i="28"/>
  <c r="H4" i="28"/>
  <c r="J4" i="28"/>
  <c r="G4" i="28"/>
  <c r="G4" i="27" l="1"/>
  <c r="I4" i="27"/>
  <c r="B17" i="25"/>
  <c r="G4" i="25" s="1"/>
  <c r="D16" i="25"/>
  <c r="M4" i="28"/>
  <c r="M5" i="28"/>
  <c r="M10" i="28"/>
  <c r="M15" i="28"/>
  <c r="M8" i="28"/>
  <c r="M9" i="28"/>
  <c r="M14" i="28"/>
  <c r="M6" i="28"/>
  <c r="M12" i="28"/>
  <c r="M13" i="28"/>
  <c r="M3" i="28"/>
  <c r="M11" i="28"/>
  <c r="M16" i="28"/>
  <c r="M17" i="28"/>
  <c r="M7" i="28"/>
  <c r="D17" i="27"/>
  <c r="H4" i="27"/>
  <c r="I4" i="25" l="1"/>
  <c r="M13" i="27"/>
  <c r="J4" i="25"/>
  <c r="M10" i="27"/>
  <c r="M6" i="27"/>
  <c r="M16" i="27"/>
  <c r="M12" i="27"/>
  <c r="M8" i="27"/>
  <c r="M4" i="27"/>
  <c r="M15" i="27"/>
  <c r="M11" i="27"/>
  <c r="M9" i="27"/>
  <c r="M5" i="27"/>
  <c r="M14" i="27"/>
  <c r="M7" i="27"/>
  <c r="M3" i="27"/>
  <c r="M17" i="27"/>
  <c r="D17" i="25"/>
  <c r="H4" i="25"/>
  <c r="M16" i="25" l="1"/>
  <c r="M12" i="25"/>
  <c r="M6" i="25"/>
  <c r="M5" i="25"/>
  <c r="M4" i="25"/>
  <c r="M3" i="25"/>
  <c r="M8" i="25"/>
  <c r="M11" i="25"/>
  <c r="M13" i="25"/>
  <c r="M14" i="25"/>
  <c r="M15" i="25"/>
  <c r="M10" i="25"/>
  <c r="M7" i="25"/>
  <c r="M9" i="25"/>
  <c r="M17" i="25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排列顺序为：生命值，回复值，武力，防御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itemId,num;itemId,num
消耗金钱数量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itemId,num;itemId,num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技能槽数字对应的技能：
0:必杀技技能槽
1:第1个技能槽
2:第2个技能槽
3:第3个技能槽
4:被动技能
5.觉醒技能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 xml:space="preserve">
只需要在领悟技能的阶段填写技能ID，且只填写新技能ID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排列顺序为：生命，回复力，武力，物防，智力，法防</t>
        </r>
      </text>
    </comment>
    <comment ref="C2" authorId="0" shapeId="0">
      <text>
        <r>
          <rPr>
            <sz val="9"/>
            <color indexed="81"/>
            <rFont val="宋体"/>
            <family val="3"/>
            <charset val="134"/>
          </rPr>
          <t>ROUND((VLOOKUP(VALUE(RIGHT(E$1,LEN(E$1)-2)),'6星每级加强属性曲线演算'!$A$2:$C$100,3,FALSE)*VLOOKUP($C2,职业分类属性!$A$3:$I$15,9,FALSE))*INDIRECT(ADDRESS(MATCH($C2,职业分类属性!$A$1:$A$15,0),MATCH("生命值",职业分类属性!$A$2:$G$2,0),1,1,"职业分类属性"))*((星级总属性!$K$3)/(星级总属性!$K$3+星级总属性!$L$3))+(VLOOKUP(VALUE(RIGHT(E$1,LEN(E$1)-2)),'6星每级加强属性曲线演算'!$A$2:$C$100,3,FALSE)*VLOOKUP($C2,职业分类属性!$A$3:$I$15,9,FALSE))*(HLOOKUP(HLOOKUP("生命值",职业属性偏向!$B$3:$G$16,14,FALSE),INDIRECT(TEXT($D$1&amp;$D2&amp;"!$B$2:$G$3","")),2,FALSE)/INDIRECT(TEXT($D$1&amp;$D2&amp;"!$H$3","")))*((星级总属性!$L$3)/(星级总属性!$K$3+星级总属性!$L$3)),0)
公式说明：
主要设计思路
按照职业、等级、属性分配方式，查找相应的属性。每个等级的每一个属性（如生命值）都是由“职业固定分配方式”+“次级分配属性组成”。
1.(VLOOKUP(VALUE(RIGHT(E$1,LEN(E$1)-2)),'6星每级加强属性曲线演算'!$A$2:$C$100,3,FALSE 
根据表头的“等级”查找相应的等级的递增属性。
2.VLOOKUP($C2,职业分类属性!$A$3:$I$15,9,FALSE))
根据职业找到每个职业不同的修正值。
3.INDIRECT(ADDRESS(MATCH($C2,职业分类属性!$A$1:$A$15,0),MATCH("生命值",职业分类属性!$A$2:$G$2,0),1,1,"职业分类属性")
根据职业和"生命值"，两个关键词找到该属职业在当前等级“生命值”的占比。
4.((星级总属性!$K$3)/(星级总属性!$K$3+星级总属性!$L$3))
“职业固定属性”在总加强属性的比例
5.(VLOOKUP(VALUE(RIGHT(E$1,LEN(E$1)-2)),'6星每级加强属性曲线演算'!$A$2:$C$100,3,FALSE 
同1
6.VLOOKUP($C2,职业分类属性!$A$3:$I$15,9,FALSE))
同2
7.HLOOKUP("生命值",职业属性偏向!$B$3:$G$16,14,FALSE)
根据"生命值"等属性名，找到此属性在该职业下，属性优先顺序是多少。
8.(HLOOKUP(HLOOKUP("生命值",职业属性偏向!$B$3:$G$16,14,FALSE),INDIRECT(TEXT($D$1&amp;$D2&amp;"!$B$2:$G$3","")),2,FALSE)
根据上面找到的优先顺序和属性分配的方式，找到该属性在次级属性所占的权重。
9.(HLOOKUP(HLOOKUP("生命值",职业属性偏向!$B$3:$G$16,14,FALSE),INDIRECT(TEXT($D$1&amp;$D2&amp;"!$B$2:$G$3","")),2,FALSE)/INDIRECT(TEXT($D$1&amp;$D2&amp;"!$H$3","")))
根据上面找到的优先顺序和属性分配的方式，找到该属性在次级菜单所占的权重，权重除以总权重，得到该属性次级属性所占百分比。
10.((星级总属性!$L$3)/(星级总属性!$K$3+星级总属性!$L$3))
“次级固定属性”在总加强属性的比例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OUND((VLOOKUP(VALUE(RIGHT(E$1,LEN(E$1)-2)),'6星每级加强属性曲线演算'!$A$2:$C$100,3,FALSE)*VLOOKUP($C2,职业分类属性!$A$3:$I$15,9,FALSE))*INDIRECT(ADDRESS(MATCH($C2,职业分类属性!$A$1:$A$15,0),MATCH("生命值",职业分类属性!$A$2:$G$2,0),1,1,"职业分类属性"))*((星级总属性!$K$3)/(星级总属性!$K$3+星级总属性!$L$3))+(VLOOKUP(VALUE(RIGHT(E$1,LEN(E$1)-2)),'6星每级加强属性曲线演算'!$A$2:$C$100,3,FALSE)*VLOOKUP($C2,职业分类属性!$A$3:$I$15,9,FALSE))*(HLOOKUP(HLOOKUP("生命值",职业属性偏向!$B$3:$G$16,14,FALSE),INDIRECT(TEXT($D$1&amp;$D2&amp;"!$B$2:$G$3","")),2,FALSE)/INDIRECT(TEXT($D$1&amp;$D2&amp;"!$H$3","")))*((星级总属性!$L$3)/(星级总属性!$K$3+星级总属性!$L$3)),0)
公式说明：
主要设计思路
按照职业、等级、属性分配方式，查找相应的属性。每个等级的每一个属性（如生命值）都是由“职业固定分配方式”+“次级分配属性组成”。
1.(VLOOKUP(VALUE(RIGHT(E$1,LEN(E$1)-2)),'6星每级加强属性曲线演算'!$A$2:$C$100,3,FALSE 
根据表头的“等级”查找相应的等级的递增属性。
2.VLOOKUP($C2,职业分类属性!$A$3:$I$15,9,FALSE))
根据职业找到每个职业不同的修正值。
3.INDIRECT(ADDRESS(MATCH($C2,职业分类属性!$A$1:$A$15,0),MATCH("生命值",职业分类属性!$A$2:$G$2,0),1,1,"职业分类属性")
根据职业和"生命值"，两个关键词找到该属职业在当前等级“生命值”的占比。
4.((星级总属性!$K$3)/(星级总属性!$K$3+星级总属性!$L$3))
“职业固定属性”在总加强属性的比例
5.(VLOOKUP(VALUE(RIGHT(E$1,LEN(E$1)-2)),'6星每级加强属性曲线演算'!$A$2:$C$100,3,FALSE 
同1
6.VLOOKUP($C2,职业分类属性!$A$3:$I$15,9,FALSE))
同2
7.HLOOKUP("生命值",职业属性偏向!$B$3:$G$16,14,FALSE)
根据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职业修正：
1.如果该职业是依赖属性，而不依赖技能：则修正值&gt;100%；数值越大，加成越高，表示该职业对数值依赖越严重。
2.相反，如果该职业是依赖技能，而不依赖数值：则修正值&lt;100%；数值越大，削减越高，表示该职业对技能依赖越严重。</t>
        </r>
      </text>
    </comment>
  </commentList>
</comments>
</file>

<file path=xl/sharedStrings.xml><?xml version="1.0" encoding="utf-8"?>
<sst xmlns="http://schemas.openxmlformats.org/spreadsheetml/2006/main" count="300" uniqueCount="103">
  <si>
    <t>等级2</t>
  </si>
  <si>
    <t>战士</t>
  </si>
  <si>
    <t>狂战</t>
  </si>
  <si>
    <t>弓手</t>
  </si>
  <si>
    <t>盗贼</t>
  </si>
  <si>
    <t>法师</t>
  </si>
  <si>
    <t>咒师</t>
  </si>
  <si>
    <t>术士</t>
  </si>
  <si>
    <t>骑士</t>
  </si>
  <si>
    <t>牧师</t>
  </si>
  <si>
    <t>巫师</t>
  </si>
  <si>
    <t>圣骑</t>
    <phoneticPr fontId="6" type="noConversion"/>
  </si>
  <si>
    <t>物坦</t>
    <phoneticPr fontId="6" type="noConversion"/>
  </si>
  <si>
    <t>法坦</t>
    <phoneticPr fontId="6" type="noConversion"/>
  </si>
  <si>
    <t>生命值</t>
    <phoneticPr fontId="5" type="noConversion"/>
  </si>
  <si>
    <t>回复力</t>
    <phoneticPr fontId="5" type="noConversion"/>
  </si>
  <si>
    <t>武力</t>
    <phoneticPr fontId="5" type="noConversion"/>
  </si>
  <si>
    <t>职业基础评分</t>
    <phoneticPr fontId="5" type="noConversion"/>
  </si>
  <si>
    <t>总值</t>
    <phoneticPr fontId="5" type="noConversion"/>
  </si>
  <si>
    <t>职业属性偏向&amp;修正</t>
    <phoneticPr fontId="5" type="noConversion"/>
  </si>
  <si>
    <t>职业属性修正</t>
    <phoneticPr fontId="5" type="noConversion"/>
  </si>
  <si>
    <t>属性排序</t>
    <phoneticPr fontId="6" type="noConversion"/>
  </si>
  <si>
    <t>星级</t>
    <phoneticPr fontId="6" type="noConversion"/>
  </si>
  <si>
    <t>总属性</t>
    <phoneticPr fontId="12" type="noConversion"/>
  </si>
  <si>
    <t>基础属性</t>
    <phoneticPr fontId="12" type="noConversion"/>
  </si>
  <si>
    <t>属性比例</t>
    <phoneticPr fontId="12" type="noConversion"/>
  </si>
  <si>
    <t>属性分配</t>
    <phoneticPr fontId="5" type="noConversion"/>
  </si>
  <si>
    <t>占比</t>
    <phoneticPr fontId="6" type="noConversion"/>
  </si>
  <si>
    <t>递增比例</t>
    <phoneticPr fontId="12" type="noConversion"/>
  </si>
  <si>
    <t>等级</t>
    <phoneticPr fontId="12" type="noConversion"/>
  </si>
  <si>
    <t>递增量</t>
    <phoneticPr fontId="12" type="noConversion"/>
  </si>
  <si>
    <t>初始数值</t>
    <phoneticPr fontId="12" type="noConversion"/>
  </si>
  <si>
    <t>2阶方程系数     y=a0+a1x+a2x2</t>
  </si>
  <si>
    <t>a1=｛INDEX(LINEST(y变量单元格区域, x变量单元格区域^{1,2},TRUE,TRUE),1,2)｝</t>
  </si>
  <si>
    <t>a2=｛INDEX(LINEST(y变量单元格区域, x变量单元格区域^{1,2},TRUE,TRUE),1,1)｝</t>
  </si>
  <si>
    <t>a0=｛INDEX(LINEST(y变量单元格区域, x变量单元格区域^{1,2},TRUE,TRUE),1,3)｝</t>
    <phoneticPr fontId="12" type="noConversion"/>
  </si>
  <si>
    <t>等级</t>
    <phoneticPr fontId="12" type="noConversion"/>
  </si>
  <si>
    <t>常量</t>
    <phoneticPr fontId="12" type="noConversion"/>
  </si>
  <si>
    <t>每级增加属性</t>
    <phoneticPr fontId="12" type="noConversion"/>
  </si>
  <si>
    <t>查询等级</t>
    <phoneticPr fontId="5" type="noConversion"/>
  </si>
  <si>
    <t>总值</t>
    <phoneticPr fontId="6" type="noConversion"/>
  </si>
  <si>
    <t>原总属性</t>
    <phoneticPr fontId="5" type="noConversion"/>
  </si>
  <si>
    <t>修正后总属性</t>
    <phoneticPr fontId="5" type="noConversion"/>
  </si>
  <si>
    <t>递增间隔</t>
    <phoneticPr fontId="5" type="noConversion"/>
  </si>
  <si>
    <t>步进幅度</t>
    <phoneticPr fontId="5" type="noConversion"/>
  </si>
  <si>
    <t>修正初始间隔</t>
    <phoneticPr fontId="5" type="noConversion"/>
  </si>
  <si>
    <t>三阶系数</t>
    <phoneticPr fontId="5" type="noConversion"/>
  </si>
  <si>
    <t>二阶系数</t>
    <phoneticPr fontId="5" type="noConversion"/>
  </si>
  <si>
    <t>一阶系数</t>
    <phoneticPr fontId="5" type="noConversion"/>
  </si>
  <si>
    <t>属性分配2</t>
    <phoneticPr fontId="5" type="noConversion"/>
  </si>
  <si>
    <t>属性分配方式1</t>
  </si>
  <si>
    <t>属性分配方式2</t>
    <phoneticPr fontId="5" type="noConversion"/>
  </si>
  <si>
    <t>属性分配方式3</t>
    <phoneticPr fontId="5" type="noConversion"/>
  </si>
  <si>
    <t>占百分比</t>
    <phoneticPr fontId="6" type="noConversion"/>
  </si>
  <si>
    <t>次级分配属性</t>
  </si>
  <si>
    <t>次级分配属性</t>
    <phoneticPr fontId="12" type="noConversion"/>
  </si>
  <si>
    <t>基准差</t>
    <phoneticPr fontId="12" type="noConversion"/>
  </si>
  <si>
    <t>星级</t>
    <phoneticPr fontId="12" type="noConversion"/>
  </si>
  <si>
    <t>星级</t>
    <phoneticPr fontId="3" type="noConversion"/>
  </si>
  <si>
    <t>属性分配方式</t>
    <phoneticPr fontId="3" type="noConversion"/>
  </si>
  <si>
    <t>职业</t>
    <phoneticPr fontId="3" type="noConversion"/>
  </si>
  <si>
    <t>战士</t>
    <phoneticPr fontId="3" type="noConversion"/>
  </si>
  <si>
    <t>进阶技能</t>
  </si>
  <si>
    <t>等级要求</t>
  </si>
  <si>
    <t>消耗品</t>
  </si>
  <si>
    <t>属性提升</t>
  </si>
  <si>
    <t>阶数</t>
    <phoneticPr fontId="1" type="noConversion"/>
  </si>
  <si>
    <t>角色ID</t>
    <phoneticPr fontId="1" type="noConversion"/>
  </si>
  <si>
    <t>15级基准值</t>
    <phoneticPr fontId="12" type="noConversion"/>
  </si>
  <si>
    <t>法师</t>
    <phoneticPr fontId="3" type="noConversion"/>
  </si>
  <si>
    <t>进阶级数</t>
    <phoneticPr fontId="12" type="noConversion"/>
  </si>
  <si>
    <t>要求等级</t>
    <phoneticPr fontId="5" type="noConversion"/>
  </si>
  <si>
    <t>要求资源</t>
    <phoneticPr fontId="5" type="noConversion"/>
  </si>
  <si>
    <t>资源1</t>
    <phoneticPr fontId="5" type="noConversion"/>
  </si>
  <si>
    <t>数量1</t>
    <phoneticPr fontId="5" type="noConversion"/>
  </si>
  <si>
    <t>资源2</t>
    <phoneticPr fontId="5" type="noConversion"/>
  </si>
  <si>
    <t>数量2</t>
    <phoneticPr fontId="5" type="noConversion"/>
  </si>
  <si>
    <t>资源3</t>
    <phoneticPr fontId="5" type="noConversion"/>
  </si>
  <si>
    <t>数量3</t>
    <phoneticPr fontId="5" type="noConversion"/>
  </si>
  <si>
    <t>资源4</t>
    <phoneticPr fontId="5" type="noConversion"/>
  </si>
  <si>
    <t>数量4</t>
    <phoneticPr fontId="5" type="noConversion"/>
  </si>
  <si>
    <t>资源5</t>
    <phoneticPr fontId="5" type="noConversion"/>
  </si>
  <si>
    <t>数量5</t>
    <phoneticPr fontId="5" type="noConversion"/>
  </si>
  <si>
    <t>资源6</t>
    <phoneticPr fontId="5" type="noConversion"/>
  </si>
  <si>
    <t>数量6</t>
    <phoneticPr fontId="5" type="noConversion"/>
  </si>
  <si>
    <t>资源7</t>
    <phoneticPr fontId="5" type="noConversion"/>
  </si>
  <si>
    <t>数量7</t>
    <phoneticPr fontId="5" type="noConversion"/>
  </si>
  <si>
    <t>资源8</t>
    <phoneticPr fontId="5" type="noConversion"/>
  </si>
  <si>
    <t>数量8</t>
    <phoneticPr fontId="5" type="noConversion"/>
  </si>
  <si>
    <t>每1级递增量</t>
    <phoneticPr fontId="12" type="noConversion"/>
  </si>
  <si>
    <t>消耗金钱</t>
    <phoneticPr fontId="3" type="noConversion"/>
  </si>
  <si>
    <t>技能槽</t>
    <phoneticPr fontId="1" type="noConversion"/>
  </si>
  <si>
    <t>技能类型</t>
    <phoneticPr fontId="3" type="noConversion"/>
  </si>
  <si>
    <t>连击技能</t>
  </si>
  <si>
    <t>连击技能</t>
    <phoneticPr fontId="3" type="noConversion"/>
  </si>
  <si>
    <t>必杀技</t>
    <phoneticPr fontId="3" type="noConversion"/>
  </si>
  <si>
    <t>被动技能</t>
    <phoneticPr fontId="3" type="noConversion"/>
  </si>
  <si>
    <t>觉醒技能</t>
    <phoneticPr fontId="3" type="noConversion"/>
  </si>
  <si>
    <t>防御</t>
    <phoneticPr fontId="5" type="noConversion"/>
  </si>
  <si>
    <t>防御</t>
    <phoneticPr fontId="5" type="noConversion"/>
  </si>
  <si>
    <t>圣骑</t>
  </si>
  <si>
    <t>物坦</t>
  </si>
  <si>
    <t>均衡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</si>
</sst>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54">
    <xf numFmtId="0" fontId="0" fillId="0" borderId="0" xfId="0"/>
    <xf numFmtId="0" fontId="2" fillId="0" borderId="0" xfId="1"/>
    <xf numFmtId="0" fontId="2" fillId="0" borderId="0" xfId="1" applyNumberFormat="1" applyFill="1"/>
    <xf numFmtId="0" fontId="2" fillId="0" borderId="0" xfId="1" applyFont="1"/>
    <xf numFmtId="0" fontId="4" fillId="0" borderId="0" xfId="1" applyFont="1"/>
    <xf numFmtId="0" fontId="9" fillId="2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0" fillId="3" borderId="0" xfId="0" applyFill="1"/>
    <xf numFmtId="0" fontId="8" fillId="3" borderId="0" xfId="0" applyFont="1" applyFill="1"/>
    <xf numFmtId="0" fontId="13" fillId="3" borderId="1" xfId="0" applyFont="1" applyFill="1" applyBorder="1" applyAlignment="1">
      <alignment horizontal="center" vertical="center"/>
    </xf>
    <xf numFmtId="0" fontId="4" fillId="4" borderId="0" xfId="1" applyFont="1" applyFill="1"/>
    <xf numFmtId="0" fontId="2" fillId="0" borderId="0" xfId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1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2" fillId="0" borderId="0" xfId="1" applyNumberFormat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left"/>
    </xf>
    <xf numFmtId="0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1" applyAlignment="1">
      <alignment horizontal="center"/>
    </xf>
    <xf numFmtId="0" fontId="2" fillId="0" borderId="0" xfId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'6星每级加强属性曲线演算'!$A$3:$A$17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'6星每级加强属性曲线演算'!$B$3:$B$17</c:f>
              <c:numCache>
                <c:formatCode>General</c:formatCode>
                <c:ptCount val="15"/>
                <c:pt idx="0">
                  <c:v>500</c:v>
                </c:pt>
                <c:pt idx="1">
                  <c:v>720</c:v>
                </c:pt>
                <c:pt idx="2">
                  <c:v>1160</c:v>
                </c:pt>
                <c:pt idx="3">
                  <c:v>1820</c:v>
                </c:pt>
                <c:pt idx="4">
                  <c:v>2700</c:v>
                </c:pt>
                <c:pt idx="5">
                  <c:v>3800</c:v>
                </c:pt>
                <c:pt idx="6">
                  <c:v>5120</c:v>
                </c:pt>
                <c:pt idx="7">
                  <c:v>6660</c:v>
                </c:pt>
                <c:pt idx="8">
                  <c:v>8420</c:v>
                </c:pt>
                <c:pt idx="9">
                  <c:v>10400</c:v>
                </c:pt>
                <c:pt idx="10">
                  <c:v>12600</c:v>
                </c:pt>
                <c:pt idx="11">
                  <c:v>15020</c:v>
                </c:pt>
                <c:pt idx="12">
                  <c:v>17660</c:v>
                </c:pt>
                <c:pt idx="13">
                  <c:v>20520</c:v>
                </c:pt>
                <c:pt idx="14">
                  <c:v>23600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5264"/>
        <c:axId val="311775824"/>
      </c:scatterChart>
      <c:valAx>
        <c:axId val="3117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75824"/>
        <c:crosses val="autoZero"/>
        <c:crossBetween val="midCat"/>
      </c:valAx>
      <c:valAx>
        <c:axId val="3117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7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'5星每级加强属性曲线演算'!$A$3:$A$17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'5星每级加强属性曲线演算'!$B$3:$B$17</c:f>
              <c:numCache>
                <c:formatCode>General</c:formatCode>
                <c:ptCount val="15"/>
                <c:pt idx="0">
                  <c:v>386</c:v>
                </c:pt>
                <c:pt idx="1">
                  <c:v>556</c:v>
                </c:pt>
                <c:pt idx="2">
                  <c:v>895</c:v>
                </c:pt>
                <c:pt idx="3">
                  <c:v>1404</c:v>
                </c:pt>
                <c:pt idx="4">
                  <c:v>2083</c:v>
                </c:pt>
                <c:pt idx="5">
                  <c:v>2931</c:v>
                </c:pt>
                <c:pt idx="6">
                  <c:v>3949</c:v>
                </c:pt>
                <c:pt idx="7">
                  <c:v>5137</c:v>
                </c:pt>
                <c:pt idx="8">
                  <c:v>6494</c:v>
                </c:pt>
                <c:pt idx="9">
                  <c:v>8021</c:v>
                </c:pt>
                <c:pt idx="10">
                  <c:v>9718</c:v>
                </c:pt>
                <c:pt idx="11">
                  <c:v>11584</c:v>
                </c:pt>
                <c:pt idx="12">
                  <c:v>13620</c:v>
                </c:pt>
                <c:pt idx="13">
                  <c:v>15826</c:v>
                </c:pt>
                <c:pt idx="14">
                  <c:v>18201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73024"/>
        <c:axId val="311773584"/>
      </c:scatterChart>
      <c:valAx>
        <c:axId val="31177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73584"/>
        <c:crosses val="autoZero"/>
        <c:crossBetween val="midCat"/>
      </c:valAx>
      <c:valAx>
        <c:axId val="3117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7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'4星每级加强属性曲线演算'!$A$3:$A$17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'4星每级加强属性曲线演算'!$B$3:$B$17</c:f>
              <c:numCache>
                <c:formatCode>General</c:formatCode>
                <c:ptCount val="15"/>
                <c:pt idx="0">
                  <c:v>297</c:v>
                </c:pt>
                <c:pt idx="1">
                  <c:v>428</c:v>
                </c:pt>
                <c:pt idx="2">
                  <c:v>689</c:v>
                </c:pt>
                <c:pt idx="3">
                  <c:v>1081</c:v>
                </c:pt>
                <c:pt idx="4">
                  <c:v>1603</c:v>
                </c:pt>
                <c:pt idx="5">
                  <c:v>2256</c:v>
                </c:pt>
                <c:pt idx="6">
                  <c:v>3039</c:v>
                </c:pt>
                <c:pt idx="7">
                  <c:v>3953</c:v>
                </c:pt>
                <c:pt idx="8">
                  <c:v>4997</c:v>
                </c:pt>
                <c:pt idx="9">
                  <c:v>6172</c:v>
                </c:pt>
                <c:pt idx="10">
                  <c:v>7477</c:v>
                </c:pt>
                <c:pt idx="11">
                  <c:v>8913</c:v>
                </c:pt>
                <c:pt idx="12">
                  <c:v>10479</c:v>
                </c:pt>
                <c:pt idx="13">
                  <c:v>12176</c:v>
                </c:pt>
                <c:pt idx="14">
                  <c:v>14003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88704"/>
        <c:axId val="311787024"/>
      </c:scatterChart>
      <c:valAx>
        <c:axId val="3117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7024"/>
        <c:crosses val="autoZero"/>
        <c:crossBetween val="midCat"/>
      </c:valAx>
      <c:valAx>
        <c:axId val="3117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'3星每级加强属性曲线演算'!$A$3:$A$17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'3星每级加强属性曲线演算'!$B$3:$B$17</c:f>
              <c:numCache>
                <c:formatCode>General</c:formatCode>
                <c:ptCount val="15"/>
                <c:pt idx="0">
                  <c:v>229</c:v>
                </c:pt>
                <c:pt idx="1">
                  <c:v>330</c:v>
                </c:pt>
                <c:pt idx="2">
                  <c:v>531</c:v>
                </c:pt>
                <c:pt idx="3">
                  <c:v>833</c:v>
                </c:pt>
                <c:pt idx="4">
                  <c:v>1236</c:v>
                </c:pt>
                <c:pt idx="5">
                  <c:v>1739</c:v>
                </c:pt>
                <c:pt idx="6">
                  <c:v>2343</c:v>
                </c:pt>
                <c:pt idx="7">
                  <c:v>3048</c:v>
                </c:pt>
                <c:pt idx="8">
                  <c:v>3853</c:v>
                </c:pt>
                <c:pt idx="9">
                  <c:v>4759</c:v>
                </c:pt>
                <c:pt idx="10">
                  <c:v>5766</c:v>
                </c:pt>
                <c:pt idx="11">
                  <c:v>6873</c:v>
                </c:pt>
                <c:pt idx="12">
                  <c:v>8081</c:v>
                </c:pt>
                <c:pt idx="13">
                  <c:v>9390</c:v>
                </c:pt>
                <c:pt idx="14">
                  <c:v>10799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81424"/>
        <c:axId val="311782544"/>
      </c:scatterChart>
      <c:valAx>
        <c:axId val="31178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2544"/>
        <c:crosses val="autoZero"/>
        <c:crossBetween val="midCat"/>
      </c:valAx>
      <c:valAx>
        <c:axId val="3117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'2星每级加强属性曲线演算'!$A$3:$A$17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'2星每级加强属性曲线演算'!$B$3:$B$17</c:f>
              <c:numCache>
                <c:formatCode>General</c:formatCode>
                <c:ptCount val="15"/>
                <c:pt idx="0">
                  <c:v>176</c:v>
                </c:pt>
                <c:pt idx="1">
                  <c:v>253</c:v>
                </c:pt>
                <c:pt idx="2">
                  <c:v>408</c:v>
                </c:pt>
                <c:pt idx="3">
                  <c:v>640</c:v>
                </c:pt>
                <c:pt idx="4">
                  <c:v>949</c:v>
                </c:pt>
                <c:pt idx="5">
                  <c:v>1336</c:v>
                </c:pt>
                <c:pt idx="6">
                  <c:v>1800</c:v>
                </c:pt>
                <c:pt idx="7">
                  <c:v>2342</c:v>
                </c:pt>
                <c:pt idx="8">
                  <c:v>2961</c:v>
                </c:pt>
                <c:pt idx="9">
                  <c:v>3657</c:v>
                </c:pt>
                <c:pt idx="10">
                  <c:v>4431</c:v>
                </c:pt>
                <c:pt idx="11">
                  <c:v>5282</c:v>
                </c:pt>
                <c:pt idx="12">
                  <c:v>6210</c:v>
                </c:pt>
                <c:pt idx="13">
                  <c:v>7216</c:v>
                </c:pt>
                <c:pt idx="14">
                  <c:v>8299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81984"/>
        <c:axId val="311783664"/>
      </c:scatterChart>
      <c:valAx>
        <c:axId val="3117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3664"/>
        <c:crosses val="autoZero"/>
        <c:crossBetween val="midCat"/>
      </c:valAx>
      <c:valAx>
        <c:axId val="3117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6.6456692913385823E-2"/>
                  <c:y val="-0.14444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'1星每级加强属性曲线演算'!$A$3:$A$17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'1星每级加强属性曲线演算'!$B$3:$B$17</c:f>
              <c:numCache>
                <c:formatCode>General</c:formatCode>
                <c:ptCount val="15"/>
                <c:pt idx="0">
                  <c:v>136</c:v>
                </c:pt>
                <c:pt idx="1">
                  <c:v>196</c:v>
                </c:pt>
                <c:pt idx="2">
                  <c:v>315</c:v>
                </c:pt>
                <c:pt idx="3">
                  <c:v>494</c:v>
                </c:pt>
                <c:pt idx="4">
                  <c:v>733</c:v>
                </c:pt>
                <c:pt idx="5">
                  <c:v>1031</c:v>
                </c:pt>
                <c:pt idx="6">
                  <c:v>1389</c:v>
                </c:pt>
                <c:pt idx="7">
                  <c:v>1807</c:v>
                </c:pt>
                <c:pt idx="8">
                  <c:v>2284</c:v>
                </c:pt>
                <c:pt idx="9">
                  <c:v>2821</c:v>
                </c:pt>
                <c:pt idx="10">
                  <c:v>3418</c:v>
                </c:pt>
                <c:pt idx="11">
                  <c:v>4074</c:v>
                </c:pt>
                <c:pt idx="12">
                  <c:v>4790</c:v>
                </c:pt>
                <c:pt idx="13">
                  <c:v>5566</c:v>
                </c:pt>
                <c:pt idx="14">
                  <c:v>6401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783104"/>
        <c:axId val="311784224"/>
      </c:scatterChart>
      <c:valAx>
        <c:axId val="31178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4224"/>
        <c:crosses val="autoZero"/>
        <c:crossBetween val="midCat"/>
      </c:valAx>
      <c:valAx>
        <c:axId val="3117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8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224790</xdr:colOff>
      <xdr:row>9</xdr:row>
      <xdr:rowOff>76200</xdr:rowOff>
    </xdr:from>
    <xdr:to>
      <xdr:col>23</xdr:col>
      <xdr:colOff>529590</xdr:colOff>
      <xdr:row>24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p\&#31574;&#21010;\&#31435;&#39033;\GUN\gun&#27491;&#2433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p\&#31574;&#21010;\&#31435;&#39033;\GUN\ship-lev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ap\&#31574;&#21010;\monster3.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6032;&#39033;&#30446;\&#25968;&#20540;&#34920;&#26684;\&#21508;&#31995;&#32479;&#25968;&#20540;&#27604;&#20363;\&#21508;&#31995;&#32479;&#25968;&#20540;&#27604;&#2036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summon"/>
      <sheetName val="achevements"/>
      <sheetName val="Role"/>
      <sheetName val="Enemy"/>
      <sheetName val="World"/>
      <sheetName val="battle"/>
      <sheetName val="Arena"/>
      <sheetName val="Arena2"/>
      <sheetName val="item"/>
      <sheetName val="itemgroup"/>
      <sheetName val="effect"/>
      <sheetName val="Refresh"/>
      <sheetName val="pay"/>
      <sheetName val="tips"/>
      <sheetName val="Skill"/>
      <sheetName val="数据"/>
      <sheetName val="Boxer"/>
      <sheetName val="Gunner"/>
      <sheetName val="Barmaid"/>
      <sheetName val="Assassin"/>
      <sheetName val="Tamer"/>
      <sheetName val="Vampire"/>
      <sheetName val="sound"/>
    </sheetNames>
    <sheetDataSet>
      <sheetData sheetId="0" refreshError="1"/>
      <sheetData sheetId="1" refreshError="1"/>
      <sheetData sheetId="2" refreshError="1">
        <row r="2">
          <cell r="AI2" t="str">
            <v>指定角色在指定数量地区获胜</v>
          </cell>
          <cell r="AJ2" t="str">
            <v>拳手</v>
          </cell>
        </row>
        <row r="3">
          <cell r="AI3" t="str">
            <v>学会指定的技能</v>
          </cell>
          <cell r="AJ3" t="str">
            <v>酒吧女</v>
          </cell>
        </row>
        <row r="4">
          <cell r="AI4" t="str">
            <v>学会全技能</v>
          </cell>
          <cell r="AJ4" t="str">
            <v>枪手</v>
          </cell>
        </row>
        <row r="5">
          <cell r="AI5" t="str">
            <v>角色加入队伍</v>
          </cell>
          <cell r="AJ5" t="str">
            <v>刺客</v>
          </cell>
        </row>
        <row r="6">
          <cell r="AI6" t="str">
            <v>同一场战斗暴击指定次数</v>
          </cell>
          <cell r="AJ6" t="str">
            <v>兽王</v>
          </cell>
        </row>
        <row r="7">
          <cell r="AI7" t="str">
            <v>战斗胜利次数</v>
          </cell>
          <cell r="AJ7" t="str">
            <v>吸血鬼</v>
          </cell>
        </row>
        <row r="8">
          <cell r="AI8" t="str">
            <v>指定关卡胜利次数</v>
          </cell>
          <cell r="AJ8" t="str">
            <v>全体</v>
          </cell>
        </row>
        <row r="9">
          <cell r="AI9" t="str">
            <v>指定街区全S</v>
          </cell>
          <cell r="AJ9" t="str">
            <v>敌人</v>
          </cell>
        </row>
        <row r="10">
          <cell r="AI10" t="str">
            <v>技能使用总次数</v>
          </cell>
        </row>
        <row r="11">
          <cell r="AI11" t="str">
            <v>任意角色单独出战胜利次数</v>
          </cell>
        </row>
        <row r="12">
          <cell r="AI12" t="str">
            <v>指定角色组合在不同街区胜利x次</v>
          </cell>
        </row>
        <row r="13">
          <cell r="AI13" t="str">
            <v>复活次数</v>
          </cell>
        </row>
        <row r="14">
          <cell r="AI14" t="str">
            <v>使用不同的技能次数</v>
          </cell>
        </row>
        <row r="15">
          <cell r="AI15" t="str">
            <v>出售金钱数</v>
          </cell>
        </row>
        <row r="16">
          <cell r="AI16" t="str">
            <v>鉴定物品次数</v>
          </cell>
        </row>
        <row r="17">
          <cell r="AI17" t="str">
            <v>购买金钱数</v>
          </cell>
        </row>
        <row r="18">
          <cell r="AI18" t="str">
            <v>购买美金数</v>
          </cell>
        </row>
        <row r="19">
          <cell r="AI19" t="str">
            <v>全角色全cp满</v>
          </cell>
        </row>
        <row r="20">
          <cell r="AI20" t="str">
            <v>竞技场指定完成度</v>
          </cell>
        </row>
        <row r="21">
          <cell r="AI21" t="str">
            <v>全街区</v>
          </cell>
        </row>
      </sheetData>
      <sheetData sheetId="3" refreshError="1"/>
      <sheetData sheetId="4" refreshError="1">
        <row r="2">
          <cell r="AD2" t="str">
            <v>奶妈优先</v>
          </cell>
        </row>
        <row r="3">
          <cell r="AD3" t="str">
            <v>远程输出优先</v>
          </cell>
        </row>
        <row r="4">
          <cell r="AD4" t="str">
            <v>距离近优先</v>
          </cell>
        </row>
        <row r="5">
          <cell r="AD5" t="str">
            <v>剩余生命比例少优先</v>
          </cell>
        </row>
        <row r="6">
          <cell r="AD6" t="str">
            <v>生命值高优先</v>
          </cell>
        </row>
        <row r="7">
          <cell r="AD7" t="str">
            <v>李小梅</v>
          </cell>
        </row>
        <row r="8">
          <cell r="AD8" t="str">
            <v>随机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X2" t="str">
            <v>持续回血</v>
          </cell>
        </row>
        <row r="3">
          <cell r="X3" t="str">
            <v>增加对远程攻击防御</v>
          </cell>
        </row>
        <row r="4">
          <cell r="X4" t="str">
            <v>减少冷却时间</v>
          </cell>
        </row>
        <row r="5">
          <cell r="X5" t="str">
            <v>重生</v>
          </cell>
        </row>
        <row r="6">
          <cell r="X6" t="str">
            <v>AP增加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N2" t="str">
            <v>远程目标攻击</v>
          </cell>
          <cell r="AP2" t="str">
            <v>爆头</v>
          </cell>
          <cell r="AQ2" t="str">
            <v>直线</v>
          </cell>
        </row>
        <row r="3">
          <cell r="AN3" t="str">
            <v>近程目标攻击</v>
          </cell>
          <cell r="AP3" t="str">
            <v>击飞</v>
          </cell>
          <cell r="AQ3" t="str">
            <v>抛物线</v>
          </cell>
        </row>
        <row r="4">
          <cell r="AN4" t="str">
            <v>正中瞬移攻击</v>
          </cell>
          <cell r="AP4" t="str">
            <v>刀割</v>
          </cell>
          <cell r="AQ4" t="str">
            <v>抛物线正中</v>
          </cell>
        </row>
        <row r="5">
          <cell r="AN5" t="str">
            <v>全屏远程攻击</v>
          </cell>
          <cell r="AP5" t="str">
            <v>倒下</v>
          </cell>
          <cell r="AQ5" t="str">
            <v>正中间播放</v>
          </cell>
        </row>
        <row r="6">
          <cell r="AN6" t="str">
            <v>召唤全屏远程攻击</v>
          </cell>
          <cell r="AQ6" t="str">
            <v>直线正中</v>
          </cell>
        </row>
        <row r="7">
          <cell r="AN7" t="str">
            <v>瞬移攻击</v>
          </cell>
        </row>
        <row r="8">
          <cell r="AN8" t="str">
            <v>翻滚攻击</v>
          </cell>
        </row>
        <row r="9">
          <cell r="AN9" t="str">
            <v>非目标攻击</v>
          </cell>
        </row>
        <row r="10">
          <cell r="AN10" t="str">
            <v>队友加成</v>
          </cell>
        </row>
        <row r="11">
          <cell r="AN11" t="str">
            <v>全体加成</v>
          </cell>
        </row>
        <row r="12">
          <cell r="AN12" t="str">
            <v>自身加成</v>
          </cell>
        </row>
        <row r="13">
          <cell r="AN13" t="str">
            <v>光环</v>
          </cell>
        </row>
        <row r="14">
          <cell r="AN14" t="str">
            <v>复活</v>
          </cell>
        </row>
        <row r="15">
          <cell r="AN15" t="str">
            <v>被动技能</v>
          </cell>
        </row>
      </sheetData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ial"/>
      <sheetName val="npcship"/>
      <sheetName val="expand"/>
      <sheetName val="Garbage"/>
      <sheetName val="world"/>
      <sheetName val="room"/>
      <sheetName val="exp"/>
      <sheetName val="quest"/>
      <sheetName val="Output-M"/>
      <sheetName val="Output-C"/>
      <sheetName val="roomPassenger"/>
      <sheetName val="man"/>
      <sheetName val="daily quest"/>
      <sheetName val="Assistant"/>
      <sheetName val="pay"/>
      <sheetName val="notes"/>
      <sheetName val="achievement"/>
      <sheetName val="Logo"/>
      <sheetName val="setting"/>
      <sheetName val="push"/>
      <sheetName val="version"/>
      <sheetName val="stage"/>
      <sheetName val="Dialogue"/>
      <sheetName val="Engineer"/>
      <sheetName val="skin"/>
      <sheetName val="sound"/>
      <sheetName val="profan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23">
          <cell r="I23" t="str">
            <v>无</v>
          </cell>
        </row>
        <row r="24">
          <cell r="I24" t="str">
            <v>best</v>
          </cell>
        </row>
        <row r="25">
          <cell r="I25" t="str">
            <v>great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y"/>
      <sheetName val="ArenaRankAward"/>
      <sheetName val="fwords"/>
      <sheetName val="activities"/>
      <sheetName val="interaccount"/>
      <sheetName val="personalactivities"/>
      <sheetName val="academy"/>
      <sheetName val="master"/>
      <sheetName val="npc"/>
      <sheetName val="quest"/>
      <sheetName val="sysopen"/>
      <sheetName val="shop"/>
      <sheetName val="runegroup"/>
      <sheetName val="skyarenaconvic"/>
      <sheetName val="skyarenaRankReward"/>
      <sheetName val="skyarenaWeekReward"/>
      <sheetName val="pay"/>
      <sheetName val="masterablity"/>
      <sheetName val="minegroup"/>
      <sheetName val="wanted"/>
      <sheetName val="wantedname"/>
      <sheetName val="battlemap"/>
      <sheetName val="enemygroup"/>
      <sheetName val="exattrib"/>
      <sheetName val="randomgroup"/>
      <sheetName val="dungeons"/>
      <sheetName val="activereward"/>
      <sheetName val="activeinfo"/>
      <sheetName val="extDropItem"/>
      <sheetName val="rune"/>
      <sheetName val="item"/>
      <sheetName val="itemgroup"/>
      <sheetName val="boxgroup"/>
      <sheetName val="broadcast"/>
      <sheetName val="Lotus.Rank"/>
      <sheetName val="Lotus.AccumulatedReward"/>
      <sheetName val="Guardian"/>
      <sheetName val="simbattle"/>
      <sheetName val="dragonquest"/>
      <sheetName val="dragonquest2"/>
      <sheetName val="towerformula"/>
      <sheetName val="bankLV"/>
      <sheetName val="guild"/>
      <sheetName val="guildTavern"/>
      <sheetName val="guildTavernLevel"/>
      <sheetName val="simRankReward"/>
      <sheetName val="GuildAuthority"/>
      <sheetName val="guildactivities"/>
      <sheetName val="GuildWarGradeData"/>
      <sheetName val="GuildWarRankData"/>
      <sheetName val="compose"/>
      <sheetName val="feed"/>
      <sheetName val="dragonRankReward"/>
      <sheetName val="sound"/>
      <sheetName val="公式表"/>
      <sheetName val="post"/>
      <sheetName val="postStage"/>
      <sheetName val="postRecipientsSuffix"/>
      <sheetName val="postBuff"/>
      <sheetName val="postlv"/>
      <sheetName val="postComment"/>
      <sheetName val="slot"/>
      <sheetName val="slotreward"/>
      <sheetName val="blackmarketitem"/>
      <sheetName val="blackmarketname"/>
      <sheetName val="prixbet"/>
      <sheetName val="prixreward"/>
      <sheetName val="prixrule"/>
      <sheetName val="数据"/>
      <sheetName val="card"/>
      <sheetName val="cardexp"/>
      <sheetName val="cardgroup"/>
      <sheetName val="cardtrick"/>
      <sheetName val="cardlevel"/>
      <sheetName val="evolution"/>
      <sheetName val="EBReward"/>
      <sheetName val="cardsplit"/>
    </sheetNames>
    <sheetDataSet>
      <sheetData sheetId="0"/>
      <sheetData sheetId="1"/>
      <sheetData sheetId="2"/>
      <sheetData sheetId="3">
        <row r="2">
          <cell r="T2" t="str">
            <v>首充</v>
          </cell>
        </row>
        <row r="3">
          <cell r="T3" t="str">
            <v>充值折扣</v>
          </cell>
        </row>
        <row r="4">
          <cell r="T4" t="str">
            <v>充值返利</v>
          </cell>
        </row>
        <row r="5">
          <cell r="T5" t="str">
            <v>连续登录</v>
          </cell>
        </row>
        <row r="6">
          <cell r="T6" t="str">
            <v>午餐晚餐</v>
          </cell>
        </row>
        <row r="7">
          <cell r="T7" t="str">
            <v>斗恶龙</v>
          </cell>
        </row>
        <row r="8">
          <cell r="T8" t="str">
            <v>PVP</v>
          </cell>
        </row>
        <row r="9">
          <cell r="T9" t="str">
            <v>升级礼包</v>
          </cell>
        </row>
        <row r="10">
          <cell r="T10" t="str">
            <v>升级VIP送礼</v>
          </cell>
        </row>
        <row r="11">
          <cell r="T11" t="str">
            <v>公会战</v>
          </cell>
        </row>
        <row r="12">
          <cell r="T12" t="str">
            <v>武斗会</v>
          </cell>
        </row>
        <row r="13">
          <cell r="T13" t="str">
            <v>充值每日返利</v>
          </cell>
        </row>
        <row r="14">
          <cell r="T14" t="str">
            <v>节日活动</v>
          </cell>
        </row>
        <row r="15">
          <cell r="T15" t="str">
            <v>消费返利</v>
          </cell>
        </row>
        <row r="16">
          <cell r="T16" t="str">
            <v>幸运转盘</v>
          </cell>
        </row>
        <row r="17">
          <cell r="T17" t="str">
            <v>排行榜展示</v>
          </cell>
        </row>
        <row r="18">
          <cell r="T18" t="str">
            <v>兑换码</v>
          </cell>
        </row>
        <row r="19">
          <cell r="T19" t="str">
            <v>开服冲级大赛</v>
          </cell>
        </row>
        <row r="20">
          <cell r="T20" t="str">
            <v>开服冲级大赛展示</v>
          </cell>
        </row>
        <row r="21">
          <cell r="T21" t="str">
            <v>开服声望大赛</v>
          </cell>
        </row>
        <row r="22">
          <cell r="T22" t="str">
            <v>开服声望大赛展示</v>
          </cell>
        </row>
        <row r="23">
          <cell r="T23" t="str">
            <v>开服竞技场大赛</v>
          </cell>
        </row>
        <row r="24">
          <cell r="T24" t="str">
            <v>开服竞技场大赛展示</v>
          </cell>
        </row>
        <row r="25">
          <cell r="T25" t="str">
            <v>首届驭兽大赛</v>
          </cell>
        </row>
        <row r="26">
          <cell r="T26" t="str">
            <v>首届驭兽大赛展示</v>
          </cell>
        </row>
      </sheetData>
      <sheetData sheetId="4"/>
      <sheetData sheetId="5"/>
      <sheetData sheetId="6"/>
      <sheetData sheetId="7"/>
      <sheetData sheetId="8">
        <row r="2">
          <cell r="S2" t="str">
            <v>神兽合成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M2" t="str">
            <v>HP加成</v>
          </cell>
        </row>
      </sheetData>
      <sheetData sheetId="18"/>
      <sheetData sheetId="19"/>
      <sheetData sheetId="20"/>
      <sheetData sheetId="21"/>
      <sheetData sheetId="22"/>
      <sheetData sheetId="23"/>
      <sheetData sheetId="24">
        <row r="2">
          <cell r="I2" t="str">
            <v>起点</v>
          </cell>
        </row>
      </sheetData>
      <sheetData sheetId="25"/>
      <sheetData sheetId="26"/>
      <sheetData sheetId="27"/>
      <sheetData sheetId="28"/>
      <sheetData sheetId="29">
        <row r="2">
          <cell r="O2" t="str">
            <v>废品</v>
          </cell>
        </row>
      </sheetData>
      <sheetData sheetId="30">
        <row r="2">
          <cell r="AA2" t="str">
            <v>攻击装备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P2" t="str">
            <v>公会战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系统占比"/>
    </sheetNames>
    <sheetDataSet>
      <sheetData sheetId="0">
        <row r="1">
          <cell r="O1" t="str">
            <v>星级</v>
          </cell>
          <cell r="P1" t="str">
            <v>初始数值</v>
          </cell>
          <cell r="Q1" t="str">
            <v>递增间隔</v>
          </cell>
          <cell r="R1" t="str">
            <v>步进幅度</v>
          </cell>
        </row>
        <row r="2">
          <cell r="O2">
            <v>6</v>
          </cell>
          <cell r="P2">
            <v>500</v>
          </cell>
          <cell r="Q2">
            <v>1</v>
          </cell>
          <cell r="R2">
            <v>220</v>
          </cell>
        </row>
      </sheetData>
    </sheetDataSet>
  </externalBook>
</externalLink>
</file>

<file path=xl/tables/table1.xml><?xml version="1.0" encoding="utf-8"?>
<table xmlns="http://schemas.openxmlformats.org/spreadsheetml/2006/main" id="1" name="表1" displayName="表1" ref="A1:S17" totalsRowShown="0" headerRowDxfId="36" dataDxfId="34" headerRowBorderDxfId="35" tableBorderDxfId="33" totalsRowBorderDxfId="32">
  <autoFilter ref="A1:S17"/>
  <tableColumns count="19">
    <tableColumn id="1" name="进阶级数" dataDxfId="31"/>
    <tableColumn id="2" name="要求等级" dataDxfId="30"/>
    <tableColumn id="3" name="要求资源" dataDxfId="29">
      <calculatedColumnFormula>IF(D2&lt;&gt;"",D2&amp;","&amp;E2,"")&amp;IF(F2&lt;&gt;"",";"&amp;F2&amp;","&amp;G2,"")&amp;IF(H2&lt;&gt;"",";"&amp;H2&amp;","&amp;I2,"")&amp;IF(J2&lt;&gt;"",";"&amp;J2&amp;","&amp;K2,"")&amp;IF(L2&lt;&gt;"",";"&amp;L2&amp;","&amp;M2,"")&amp;IF(N2&lt;&gt;"",";"&amp;N2&amp;","&amp;O2,"")&amp;IF(P2&lt;&gt;"",";"&amp;P2&amp;","&amp;Q2,"")&amp;IF(R2&lt;&gt;"",";"&amp;R2&amp;","&amp;S2,"")</calculatedColumnFormula>
    </tableColumn>
    <tableColumn id="4" name="资源1" dataDxfId="28"/>
    <tableColumn id="5" name="数量1" dataDxfId="27"/>
    <tableColumn id="6" name="资源2" dataDxfId="26"/>
    <tableColumn id="7" name="数量2" dataDxfId="25"/>
    <tableColumn id="8" name="资源3" dataDxfId="24"/>
    <tableColumn id="9" name="数量3" dataDxfId="23"/>
    <tableColumn id="10" name="资源4" dataDxfId="22"/>
    <tableColumn id="11" name="数量4" dataDxfId="21"/>
    <tableColumn id="12" name="资源5" dataDxfId="20"/>
    <tableColumn id="13" name="数量5" dataDxfId="19"/>
    <tableColumn id="14" name="资源6" dataDxfId="18"/>
    <tableColumn id="15" name="数量6" dataDxfId="17"/>
    <tableColumn id="16" name="资源7" dataDxfId="16"/>
    <tableColumn id="17" name="数量7" dataDxfId="15"/>
    <tableColumn id="18" name="资源8" dataDxfId="14"/>
    <tableColumn id="19" name="数量8" dataDxfId="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1"/>
  <sheetViews>
    <sheetView tabSelected="1" zoomScale="70" zoomScaleNormal="70" workbookViewId="0">
      <pane xSplit="8" ySplit="1" topLeftCell="I2" activePane="bottomRight" state="frozen"/>
      <selection pane="topRight"/>
      <selection pane="bottomLeft"/>
      <selection pane="bottomRight" activeCell="D24" sqref="D24"/>
    </sheetView>
  </sheetViews>
  <sheetFormatPr defaultColWidth="9" defaultRowHeight="15.6" x14ac:dyDescent="0.25"/>
  <cols>
    <col min="1" max="1" width="10.88671875" customWidth="1"/>
    <col min="2" max="2" width="11" style="16" customWidth="1"/>
    <col min="3" max="3" width="42.44140625" style="28" customWidth="1"/>
    <col min="4" max="4" width="10.44140625" style="28" bestFit="1" customWidth="1"/>
    <col min="5" max="5" width="78.21875" style="28" bestFit="1" customWidth="1"/>
    <col min="6" max="6" width="15.5546875" style="27" customWidth="1"/>
    <col min="7" max="7" width="21.5546875" style="27" bestFit="1" customWidth="1"/>
    <col min="8" max="11" width="16.44140625" style="27" customWidth="1"/>
    <col min="12" max="13" width="13.88671875" style="1" customWidth="1"/>
    <col min="14" max="14" width="15" style="1" bestFit="1" customWidth="1"/>
    <col min="15" max="15" width="21.44140625" style="1" bestFit="1" customWidth="1"/>
    <col min="16" max="19" width="9" style="1"/>
    <col min="20" max="20" width="16.6640625" style="46" customWidth="1"/>
    <col min="21" max="16384" width="9" style="1"/>
  </cols>
  <sheetData>
    <row r="1" spans="1:20" s="4" customFormat="1" x14ac:dyDescent="0.25">
      <c r="A1" s="13" t="s">
        <v>67</v>
      </c>
      <c r="B1" s="13" t="s">
        <v>66</v>
      </c>
      <c r="C1" s="34" t="s">
        <v>65</v>
      </c>
      <c r="D1" s="34" t="s">
        <v>90</v>
      </c>
      <c r="E1" s="34" t="s">
        <v>64</v>
      </c>
      <c r="F1" s="34" t="s">
        <v>63</v>
      </c>
      <c r="G1" s="34" t="s">
        <v>91</v>
      </c>
      <c r="H1" s="34" t="s">
        <v>62</v>
      </c>
      <c r="I1" s="34" t="s">
        <v>92</v>
      </c>
      <c r="J1" s="34"/>
      <c r="K1" s="34"/>
      <c r="L1" s="25" t="s">
        <v>58</v>
      </c>
      <c r="M1" s="25" t="s">
        <v>60</v>
      </c>
      <c r="N1" s="25" t="s">
        <v>59</v>
      </c>
      <c r="O1" s="36" t="s">
        <v>0</v>
      </c>
      <c r="T1" s="34" t="s">
        <v>92</v>
      </c>
    </row>
    <row r="2" spans="1:20" s="3" customFormat="1" x14ac:dyDescent="0.25">
      <c r="A2" s="31">
        <v>120012</v>
      </c>
      <c r="B2" s="30">
        <v>0</v>
      </c>
      <c r="C2" s="26" t="str">
        <f ca="1">ROUND((VLOOKUP($B2,INDIRECT(TEXT("'"&amp;$L2&amp;"星每级加强属性曲线演算'","")&amp;"!$A$2:$C$100"),3,FALSE)*VLOOKUP($M2,职业分类属性!$A$3:$G$15,7,FALSE))*INDIRECT(ADDRESS(MATCH($M2,职业分类属性!$A$1:$A$15,0),MATCH("生命值",职业分类属性!$A$2:$E$2,0),1,1,"职业分类属性"))*((星级总属性!$K$3)/(星级总属性!$K$3+星级总属性!$L$3))+(VLOOKUP($B2,INDIRECT(TEXT("'"&amp;$L2&amp;"星每级加强属性曲线演算'","")&amp;"!$A$2:$C$100"),3,FALSE)*VLOOKUP($M2,职业分类属性!$A$3:$G$15,7,FALSE))*(HLOOKUP(HLOOKUP("生命值",职业属性偏向!$B$3:$E$16,14,FALSE),INDIRECT(TEXT($N$1&amp;$N2&amp;"!$B$2:$G$3","")),2,FALSE)/INDIRECT(TEXT($N$1&amp;$N2&amp;"!$H$3","")))*((星级总属性!$L$3)/(星级总属性!$K$3+星级总属性!$L$3)),0)&amp;","&amp;ROUND((VLOOKUP($B2,INDIRECT(TEXT("'"&amp;$L2&amp;"星每级加强属性曲线演算'","")&amp;"!$A$2:$C$100"),3,FALSE)*VLOOKUP($M2,职业分类属性!$A$3:$G$15,7,FALSE))*INDIRECT(ADDRESS(MATCH($M2,职业分类属性!$A$1:$A$15,0),MATCH("回复力",职业分类属性!$A$2:$E$2,0),1,1,"职业分类属性"))*((星级总属性!$K$3)/(星级总属性!$K$3+星级总属性!$L$3))+(VLOOKUP($B2,INDIRECT(TEXT("'"&amp;$L2&amp;"星每级加强属性曲线演算'","")&amp;"!$A$2:$C$100"),3,FALSE)*VLOOKUP($M2,职业分类属性!$A$3:$G$15,7,FALSE))*(HLOOKUP(HLOOKUP("回复力",职业属性偏向!$B$3:$E$16,14,FALSE),INDIRECT(TEXT($N$1&amp;$N2&amp;"!$B$2:$G$3","")),2,FALSE)/INDIRECT(TEXT($N$1&amp;$N2&amp;"!$H$3","")))*((星级总属性!$L$3)/(星级总属性!$K$3+星级总属性!$L$3)),0)&amp;","&amp;ROUND((VLOOKUP($B2,INDIRECT(TEXT("'"&amp;$L2&amp;"星每级加强属性曲线演算'","")&amp;"!$A$2:$C$100"),3,FALSE)*VLOOKUP($M2,职业分类属性!$A$3:$G$15,7,FALSE))*INDIRECT(ADDRESS(MATCH($M2,职业分类属性!$A$1:$A$15,0),MATCH("武力",职业分类属性!$A$2:$E$2,0),1,1,"职业分类属性"))*((星级总属性!$K$3)/(星级总属性!$K$3+星级总属性!$L$3))+(VLOOKUP($B2,INDIRECT(TEXT("'"&amp;$L2&amp;"星每级加强属性曲线演算'","")&amp;"!$A$2:$C$100"),3,FALSE)*VLOOKUP($M2,职业分类属性!$A$3:$G$15,7,FALSE))*(HLOOKUP(HLOOKUP("武力",职业属性偏向!$B$3:$E$16,14,FALSE),INDIRECT(TEXT($N$1&amp;$N2&amp;"!$B$2:$G$3","")),2,FALSE)/INDIRECT(TEXT($N$1&amp;$N2&amp;"!$H$3","")))*((星级总属性!$L$3)/(星级总属性!$K$3+星级总属性!$L$3)),0)&amp;","&amp;ROUND((VLOOKUP($B2,INDIRECT(TEXT("'"&amp;$L2&amp;"星每级加强属性曲线演算'","")&amp;"!$A$2:$C$100"),3,FALSE)*VLOOKUP($M2,职业分类属性!$A$3:$G$15,7,FALSE))*INDIRECT(ADDRESS(MATCH($M2,职业分类属性!$A$1:$A$15,0),MATCH("防御",职业分类属性!$A$2:$E$2,0),1,1,"职业分类属性"))*((星级总属性!$K$3)/(星级总属性!$K$3+星级总属性!$L$3))+(VLOOKUP($B2,INDIRECT(TEXT("'"&amp;$L2&amp;"星每级加强属性曲线演算'","")&amp;"!$A$2:$C$100"),3,FALSE)*VLOOKUP($M2,职业分类属性!$A$3:$G$15,7,FALSE))*(HLOOKUP(HLOOKUP("防御",职业属性偏向!$B$3:$E$16,14,FALSE),INDIRECT(TEXT($N$1&amp;$N2&amp;"!$B$2:$G$3","")),2,FALSE)/INDIRECT(TEXT($N$1&amp;$N2&amp;"!$H$3","")))*((星级总属性!$L$3)/(星级总属性!$K$3+星级总属性!$L$3)),0)</f>
        <v>0,0,0,0</v>
      </c>
      <c r="D2" s="26">
        <v>1000</v>
      </c>
      <c r="E2" s="43" t="str">
        <f>IF(VLOOKUP($B2,进阶要求!$A$2:$C$17,3,FALSE)=0,"",VLOOKUP($B2,进阶要求!$A$2:$C$17,3,FALSE))</f>
        <v/>
      </c>
      <c r="F2" s="32" t="str">
        <f>IF(VLOOKUP($B2,进阶要求!$A$2:$C$17,2,FALSE)=0,"",VLOOKUP($B2,进阶要求!$A$2:$C$17,2,FALSE))</f>
        <v/>
      </c>
      <c r="G2" s="33"/>
      <c r="H2" s="32"/>
      <c r="I2" s="32"/>
      <c r="J2" s="32"/>
      <c r="K2" s="32"/>
      <c r="L2" s="2">
        <v>6</v>
      </c>
      <c r="M2" s="2" t="s">
        <v>61</v>
      </c>
      <c r="N2" s="2">
        <v>1</v>
      </c>
      <c r="O2" s="26" t="e">
        <f ca="1">ROUND((VLOOKUP(VALUE(RIGHT(O$1,LEN(O$1)-2)),INDIRECT(TEXT("'"&amp;$L2&amp;"星每级加强属性曲线演算'","")&amp;"!$A$2:$C$100"),3,FALSE)*VLOOKUP($M2,职业分类属性!$A$3:$G$15,9,FALSE))*INDIRECT(ADDRESS(MATCH($M2,职业分类属性!$A$1:$A$15,0),MATCH("生命值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生命值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回复力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回复力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武力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武力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防御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防御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智力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智力",职业属性偏向!$B$3:$E$16,14,FALSE),INDIRECT(TEXT($N$1&amp;$N2&amp;"!$B$2:$G$3","")),2,FALSE)/INDIRECT(TEXT($N$1&amp;$N2&amp;"!$H$3","")))*((星级总属性!$L$3)/(星级总属性!$K$3+星级总属性!$L$3)),0)&amp;","&amp;ROUND((VLOOKUP(VALUE(RIGHT(O$1,LEN(O$1)-2)),INDIRECT(TEXT("'"&amp;$L2&amp;"星每级加强属性曲线演算'","")&amp;"!$A$2:$C$100"),3,FALSE)*VLOOKUP($M2,职业分类属性!$A$3:$G$15,9,FALSE))*INDIRECT(ADDRESS(MATCH($M2,职业分类属性!$A$1:$A$15,0),MATCH("法防",职业分类属性!$A$2:$E$2,0),1,1,"职业分类属性"))*((星级总属性!$K$3)/(星级总属性!$K$3+星级总属性!$L$3))+(VLOOKUP(VALUE(RIGHT(O$1,LEN(O$1)-2)),INDIRECT(TEXT("'"&amp;$L2&amp;"星每级加强属性曲线演算'","")&amp;"!$A$2:$C$100"),3,FALSE)*VLOOKUP($M2,职业分类属性!$A$3:$G$15,9,FALSE))*(HLOOKUP(HLOOKUP("法防",职业属性偏向!$B$3:$E$16,14,FALSE),INDIRECT(TEXT($N$1&amp;$N2&amp;"!$B$2:$G$3","")),2,FALSE)/INDIRECT(TEXT($N$1&amp;$N2&amp;"!$H$3","")))*((星级总属性!$L$3)/(星级总属性!$K$3+星级总属性!$L$3)),0)</f>
        <v>#REF!</v>
      </c>
      <c r="T2" s="32" t="s">
        <v>94</v>
      </c>
    </row>
    <row r="3" spans="1:20" x14ac:dyDescent="0.25">
      <c r="A3" s="31">
        <v>120012</v>
      </c>
      <c r="B3" s="30">
        <v>1</v>
      </c>
      <c r="C3" s="26" t="str">
        <f ca="1">ROUND((VLOOKUP($B3,INDIRECT(TEXT("'"&amp;$L3&amp;"星每级加强属性曲线演算'","")&amp;"!$A$2:$C$100"),3,FALSE)*VLOOKUP($M3,职业分类属性!$A$3:$G$15,7,FALSE))*INDIRECT(ADDRESS(MATCH($M3,职业分类属性!$A$1:$A$15,0),MATCH("生命值",职业分类属性!$A$2:$E$2,0),1,1,"职业分类属性"))*((星级总属性!$K$3)/(星级总属性!$K$3+星级总属性!$L$3))+(VLOOKUP($B3,INDIRECT(TEXT("'"&amp;$L3&amp;"星每级加强属性曲线演算'","")&amp;"!$A$2:$C$100"),3,FALSE)*VLOOKUP($M3,职业分类属性!$A$3:$G$15,7,FALSE))*(HLOOKUP(HLOOKUP("生命值",职业属性偏向!$B$3:$E$16,14,FALSE),INDIRECT(TEXT($N$1&amp;$N3&amp;"!$B$2:$G$3","")),2,FALSE)/INDIRECT(TEXT($N$1&amp;$N3&amp;"!$H$3","")))*((星级总属性!$L$3)/(星级总属性!$K$3+星级总属性!$L$3)),0)&amp;","&amp;ROUND((VLOOKUP($B3,INDIRECT(TEXT("'"&amp;$L3&amp;"星每级加强属性曲线演算'","")&amp;"!$A$2:$C$100"),3,FALSE)*VLOOKUP($M3,职业分类属性!$A$3:$G$15,7,FALSE))*INDIRECT(ADDRESS(MATCH($M3,职业分类属性!$A$1:$A$15,0),MATCH("回复力",职业分类属性!$A$2:$E$2,0),1,1,"职业分类属性"))*((星级总属性!$K$3)/(星级总属性!$K$3+星级总属性!$L$3))+(VLOOKUP($B3,INDIRECT(TEXT("'"&amp;$L3&amp;"星每级加强属性曲线演算'","")&amp;"!$A$2:$C$100"),3,FALSE)*VLOOKUP($M3,职业分类属性!$A$3:$G$15,7,FALSE))*(HLOOKUP(HLOOKUP("回复力",职业属性偏向!$B$3:$E$16,14,FALSE),INDIRECT(TEXT($N$1&amp;$N3&amp;"!$B$2:$G$3","")),2,FALSE)/INDIRECT(TEXT($N$1&amp;$N3&amp;"!$H$3","")))*((星级总属性!$L$3)/(星级总属性!$K$3+星级总属性!$L$3)),0)&amp;","&amp;ROUND((VLOOKUP($B3,INDIRECT(TEXT("'"&amp;$L3&amp;"星每级加强属性曲线演算'","")&amp;"!$A$2:$C$100"),3,FALSE)*VLOOKUP($M3,职业分类属性!$A$3:$G$15,7,FALSE))*INDIRECT(ADDRESS(MATCH($M3,职业分类属性!$A$1:$A$15,0),MATCH("武力",职业分类属性!$A$2:$E$2,0),1,1,"职业分类属性"))*((星级总属性!$K$3)/(星级总属性!$K$3+星级总属性!$L$3))+(VLOOKUP($B3,INDIRECT(TEXT("'"&amp;$L3&amp;"星每级加强属性曲线演算'","")&amp;"!$A$2:$C$100"),3,FALSE)*VLOOKUP($M3,职业分类属性!$A$3:$G$15,7,FALSE))*(HLOOKUP(HLOOKUP("武力",职业属性偏向!$B$3:$E$16,14,FALSE),INDIRECT(TEXT($N$1&amp;$N3&amp;"!$B$2:$G$3","")),2,FALSE)/INDIRECT(TEXT($N$1&amp;$N3&amp;"!$H$3","")))*((星级总属性!$L$3)/(星级总属性!$K$3+星级总属性!$L$3)),0)&amp;","&amp;ROUND((VLOOKUP($B3,INDIRECT(TEXT("'"&amp;$L3&amp;"星每级加强属性曲线演算'","")&amp;"!$A$2:$C$100"),3,FALSE)*VLOOKUP($M3,职业分类属性!$A$3:$G$15,7,FALSE))*INDIRECT(ADDRESS(MATCH($M3,职业分类属性!$A$1:$A$15,0),MATCH("防御",职业分类属性!$A$2:$E$2,0),1,1,"职业分类属性"))*((星级总属性!$K$3)/(星级总属性!$K$3+星级总属性!$L$3))+(VLOOKUP($B3,INDIRECT(TEXT("'"&amp;$L3&amp;"星每级加强属性曲线演算'","")&amp;"!$A$2:$C$100"),3,FALSE)*VLOOKUP($M3,职业分类属性!$A$3:$G$15,7,FALSE))*(HLOOKUP(HLOOKUP("防御",职业属性偏向!$B$3:$E$16,14,FALSE),INDIRECT(TEXT($N$1&amp;$N3&amp;"!$B$2:$G$3","")),2,FALSE)/INDIRECT(TEXT($N$1&amp;$N3&amp;"!$H$3","")))*((星级总属性!$L$3)/(星级总属性!$K$3+星级总属性!$L$3)),0)</f>
        <v>67,16,134,40</v>
      </c>
      <c r="D3" s="26">
        <v>1001</v>
      </c>
      <c r="E3" s="43" t="str">
        <f>IF(VLOOKUP($B3,进阶要求!$A$2:$C$17,3,FALSE)=0,"",VLOOKUP($B3,进阶要求!$A$2:$C$17,3,FALSE))</f>
        <v>10001,10;10002,11</v>
      </c>
      <c r="F3" s="32">
        <f>IF(VLOOKUP($B3,进阶要求!$A$2:$C$17,2,FALSE)=0,"",VLOOKUP($B3,进阶要求!$A$2:$C$17,2,FALSE))</f>
        <v>5</v>
      </c>
      <c r="G3" s="33"/>
      <c r="H3" s="32"/>
      <c r="I3" s="32"/>
      <c r="J3" s="32"/>
      <c r="K3" s="32"/>
      <c r="L3" s="2">
        <v>6</v>
      </c>
      <c r="M3" s="2" t="s">
        <v>1</v>
      </c>
      <c r="N3" s="2">
        <v>1</v>
      </c>
      <c r="O3" s="26" t="e">
        <f ca="1">ROUND((VLOOKUP(VALUE(RIGHT(O$1,LEN(O$1)-2)),INDIRECT(TEXT("'"&amp;$L3&amp;"星每级加强属性曲线演算'","")&amp;"!$A$2:$C$100"),3,FALSE)*VLOOKUP($M3,职业分类属性!$A$3:$G$15,9,FALSE))*INDIRECT(ADDRESS(MATCH($M3,职业分类属性!$A$1:$A$15,0),MATCH("生命值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生命值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回复力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回复力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武力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武力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防御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防御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智力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智力",职业属性偏向!$B$3:$E$16,14,FALSE),INDIRECT(TEXT($N$1&amp;$N3&amp;"!$B$2:$G$3","")),2,FALSE)/INDIRECT(TEXT($N$1&amp;$N3&amp;"!$H$3","")))*((星级总属性!$L$3)/(星级总属性!$K$3+星级总属性!$L$3)),0)&amp;","&amp;ROUND((VLOOKUP(VALUE(RIGHT(O$1,LEN(O$1)-2)),INDIRECT(TEXT("'"&amp;$L3&amp;"星每级加强属性曲线演算'","")&amp;"!$A$2:$C$100"),3,FALSE)*VLOOKUP($M3,职业分类属性!$A$3:$G$15,9,FALSE))*INDIRECT(ADDRESS(MATCH($M3,职业分类属性!$A$1:$A$15,0),MATCH("法防",职业分类属性!$A$2:$E$2,0),1,1,"职业分类属性"))*((星级总属性!$K$3)/(星级总属性!$K$3+星级总属性!$L$3))+(VLOOKUP(VALUE(RIGHT(O$1,LEN(O$1)-2)),INDIRECT(TEXT("'"&amp;$L3&amp;"星每级加强属性曲线演算'","")&amp;"!$A$2:$C$100"),3,FALSE)*VLOOKUP($M3,职业分类属性!$A$3:$G$15,9,FALSE))*(HLOOKUP(HLOOKUP("法防",职业属性偏向!$B$3:$E$16,14,FALSE),INDIRECT(TEXT($N$1&amp;$N3&amp;"!$B$2:$G$3","")),2,FALSE)/INDIRECT(TEXT($N$1&amp;$N3&amp;"!$H$3","")))*((星级总属性!$L$3)/(星级总属性!$K$3+星级总属性!$L$3)),0)</f>
        <v>#REF!</v>
      </c>
      <c r="T3" s="47" t="s">
        <v>95</v>
      </c>
    </row>
    <row r="4" spans="1:20" x14ac:dyDescent="0.25">
      <c r="A4" s="31">
        <v>120012</v>
      </c>
      <c r="B4" s="30">
        <v>2</v>
      </c>
      <c r="C4" s="26" t="str">
        <f ca="1">ROUND((VLOOKUP($B4,INDIRECT(TEXT("'"&amp;$L4&amp;"星每级加强属性曲线演算'","")&amp;"!$A$2:$C$100"),3,FALSE)*VLOOKUP($M4,职业分类属性!$A$3:$G$15,7,FALSE))*INDIRECT(ADDRESS(MATCH($M4,职业分类属性!$A$1:$A$15,0),MATCH("生命值",职业分类属性!$A$2:$E$2,0),1,1,"职业分类属性"))*((星级总属性!$K$3)/(星级总属性!$K$3+星级总属性!$L$3))+(VLOOKUP($B4,INDIRECT(TEXT("'"&amp;$L4&amp;"星每级加强属性曲线演算'","")&amp;"!$A$2:$C$100"),3,FALSE)*VLOOKUP($M4,职业分类属性!$A$3:$G$15,7,FALSE))*(HLOOKUP(HLOOKUP("生命值",职业属性偏向!$B$3:$E$16,14,FALSE),INDIRECT(TEXT($N$1&amp;$N4&amp;"!$B$2:$G$3","")),2,FALSE)/INDIRECT(TEXT($N$1&amp;$N4&amp;"!$H$3","")))*((星级总属性!$L$3)/(星级总属性!$K$3+星级总属性!$L$3)),0)&amp;","&amp;ROUND((VLOOKUP($B4,INDIRECT(TEXT("'"&amp;$L4&amp;"星每级加强属性曲线演算'","")&amp;"!$A$2:$C$100"),3,FALSE)*VLOOKUP($M4,职业分类属性!$A$3:$G$15,7,FALSE))*INDIRECT(ADDRESS(MATCH($M4,职业分类属性!$A$1:$A$15,0),MATCH("回复力",职业分类属性!$A$2:$E$2,0),1,1,"职业分类属性"))*((星级总属性!$K$3)/(星级总属性!$K$3+星级总属性!$L$3))+(VLOOKUP($B4,INDIRECT(TEXT("'"&amp;$L4&amp;"星每级加强属性曲线演算'","")&amp;"!$A$2:$C$100"),3,FALSE)*VLOOKUP($M4,职业分类属性!$A$3:$G$15,7,FALSE))*(HLOOKUP(HLOOKUP("回复力",职业属性偏向!$B$3:$E$16,14,FALSE),INDIRECT(TEXT($N$1&amp;$N4&amp;"!$B$2:$G$3","")),2,FALSE)/INDIRECT(TEXT($N$1&amp;$N4&amp;"!$H$3","")))*((星级总属性!$L$3)/(星级总属性!$K$3+星级总属性!$L$3)),0)&amp;","&amp;ROUND((VLOOKUP($B4,INDIRECT(TEXT("'"&amp;$L4&amp;"星每级加强属性曲线演算'","")&amp;"!$A$2:$C$100"),3,FALSE)*VLOOKUP($M4,职业分类属性!$A$3:$G$15,7,FALSE))*INDIRECT(ADDRESS(MATCH($M4,职业分类属性!$A$1:$A$15,0),MATCH("武力",职业分类属性!$A$2:$E$2,0),1,1,"职业分类属性"))*((星级总属性!$K$3)/(星级总属性!$K$3+星级总属性!$L$3))+(VLOOKUP($B4,INDIRECT(TEXT("'"&amp;$L4&amp;"星每级加强属性曲线演算'","")&amp;"!$A$2:$C$100"),3,FALSE)*VLOOKUP($M4,职业分类属性!$A$3:$G$15,7,FALSE))*(HLOOKUP(HLOOKUP("武力",职业属性偏向!$B$3:$E$16,14,FALSE),INDIRECT(TEXT($N$1&amp;$N4&amp;"!$B$2:$G$3","")),2,FALSE)/INDIRECT(TEXT($N$1&amp;$N4&amp;"!$H$3","")))*((星级总属性!$L$3)/(星级总属性!$K$3+星级总属性!$L$3)),0)&amp;","&amp;ROUND((VLOOKUP($B4,INDIRECT(TEXT("'"&amp;$L4&amp;"星每级加强属性曲线演算'","")&amp;"!$A$2:$C$100"),3,FALSE)*VLOOKUP($M4,职业分类属性!$A$3:$G$15,7,FALSE))*INDIRECT(ADDRESS(MATCH($M4,职业分类属性!$A$1:$A$15,0),MATCH("防御",职业分类属性!$A$2:$E$2,0),1,1,"职业分类属性"))*((星级总属性!$K$3)/(星级总属性!$K$3+星级总属性!$L$3))+(VLOOKUP($B4,INDIRECT(TEXT("'"&amp;$L4&amp;"星每级加强属性曲线演算'","")&amp;"!$A$2:$C$100"),3,FALSE)*VLOOKUP($M4,职业分类属性!$A$3:$G$15,7,FALSE))*(HLOOKUP(HLOOKUP("防御",职业属性偏向!$B$3:$E$16,14,FALSE),INDIRECT(TEXT($N$1&amp;$N4&amp;"!$B$2:$G$3","")),2,FALSE)/INDIRECT(TEXT($N$1&amp;$N4&amp;"!$H$3","")))*((星级总属性!$L$3)/(星级总属性!$K$3+星级总属性!$L$3)),0)</f>
        <v>135,33,268,81</v>
      </c>
      <c r="D4" s="26">
        <v>1002</v>
      </c>
      <c r="E4" s="43" t="str">
        <f>IF(VLOOKUP($B4,进阶要求!$A$2:$C$17,3,FALSE)=0,"",VLOOKUP($B4,进阶要求!$A$2:$C$17,3,FALSE))</f>
        <v>10001,10;10002,11;10003,12</v>
      </c>
      <c r="F4" s="32" t="str">
        <f>IF(VLOOKUP($B4,进阶要求!$A$2:$C$17,2,FALSE)=0,"",VLOOKUP($B4,进阶要求!$A$2:$C$17,2,FALSE))</f>
        <v/>
      </c>
      <c r="G4" s="33">
        <v>0</v>
      </c>
      <c r="H4" s="32">
        <v>812010</v>
      </c>
      <c r="I4" s="32" t="s">
        <v>93</v>
      </c>
      <c r="J4" s="32"/>
      <c r="K4" s="32"/>
      <c r="L4" s="2">
        <v>6</v>
      </c>
      <c r="M4" s="2" t="s">
        <v>1</v>
      </c>
      <c r="N4" s="2">
        <v>1</v>
      </c>
      <c r="O4" s="26" t="e">
        <f ca="1">ROUND((VLOOKUP(VALUE(RIGHT(O$1,LEN(O$1)-2)),INDIRECT(TEXT("'"&amp;$L4&amp;"星每级加强属性曲线演算'","")&amp;"!$A$2:$C$100"),3,FALSE)*VLOOKUP($M4,职业分类属性!$A$3:$G$15,9,FALSE))*INDIRECT(ADDRESS(MATCH($M4,职业分类属性!$A$1:$A$15,0),MATCH("生命值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生命值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回复力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回复力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武力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武力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防御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防御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智力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智力",职业属性偏向!$B$3:$E$16,14,FALSE),INDIRECT(TEXT($N$1&amp;$N4&amp;"!$B$2:$G$3","")),2,FALSE)/INDIRECT(TEXT($N$1&amp;$N4&amp;"!$H$3","")))*((星级总属性!$L$3)/(星级总属性!$K$3+星级总属性!$L$3)),0)&amp;","&amp;ROUND((VLOOKUP(VALUE(RIGHT(O$1,LEN(O$1)-2)),INDIRECT(TEXT("'"&amp;$L4&amp;"星每级加强属性曲线演算'","")&amp;"!$A$2:$C$100"),3,FALSE)*VLOOKUP($M4,职业分类属性!$A$3:$G$15,9,FALSE))*INDIRECT(ADDRESS(MATCH($M4,职业分类属性!$A$1:$A$15,0),MATCH("法防",职业分类属性!$A$2:$E$2,0),1,1,"职业分类属性"))*((星级总属性!$K$3)/(星级总属性!$K$3+星级总属性!$L$3))+(VLOOKUP(VALUE(RIGHT(O$1,LEN(O$1)-2)),INDIRECT(TEXT("'"&amp;$L4&amp;"星每级加强属性曲线演算'","")&amp;"!$A$2:$C$100"),3,FALSE)*VLOOKUP($M4,职业分类属性!$A$3:$G$15,9,FALSE))*(HLOOKUP(HLOOKUP("法防",职业属性偏向!$B$3:$E$16,14,FALSE),INDIRECT(TEXT($N$1&amp;$N4&amp;"!$B$2:$G$3","")),2,FALSE)/INDIRECT(TEXT($N$1&amp;$N4&amp;"!$H$3","")))*((星级总属性!$L$3)/(星级总属性!$K$3+星级总属性!$L$3)),0)</f>
        <v>#REF!</v>
      </c>
      <c r="T4" s="46" t="s">
        <v>96</v>
      </c>
    </row>
    <row r="5" spans="1:20" x14ac:dyDescent="0.25">
      <c r="A5" s="31">
        <v>120012</v>
      </c>
      <c r="B5" s="30">
        <v>3</v>
      </c>
      <c r="C5" s="26" t="str">
        <f ca="1">ROUND((VLOOKUP($B5,INDIRECT(TEXT("'"&amp;$L5&amp;"星每级加强属性曲线演算'","")&amp;"!$A$2:$C$100"),3,FALSE)*VLOOKUP($M5,职业分类属性!$A$3:$G$15,7,FALSE))*INDIRECT(ADDRESS(MATCH($M5,职业分类属性!$A$1:$A$15,0),MATCH("生命值",职业分类属性!$A$2:$E$2,0),1,1,"职业分类属性"))*((星级总属性!$K$3)/(星级总属性!$K$3+星级总属性!$L$3))+(VLOOKUP($B5,INDIRECT(TEXT("'"&amp;$L5&amp;"星每级加强属性曲线演算'","")&amp;"!$A$2:$C$100"),3,FALSE)*VLOOKUP($M5,职业分类属性!$A$3:$G$15,7,FALSE))*(HLOOKUP(HLOOKUP("生命值",职业属性偏向!$B$3:$E$16,14,FALSE),INDIRECT(TEXT($N$1&amp;$N5&amp;"!$B$2:$G$3","")),2,FALSE)/INDIRECT(TEXT($N$1&amp;$N5&amp;"!$H$3","")))*((星级总属性!$L$3)/(星级总属性!$K$3+星级总属性!$L$3)),0)&amp;","&amp;ROUND((VLOOKUP($B5,INDIRECT(TEXT("'"&amp;$L5&amp;"星每级加强属性曲线演算'","")&amp;"!$A$2:$C$100"),3,FALSE)*VLOOKUP($M5,职业分类属性!$A$3:$G$15,7,FALSE))*INDIRECT(ADDRESS(MATCH($M5,职业分类属性!$A$1:$A$15,0),MATCH("回复力",职业分类属性!$A$2:$E$2,0),1,1,"职业分类属性"))*((星级总属性!$K$3)/(星级总属性!$K$3+星级总属性!$L$3))+(VLOOKUP($B5,INDIRECT(TEXT("'"&amp;$L5&amp;"星每级加强属性曲线演算'","")&amp;"!$A$2:$C$100"),3,FALSE)*VLOOKUP($M5,职业分类属性!$A$3:$G$15,7,FALSE))*(HLOOKUP(HLOOKUP("回复力",职业属性偏向!$B$3:$E$16,14,FALSE),INDIRECT(TEXT($N$1&amp;$N5&amp;"!$B$2:$G$3","")),2,FALSE)/INDIRECT(TEXT($N$1&amp;$N5&amp;"!$H$3","")))*((星级总属性!$L$3)/(星级总属性!$K$3+星级总属性!$L$3)),0)&amp;","&amp;ROUND((VLOOKUP($B5,INDIRECT(TEXT("'"&amp;$L5&amp;"星每级加强属性曲线演算'","")&amp;"!$A$2:$C$100"),3,FALSE)*VLOOKUP($M5,职业分类属性!$A$3:$G$15,7,FALSE))*INDIRECT(ADDRESS(MATCH($M5,职业分类属性!$A$1:$A$15,0),MATCH("武力",职业分类属性!$A$2:$E$2,0),1,1,"职业分类属性"))*((星级总属性!$K$3)/(星级总属性!$K$3+星级总属性!$L$3))+(VLOOKUP($B5,INDIRECT(TEXT("'"&amp;$L5&amp;"星每级加强属性曲线演算'","")&amp;"!$A$2:$C$100"),3,FALSE)*VLOOKUP($M5,职业分类属性!$A$3:$G$15,7,FALSE))*(HLOOKUP(HLOOKUP("武力",职业属性偏向!$B$3:$E$16,14,FALSE),INDIRECT(TEXT($N$1&amp;$N5&amp;"!$B$2:$G$3","")),2,FALSE)/INDIRECT(TEXT($N$1&amp;$N5&amp;"!$H$3","")))*((星级总属性!$L$3)/(星级总属性!$K$3+星级总属性!$L$3)),0)&amp;","&amp;ROUND((VLOOKUP($B5,INDIRECT(TEXT("'"&amp;$L5&amp;"星每级加强属性曲线演算'","")&amp;"!$A$2:$C$100"),3,FALSE)*VLOOKUP($M5,职业分类属性!$A$3:$G$15,7,FALSE))*INDIRECT(ADDRESS(MATCH($M5,职业分类属性!$A$1:$A$15,0),MATCH("防御",职业分类属性!$A$2:$E$2,0),1,1,"职业分类属性"))*((星级总属性!$K$3)/(星级总属性!$K$3+星级总属性!$L$3))+(VLOOKUP($B5,INDIRECT(TEXT("'"&amp;$L5&amp;"星每级加强属性曲线演算'","")&amp;"!$A$2:$C$100"),3,FALSE)*VLOOKUP($M5,职业分类属性!$A$3:$G$15,7,FALSE))*(HLOOKUP(HLOOKUP("防御",职业属性偏向!$B$3:$E$16,14,FALSE),INDIRECT(TEXT($N$1&amp;$N5&amp;"!$B$2:$G$3","")),2,FALSE)/INDIRECT(TEXT($N$1&amp;$N5&amp;"!$H$3","")))*((星级总属性!$L$3)/(星级总属性!$K$3+星级总属性!$L$3)),0)</f>
        <v>202,49,401,121</v>
      </c>
      <c r="D5" s="26">
        <v>1003</v>
      </c>
      <c r="E5" s="43" t="str">
        <f>IF(VLOOKUP($B5,进阶要求!$A$2:$C$17,3,FALSE)=0,"",VLOOKUP($B5,进阶要求!$A$2:$C$17,3,FALSE))</f>
        <v>10001,10;10002,11;10003,12;10003,13</v>
      </c>
      <c r="F5" s="32" t="str">
        <f>IF(VLOOKUP($B5,进阶要求!$A$2:$C$17,2,FALSE)=0,"",VLOOKUP($B5,进阶要求!$A$2:$C$17,2,FALSE))</f>
        <v/>
      </c>
      <c r="G5" s="33"/>
      <c r="H5" s="32"/>
      <c r="I5" s="32"/>
      <c r="J5" s="32"/>
      <c r="K5" s="32"/>
      <c r="L5" s="2">
        <v>6</v>
      </c>
      <c r="M5" s="2" t="s">
        <v>1</v>
      </c>
      <c r="N5" s="2">
        <v>1</v>
      </c>
      <c r="O5" s="26" t="e">
        <f ca="1">ROUND((VLOOKUP(VALUE(RIGHT(O$1,LEN(O$1)-2)),INDIRECT(TEXT("'"&amp;$L5&amp;"星每级加强属性曲线演算'","")&amp;"!$A$2:$C$100"),3,FALSE)*VLOOKUP($M5,职业分类属性!$A$3:$G$15,9,FALSE))*INDIRECT(ADDRESS(MATCH($M5,职业分类属性!$A$1:$A$15,0),MATCH("生命值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生命值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回复力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回复力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武力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武力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防御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防御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智力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智力",职业属性偏向!$B$3:$E$16,14,FALSE),INDIRECT(TEXT($N$1&amp;$N5&amp;"!$B$2:$G$3","")),2,FALSE)/INDIRECT(TEXT($N$1&amp;$N5&amp;"!$H$3","")))*((星级总属性!$L$3)/(星级总属性!$K$3+星级总属性!$L$3)),0)&amp;","&amp;ROUND((VLOOKUP(VALUE(RIGHT(O$1,LEN(O$1)-2)),INDIRECT(TEXT("'"&amp;$L5&amp;"星每级加强属性曲线演算'","")&amp;"!$A$2:$C$100"),3,FALSE)*VLOOKUP($M5,职业分类属性!$A$3:$G$15,9,FALSE))*INDIRECT(ADDRESS(MATCH($M5,职业分类属性!$A$1:$A$15,0),MATCH("法防",职业分类属性!$A$2:$E$2,0),1,1,"职业分类属性"))*((星级总属性!$K$3)/(星级总属性!$K$3+星级总属性!$L$3))+(VLOOKUP(VALUE(RIGHT(O$1,LEN(O$1)-2)),INDIRECT(TEXT("'"&amp;$L5&amp;"星每级加强属性曲线演算'","")&amp;"!$A$2:$C$100"),3,FALSE)*VLOOKUP($M5,职业分类属性!$A$3:$G$15,9,FALSE))*(HLOOKUP(HLOOKUP("法防",职业属性偏向!$B$3:$E$16,14,FALSE),INDIRECT(TEXT($N$1&amp;$N5&amp;"!$B$2:$G$3","")),2,FALSE)/INDIRECT(TEXT($N$1&amp;$N5&amp;"!$H$3","")))*((星级总属性!$L$3)/(星级总属性!$K$3+星级总属性!$L$3)),0)</f>
        <v>#REF!</v>
      </c>
      <c r="T5" s="46" t="s">
        <v>97</v>
      </c>
    </row>
    <row r="6" spans="1:20" x14ac:dyDescent="0.25">
      <c r="A6" s="31">
        <v>120012</v>
      </c>
      <c r="B6" s="30">
        <v>4</v>
      </c>
      <c r="C6" s="26" t="str">
        <f ca="1">ROUND((VLOOKUP($B6,INDIRECT(TEXT("'"&amp;$L6&amp;"星每级加强属性曲线演算'","")&amp;"!$A$2:$C$100"),3,FALSE)*VLOOKUP($M6,职业分类属性!$A$3:$G$15,7,FALSE))*INDIRECT(ADDRESS(MATCH($M6,职业分类属性!$A$1:$A$15,0),MATCH("生命值",职业分类属性!$A$2:$E$2,0),1,1,"职业分类属性"))*((星级总属性!$K$3)/(星级总属性!$K$3+星级总属性!$L$3))+(VLOOKUP($B6,INDIRECT(TEXT("'"&amp;$L6&amp;"星每级加强属性曲线演算'","")&amp;"!$A$2:$C$100"),3,FALSE)*VLOOKUP($M6,职业分类属性!$A$3:$G$15,7,FALSE))*(HLOOKUP(HLOOKUP("生命值",职业属性偏向!$B$3:$E$16,14,FALSE),INDIRECT(TEXT($N$1&amp;$N6&amp;"!$B$2:$G$3","")),2,FALSE)/INDIRECT(TEXT($N$1&amp;$N6&amp;"!$H$3","")))*((星级总属性!$L$3)/(星级总属性!$K$3+星级总属性!$L$3)),0)&amp;","&amp;ROUND((VLOOKUP($B6,INDIRECT(TEXT("'"&amp;$L6&amp;"星每级加强属性曲线演算'","")&amp;"!$A$2:$C$100"),3,FALSE)*VLOOKUP($M6,职业分类属性!$A$3:$G$15,7,FALSE))*INDIRECT(ADDRESS(MATCH($M6,职业分类属性!$A$1:$A$15,0),MATCH("回复力",职业分类属性!$A$2:$E$2,0),1,1,"职业分类属性"))*((星级总属性!$K$3)/(星级总属性!$K$3+星级总属性!$L$3))+(VLOOKUP($B6,INDIRECT(TEXT("'"&amp;$L6&amp;"星每级加强属性曲线演算'","")&amp;"!$A$2:$C$100"),3,FALSE)*VLOOKUP($M6,职业分类属性!$A$3:$G$15,7,FALSE))*(HLOOKUP(HLOOKUP("回复力",职业属性偏向!$B$3:$E$16,14,FALSE),INDIRECT(TEXT($N$1&amp;$N6&amp;"!$B$2:$G$3","")),2,FALSE)/INDIRECT(TEXT($N$1&amp;$N6&amp;"!$H$3","")))*((星级总属性!$L$3)/(星级总属性!$K$3+星级总属性!$L$3)),0)&amp;","&amp;ROUND((VLOOKUP($B6,INDIRECT(TEXT("'"&amp;$L6&amp;"星每级加强属性曲线演算'","")&amp;"!$A$2:$C$100"),3,FALSE)*VLOOKUP($M6,职业分类属性!$A$3:$G$15,7,FALSE))*INDIRECT(ADDRESS(MATCH($M6,职业分类属性!$A$1:$A$15,0),MATCH("武力",职业分类属性!$A$2:$E$2,0),1,1,"职业分类属性"))*((星级总属性!$K$3)/(星级总属性!$K$3+星级总属性!$L$3))+(VLOOKUP($B6,INDIRECT(TEXT("'"&amp;$L6&amp;"星每级加强属性曲线演算'","")&amp;"!$A$2:$C$100"),3,FALSE)*VLOOKUP($M6,职业分类属性!$A$3:$G$15,7,FALSE))*(HLOOKUP(HLOOKUP("武力",职业属性偏向!$B$3:$E$16,14,FALSE),INDIRECT(TEXT($N$1&amp;$N6&amp;"!$B$2:$G$3","")),2,FALSE)/INDIRECT(TEXT($N$1&amp;$N6&amp;"!$H$3","")))*((星级总属性!$L$3)/(星级总属性!$K$3+星级总属性!$L$3)),0)&amp;","&amp;ROUND((VLOOKUP($B6,INDIRECT(TEXT("'"&amp;$L6&amp;"星每级加强属性曲线演算'","")&amp;"!$A$2:$C$100"),3,FALSE)*VLOOKUP($M6,职业分类属性!$A$3:$G$15,7,FALSE))*INDIRECT(ADDRESS(MATCH($M6,职业分类属性!$A$1:$A$15,0),MATCH("防御",职业分类属性!$A$2:$E$2,0),1,1,"职业分类属性"))*((星级总属性!$K$3)/(星级总属性!$K$3+星级总属性!$L$3))+(VLOOKUP($B6,INDIRECT(TEXT("'"&amp;$L6&amp;"星每级加强属性曲线演算'","")&amp;"!$A$2:$C$100"),3,FALSE)*VLOOKUP($M6,职业分类属性!$A$3:$G$15,7,FALSE))*(HLOOKUP(HLOOKUP("防御",职业属性偏向!$B$3:$E$16,14,FALSE),INDIRECT(TEXT($N$1&amp;$N6&amp;"!$B$2:$G$3","")),2,FALSE)/INDIRECT(TEXT($N$1&amp;$N6&amp;"!$H$3","")))*((星级总属性!$L$3)/(星级总属性!$K$3+星级总属性!$L$3)),0)</f>
        <v>270,66,535,162</v>
      </c>
      <c r="D6" s="26">
        <v>1004</v>
      </c>
      <c r="E6" s="43" t="str">
        <f>IF(VLOOKUP($B6,进阶要求!$A$2:$C$17,3,FALSE)=0,"",VLOOKUP($B6,进阶要求!$A$2:$C$17,3,FALSE))</f>
        <v>10001,10;10002,11;10003,12;10003,13</v>
      </c>
      <c r="F6" s="32">
        <f>IF(VLOOKUP($B6,进阶要求!$A$2:$C$17,2,FALSE)=0,"",VLOOKUP($B6,进阶要求!$A$2:$C$17,2,FALSE))</f>
        <v>10</v>
      </c>
      <c r="G6" s="33"/>
      <c r="H6" s="32"/>
      <c r="I6" s="32"/>
      <c r="J6" s="32"/>
      <c r="K6" s="32"/>
      <c r="L6" s="2">
        <v>6</v>
      </c>
      <c r="M6" s="2" t="s">
        <v>1</v>
      </c>
      <c r="N6" s="2">
        <v>1</v>
      </c>
      <c r="O6" s="26" t="e">
        <f ca="1">ROUND((VLOOKUP(VALUE(RIGHT(O$1,LEN(O$1)-2)),INDIRECT(TEXT("'"&amp;$L6&amp;"星每级加强属性曲线演算'","")&amp;"!$A$2:$C$100"),3,FALSE)*VLOOKUP($M6,职业分类属性!$A$3:$G$15,9,FALSE))*INDIRECT(ADDRESS(MATCH($M6,职业分类属性!$A$1:$A$15,0),MATCH("生命值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生命值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回复力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回复力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武力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武力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防御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防御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智力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智力",职业属性偏向!$B$3:$E$16,14,FALSE),INDIRECT(TEXT($N$1&amp;$N6&amp;"!$B$2:$G$3","")),2,FALSE)/INDIRECT(TEXT($N$1&amp;$N6&amp;"!$H$3","")))*((星级总属性!$L$3)/(星级总属性!$K$3+星级总属性!$L$3)),0)&amp;","&amp;ROUND((VLOOKUP(VALUE(RIGHT(O$1,LEN(O$1)-2)),INDIRECT(TEXT("'"&amp;$L6&amp;"星每级加强属性曲线演算'","")&amp;"!$A$2:$C$100"),3,FALSE)*VLOOKUP($M6,职业分类属性!$A$3:$G$15,9,FALSE))*INDIRECT(ADDRESS(MATCH($M6,职业分类属性!$A$1:$A$15,0),MATCH("法防",职业分类属性!$A$2:$E$2,0),1,1,"职业分类属性"))*((星级总属性!$K$3)/(星级总属性!$K$3+星级总属性!$L$3))+(VLOOKUP(VALUE(RIGHT(O$1,LEN(O$1)-2)),INDIRECT(TEXT("'"&amp;$L6&amp;"星每级加强属性曲线演算'","")&amp;"!$A$2:$C$100"),3,FALSE)*VLOOKUP($M6,职业分类属性!$A$3:$G$15,9,FALSE))*(HLOOKUP(HLOOKUP("法防",职业属性偏向!$B$3:$E$16,14,FALSE),INDIRECT(TEXT($N$1&amp;$N6&amp;"!$B$2:$G$3","")),2,FALSE)/INDIRECT(TEXT($N$1&amp;$N6&amp;"!$H$3","")))*((星级总属性!$L$3)/(星级总属性!$K$3+星级总属性!$L$3)),0)</f>
        <v>#REF!</v>
      </c>
    </row>
    <row r="7" spans="1:20" x14ac:dyDescent="0.25">
      <c r="A7" s="31">
        <v>120012</v>
      </c>
      <c r="B7" s="30">
        <v>5</v>
      </c>
      <c r="C7" s="26" t="str">
        <f ca="1">ROUND((VLOOKUP($B7,INDIRECT(TEXT("'"&amp;$L7&amp;"星每级加强属性曲线演算'","")&amp;"!$A$2:$C$100"),3,FALSE)*VLOOKUP($M7,职业分类属性!$A$3:$G$15,7,FALSE))*INDIRECT(ADDRESS(MATCH($M7,职业分类属性!$A$1:$A$15,0),MATCH("生命值",职业分类属性!$A$2:$E$2,0),1,1,"职业分类属性"))*((星级总属性!$K$3)/(星级总属性!$K$3+星级总属性!$L$3))+(VLOOKUP($B7,INDIRECT(TEXT("'"&amp;$L7&amp;"星每级加强属性曲线演算'","")&amp;"!$A$2:$C$100"),3,FALSE)*VLOOKUP($M7,职业分类属性!$A$3:$G$15,7,FALSE))*(HLOOKUP(HLOOKUP("生命值",职业属性偏向!$B$3:$E$16,14,FALSE),INDIRECT(TEXT($N$1&amp;$N7&amp;"!$B$2:$G$3","")),2,FALSE)/INDIRECT(TEXT($N$1&amp;$N7&amp;"!$H$3","")))*((星级总属性!$L$3)/(星级总属性!$K$3+星级总属性!$L$3)),0)&amp;","&amp;ROUND((VLOOKUP($B7,INDIRECT(TEXT("'"&amp;$L7&amp;"星每级加强属性曲线演算'","")&amp;"!$A$2:$C$100"),3,FALSE)*VLOOKUP($M7,职业分类属性!$A$3:$G$15,7,FALSE))*INDIRECT(ADDRESS(MATCH($M7,职业分类属性!$A$1:$A$15,0),MATCH("回复力",职业分类属性!$A$2:$E$2,0),1,1,"职业分类属性"))*((星级总属性!$K$3)/(星级总属性!$K$3+星级总属性!$L$3))+(VLOOKUP($B7,INDIRECT(TEXT("'"&amp;$L7&amp;"星每级加强属性曲线演算'","")&amp;"!$A$2:$C$100"),3,FALSE)*VLOOKUP($M7,职业分类属性!$A$3:$G$15,7,FALSE))*(HLOOKUP(HLOOKUP("回复力",职业属性偏向!$B$3:$E$16,14,FALSE),INDIRECT(TEXT($N$1&amp;$N7&amp;"!$B$2:$G$3","")),2,FALSE)/INDIRECT(TEXT($N$1&amp;$N7&amp;"!$H$3","")))*((星级总属性!$L$3)/(星级总属性!$K$3+星级总属性!$L$3)),0)&amp;","&amp;ROUND((VLOOKUP($B7,INDIRECT(TEXT("'"&amp;$L7&amp;"星每级加强属性曲线演算'","")&amp;"!$A$2:$C$100"),3,FALSE)*VLOOKUP($M7,职业分类属性!$A$3:$G$15,7,FALSE))*INDIRECT(ADDRESS(MATCH($M7,职业分类属性!$A$1:$A$15,0),MATCH("武力",职业分类属性!$A$2:$E$2,0),1,1,"职业分类属性"))*((星级总属性!$K$3)/(星级总属性!$K$3+星级总属性!$L$3))+(VLOOKUP($B7,INDIRECT(TEXT("'"&amp;$L7&amp;"星每级加强属性曲线演算'","")&amp;"!$A$2:$C$100"),3,FALSE)*VLOOKUP($M7,职业分类属性!$A$3:$G$15,7,FALSE))*(HLOOKUP(HLOOKUP("武力",职业属性偏向!$B$3:$E$16,14,FALSE),INDIRECT(TEXT($N$1&amp;$N7&amp;"!$B$2:$G$3","")),2,FALSE)/INDIRECT(TEXT($N$1&amp;$N7&amp;"!$H$3","")))*((星级总属性!$L$3)/(星级总属性!$K$3+星级总属性!$L$3)),0)&amp;","&amp;ROUND((VLOOKUP($B7,INDIRECT(TEXT("'"&amp;$L7&amp;"星每级加强属性曲线演算'","")&amp;"!$A$2:$C$100"),3,FALSE)*VLOOKUP($M7,职业分类属性!$A$3:$G$15,7,FALSE))*INDIRECT(ADDRESS(MATCH($M7,职业分类属性!$A$1:$A$15,0),MATCH("防御",职业分类属性!$A$2:$E$2,0),1,1,"职业分类属性"))*((星级总属性!$K$3)/(星级总属性!$K$3+星级总属性!$L$3))+(VLOOKUP($B7,INDIRECT(TEXT("'"&amp;$L7&amp;"星每级加强属性曲线演算'","")&amp;"!$A$2:$C$100"),3,FALSE)*VLOOKUP($M7,职业分类属性!$A$3:$G$15,7,FALSE))*(HLOOKUP(HLOOKUP("防御",职业属性偏向!$B$3:$E$16,14,FALSE),INDIRECT(TEXT($N$1&amp;$N7&amp;"!$B$2:$G$3","")),2,FALSE)/INDIRECT(TEXT($N$1&amp;$N7&amp;"!$H$3","")))*((星级总属性!$L$3)/(星级总属性!$K$3+星级总属性!$L$3)),0)</f>
        <v>337,82,669,202</v>
      </c>
      <c r="D7" s="26">
        <v>1005</v>
      </c>
      <c r="E7" s="43" t="str">
        <f>IF(VLOOKUP($B7,进阶要求!$A$2:$C$17,3,FALSE)=0,"",VLOOKUP($B7,进阶要求!$A$2:$C$17,3,FALSE))</f>
        <v>10001,10;10002,11;10003,12;10003,12;10003,14</v>
      </c>
      <c r="F7" s="32" t="str">
        <f>IF(VLOOKUP($B7,进阶要求!$A$2:$C$17,2,FALSE)=0,"",VLOOKUP($B7,进阶要求!$A$2:$C$17,2,FALSE))</f>
        <v/>
      </c>
      <c r="G7" s="33"/>
      <c r="H7" s="32"/>
      <c r="I7" s="32"/>
      <c r="J7" s="32"/>
      <c r="K7" s="32"/>
      <c r="L7" s="2">
        <v>6</v>
      </c>
      <c r="M7" s="2" t="s">
        <v>1</v>
      </c>
      <c r="N7" s="2">
        <v>1</v>
      </c>
      <c r="O7" s="26" t="e">
        <f ca="1">ROUND((VLOOKUP(VALUE(RIGHT(O$1,LEN(O$1)-2)),INDIRECT(TEXT("'"&amp;$L7&amp;"星每级加强属性曲线演算'","")&amp;"!$A$2:$C$100"),3,FALSE)*VLOOKUP($M7,职业分类属性!$A$3:$G$15,9,FALSE))*INDIRECT(ADDRESS(MATCH($M7,职业分类属性!$A$1:$A$15,0),MATCH("生命值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生命值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回复力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回复力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武力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武力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防御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防御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智力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智力",职业属性偏向!$B$3:$E$16,14,FALSE),INDIRECT(TEXT($N$1&amp;$N7&amp;"!$B$2:$G$3","")),2,FALSE)/INDIRECT(TEXT($N$1&amp;$N7&amp;"!$H$3","")))*((星级总属性!$L$3)/(星级总属性!$K$3+星级总属性!$L$3)),0)&amp;","&amp;ROUND((VLOOKUP(VALUE(RIGHT(O$1,LEN(O$1)-2)),INDIRECT(TEXT("'"&amp;$L7&amp;"星每级加强属性曲线演算'","")&amp;"!$A$2:$C$100"),3,FALSE)*VLOOKUP($M7,职业分类属性!$A$3:$G$15,9,FALSE))*INDIRECT(ADDRESS(MATCH($M7,职业分类属性!$A$1:$A$15,0),MATCH("法防",职业分类属性!$A$2:$E$2,0),1,1,"职业分类属性"))*((星级总属性!$K$3)/(星级总属性!$K$3+星级总属性!$L$3))+(VLOOKUP(VALUE(RIGHT(O$1,LEN(O$1)-2)),INDIRECT(TEXT("'"&amp;$L7&amp;"星每级加强属性曲线演算'","")&amp;"!$A$2:$C$100"),3,FALSE)*VLOOKUP($M7,职业分类属性!$A$3:$G$15,9,FALSE))*(HLOOKUP(HLOOKUP("法防",职业属性偏向!$B$3:$E$16,14,FALSE),INDIRECT(TEXT($N$1&amp;$N7&amp;"!$B$2:$G$3","")),2,FALSE)/INDIRECT(TEXT($N$1&amp;$N7&amp;"!$H$3","")))*((星级总属性!$L$3)/(星级总属性!$K$3+星级总属性!$L$3)),0)</f>
        <v>#REF!</v>
      </c>
    </row>
    <row r="8" spans="1:20" x14ac:dyDescent="0.25">
      <c r="A8" s="31">
        <v>120012</v>
      </c>
      <c r="B8" s="30">
        <v>6</v>
      </c>
      <c r="C8" s="26" t="str">
        <f ca="1">ROUND((VLOOKUP($B8,INDIRECT(TEXT("'"&amp;$L8&amp;"星每级加强属性曲线演算'","")&amp;"!$A$2:$C$100"),3,FALSE)*VLOOKUP($M8,职业分类属性!$A$3:$G$15,7,FALSE))*INDIRECT(ADDRESS(MATCH($M8,职业分类属性!$A$1:$A$15,0),MATCH("生命值",职业分类属性!$A$2:$E$2,0),1,1,"职业分类属性"))*((星级总属性!$K$3)/(星级总属性!$K$3+星级总属性!$L$3))+(VLOOKUP($B8,INDIRECT(TEXT("'"&amp;$L8&amp;"星每级加强属性曲线演算'","")&amp;"!$A$2:$C$100"),3,FALSE)*VLOOKUP($M8,职业分类属性!$A$3:$G$15,7,FALSE))*(HLOOKUP(HLOOKUP("生命值",职业属性偏向!$B$3:$E$16,14,FALSE),INDIRECT(TEXT($N$1&amp;$N8&amp;"!$B$2:$G$3","")),2,FALSE)/INDIRECT(TEXT($N$1&amp;$N8&amp;"!$H$3","")))*((星级总属性!$L$3)/(星级总属性!$K$3+星级总属性!$L$3)),0)&amp;","&amp;ROUND((VLOOKUP($B8,INDIRECT(TEXT("'"&amp;$L8&amp;"星每级加强属性曲线演算'","")&amp;"!$A$2:$C$100"),3,FALSE)*VLOOKUP($M8,职业分类属性!$A$3:$G$15,7,FALSE))*INDIRECT(ADDRESS(MATCH($M8,职业分类属性!$A$1:$A$15,0),MATCH("回复力",职业分类属性!$A$2:$E$2,0),1,1,"职业分类属性"))*((星级总属性!$K$3)/(星级总属性!$K$3+星级总属性!$L$3))+(VLOOKUP($B8,INDIRECT(TEXT("'"&amp;$L8&amp;"星每级加强属性曲线演算'","")&amp;"!$A$2:$C$100"),3,FALSE)*VLOOKUP($M8,职业分类属性!$A$3:$G$15,7,FALSE))*(HLOOKUP(HLOOKUP("回复力",职业属性偏向!$B$3:$E$16,14,FALSE),INDIRECT(TEXT($N$1&amp;$N8&amp;"!$B$2:$G$3","")),2,FALSE)/INDIRECT(TEXT($N$1&amp;$N8&amp;"!$H$3","")))*((星级总属性!$L$3)/(星级总属性!$K$3+星级总属性!$L$3)),0)&amp;","&amp;ROUND((VLOOKUP($B8,INDIRECT(TEXT("'"&amp;$L8&amp;"星每级加强属性曲线演算'","")&amp;"!$A$2:$C$100"),3,FALSE)*VLOOKUP($M8,职业分类属性!$A$3:$G$15,7,FALSE))*INDIRECT(ADDRESS(MATCH($M8,职业分类属性!$A$1:$A$15,0),MATCH("武力",职业分类属性!$A$2:$E$2,0),1,1,"职业分类属性"))*((星级总属性!$K$3)/(星级总属性!$K$3+星级总属性!$L$3))+(VLOOKUP($B8,INDIRECT(TEXT("'"&amp;$L8&amp;"星每级加强属性曲线演算'","")&amp;"!$A$2:$C$100"),3,FALSE)*VLOOKUP($M8,职业分类属性!$A$3:$G$15,7,FALSE))*(HLOOKUP(HLOOKUP("武力",职业属性偏向!$B$3:$E$16,14,FALSE),INDIRECT(TEXT($N$1&amp;$N8&amp;"!$B$2:$G$3","")),2,FALSE)/INDIRECT(TEXT($N$1&amp;$N8&amp;"!$H$3","")))*((星级总属性!$L$3)/(星级总属性!$K$3+星级总属性!$L$3)),0)&amp;","&amp;ROUND((VLOOKUP($B8,INDIRECT(TEXT("'"&amp;$L8&amp;"星每级加强属性曲线演算'","")&amp;"!$A$2:$C$100"),3,FALSE)*VLOOKUP($M8,职业分类属性!$A$3:$G$15,7,FALSE))*INDIRECT(ADDRESS(MATCH($M8,职业分类属性!$A$1:$A$15,0),MATCH("防御",职业分类属性!$A$2:$E$2,0),1,1,"职业分类属性"))*((星级总属性!$K$3)/(星级总属性!$K$3+星级总属性!$L$3))+(VLOOKUP($B8,INDIRECT(TEXT("'"&amp;$L8&amp;"星每级加强属性曲线演算'","")&amp;"!$A$2:$C$100"),3,FALSE)*VLOOKUP($M8,职业分类属性!$A$3:$G$15,7,FALSE))*(HLOOKUP(HLOOKUP("防御",职业属性偏向!$B$3:$E$16,14,FALSE),INDIRECT(TEXT($N$1&amp;$N8&amp;"!$B$2:$G$3","")),2,FALSE)/INDIRECT(TEXT($N$1&amp;$N8&amp;"!$H$3","")))*((星级总属性!$L$3)/(星级总属性!$K$3+星级总属性!$L$3)),0)</f>
        <v>405,99,803,243</v>
      </c>
      <c r="D8" s="26">
        <v>1006</v>
      </c>
      <c r="E8" s="43" t="str">
        <f>IF(VLOOKUP($B8,进阶要求!$A$2:$C$17,3,FALSE)=0,"",VLOOKUP($B8,进阶要求!$A$2:$C$17,3,FALSE))</f>
        <v>10001,10;10002,11;10003,12;10003,12;10003,14</v>
      </c>
      <c r="F8" s="32" t="str">
        <f>IF(VLOOKUP($B8,进阶要求!$A$2:$C$17,2,FALSE)=0,"",VLOOKUP($B8,进阶要求!$A$2:$C$17,2,FALSE))</f>
        <v/>
      </c>
      <c r="G8" s="33">
        <v>0</v>
      </c>
      <c r="H8" s="32">
        <v>812011</v>
      </c>
      <c r="I8" s="32" t="s">
        <v>93</v>
      </c>
      <c r="J8" s="32"/>
      <c r="K8" s="32"/>
      <c r="L8" s="2">
        <v>6</v>
      </c>
      <c r="M8" s="2" t="s">
        <v>1</v>
      </c>
      <c r="N8" s="2">
        <v>1</v>
      </c>
      <c r="O8" s="26" t="e">
        <f ca="1">ROUND((VLOOKUP(VALUE(RIGHT(O$1,LEN(O$1)-2)),INDIRECT(TEXT("'"&amp;$L8&amp;"星每级加强属性曲线演算'","")&amp;"!$A$2:$C$100"),3,FALSE)*VLOOKUP($M8,职业分类属性!$A$3:$G$15,9,FALSE))*INDIRECT(ADDRESS(MATCH($M8,职业分类属性!$A$1:$A$15,0),MATCH("生命值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生命值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回复力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回复力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武力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武力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防御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防御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智力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智力",职业属性偏向!$B$3:$E$16,14,FALSE),INDIRECT(TEXT($N$1&amp;$N8&amp;"!$B$2:$G$3","")),2,FALSE)/INDIRECT(TEXT($N$1&amp;$N8&amp;"!$H$3","")))*((星级总属性!$L$3)/(星级总属性!$K$3+星级总属性!$L$3)),0)&amp;","&amp;ROUND((VLOOKUP(VALUE(RIGHT(O$1,LEN(O$1)-2)),INDIRECT(TEXT("'"&amp;$L8&amp;"星每级加强属性曲线演算'","")&amp;"!$A$2:$C$100"),3,FALSE)*VLOOKUP($M8,职业分类属性!$A$3:$G$15,9,FALSE))*INDIRECT(ADDRESS(MATCH($M8,职业分类属性!$A$1:$A$15,0),MATCH("法防",职业分类属性!$A$2:$E$2,0),1,1,"职业分类属性"))*((星级总属性!$K$3)/(星级总属性!$K$3+星级总属性!$L$3))+(VLOOKUP(VALUE(RIGHT(O$1,LEN(O$1)-2)),INDIRECT(TEXT("'"&amp;$L8&amp;"星每级加强属性曲线演算'","")&amp;"!$A$2:$C$100"),3,FALSE)*VLOOKUP($M8,职业分类属性!$A$3:$G$15,9,FALSE))*(HLOOKUP(HLOOKUP("法防",职业属性偏向!$B$3:$E$16,14,FALSE),INDIRECT(TEXT($N$1&amp;$N8&amp;"!$B$2:$G$3","")),2,FALSE)/INDIRECT(TEXT($N$1&amp;$N8&amp;"!$H$3","")))*((星级总属性!$L$3)/(星级总属性!$K$3+星级总属性!$L$3)),0)</f>
        <v>#REF!</v>
      </c>
    </row>
    <row r="9" spans="1:20" x14ac:dyDescent="0.25">
      <c r="A9">
        <v>550015</v>
      </c>
      <c r="B9" s="13">
        <v>0</v>
      </c>
      <c r="C9" s="26" t="str">
        <f ca="1">ROUND((VLOOKUP($B9,INDIRECT(TEXT("'"&amp;$L9&amp;"星每级加强属性曲线演算'","")&amp;"!$A$2:$C$100"),3,FALSE)*VLOOKUP($M9,职业分类属性!$A$3:$G$15,7,FALSE))*INDIRECT(ADDRESS(MATCH($M9,职业分类属性!$A$1:$A$15,0),MATCH("生命值",职业分类属性!$A$2:$E$2,0),1,1,"职业分类属性"))*((星级总属性!$K$3)/(星级总属性!$K$3+星级总属性!$L$3))+(VLOOKUP($B9,INDIRECT(TEXT("'"&amp;$L9&amp;"星每级加强属性曲线演算'","")&amp;"!$A$2:$C$100"),3,FALSE)*VLOOKUP($M9,职业分类属性!$A$3:$G$15,7,FALSE))*(HLOOKUP(HLOOKUP("生命值",职业属性偏向!$B$3:$E$16,14,FALSE),INDIRECT(TEXT($N$1&amp;$N9&amp;"!$B$2:$G$3","")),2,FALSE)/INDIRECT(TEXT($N$1&amp;$N9&amp;"!$H$3","")))*((星级总属性!$L$3)/(星级总属性!$K$3+星级总属性!$L$3)),0)&amp;","&amp;ROUND((VLOOKUP($B9,INDIRECT(TEXT("'"&amp;$L9&amp;"星每级加强属性曲线演算'","")&amp;"!$A$2:$C$100"),3,FALSE)*VLOOKUP($M9,职业分类属性!$A$3:$G$15,7,FALSE))*INDIRECT(ADDRESS(MATCH($M9,职业分类属性!$A$1:$A$15,0),MATCH("回复力",职业分类属性!$A$2:$E$2,0),1,1,"职业分类属性"))*((星级总属性!$K$3)/(星级总属性!$K$3+星级总属性!$L$3))+(VLOOKUP($B9,INDIRECT(TEXT("'"&amp;$L9&amp;"星每级加强属性曲线演算'","")&amp;"!$A$2:$C$100"),3,FALSE)*VLOOKUP($M9,职业分类属性!$A$3:$G$15,7,FALSE))*(HLOOKUP(HLOOKUP("回复力",职业属性偏向!$B$3:$E$16,14,FALSE),INDIRECT(TEXT($N$1&amp;$N9&amp;"!$B$2:$G$3","")),2,FALSE)/INDIRECT(TEXT($N$1&amp;$N9&amp;"!$H$3","")))*((星级总属性!$L$3)/(星级总属性!$K$3+星级总属性!$L$3)),0)&amp;","&amp;ROUND((VLOOKUP($B9,INDIRECT(TEXT("'"&amp;$L9&amp;"星每级加强属性曲线演算'","")&amp;"!$A$2:$C$100"),3,FALSE)*VLOOKUP($M9,职业分类属性!$A$3:$G$15,7,FALSE))*INDIRECT(ADDRESS(MATCH($M9,职业分类属性!$A$1:$A$15,0),MATCH("武力",职业分类属性!$A$2:$E$2,0),1,1,"职业分类属性"))*((星级总属性!$K$3)/(星级总属性!$K$3+星级总属性!$L$3))+(VLOOKUP($B9,INDIRECT(TEXT("'"&amp;$L9&amp;"星每级加强属性曲线演算'","")&amp;"!$A$2:$C$100"),3,FALSE)*VLOOKUP($M9,职业分类属性!$A$3:$G$15,7,FALSE))*(HLOOKUP(HLOOKUP("武力",职业属性偏向!$B$3:$E$16,14,FALSE),INDIRECT(TEXT($N$1&amp;$N9&amp;"!$B$2:$G$3","")),2,FALSE)/INDIRECT(TEXT($N$1&amp;$N9&amp;"!$H$3","")))*((星级总属性!$L$3)/(星级总属性!$K$3+星级总属性!$L$3)),0)&amp;","&amp;ROUND((VLOOKUP($B9,INDIRECT(TEXT("'"&amp;$L9&amp;"星每级加强属性曲线演算'","")&amp;"!$A$2:$C$100"),3,FALSE)*VLOOKUP($M9,职业分类属性!$A$3:$G$15,7,FALSE))*INDIRECT(ADDRESS(MATCH($M9,职业分类属性!$A$1:$A$15,0),MATCH("防御",职业分类属性!$A$2:$E$2,0),1,1,"职业分类属性"))*((星级总属性!$K$3)/(星级总属性!$K$3+星级总属性!$L$3))+(VLOOKUP($B9,INDIRECT(TEXT("'"&amp;$L9&amp;"星每级加强属性曲线演算'","")&amp;"!$A$2:$C$100"),3,FALSE)*VLOOKUP($M9,职业分类属性!$A$3:$G$15,7,FALSE))*(HLOOKUP(HLOOKUP("防御",职业属性偏向!$B$3:$E$16,14,FALSE),INDIRECT(TEXT($N$1&amp;$N9&amp;"!$B$2:$G$3","")),2,FALSE)/INDIRECT(TEXT($N$1&amp;$N9&amp;"!$H$3","")))*((星级总属性!$L$3)/(星级总属性!$K$3+星级总属性!$L$3)),0)</f>
        <v>0,0,0,0</v>
      </c>
      <c r="D9" s="26">
        <v>1007</v>
      </c>
      <c r="E9" s="43" t="str">
        <f>IF(VLOOKUP($B9,进阶要求!$A$2:$C$17,3,FALSE)=0,"",VLOOKUP($B9,进阶要求!$A$2:$C$17,3,FALSE))</f>
        <v/>
      </c>
      <c r="F9" s="32" t="str">
        <f>IF(VLOOKUP($B9,进阶要求!$A$2:$C$17,2,FALSE)=0,"",VLOOKUP($B9,进阶要求!$A$2:$C$17,2,FALSE))</f>
        <v/>
      </c>
      <c r="L9" s="2">
        <v>5</v>
      </c>
      <c r="M9" s="2" t="s">
        <v>4</v>
      </c>
      <c r="N9" s="2">
        <v>1</v>
      </c>
      <c r="O9" s="26" t="e">
        <f ca="1">ROUND((VLOOKUP(VALUE(RIGHT(O$1,LEN(O$1)-2)),INDIRECT(TEXT("'"&amp;$L9&amp;"星每级加强属性曲线演算'","")&amp;"!$A$2:$C$100"),3,FALSE)*VLOOKUP($M9,职业分类属性!$A$3:$G$15,9,FALSE))*INDIRECT(ADDRESS(MATCH($M9,职业分类属性!$A$1:$A$15,0),MATCH("生命值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生命值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回复力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回复力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武力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武力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防御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防御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智力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智力",职业属性偏向!$B$3:$E$16,14,FALSE),INDIRECT(TEXT($N$1&amp;$N9&amp;"!$B$2:$G$3","")),2,FALSE)/INDIRECT(TEXT($N$1&amp;$N9&amp;"!$H$3","")))*((星级总属性!$L$3)/(星级总属性!$K$3+星级总属性!$L$3)),0)&amp;","&amp;ROUND((VLOOKUP(VALUE(RIGHT(O$1,LEN(O$1)-2)),INDIRECT(TEXT("'"&amp;$L9&amp;"星每级加强属性曲线演算'","")&amp;"!$A$2:$C$100"),3,FALSE)*VLOOKUP($M9,职业分类属性!$A$3:$G$15,9,FALSE))*INDIRECT(ADDRESS(MATCH($M9,职业分类属性!$A$1:$A$15,0),MATCH("法防",职业分类属性!$A$2:$E$2,0),1,1,"职业分类属性"))*((星级总属性!$K$3)/(星级总属性!$K$3+星级总属性!$L$3))+(VLOOKUP(VALUE(RIGHT(O$1,LEN(O$1)-2)),INDIRECT(TEXT("'"&amp;$L9&amp;"星每级加强属性曲线演算'","")&amp;"!$A$2:$C$100"),3,FALSE)*VLOOKUP($M9,职业分类属性!$A$3:$G$15,9,FALSE))*(HLOOKUP(HLOOKUP("法防",职业属性偏向!$B$3:$E$16,14,FALSE),INDIRECT(TEXT($N$1&amp;$N9&amp;"!$B$2:$G$3","")),2,FALSE)/INDIRECT(TEXT($N$1&amp;$N9&amp;"!$H$3","")))*((星级总属性!$L$3)/(星级总属性!$K$3+星级总属性!$L$3)),0)</f>
        <v>#REF!</v>
      </c>
    </row>
    <row r="10" spans="1:20" x14ac:dyDescent="0.25">
      <c r="A10">
        <v>550015</v>
      </c>
      <c r="B10" s="13">
        <v>1</v>
      </c>
      <c r="C10" s="26" t="str">
        <f ca="1">ROUND((VLOOKUP($B10,INDIRECT(TEXT("'"&amp;$L10&amp;"星每级加强属性曲线演算'","")&amp;"!$A$2:$C$100"),3,FALSE)*VLOOKUP($M10,职业分类属性!$A$3:$G$15,7,FALSE))*INDIRECT(ADDRESS(MATCH($M10,职业分类属性!$A$1:$A$15,0),MATCH("生命值",职业分类属性!$A$2:$E$2,0),1,1,"职业分类属性"))*((星级总属性!$K$3)/(星级总属性!$K$3+星级总属性!$L$3))+(VLOOKUP($B10,INDIRECT(TEXT("'"&amp;$L10&amp;"星每级加强属性曲线演算'","")&amp;"!$A$2:$C$100"),3,FALSE)*VLOOKUP($M10,职业分类属性!$A$3:$G$15,7,FALSE))*(HLOOKUP(HLOOKUP("生命值",职业属性偏向!$B$3:$E$16,14,FALSE),INDIRECT(TEXT($N$1&amp;$N10&amp;"!$B$2:$G$3","")),2,FALSE)/INDIRECT(TEXT($N$1&amp;$N10&amp;"!$H$3","")))*((星级总属性!$L$3)/(星级总属性!$K$3+星级总属性!$L$3)),0)&amp;","&amp;ROUND((VLOOKUP($B10,INDIRECT(TEXT("'"&amp;$L10&amp;"星每级加强属性曲线演算'","")&amp;"!$A$2:$C$100"),3,FALSE)*VLOOKUP($M10,职业分类属性!$A$3:$G$15,7,FALSE))*INDIRECT(ADDRESS(MATCH($M10,职业分类属性!$A$1:$A$15,0),MATCH("回复力",职业分类属性!$A$2:$E$2,0),1,1,"职业分类属性"))*((星级总属性!$K$3)/(星级总属性!$K$3+星级总属性!$L$3))+(VLOOKUP($B10,INDIRECT(TEXT("'"&amp;$L10&amp;"星每级加强属性曲线演算'","")&amp;"!$A$2:$C$100"),3,FALSE)*VLOOKUP($M10,职业分类属性!$A$3:$G$15,7,FALSE))*(HLOOKUP(HLOOKUP("回复力",职业属性偏向!$B$3:$E$16,14,FALSE),INDIRECT(TEXT($N$1&amp;$N10&amp;"!$B$2:$G$3","")),2,FALSE)/INDIRECT(TEXT($N$1&amp;$N10&amp;"!$H$3","")))*((星级总属性!$L$3)/(星级总属性!$K$3+星级总属性!$L$3)),0)&amp;","&amp;ROUND((VLOOKUP($B10,INDIRECT(TEXT("'"&amp;$L10&amp;"星每级加强属性曲线演算'","")&amp;"!$A$2:$C$100"),3,FALSE)*VLOOKUP($M10,职业分类属性!$A$3:$G$15,7,FALSE))*INDIRECT(ADDRESS(MATCH($M10,职业分类属性!$A$1:$A$15,0),MATCH("武力",职业分类属性!$A$2:$E$2,0),1,1,"职业分类属性"))*((星级总属性!$K$3)/(星级总属性!$K$3+星级总属性!$L$3))+(VLOOKUP($B10,INDIRECT(TEXT("'"&amp;$L10&amp;"星每级加强属性曲线演算'","")&amp;"!$A$2:$C$100"),3,FALSE)*VLOOKUP($M10,职业分类属性!$A$3:$G$15,7,FALSE))*(HLOOKUP(HLOOKUP("武力",职业属性偏向!$B$3:$E$16,14,FALSE),INDIRECT(TEXT($N$1&amp;$N10&amp;"!$B$2:$G$3","")),2,FALSE)/INDIRECT(TEXT($N$1&amp;$N10&amp;"!$H$3","")))*((星级总属性!$L$3)/(星级总属性!$K$3+星级总属性!$L$3)),0)&amp;","&amp;ROUND((VLOOKUP($B10,INDIRECT(TEXT("'"&amp;$L10&amp;"星每级加强属性曲线演算'","")&amp;"!$A$2:$C$100"),3,FALSE)*VLOOKUP($M10,职业分类属性!$A$3:$G$15,7,FALSE))*INDIRECT(ADDRESS(MATCH($M10,职业分类属性!$A$1:$A$15,0),MATCH("防御",职业分类属性!$A$2:$E$2,0),1,1,"职业分类属性"))*((星级总属性!$K$3)/(星级总属性!$K$3+星级总属性!$L$3))+(VLOOKUP($B10,INDIRECT(TEXT("'"&amp;$L10&amp;"星每级加强属性曲线演算'","")&amp;"!$A$2:$C$100"),3,FALSE)*VLOOKUP($M10,职业分类属性!$A$3:$G$15,7,FALSE))*(HLOOKUP(HLOOKUP("防御",职业属性偏向!$B$3:$E$16,14,FALSE),INDIRECT(TEXT($N$1&amp;$N10&amp;"!$B$2:$G$3","")),2,FALSE)/INDIRECT(TEXT($N$1&amp;$N10&amp;"!$H$3","")))*((星级总属性!$L$3)/(星级总属性!$K$3+星级总属性!$L$3)),0)</f>
        <v>23,5,113,25</v>
      </c>
      <c r="D10" s="26">
        <v>1008</v>
      </c>
      <c r="E10" s="43" t="str">
        <f>IF(VLOOKUP($B10,进阶要求!$A$2:$C$17,3,FALSE)=0,"",VLOOKUP($B10,进阶要求!$A$2:$C$17,3,FALSE))</f>
        <v>10001,10;10002,11</v>
      </c>
      <c r="F10" s="32">
        <f>IF(VLOOKUP($B10,进阶要求!$A$2:$C$17,2,FALSE)=0,"",VLOOKUP($B10,进阶要求!$A$2:$C$17,2,FALSE))</f>
        <v>5</v>
      </c>
      <c r="G10" s="29"/>
      <c r="L10" s="2">
        <f t="shared" ref="L10:L18" si="0">L9</f>
        <v>5</v>
      </c>
      <c r="M10" s="2" t="str">
        <f t="shared" ref="M10:M18" si="1">M9</f>
        <v>盗贼</v>
      </c>
      <c r="N10" s="2">
        <f t="shared" ref="N10:N18" si="2">N9</f>
        <v>1</v>
      </c>
      <c r="O10" s="26" t="e">
        <f ca="1">ROUND((VLOOKUP(VALUE(RIGHT(O$1,LEN(O$1)-2)),INDIRECT(TEXT("'"&amp;$L10&amp;"星每级加强属性曲线演算'","")&amp;"!$A$2:$C$100"),3,FALSE)*VLOOKUP($M10,职业分类属性!$A$3:$G$15,9,FALSE))*INDIRECT(ADDRESS(MATCH($M10,职业分类属性!$A$1:$A$15,0),MATCH("生命值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生命值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回复力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回复力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武力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武力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防御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防御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智力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智力",职业属性偏向!$B$3:$E$16,14,FALSE),INDIRECT(TEXT($N$1&amp;$N10&amp;"!$B$2:$G$3","")),2,FALSE)/INDIRECT(TEXT($N$1&amp;$N10&amp;"!$H$3","")))*((星级总属性!$L$3)/(星级总属性!$K$3+星级总属性!$L$3)),0)&amp;","&amp;ROUND((VLOOKUP(VALUE(RIGHT(O$1,LEN(O$1)-2)),INDIRECT(TEXT("'"&amp;$L10&amp;"星每级加强属性曲线演算'","")&amp;"!$A$2:$C$100"),3,FALSE)*VLOOKUP($M10,职业分类属性!$A$3:$G$15,9,FALSE))*INDIRECT(ADDRESS(MATCH($M10,职业分类属性!$A$1:$A$15,0),MATCH("法防",职业分类属性!$A$2:$E$2,0),1,1,"职业分类属性"))*((星级总属性!$K$3)/(星级总属性!$K$3+星级总属性!$L$3))+(VLOOKUP(VALUE(RIGHT(O$1,LEN(O$1)-2)),INDIRECT(TEXT("'"&amp;$L10&amp;"星每级加强属性曲线演算'","")&amp;"!$A$2:$C$100"),3,FALSE)*VLOOKUP($M10,职业分类属性!$A$3:$G$15,9,FALSE))*(HLOOKUP(HLOOKUP("法防",职业属性偏向!$B$3:$E$16,14,FALSE),INDIRECT(TEXT($N$1&amp;$N10&amp;"!$B$2:$G$3","")),2,FALSE)/INDIRECT(TEXT($N$1&amp;$N10&amp;"!$H$3","")))*((星级总属性!$L$3)/(星级总属性!$K$3+星级总属性!$L$3)),0)</f>
        <v>#REF!</v>
      </c>
    </row>
    <row r="11" spans="1:20" x14ac:dyDescent="0.25">
      <c r="A11">
        <v>550015</v>
      </c>
      <c r="B11" s="13">
        <v>2</v>
      </c>
      <c r="C11" s="26" t="str">
        <f ca="1">ROUND((VLOOKUP($B11,INDIRECT(TEXT("'"&amp;$L11&amp;"星每级加强属性曲线演算'","")&amp;"!$A$2:$C$100"),3,FALSE)*VLOOKUP($M11,职业分类属性!$A$3:$G$15,7,FALSE))*INDIRECT(ADDRESS(MATCH($M11,职业分类属性!$A$1:$A$15,0),MATCH("生命值",职业分类属性!$A$2:$E$2,0),1,1,"职业分类属性"))*((星级总属性!$K$3)/(星级总属性!$K$3+星级总属性!$L$3))+(VLOOKUP($B11,INDIRECT(TEXT("'"&amp;$L11&amp;"星每级加强属性曲线演算'","")&amp;"!$A$2:$C$100"),3,FALSE)*VLOOKUP($M11,职业分类属性!$A$3:$G$15,7,FALSE))*(HLOOKUP(HLOOKUP("生命值",职业属性偏向!$B$3:$E$16,14,FALSE),INDIRECT(TEXT($N$1&amp;$N11&amp;"!$B$2:$G$3","")),2,FALSE)/INDIRECT(TEXT($N$1&amp;$N11&amp;"!$H$3","")))*((星级总属性!$L$3)/(星级总属性!$K$3+星级总属性!$L$3)),0)&amp;","&amp;ROUND((VLOOKUP($B11,INDIRECT(TEXT("'"&amp;$L11&amp;"星每级加强属性曲线演算'","")&amp;"!$A$2:$C$100"),3,FALSE)*VLOOKUP($M11,职业分类属性!$A$3:$G$15,7,FALSE))*INDIRECT(ADDRESS(MATCH($M11,职业分类属性!$A$1:$A$15,0),MATCH("回复力",职业分类属性!$A$2:$E$2,0),1,1,"职业分类属性"))*((星级总属性!$K$3)/(星级总属性!$K$3+星级总属性!$L$3))+(VLOOKUP($B11,INDIRECT(TEXT("'"&amp;$L11&amp;"星每级加强属性曲线演算'","")&amp;"!$A$2:$C$100"),3,FALSE)*VLOOKUP($M11,职业分类属性!$A$3:$G$15,7,FALSE))*(HLOOKUP(HLOOKUP("回复力",职业属性偏向!$B$3:$E$16,14,FALSE),INDIRECT(TEXT($N$1&amp;$N11&amp;"!$B$2:$G$3","")),2,FALSE)/INDIRECT(TEXT($N$1&amp;$N11&amp;"!$H$3","")))*((星级总属性!$L$3)/(星级总属性!$K$3+星级总属性!$L$3)),0)&amp;","&amp;ROUND((VLOOKUP($B11,INDIRECT(TEXT("'"&amp;$L11&amp;"星每级加强属性曲线演算'","")&amp;"!$A$2:$C$100"),3,FALSE)*VLOOKUP($M11,职业分类属性!$A$3:$G$15,7,FALSE))*INDIRECT(ADDRESS(MATCH($M11,职业分类属性!$A$1:$A$15,0),MATCH("武力",职业分类属性!$A$2:$E$2,0),1,1,"职业分类属性"))*((星级总属性!$K$3)/(星级总属性!$K$3+星级总属性!$L$3))+(VLOOKUP($B11,INDIRECT(TEXT("'"&amp;$L11&amp;"星每级加强属性曲线演算'","")&amp;"!$A$2:$C$100"),3,FALSE)*VLOOKUP($M11,职业分类属性!$A$3:$G$15,7,FALSE))*(HLOOKUP(HLOOKUP("武力",职业属性偏向!$B$3:$E$16,14,FALSE),INDIRECT(TEXT($N$1&amp;$N11&amp;"!$B$2:$G$3","")),2,FALSE)/INDIRECT(TEXT($N$1&amp;$N11&amp;"!$H$3","")))*((星级总属性!$L$3)/(星级总属性!$K$3+星级总属性!$L$3)),0)&amp;","&amp;ROUND((VLOOKUP($B11,INDIRECT(TEXT("'"&amp;$L11&amp;"星每级加强属性曲线演算'","")&amp;"!$A$2:$C$100"),3,FALSE)*VLOOKUP($M11,职业分类属性!$A$3:$G$15,7,FALSE))*INDIRECT(ADDRESS(MATCH($M11,职业分类属性!$A$1:$A$15,0),MATCH("防御",职业分类属性!$A$2:$E$2,0),1,1,"职业分类属性"))*((星级总属性!$K$3)/(星级总属性!$K$3+星级总属性!$L$3))+(VLOOKUP($B11,INDIRECT(TEXT("'"&amp;$L11&amp;"星每级加强属性曲线演算'","")&amp;"!$A$2:$C$100"),3,FALSE)*VLOOKUP($M11,职业分类属性!$A$3:$G$15,7,FALSE))*(HLOOKUP(HLOOKUP("防御",职业属性偏向!$B$3:$E$16,14,FALSE),INDIRECT(TEXT($N$1&amp;$N11&amp;"!$B$2:$G$3","")),2,FALSE)/INDIRECT(TEXT($N$1&amp;$N11&amp;"!$H$3","")))*((星级总属性!$L$3)/(星级总属性!$K$3+星级总属性!$L$3)),0)</f>
        <v>46,10,226,49</v>
      </c>
      <c r="D11" s="26">
        <v>1009</v>
      </c>
      <c r="E11" s="43" t="str">
        <f>IF(VLOOKUP($B11,进阶要求!$A$2:$C$17,3,FALSE)=0,"",VLOOKUP($B11,进阶要求!$A$2:$C$17,3,FALSE))</f>
        <v>10001,10;10002,11;10003,12</v>
      </c>
      <c r="F11" s="32" t="str">
        <f>IF(VLOOKUP($B11,进阶要求!$A$2:$C$17,2,FALSE)=0,"",VLOOKUP($B11,进阶要求!$A$2:$C$17,2,FALSE))</f>
        <v/>
      </c>
      <c r="G11" s="29">
        <v>0</v>
      </c>
      <c r="H11" s="27">
        <v>855010</v>
      </c>
      <c r="I11" s="27" t="s">
        <v>93</v>
      </c>
      <c r="L11" s="2">
        <f t="shared" si="0"/>
        <v>5</v>
      </c>
      <c r="M11" s="2" t="str">
        <f t="shared" si="1"/>
        <v>盗贼</v>
      </c>
      <c r="N11" s="2">
        <f t="shared" si="2"/>
        <v>1</v>
      </c>
      <c r="O11" s="26" t="e">
        <f ca="1">ROUND((VLOOKUP(VALUE(RIGHT(O$1,LEN(O$1)-2)),INDIRECT(TEXT("'"&amp;$L11&amp;"星每级加强属性曲线演算'","")&amp;"!$A$2:$C$100"),3,FALSE)*VLOOKUP($M11,职业分类属性!$A$3:$G$15,9,FALSE))*INDIRECT(ADDRESS(MATCH($M11,职业分类属性!$A$1:$A$15,0),MATCH("生命值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生命值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回复力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回复力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武力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武力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防御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防御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智力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智力",职业属性偏向!$B$3:$E$16,14,FALSE),INDIRECT(TEXT($N$1&amp;$N11&amp;"!$B$2:$G$3","")),2,FALSE)/INDIRECT(TEXT($N$1&amp;$N11&amp;"!$H$3","")))*((星级总属性!$L$3)/(星级总属性!$K$3+星级总属性!$L$3)),0)&amp;","&amp;ROUND((VLOOKUP(VALUE(RIGHT(O$1,LEN(O$1)-2)),INDIRECT(TEXT("'"&amp;$L11&amp;"星每级加强属性曲线演算'","")&amp;"!$A$2:$C$100"),3,FALSE)*VLOOKUP($M11,职业分类属性!$A$3:$G$15,9,FALSE))*INDIRECT(ADDRESS(MATCH($M11,职业分类属性!$A$1:$A$15,0),MATCH("法防",职业分类属性!$A$2:$E$2,0),1,1,"职业分类属性"))*((星级总属性!$K$3)/(星级总属性!$K$3+星级总属性!$L$3))+(VLOOKUP(VALUE(RIGHT(O$1,LEN(O$1)-2)),INDIRECT(TEXT("'"&amp;$L11&amp;"星每级加强属性曲线演算'","")&amp;"!$A$2:$C$100"),3,FALSE)*VLOOKUP($M11,职业分类属性!$A$3:$G$15,9,FALSE))*(HLOOKUP(HLOOKUP("法防",职业属性偏向!$B$3:$E$16,14,FALSE),INDIRECT(TEXT($N$1&amp;$N11&amp;"!$B$2:$G$3","")),2,FALSE)/INDIRECT(TEXT($N$1&amp;$N11&amp;"!$H$3","")))*((星级总属性!$L$3)/(星级总属性!$K$3+星级总属性!$L$3)),0)</f>
        <v>#REF!</v>
      </c>
    </row>
    <row r="12" spans="1:20" x14ac:dyDescent="0.25">
      <c r="A12">
        <v>550015</v>
      </c>
      <c r="B12" s="13">
        <v>3</v>
      </c>
      <c r="C12" s="26" t="str">
        <f ca="1">ROUND((VLOOKUP($B12,INDIRECT(TEXT("'"&amp;$L12&amp;"星每级加强属性曲线演算'","")&amp;"!$A$2:$C$100"),3,FALSE)*VLOOKUP($M12,职业分类属性!$A$3:$G$15,7,FALSE))*INDIRECT(ADDRESS(MATCH($M12,职业分类属性!$A$1:$A$15,0),MATCH("生命值",职业分类属性!$A$2:$E$2,0),1,1,"职业分类属性"))*((星级总属性!$K$3)/(星级总属性!$K$3+星级总属性!$L$3))+(VLOOKUP($B12,INDIRECT(TEXT("'"&amp;$L12&amp;"星每级加强属性曲线演算'","")&amp;"!$A$2:$C$100"),3,FALSE)*VLOOKUP($M12,职业分类属性!$A$3:$G$15,7,FALSE))*(HLOOKUP(HLOOKUP("生命值",职业属性偏向!$B$3:$E$16,14,FALSE),INDIRECT(TEXT($N$1&amp;$N12&amp;"!$B$2:$G$3","")),2,FALSE)/INDIRECT(TEXT($N$1&amp;$N12&amp;"!$H$3","")))*((星级总属性!$L$3)/(星级总属性!$K$3+星级总属性!$L$3)),0)&amp;","&amp;ROUND((VLOOKUP($B12,INDIRECT(TEXT("'"&amp;$L12&amp;"星每级加强属性曲线演算'","")&amp;"!$A$2:$C$100"),3,FALSE)*VLOOKUP($M12,职业分类属性!$A$3:$G$15,7,FALSE))*INDIRECT(ADDRESS(MATCH($M12,职业分类属性!$A$1:$A$15,0),MATCH("回复力",职业分类属性!$A$2:$E$2,0),1,1,"职业分类属性"))*((星级总属性!$K$3)/(星级总属性!$K$3+星级总属性!$L$3))+(VLOOKUP($B12,INDIRECT(TEXT("'"&amp;$L12&amp;"星每级加强属性曲线演算'","")&amp;"!$A$2:$C$100"),3,FALSE)*VLOOKUP($M12,职业分类属性!$A$3:$G$15,7,FALSE))*(HLOOKUP(HLOOKUP("回复力",职业属性偏向!$B$3:$E$16,14,FALSE),INDIRECT(TEXT($N$1&amp;$N12&amp;"!$B$2:$G$3","")),2,FALSE)/INDIRECT(TEXT($N$1&amp;$N12&amp;"!$H$3","")))*((星级总属性!$L$3)/(星级总属性!$K$3+星级总属性!$L$3)),0)&amp;","&amp;ROUND((VLOOKUP($B12,INDIRECT(TEXT("'"&amp;$L12&amp;"星每级加强属性曲线演算'","")&amp;"!$A$2:$C$100"),3,FALSE)*VLOOKUP($M12,职业分类属性!$A$3:$G$15,7,FALSE))*INDIRECT(ADDRESS(MATCH($M12,职业分类属性!$A$1:$A$15,0),MATCH("武力",职业分类属性!$A$2:$E$2,0),1,1,"职业分类属性"))*((星级总属性!$K$3)/(星级总属性!$K$3+星级总属性!$L$3))+(VLOOKUP($B12,INDIRECT(TEXT("'"&amp;$L12&amp;"星每级加强属性曲线演算'","")&amp;"!$A$2:$C$100"),3,FALSE)*VLOOKUP($M12,职业分类属性!$A$3:$G$15,7,FALSE))*(HLOOKUP(HLOOKUP("武力",职业属性偏向!$B$3:$E$16,14,FALSE),INDIRECT(TEXT($N$1&amp;$N12&amp;"!$B$2:$G$3","")),2,FALSE)/INDIRECT(TEXT($N$1&amp;$N12&amp;"!$H$3","")))*((星级总属性!$L$3)/(星级总属性!$K$3+星级总属性!$L$3)),0)&amp;","&amp;ROUND((VLOOKUP($B12,INDIRECT(TEXT("'"&amp;$L12&amp;"星每级加强属性曲线演算'","")&amp;"!$A$2:$C$100"),3,FALSE)*VLOOKUP($M12,职业分类属性!$A$3:$G$15,7,FALSE))*INDIRECT(ADDRESS(MATCH($M12,职业分类属性!$A$1:$A$15,0),MATCH("防御",职业分类属性!$A$2:$E$2,0),1,1,"职业分类属性"))*((星级总属性!$K$3)/(星级总属性!$K$3+星级总属性!$L$3))+(VLOOKUP($B12,INDIRECT(TEXT("'"&amp;$L12&amp;"星每级加强属性曲线演算'","")&amp;"!$A$2:$C$100"),3,FALSE)*VLOOKUP($M12,职业分类属性!$A$3:$G$15,7,FALSE))*(HLOOKUP(HLOOKUP("防御",职业属性偏向!$B$3:$E$16,14,FALSE),INDIRECT(TEXT($N$1&amp;$N12&amp;"!$B$2:$G$3","")),2,FALSE)/INDIRECT(TEXT($N$1&amp;$N12&amp;"!$H$3","")))*((星级总属性!$L$3)/(星级总属性!$K$3+星级总属性!$L$3)),0)</f>
        <v>69,15,339,74</v>
      </c>
      <c r="D12" s="26">
        <v>1010</v>
      </c>
      <c r="E12" s="43" t="str">
        <f>IF(VLOOKUP($B12,进阶要求!$A$2:$C$17,3,FALSE)=0,"",VLOOKUP($B12,进阶要求!$A$2:$C$17,3,FALSE))</f>
        <v>10001,10;10002,11;10003,12;10003,13</v>
      </c>
      <c r="F12" s="32" t="str">
        <f>IF(VLOOKUP($B12,进阶要求!$A$2:$C$17,2,FALSE)=0,"",VLOOKUP($B12,进阶要求!$A$2:$C$17,2,FALSE))</f>
        <v/>
      </c>
      <c r="G12" s="29"/>
      <c r="L12" s="1">
        <f t="shared" si="0"/>
        <v>5</v>
      </c>
      <c r="M12" s="1" t="str">
        <f t="shared" si="1"/>
        <v>盗贼</v>
      </c>
      <c r="N12" s="1">
        <f t="shared" si="2"/>
        <v>1</v>
      </c>
      <c r="O12" s="26" t="e">
        <f ca="1">ROUND((VLOOKUP(VALUE(RIGHT(O$1,LEN(O$1)-2)),INDIRECT(TEXT("'"&amp;$L12&amp;"星每级加强属性曲线演算'","")&amp;"!$A$2:$C$100"),3,FALSE)*VLOOKUP($M12,职业分类属性!$A$3:$G$15,9,FALSE))*INDIRECT(ADDRESS(MATCH($M12,职业分类属性!$A$1:$A$15,0),MATCH("生命值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生命值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回复力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回复力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武力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武力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防御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防御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智力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智力",职业属性偏向!$B$3:$E$16,14,FALSE),INDIRECT(TEXT($N$1&amp;$N12&amp;"!$B$2:$G$3","")),2,FALSE)/INDIRECT(TEXT($N$1&amp;$N12&amp;"!$H$3","")))*((星级总属性!$L$3)/(星级总属性!$K$3+星级总属性!$L$3)),0)&amp;","&amp;ROUND((VLOOKUP(VALUE(RIGHT(O$1,LEN(O$1)-2)),INDIRECT(TEXT("'"&amp;$L12&amp;"星每级加强属性曲线演算'","")&amp;"!$A$2:$C$100"),3,FALSE)*VLOOKUP($M12,职业分类属性!$A$3:$G$15,9,FALSE))*INDIRECT(ADDRESS(MATCH($M12,职业分类属性!$A$1:$A$15,0),MATCH("法防",职业分类属性!$A$2:$E$2,0),1,1,"职业分类属性"))*((星级总属性!$K$3)/(星级总属性!$K$3+星级总属性!$L$3))+(VLOOKUP(VALUE(RIGHT(O$1,LEN(O$1)-2)),INDIRECT(TEXT("'"&amp;$L12&amp;"星每级加强属性曲线演算'","")&amp;"!$A$2:$C$100"),3,FALSE)*VLOOKUP($M12,职业分类属性!$A$3:$G$15,9,FALSE))*(HLOOKUP(HLOOKUP("法防",职业属性偏向!$B$3:$E$16,14,FALSE),INDIRECT(TEXT($N$1&amp;$N12&amp;"!$B$2:$G$3","")),2,FALSE)/INDIRECT(TEXT($N$1&amp;$N12&amp;"!$H$3","")))*((星级总属性!$L$3)/(星级总属性!$K$3+星级总属性!$L$3)),0)</f>
        <v>#REF!</v>
      </c>
    </row>
    <row r="13" spans="1:20" x14ac:dyDescent="0.25">
      <c r="A13">
        <v>550015</v>
      </c>
      <c r="B13" s="13">
        <v>4</v>
      </c>
      <c r="C13" s="26" t="str">
        <f ca="1">ROUND((VLOOKUP($B13,INDIRECT(TEXT("'"&amp;$L13&amp;"星每级加强属性曲线演算'","")&amp;"!$A$2:$C$100"),3,FALSE)*VLOOKUP($M13,职业分类属性!$A$3:$G$15,7,FALSE))*INDIRECT(ADDRESS(MATCH($M13,职业分类属性!$A$1:$A$15,0),MATCH("生命值",职业分类属性!$A$2:$E$2,0),1,1,"职业分类属性"))*((星级总属性!$K$3)/(星级总属性!$K$3+星级总属性!$L$3))+(VLOOKUP($B13,INDIRECT(TEXT("'"&amp;$L13&amp;"星每级加强属性曲线演算'","")&amp;"!$A$2:$C$100"),3,FALSE)*VLOOKUP($M13,职业分类属性!$A$3:$G$15,7,FALSE))*(HLOOKUP(HLOOKUP("生命值",职业属性偏向!$B$3:$E$16,14,FALSE),INDIRECT(TEXT($N$1&amp;$N13&amp;"!$B$2:$G$3","")),2,FALSE)/INDIRECT(TEXT($N$1&amp;$N13&amp;"!$H$3","")))*((星级总属性!$L$3)/(星级总属性!$K$3+星级总属性!$L$3)),0)&amp;","&amp;ROUND((VLOOKUP($B13,INDIRECT(TEXT("'"&amp;$L13&amp;"星每级加强属性曲线演算'","")&amp;"!$A$2:$C$100"),3,FALSE)*VLOOKUP($M13,职业分类属性!$A$3:$G$15,7,FALSE))*INDIRECT(ADDRESS(MATCH($M13,职业分类属性!$A$1:$A$15,0),MATCH("回复力",职业分类属性!$A$2:$E$2,0),1,1,"职业分类属性"))*((星级总属性!$K$3)/(星级总属性!$K$3+星级总属性!$L$3))+(VLOOKUP($B13,INDIRECT(TEXT("'"&amp;$L13&amp;"星每级加强属性曲线演算'","")&amp;"!$A$2:$C$100"),3,FALSE)*VLOOKUP($M13,职业分类属性!$A$3:$G$15,7,FALSE))*(HLOOKUP(HLOOKUP("回复力",职业属性偏向!$B$3:$E$16,14,FALSE),INDIRECT(TEXT($N$1&amp;$N13&amp;"!$B$2:$G$3","")),2,FALSE)/INDIRECT(TEXT($N$1&amp;$N13&amp;"!$H$3","")))*((星级总属性!$L$3)/(星级总属性!$K$3+星级总属性!$L$3)),0)&amp;","&amp;ROUND((VLOOKUP($B13,INDIRECT(TEXT("'"&amp;$L13&amp;"星每级加强属性曲线演算'","")&amp;"!$A$2:$C$100"),3,FALSE)*VLOOKUP($M13,职业分类属性!$A$3:$G$15,7,FALSE))*INDIRECT(ADDRESS(MATCH($M13,职业分类属性!$A$1:$A$15,0),MATCH("武力",职业分类属性!$A$2:$E$2,0),1,1,"职业分类属性"))*((星级总属性!$K$3)/(星级总属性!$K$3+星级总属性!$L$3))+(VLOOKUP($B13,INDIRECT(TEXT("'"&amp;$L13&amp;"星每级加强属性曲线演算'","")&amp;"!$A$2:$C$100"),3,FALSE)*VLOOKUP($M13,职业分类属性!$A$3:$G$15,7,FALSE))*(HLOOKUP(HLOOKUP("武力",职业属性偏向!$B$3:$E$16,14,FALSE),INDIRECT(TEXT($N$1&amp;$N13&amp;"!$B$2:$G$3","")),2,FALSE)/INDIRECT(TEXT($N$1&amp;$N13&amp;"!$H$3","")))*((星级总属性!$L$3)/(星级总属性!$K$3+星级总属性!$L$3)),0)&amp;","&amp;ROUND((VLOOKUP($B13,INDIRECT(TEXT("'"&amp;$L13&amp;"星每级加强属性曲线演算'","")&amp;"!$A$2:$C$100"),3,FALSE)*VLOOKUP($M13,职业分类属性!$A$3:$G$15,7,FALSE))*INDIRECT(ADDRESS(MATCH($M13,职业分类属性!$A$1:$A$15,0),MATCH("防御",职业分类属性!$A$2:$E$2,0),1,1,"职业分类属性"))*((星级总属性!$K$3)/(星级总属性!$K$3+星级总属性!$L$3))+(VLOOKUP($B13,INDIRECT(TEXT("'"&amp;$L13&amp;"星每级加强属性曲线演算'","")&amp;"!$A$2:$C$100"),3,FALSE)*VLOOKUP($M13,职业分类属性!$A$3:$G$15,7,FALSE))*(HLOOKUP(HLOOKUP("防御",职业属性偏向!$B$3:$E$16,14,FALSE),INDIRECT(TEXT($N$1&amp;$N13&amp;"!$B$2:$G$3","")),2,FALSE)/INDIRECT(TEXT($N$1&amp;$N13&amp;"!$H$3","")))*((星级总属性!$L$3)/(星级总属性!$K$3+星级总属性!$L$3)),0)</f>
        <v>92,21,453,99</v>
      </c>
      <c r="D13" s="26">
        <v>1011</v>
      </c>
      <c r="E13" s="43" t="str">
        <f>IF(VLOOKUP($B13,进阶要求!$A$2:$C$17,3,FALSE)=0,"",VLOOKUP($B13,进阶要求!$A$2:$C$17,3,FALSE))</f>
        <v>10001,10;10002,11;10003,12;10003,13</v>
      </c>
      <c r="F13" s="32">
        <f>IF(VLOOKUP($B13,进阶要求!$A$2:$C$17,2,FALSE)=0,"",VLOOKUP($B13,进阶要求!$A$2:$C$17,2,FALSE))</f>
        <v>10</v>
      </c>
      <c r="G13" s="29">
        <v>0</v>
      </c>
      <c r="H13" s="27">
        <v>855011</v>
      </c>
      <c r="I13" s="27" t="s">
        <v>93</v>
      </c>
      <c r="L13" s="1">
        <f t="shared" si="0"/>
        <v>5</v>
      </c>
      <c r="M13" s="1" t="str">
        <f t="shared" si="1"/>
        <v>盗贼</v>
      </c>
      <c r="N13" s="1">
        <f t="shared" si="2"/>
        <v>1</v>
      </c>
      <c r="O13" s="26" t="e">
        <f ca="1">ROUND((VLOOKUP(VALUE(RIGHT(O$1,LEN(O$1)-2)),INDIRECT(TEXT("'"&amp;$L13&amp;"星每级加强属性曲线演算'","")&amp;"!$A$2:$C$100"),3,FALSE)*VLOOKUP($M13,职业分类属性!$A$3:$G$15,9,FALSE))*INDIRECT(ADDRESS(MATCH($M13,职业分类属性!$A$1:$A$15,0),MATCH("生命值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生命值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回复力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回复力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武力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武力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防御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防御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智力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智力",职业属性偏向!$B$3:$E$16,14,FALSE),INDIRECT(TEXT($N$1&amp;$N13&amp;"!$B$2:$G$3","")),2,FALSE)/INDIRECT(TEXT($N$1&amp;$N13&amp;"!$H$3","")))*((星级总属性!$L$3)/(星级总属性!$K$3+星级总属性!$L$3)),0)&amp;","&amp;ROUND((VLOOKUP(VALUE(RIGHT(O$1,LEN(O$1)-2)),INDIRECT(TEXT("'"&amp;$L13&amp;"星每级加强属性曲线演算'","")&amp;"!$A$2:$C$100"),3,FALSE)*VLOOKUP($M13,职业分类属性!$A$3:$G$15,9,FALSE))*INDIRECT(ADDRESS(MATCH($M13,职业分类属性!$A$1:$A$15,0),MATCH("法防",职业分类属性!$A$2:$E$2,0),1,1,"职业分类属性"))*((星级总属性!$K$3)/(星级总属性!$K$3+星级总属性!$L$3))+(VLOOKUP(VALUE(RIGHT(O$1,LEN(O$1)-2)),INDIRECT(TEXT("'"&amp;$L13&amp;"星每级加强属性曲线演算'","")&amp;"!$A$2:$C$100"),3,FALSE)*VLOOKUP($M13,职业分类属性!$A$3:$G$15,9,FALSE))*(HLOOKUP(HLOOKUP("法防",职业属性偏向!$B$3:$E$16,14,FALSE),INDIRECT(TEXT($N$1&amp;$N13&amp;"!$B$2:$G$3","")),2,FALSE)/INDIRECT(TEXT($N$1&amp;$N13&amp;"!$H$3","")))*((星级总属性!$L$3)/(星级总属性!$K$3+星级总属性!$L$3)),0)</f>
        <v>#REF!</v>
      </c>
    </row>
    <row r="14" spans="1:20" x14ac:dyDescent="0.25">
      <c r="A14">
        <v>550015</v>
      </c>
      <c r="B14" s="13">
        <v>5</v>
      </c>
      <c r="C14" s="26" t="str">
        <f ca="1">ROUND((VLOOKUP($B14,INDIRECT(TEXT("'"&amp;$L14&amp;"星每级加强属性曲线演算'","")&amp;"!$A$2:$C$100"),3,FALSE)*VLOOKUP($M14,职业分类属性!$A$3:$G$15,7,FALSE))*INDIRECT(ADDRESS(MATCH($M14,职业分类属性!$A$1:$A$15,0),MATCH("生命值",职业分类属性!$A$2:$E$2,0),1,1,"职业分类属性"))*((星级总属性!$K$3)/(星级总属性!$K$3+星级总属性!$L$3))+(VLOOKUP($B14,INDIRECT(TEXT("'"&amp;$L14&amp;"星每级加强属性曲线演算'","")&amp;"!$A$2:$C$100"),3,FALSE)*VLOOKUP($M14,职业分类属性!$A$3:$G$15,7,FALSE))*(HLOOKUP(HLOOKUP("生命值",职业属性偏向!$B$3:$E$16,14,FALSE),INDIRECT(TEXT($N$1&amp;$N14&amp;"!$B$2:$G$3","")),2,FALSE)/INDIRECT(TEXT($N$1&amp;$N14&amp;"!$H$3","")))*((星级总属性!$L$3)/(星级总属性!$K$3+星级总属性!$L$3)),0)&amp;","&amp;ROUND((VLOOKUP($B14,INDIRECT(TEXT("'"&amp;$L14&amp;"星每级加强属性曲线演算'","")&amp;"!$A$2:$C$100"),3,FALSE)*VLOOKUP($M14,职业分类属性!$A$3:$G$15,7,FALSE))*INDIRECT(ADDRESS(MATCH($M14,职业分类属性!$A$1:$A$15,0),MATCH("回复力",职业分类属性!$A$2:$E$2,0),1,1,"职业分类属性"))*((星级总属性!$K$3)/(星级总属性!$K$3+星级总属性!$L$3))+(VLOOKUP($B14,INDIRECT(TEXT("'"&amp;$L14&amp;"星每级加强属性曲线演算'","")&amp;"!$A$2:$C$100"),3,FALSE)*VLOOKUP($M14,职业分类属性!$A$3:$G$15,7,FALSE))*(HLOOKUP(HLOOKUP("回复力",职业属性偏向!$B$3:$E$16,14,FALSE),INDIRECT(TEXT($N$1&amp;$N14&amp;"!$B$2:$G$3","")),2,FALSE)/INDIRECT(TEXT($N$1&amp;$N14&amp;"!$H$3","")))*((星级总属性!$L$3)/(星级总属性!$K$3+星级总属性!$L$3)),0)&amp;","&amp;ROUND((VLOOKUP($B14,INDIRECT(TEXT("'"&amp;$L14&amp;"星每级加强属性曲线演算'","")&amp;"!$A$2:$C$100"),3,FALSE)*VLOOKUP($M14,职业分类属性!$A$3:$G$15,7,FALSE))*INDIRECT(ADDRESS(MATCH($M14,职业分类属性!$A$1:$A$15,0),MATCH("武力",职业分类属性!$A$2:$E$2,0),1,1,"职业分类属性"))*((星级总属性!$K$3)/(星级总属性!$K$3+星级总属性!$L$3))+(VLOOKUP($B14,INDIRECT(TEXT("'"&amp;$L14&amp;"星每级加强属性曲线演算'","")&amp;"!$A$2:$C$100"),3,FALSE)*VLOOKUP($M14,职业分类属性!$A$3:$G$15,7,FALSE))*(HLOOKUP(HLOOKUP("武力",职业属性偏向!$B$3:$E$16,14,FALSE),INDIRECT(TEXT($N$1&amp;$N14&amp;"!$B$2:$G$3","")),2,FALSE)/INDIRECT(TEXT($N$1&amp;$N14&amp;"!$H$3","")))*((星级总属性!$L$3)/(星级总属性!$K$3+星级总属性!$L$3)),0)&amp;","&amp;ROUND((VLOOKUP($B14,INDIRECT(TEXT("'"&amp;$L14&amp;"星每级加强属性曲线演算'","")&amp;"!$A$2:$C$100"),3,FALSE)*VLOOKUP($M14,职业分类属性!$A$3:$G$15,7,FALSE))*INDIRECT(ADDRESS(MATCH($M14,职业分类属性!$A$1:$A$15,0),MATCH("防御",职业分类属性!$A$2:$E$2,0),1,1,"职业分类属性"))*((星级总属性!$K$3)/(星级总属性!$K$3+星级总属性!$L$3))+(VLOOKUP($B14,INDIRECT(TEXT("'"&amp;$L14&amp;"星每级加强属性曲线演算'","")&amp;"!$A$2:$C$100"),3,FALSE)*VLOOKUP($M14,职业分类属性!$A$3:$G$15,7,FALSE))*(HLOOKUP(HLOOKUP("防御",职业属性偏向!$B$3:$E$16,14,FALSE),INDIRECT(TEXT($N$1&amp;$N14&amp;"!$B$2:$G$3","")),2,FALSE)/INDIRECT(TEXT($N$1&amp;$N14&amp;"!$H$3","")))*((星级总属性!$L$3)/(星级总属性!$K$3+星级总属性!$L$3)),0)</f>
        <v>115,26,565,123</v>
      </c>
      <c r="D14" s="26">
        <v>1012</v>
      </c>
      <c r="E14" s="43" t="str">
        <f>IF(VLOOKUP($B14,进阶要求!$A$2:$C$17,3,FALSE)=0,"",VLOOKUP($B14,进阶要求!$A$2:$C$17,3,FALSE))</f>
        <v>10001,10;10002,11;10003,12;10003,12;10003,14</v>
      </c>
      <c r="F14" s="32" t="str">
        <f>IF(VLOOKUP($B14,进阶要求!$A$2:$C$17,2,FALSE)=0,"",VLOOKUP($B14,进阶要求!$A$2:$C$17,2,FALSE))</f>
        <v/>
      </c>
      <c r="G14" s="29"/>
      <c r="L14" s="1">
        <f t="shared" si="0"/>
        <v>5</v>
      </c>
      <c r="M14" s="1" t="str">
        <f t="shared" si="1"/>
        <v>盗贼</v>
      </c>
      <c r="N14" s="1">
        <f t="shared" si="2"/>
        <v>1</v>
      </c>
      <c r="O14" s="26" t="e">
        <f ca="1">ROUND((VLOOKUP(VALUE(RIGHT(O$1,LEN(O$1)-2)),INDIRECT(TEXT("'"&amp;$L14&amp;"星每级加强属性曲线演算'","")&amp;"!$A$2:$C$100"),3,FALSE)*VLOOKUP($M14,职业分类属性!$A$3:$G$15,9,FALSE))*INDIRECT(ADDRESS(MATCH($M14,职业分类属性!$A$1:$A$15,0),MATCH("生命值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生命值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回复力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回复力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武力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武力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防御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防御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智力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智力",职业属性偏向!$B$3:$E$16,14,FALSE),INDIRECT(TEXT($N$1&amp;$N14&amp;"!$B$2:$G$3","")),2,FALSE)/INDIRECT(TEXT($N$1&amp;$N14&amp;"!$H$3","")))*((星级总属性!$L$3)/(星级总属性!$K$3+星级总属性!$L$3)),0)&amp;","&amp;ROUND((VLOOKUP(VALUE(RIGHT(O$1,LEN(O$1)-2)),INDIRECT(TEXT("'"&amp;$L14&amp;"星每级加强属性曲线演算'","")&amp;"!$A$2:$C$100"),3,FALSE)*VLOOKUP($M14,职业分类属性!$A$3:$G$15,9,FALSE))*INDIRECT(ADDRESS(MATCH($M14,职业分类属性!$A$1:$A$15,0),MATCH("法防",职业分类属性!$A$2:$E$2,0),1,1,"职业分类属性"))*((星级总属性!$K$3)/(星级总属性!$K$3+星级总属性!$L$3))+(VLOOKUP(VALUE(RIGHT(O$1,LEN(O$1)-2)),INDIRECT(TEXT("'"&amp;$L14&amp;"星每级加强属性曲线演算'","")&amp;"!$A$2:$C$100"),3,FALSE)*VLOOKUP($M14,职业分类属性!$A$3:$G$15,9,FALSE))*(HLOOKUP(HLOOKUP("法防",职业属性偏向!$B$3:$E$16,14,FALSE),INDIRECT(TEXT($N$1&amp;$N14&amp;"!$B$2:$G$3","")),2,FALSE)/INDIRECT(TEXT($N$1&amp;$N14&amp;"!$H$3","")))*((星级总属性!$L$3)/(星级总属性!$K$3+星级总属性!$L$3)),0)</f>
        <v>#REF!</v>
      </c>
    </row>
    <row r="15" spans="1:20" x14ac:dyDescent="0.25">
      <c r="A15">
        <v>550015</v>
      </c>
      <c r="B15" s="13">
        <v>6</v>
      </c>
      <c r="C15" s="26" t="str">
        <f ca="1">ROUND((VLOOKUP($B15,INDIRECT(TEXT("'"&amp;$L15&amp;"星每级加强属性曲线演算'","")&amp;"!$A$2:$C$100"),3,FALSE)*VLOOKUP($M15,职业分类属性!$A$3:$G$15,7,FALSE))*INDIRECT(ADDRESS(MATCH($M15,职业分类属性!$A$1:$A$15,0),MATCH("生命值",职业分类属性!$A$2:$E$2,0),1,1,"职业分类属性"))*((星级总属性!$K$3)/(星级总属性!$K$3+星级总属性!$L$3))+(VLOOKUP($B15,INDIRECT(TEXT("'"&amp;$L15&amp;"星每级加强属性曲线演算'","")&amp;"!$A$2:$C$100"),3,FALSE)*VLOOKUP($M15,职业分类属性!$A$3:$G$15,7,FALSE))*(HLOOKUP(HLOOKUP("生命值",职业属性偏向!$B$3:$E$16,14,FALSE),INDIRECT(TEXT($N$1&amp;$N15&amp;"!$B$2:$G$3","")),2,FALSE)/INDIRECT(TEXT($N$1&amp;$N15&amp;"!$H$3","")))*((星级总属性!$L$3)/(星级总属性!$K$3+星级总属性!$L$3)),0)&amp;","&amp;ROUND((VLOOKUP($B15,INDIRECT(TEXT("'"&amp;$L15&amp;"星每级加强属性曲线演算'","")&amp;"!$A$2:$C$100"),3,FALSE)*VLOOKUP($M15,职业分类属性!$A$3:$G$15,7,FALSE))*INDIRECT(ADDRESS(MATCH($M15,职业分类属性!$A$1:$A$15,0),MATCH("回复力",职业分类属性!$A$2:$E$2,0),1,1,"职业分类属性"))*((星级总属性!$K$3)/(星级总属性!$K$3+星级总属性!$L$3))+(VLOOKUP($B15,INDIRECT(TEXT("'"&amp;$L15&amp;"星每级加强属性曲线演算'","")&amp;"!$A$2:$C$100"),3,FALSE)*VLOOKUP($M15,职业分类属性!$A$3:$G$15,7,FALSE))*(HLOOKUP(HLOOKUP("回复力",职业属性偏向!$B$3:$E$16,14,FALSE),INDIRECT(TEXT($N$1&amp;$N15&amp;"!$B$2:$G$3","")),2,FALSE)/INDIRECT(TEXT($N$1&amp;$N15&amp;"!$H$3","")))*((星级总属性!$L$3)/(星级总属性!$K$3+星级总属性!$L$3)),0)&amp;","&amp;ROUND((VLOOKUP($B15,INDIRECT(TEXT("'"&amp;$L15&amp;"星每级加强属性曲线演算'","")&amp;"!$A$2:$C$100"),3,FALSE)*VLOOKUP($M15,职业分类属性!$A$3:$G$15,7,FALSE))*INDIRECT(ADDRESS(MATCH($M15,职业分类属性!$A$1:$A$15,0),MATCH("武力",职业分类属性!$A$2:$E$2,0),1,1,"职业分类属性"))*((星级总属性!$K$3)/(星级总属性!$K$3+星级总属性!$L$3))+(VLOOKUP($B15,INDIRECT(TEXT("'"&amp;$L15&amp;"星每级加强属性曲线演算'","")&amp;"!$A$2:$C$100"),3,FALSE)*VLOOKUP($M15,职业分类属性!$A$3:$G$15,7,FALSE))*(HLOOKUP(HLOOKUP("武力",职业属性偏向!$B$3:$E$16,14,FALSE),INDIRECT(TEXT($N$1&amp;$N15&amp;"!$B$2:$G$3","")),2,FALSE)/INDIRECT(TEXT($N$1&amp;$N15&amp;"!$H$3","")))*((星级总属性!$L$3)/(星级总属性!$K$3+星级总属性!$L$3)),0)&amp;","&amp;ROUND((VLOOKUP($B15,INDIRECT(TEXT("'"&amp;$L15&amp;"星每级加强属性曲线演算'","")&amp;"!$A$2:$C$100"),3,FALSE)*VLOOKUP($M15,职业分类属性!$A$3:$G$15,7,FALSE))*INDIRECT(ADDRESS(MATCH($M15,职业分类属性!$A$1:$A$15,0),MATCH("防御",职业分类属性!$A$2:$E$2,0),1,1,"职业分类属性"))*((星级总属性!$K$3)/(星级总属性!$K$3+星级总属性!$L$3))+(VLOOKUP($B15,INDIRECT(TEXT("'"&amp;$L15&amp;"星每级加强属性曲线演算'","")&amp;"!$A$2:$C$100"),3,FALSE)*VLOOKUP($M15,职业分类属性!$A$3:$G$15,7,FALSE))*(HLOOKUP(HLOOKUP("防御",职业属性偏向!$B$3:$E$16,14,FALSE),INDIRECT(TEXT($N$1&amp;$N15&amp;"!$B$2:$G$3","")),2,FALSE)/INDIRECT(TEXT($N$1&amp;$N15&amp;"!$H$3","")))*((星级总属性!$L$3)/(星级总属性!$K$3+星级总属性!$L$3)),0)</f>
        <v>138,31,679,148</v>
      </c>
      <c r="D15" s="26">
        <v>1013</v>
      </c>
      <c r="E15" s="43" t="str">
        <f>IF(VLOOKUP($B15,进阶要求!$A$2:$C$17,3,FALSE)=0,"",VLOOKUP($B15,进阶要求!$A$2:$C$17,3,FALSE))</f>
        <v>10001,10;10002,11;10003,12;10003,12;10003,14</v>
      </c>
      <c r="F15" s="32" t="str">
        <f>IF(VLOOKUP($B15,进阶要求!$A$2:$C$17,2,FALSE)=0,"",VLOOKUP($B15,进阶要求!$A$2:$C$17,2,FALSE))</f>
        <v/>
      </c>
      <c r="G15" s="29">
        <v>0</v>
      </c>
      <c r="H15" s="27">
        <v>855012</v>
      </c>
      <c r="I15" s="27" t="s">
        <v>93</v>
      </c>
      <c r="L15" s="1">
        <f t="shared" si="0"/>
        <v>5</v>
      </c>
      <c r="M15" s="1" t="str">
        <f t="shared" si="1"/>
        <v>盗贼</v>
      </c>
      <c r="N15" s="1">
        <f t="shared" si="2"/>
        <v>1</v>
      </c>
      <c r="O15" s="26" t="e">
        <f ca="1">ROUND((VLOOKUP(VALUE(RIGHT(O$1,LEN(O$1)-2)),INDIRECT(TEXT("'"&amp;$L15&amp;"星每级加强属性曲线演算'","")&amp;"!$A$2:$C$100"),3,FALSE)*VLOOKUP($M15,职业分类属性!$A$3:$G$15,9,FALSE))*INDIRECT(ADDRESS(MATCH($M15,职业分类属性!$A$1:$A$15,0),MATCH("生命值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生命值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回复力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回复力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武力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武力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防御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防御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智力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智力",职业属性偏向!$B$3:$E$16,14,FALSE),INDIRECT(TEXT($N$1&amp;$N15&amp;"!$B$2:$G$3","")),2,FALSE)/INDIRECT(TEXT($N$1&amp;$N15&amp;"!$H$3","")))*((星级总属性!$L$3)/(星级总属性!$K$3+星级总属性!$L$3)),0)&amp;","&amp;ROUND((VLOOKUP(VALUE(RIGHT(O$1,LEN(O$1)-2)),INDIRECT(TEXT("'"&amp;$L15&amp;"星每级加强属性曲线演算'","")&amp;"!$A$2:$C$100"),3,FALSE)*VLOOKUP($M15,职业分类属性!$A$3:$G$15,9,FALSE))*INDIRECT(ADDRESS(MATCH($M15,职业分类属性!$A$1:$A$15,0),MATCH("法防",职业分类属性!$A$2:$E$2,0),1,1,"职业分类属性"))*((星级总属性!$K$3)/(星级总属性!$K$3+星级总属性!$L$3))+(VLOOKUP(VALUE(RIGHT(O$1,LEN(O$1)-2)),INDIRECT(TEXT("'"&amp;$L15&amp;"星每级加强属性曲线演算'","")&amp;"!$A$2:$C$100"),3,FALSE)*VLOOKUP($M15,职业分类属性!$A$3:$G$15,9,FALSE))*(HLOOKUP(HLOOKUP("法防",职业属性偏向!$B$3:$E$16,14,FALSE),INDIRECT(TEXT($N$1&amp;$N15&amp;"!$B$2:$G$3","")),2,FALSE)/INDIRECT(TEXT($N$1&amp;$N15&amp;"!$H$3","")))*((星级总属性!$L$3)/(星级总属性!$K$3+星级总属性!$L$3)),0)</f>
        <v>#REF!</v>
      </c>
    </row>
    <row r="16" spans="1:20" x14ac:dyDescent="0.25">
      <c r="A16">
        <v>550015</v>
      </c>
      <c r="B16" s="13">
        <v>7</v>
      </c>
      <c r="C16" s="26" t="str">
        <f ca="1">ROUND((VLOOKUP($B16,INDIRECT(TEXT("'"&amp;$L16&amp;"星每级加强属性曲线演算'","")&amp;"!$A$2:$C$100"),3,FALSE)*VLOOKUP($M16,职业分类属性!$A$3:$G$15,7,FALSE))*INDIRECT(ADDRESS(MATCH($M16,职业分类属性!$A$1:$A$15,0),MATCH("生命值",职业分类属性!$A$2:$E$2,0),1,1,"职业分类属性"))*((星级总属性!$K$3)/(星级总属性!$K$3+星级总属性!$L$3))+(VLOOKUP($B16,INDIRECT(TEXT("'"&amp;$L16&amp;"星每级加强属性曲线演算'","")&amp;"!$A$2:$C$100"),3,FALSE)*VLOOKUP($M16,职业分类属性!$A$3:$G$15,7,FALSE))*(HLOOKUP(HLOOKUP("生命值",职业属性偏向!$B$3:$E$16,14,FALSE),INDIRECT(TEXT($N$1&amp;$N16&amp;"!$B$2:$G$3","")),2,FALSE)/INDIRECT(TEXT($N$1&amp;$N16&amp;"!$H$3","")))*((星级总属性!$L$3)/(星级总属性!$K$3+星级总属性!$L$3)),0)&amp;","&amp;ROUND((VLOOKUP($B16,INDIRECT(TEXT("'"&amp;$L16&amp;"星每级加强属性曲线演算'","")&amp;"!$A$2:$C$100"),3,FALSE)*VLOOKUP($M16,职业分类属性!$A$3:$G$15,7,FALSE))*INDIRECT(ADDRESS(MATCH($M16,职业分类属性!$A$1:$A$15,0),MATCH("回复力",职业分类属性!$A$2:$E$2,0),1,1,"职业分类属性"))*((星级总属性!$K$3)/(星级总属性!$K$3+星级总属性!$L$3))+(VLOOKUP($B16,INDIRECT(TEXT("'"&amp;$L16&amp;"星每级加强属性曲线演算'","")&amp;"!$A$2:$C$100"),3,FALSE)*VLOOKUP($M16,职业分类属性!$A$3:$G$15,7,FALSE))*(HLOOKUP(HLOOKUP("回复力",职业属性偏向!$B$3:$E$16,14,FALSE),INDIRECT(TEXT($N$1&amp;$N16&amp;"!$B$2:$G$3","")),2,FALSE)/INDIRECT(TEXT($N$1&amp;$N16&amp;"!$H$3","")))*((星级总属性!$L$3)/(星级总属性!$K$3+星级总属性!$L$3)),0)&amp;","&amp;ROUND((VLOOKUP($B16,INDIRECT(TEXT("'"&amp;$L16&amp;"星每级加强属性曲线演算'","")&amp;"!$A$2:$C$100"),3,FALSE)*VLOOKUP($M16,职业分类属性!$A$3:$G$15,7,FALSE))*INDIRECT(ADDRESS(MATCH($M16,职业分类属性!$A$1:$A$15,0),MATCH("武力",职业分类属性!$A$2:$E$2,0),1,1,"职业分类属性"))*((星级总属性!$K$3)/(星级总属性!$K$3+星级总属性!$L$3))+(VLOOKUP($B16,INDIRECT(TEXT("'"&amp;$L16&amp;"星每级加强属性曲线演算'","")&amp;"!$A$2:$C$100"),3,FALSE)*VLOOKUP($M16,职业分类属性!$A$3:$G$15,7,FALSE))*(HLOOKUP(HLOOKUP("武力",职业属性偏向!$B$3:$E$16,14,FALSE),INDIRECT(TEXT($N$1&amp;$N16&amp;"!$B$2:$G$3","")),2,FALSE)/INDIRECT(TEXT($N$1&amp;$N16&amp;"!$H$3","")))*((星级总属性!$L$3)/(星级总属性!$K$3+星级总属性!$L$3)),0)&amp;","&amp;ROUND((VLOOKUP($B16,INDIRECT(TEXT("'"&amp;$L16&amp;"星每级加强属性曲线演算'","")&amp;"!$A$2:$C$100"),3,FALSE)*VLOOKUP($M16,职业分类属性!$A$3:$G$15,7,FALSE))*INDIRECT(ADDRESS(MATCH($M16,职业分类属性!$A$1:$A$15,0),MATCH("防御",职业分类属性!$A$2:$E$2,0),1,1,"职业分类属性"))*((星级总属性!$K$3)/(星级总属性!$K$3+星级总属性!$L$3))+(VLOOKUP($B16,INDIRECT(TEXT("'"&amp;$L16&amp;"星每级加强属性曲线演算'","")&amp;"!$A$2:$C$100"),3,FALSE)*VLOOKUP($M16,职业分类属性!$A$3:$G$15,7,FALSE))*(HLOOKUP(HLOOKUP("防御",职业属性偏向!$B$3:$E$16,14,FALSE),INDIRECT(TEXT($N$1&amp;$N16&amp;"!$B$2:$G$3","")),2,FALSE)/INDIRECT(TEXT($N$1&amp;$N16&amp;"!$H$3","")))*((星级总属性!$L$3)/(星级总属性!$K$3+星级总属性!$L$3)),0)</f>
        <v>161,36,792,173</v>
      </c>
      <c r="D16" s="26">
        <v>1014</v>
      </c>
      <c r="E16" s="43" t="str">
        <f>IF(VLOOKUP($B16,进阶要求!$A$2:$C$17,3,FALSE)=0,"",VLOOKUP($B16,进阶要求!$A$2:$C$17,3,FALSE))</f>
        <v>10001,10;10002,11;10003,12;10003,12;10003,14;10003,15</v>
      </c>
      <c r="F16" s="32">
        <f>IF(VLOOKUP($B16,进阶要求!$A$2:$C$17,2,FALSE)=0,"",VLOOKUP($B16,进阶要求!$A$2:$C$17,2,FALSE))</f>
        <v>20</v>
      </c>
      <c r="G16" s="29"/>
      <c r="L16" s="1">
        <f t="shared" si="0"/>
        <v>5</v>
      </c>
      <c r="M16" s="1" t="str">
        <f t="shared" si="1"/>
        <v>盗贼</v>
      </c>
      <c r="N16" s="1">
        <f t="shared" si="2"/>
        <v>1</v>
      </c>
      <c r="O16" s="26" t="e">
        <f ca="1">ROUND((VLOOKUP(VALUE(RIGHT(O$1,LEN(O$1)-2)),INDIRECT(TEXT("'"&amp;$L16&amp;"星每级加强属性曲线演算'","")&amp;"!$A$2:$C$100"),3,FALSE)*VLOOKUP($M16,职业分类属性!$A$3:$G$15,9,FALSE))*INDIRECT(ADDRESS(MATCH($M16,职业分类属性!$A$1:$A$15,0),MATCH("生命值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生命值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回复力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回复力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武力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武力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防御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防御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智力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智力",职业属性偏向!$B$3:$E$16,14,FALSE),INDIRECT(TEXT($N$1&amp;$N16&amp;"!$B$2:$G$3","")),2,FALSE)/INDIRECT(TEXT($N$1&amp;$N16&amp;"!$H$3","")))*((星级总属性!$L$3)/(星级总属性!$K$3+星级总属性!$L$3)),0)&amp;","&amp;ROUND((VLOOKUP(VALUE(RIGHT(O$1,LEN(O$1)-2)),INDIRECT(TEXT("'"&amp;$L16&amp;"星每级加强属性曲线演算'","")&amp;"!$A$2:$C$100"),3,FALSE)*VLOOKUP($M16,职业分类属性!$A$3:$G$15,9,FALSE))*INDIRECT(ADDRESS(MATCH($M16,职业分类属性!$A$1:$A$15,0),MATCH("法防",职业分类属性!$A$2:$E$2,0),1,1,"职业分类属性"))*((星级总属性!$K$3)/(星级总属性!$K$3+星级总属性!$L$3))+(VLOOKUP(VALUE(RIGHT(O$1,LEN(O$1)-2)),INDIRECT(TEXT("'"&amp;$L16&amp;"星每级加强属性曲线演算'","")&amp;"!$A$2:$C$100"),3,FALSE)*VLOOKUP($M16,职业分类属性!$A$3:$G$15,9,FALSE))*(HLOOKUP(HLOOKUP("法防",职业属性偏向!$B$3:$E$16,14,FALSE),INDIRECT(TEXT($N$1&amp;$N16&amp;"!$B$2:$G$3","")),2,FALSE)/INDIRECT(TEXT($N$1&amp;$N16&amp;"!$H$3","")))*((星级总属性!$L$3)/(星级总属性!$K$3+星级总属性!$L$3)),0)</f>
        <v>#REF!</v>
      </c>
    </row>
    <row r="17" spans="1:15" x14ac:dyDescent="0.25">
      <c r="A17">
        <v>550015</v>
      </c>
      <c r="B17" s="13">
        <v>8</v>
      </c>
      <c r="C17" s="26" t="str">
        <f ca="1">ROUND((VLOOKUP($B17,INDIRECT(TEXT("'"&amp;$L17&amp;"星每级加强属性曲线演算'","")&amp;"!$A$2:$C$100"),3,FALSE)*VLOOKUP($M17,职业分类属性!$A$3:$G$15,7,FALSE))*INDIRECT(ADDRESS(MATCH($M17,职业分类属性!$A$1:$A$15,0),MATCH("生命值",职业分类属性!$A$2:$E$2,0),1,1,"职业分类属性"))*((星级总属性!$K$3)/(星级总属性!$K$3+星级总属性!$L$3))+(VLOOKUP($B17,INDIRECT(TEXT("'"&amp;$L17&amp;"星每级加强属性曲线演算'","")&amp;"!$A$2:$C$100"),3,FALSE)*VLOOKUP($M17,职业分类属性!$A$3:$G$15,7,FALSE))*(HLOOKUP(HLOOKUP("生命值",职业属性偏向!$B$3:$E$16,14,FALSE),INDIRECT(TEXT($N$1&amp;$N17&amp;"!$B$2:$G$3","")),2,FALSE)/INDIRECT(TEXT($N$1&amp;$N17&amp;"!$H$3","")))*((星级总属性!$L$3)/(星级总属性!$K$3+星级总属性!$L$3)),0)&amp;","&amp;ROUND((VLOOKUP($B17,INDIRECT(TEXT("'"&amp;$L17&amp;"星每级加强属性曲线演算'","")&amp;"!$A$2:$C$100"),3,FALSE)*VLOOKUP($M17,职业分类属性!$A$3:$G$15,7,FALSE))*INDIRECT(ADDRESS(MATCH($M17,职业分类属性!$A$1:$A$15,0),MATCH("回复力",职业分类属性!$A$2:$E$2,0),1,1,"职业分类属性"))*((星级总属性!$K$3)/(星级总属性!$K$3+星级总属性!$L$3))+(VLOOKUP($B17,INDIRECT(TEXT("'"&amp;$L17&amp;"星每级加强属性曲线演算'","")&amp;"!$A$2:$C$100"),3,FALSE)*VLOOKUP($M17,职业分类属性!$A$3:$G$15,7,FALSE))*(HLOOKUP(HLOOKUP("回复力",职业属性偏向!$B$3:$E$16,14,FALSE),INDIRECT(TEXT($N$1&amp;$N17&amp;"!$B$2:$G$3","")),2,FALSE)/INDIRECT(TEXT($N$1&amp;$N17&amp;"!$H$3","")))*((星级总属性!$L$3)/(星级总属性!$K$3+星级总属性!$L$3)),0)&amp;","&amp;ROUND((VLOOKUP($B17,INDIRECT(TEXT("'"&amp;$L17&amp;"星每级加强属性曲线演算'","")&amp;"!$A$2:$C$100"),3,FALSE)*VLOOKUP($M17,职业分类属性!$A$3:$G$15,7,FALSE))*INDIRECT(ADDRESS(MATCH($M17,职业分类属性!$A$1:$A$15,0),MATCH("武力",职业分类属性!$A$2:$E$2,0),1,1,"职业分类属性"))*((星级总属性!$K$3)/(星级总属性!$K$3+星级总属性!$L$3))+(VLOOKUP($B17,INDIRECT(TEXT("'"&amp;$L17&amp;"星每级加强属性曲线演算'","")&amp;"!$A$2:$C$100"),3,FALSE)*VLOOKUP($M17,职业分类属性!$A$3:$G$15,7,FALSE))*(HLOOKUP(HLOOKUP("武力",职业属性偏向!$B$3:$E$16,14,FALSE),INDIRECT(TEXT($N$1&amp;$N17&amp;"!$B$2:$G$3","")),2,FALSE)/INDIRECT(TEXT($N$1&amp;$N17&amp;"!$H$3","")))*((星级总属性!$L$3)/(星级总属性!$K$3+星级总属性!$L$3)),0)&amp;","&amp;ROUND((VLOOKUP($B17,INDIRECT(TEXT("'"&amp;$L17&amp;"星每级加强属性曲线演算'","")&amp;"!$A$2:$C$100"),3,FALSE)*VLOOKUP($M17,职业分类属性!$A$3:$G$15,7,FALSE))*INDIRECT(ADDRESS(MATCH($M17,职业分类属性!$A$1:$A$15,0),MATCH("防御",职业分类属性!$A$2:$E$2,0),1,1,"职业分类属性"))*((星级总属性!$K$3)/(星级总属性!$K$3+星级总属性!$L$3))+(VLOOKUP($B17,INDIRECT(TEXT("'"&amp;$L17&amp;"星每级加强属性曲线演算'","")&amp;"!$A$2:$C$100"),3,FALSE)*VLOOKUP($M17,职业分类属性!$A$3:$G$15,7,FALSE))*(HLOOKUP(HLOOKUP("防御",职业属性偏向!$B$3:$E$16,14,FALSE),INDIRECT(TEXT($N$1&amp;$N17&amp;"!$B$2:$G$3","")),2,FALSE)/INDIRECT(TEXT($N$1&amp;$N17&amp;"!$H$3","")))*((星级总属性!$L$3)/(星级总属性!$K$3+星级总属性!$L$3)),0)</f>
        <v>184,41,905,197</v>
      </c>
      <c r="D17" s="26">
        <v>1015</v>
      </c>
      <c r="E17" s="43" t="str">
        <f>IF(VLOOKUP($B17,进阶要求!$A$2:$C$17,3,FALSE)=0,"",VLOOKUP($B17,进阶要求!$A$2:$C$17,3,FALSE))</f>
        <v>10001,10;10002,11;10003,12;10003,12;10003,14;10003,15</v>
      </c>
      <c r="F17" s="32" t="str">
        <f>IF(VLOOKUP($B17,进阶要求!$A$2:$C$17,2,FALSE)=0,"",VLOOKUP($B17,进阶要求!$A$2:$C$17,2,FALSE))</f>
        <v/>
      </c>
      <c r="G17" s="29">
        <v>1</v>
      </c>
      <c r="H17" s="27">
        <v>855015</v>
      </c>
      <c r="I17" s="27" t="s">
        <v>93</v>
      </c>
      <c r="L17" s="1">
        <f t="shared" si="0"/>
        <v>5</v>
      </c>
      <c r="M17" s="1" t="str">
        <f t="shared" si="1"/>
        <v>盗贼</v>
      </c>
      <c r="N17" s="1">
        <f t="shared" si="2"/>
        <v>1</v>
      </c>
      <c r="O17" s="26" t="e">
        <f ca="1">ROUND((VLOOKUP(VALUE(RIGHT(O$1,LEN(O$1)-2)),INDIRECT(TEXT("'"&amp;$L17&amp;"星每级加强属性曲线演算'","")&amp;"!$A$2:$C$100"),3,FALSE)*VLOOKUP($M17,职业分类属性!$A$3:$G$15,9,FALSE))*INDIRECT(ADDRESS(MATCH($M17,职业分类属性!$A$1:$A$15,0),MATCH("生命值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生命值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回复力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回复力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武力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武力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防御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防御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智力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智力",职业属性偏向!$B$3:$E$16,14,FALSE),INDIRECT(TEXT($N$1&amp;$N17&amp;"!$B$2:$G$3","")),2,FALSE)/INDIRECT(TEXT($N$1&amp;$N17&amp;"!$H$3","")))*((星级总属性!$L$3)/(星级总属性!$K$3+星级总属性!$L$3)),0)&amp;","&amp;ROUND((VLOOKUP(VALUE(RIGHT(O$1,LEN(O$1)-2)),INDIRECT(TEXT("'"&amp;$L17&amp;"星每级加强属性曲线演算'","")&amp;"!$A$2:$C$100"),3,FALSE)*VLOOKUP($M17,职业分类属性!$A$3:$G$15,9,FALSE))*INDIRECT(ADDRESS(MATCH($M17,职业分类属性!$A$1:$A$15,0),MATCH("法防",职业分类属性!$A$2:$E$2,0),1,1,"职业分类属性"))*((星级总属性!$K$3)/(星级总属性!$K$3+星级总属性!$L$3))+(VLOOKUP(VALUE(RIGHT(O$1,LEN(O$1)-2)),INDIRECT(TEXT("'"&amp;$L17&amp;"星每级加强属性曲线演算'","")&amp;"!$A$2:$C$100"),3,FALSE)*VLOOKUP($M17,职业分类属性!$A$3:$G$15,9,FALSE))*(HLOOKUP(HLOOKUP("法防",职业属性偏向!$B$3:$E$16,14,FALSE),INDIRECT(TEXT($N$1&amp;$N17&amp;"!$B$2:$G$3","")),2,FALSE)/INDIRECT(TEXT($N$1&amp;$N17&amp;"!$H$3","")))*((星级总属性!$L$3)/(星级总属性!$K$3+星级总属性!$L$3)),0)</f>
        <v>#REF!</v>
      </c>
    </row>
    <row r="18" spans="1:15" x14ac:dyDescent="0.25">
      <c r="A18">
        <v>550015</v>
      </c>
      <c r="B18" s="13">
        <v>9</v>
      </c>
      <c r="C18" s="26" t="str">
        <f ca="1">ROUND((VLOOKUP($B18,INDIRECT(TEXT("'"&amp;$L18&amp;"星每级加强属性曲线演算'","")&amp;"!$A$2:$C$100"),3,FALSE)*VLOOKUP($M18,职业分类属性!$A$3:$G$15,7,FALSE))*INDIRECT(ADDRESS(MATCH($M18,职业分类属性!$A$1:$A$15,0),MATCH("生命值",职业分类属性!$A$2:$E$2,0),1,1,"职业分类属性"))*((星级总属性!$K$3)/(星级总属性!$K$3+星级总属性!$L$3))+(VLOOKUP($B18,INDIRECT(TEXT("'"&amp;$L18&amp;"星每级加强属性曲线演算'","")&amp;"!$A$2:$C$100"),3,FALSE)*VLOOKUP($M18,职业分类属性!$A$3:$G$15,7,FALSE))*(HLOOKUP(HLOOKUP("生命值",职业属性偏向!$B$3:$E$16,14,FALSE),INDIRECT(TEXT($N$1&amp;$N18&amp;"!$B$2:$G$3","")),2,FALSE)/INDIRECT(TEXT($N$1&amp;$N18&amp;"!$H$3","")))*((星级总属性!$L$3)/(星级总属性!$K$3+星级总属性!$L$3)),0)&amp;","&amp;ROUND((VLOOKUP($B18,INDIRECT(TEXT("'"&amp;$L18&amp;"星每级加强属性曲线演算'","")&amp;"!$A$2:$C$100"),3,FALSE)*VLOOKUP($M18,职业分类属性!$A$3:$G$15,7,FALSE))*INDIRECT(ADDRESS(MATCH($M18,职业分类属性!$A$1:$A$15,0),MATCH("回复力",职业分类属性!$A$2:$E$2,0),1,1,"职业分类属性"))*((星级总属性!$K$3)/(星级总属性!$K$3+星级总属性!$L$3))+(VLOOKUP($B18,INDIRECT(TEXT("'"&amp;$L18&amp;"星每级加强属性曲线演算'","")&amp;"!$A$2:$C$100"),3,FALSE)*VLOOKUP($M18,职业分类属性!$A$3:$G$15,7,FALSE))*(HLOOKUP(HLOOKUP("回复力",职业属性偏向!$B$3:$E$16,14,FALSE),INDIRECT(TEXT($N$1&amp;$N18&amp;"!$B$2:$G$3","")),2,FALSE)/INDIRECT(TEXT($N$1&amp;$N18&amp;"!$H$3","")))*((星级总属性!$L$3)/(星级总属性!$K$3+星级总属性!$L$3)),0)&amp;","&amp;ROUND((VLOOKUP($B18,INDIRECT(TEXT("'"&amp;$L18&amp;"星每级加强属性曲线演算'","")&amp;"!$A$2:$C$100"),3,FALSE)*VLOOKUP($M18,职业分类属性!$A$3:$G$15,7,FALSE))*INDIRECT(ADDRESS(MATCH($M18,职业分类属性!$A$1:$A$15,0),MATCH("武力",职业分类属性!$A$2:$E$2,0),1,1,"职业分类属性"))*((星级总属性!$K$3)/(星级总属性!$K$3+星级总属性!$L$3))+(VLOOKUP($B18,INDIRECT(TEXT("'"&amp;$L18&amp;"星每级加强属性曲线演算'","")&amp;"!$A$2:$C$100"),3,FALSE)*VLOOKUP($M18,职业分类属性!$A$3:$G$15,7,FALSE))*(HLOOKUP(HLOOKUP("武力",职业属性偏向!$B$3:$E$16,14,FALSE),INDIRECT(TEXT($N$1&amp;$N18&amp;"!$B$2:$G$3","")),2,FALSE)/INDIRECT(TEXT($N$1&amp;$N18&amp;"!$H$3","")))*((星级总属性!$L$3)/(星级总属性!$K$3+星级总属性!$L$3)),0)&amp;","&amp;ROUND((VLOOKUP($B18,INDIRECT(TEXT("'"&amp;$L18&amp;"星每级加强属性曲线演算'","")&amp;"!$A$2:$C$100"),3,FALSE)*VLOOKUP($M18,职业分类属性!$A$3:$G$15,7,FALSE))*INDIRECT(ADDRESS(MATCH($M18,职业分类属性!$A$1:$A$15,0),MATCH("防御",职业分类属性!$A$2:$E$2,0),1,1,"职业分类属性"))*((星级总属性!$K$3)/(星级总属性!$K$3+星级总属性!$L$3))+(VLOOKUP($B18,INDIRECT(TEXT("'"&amp;$L18&amp;"星每级加强属性曲线演算'","")&amp;"!$A$2:$C$100"),3,FALSE)*VLOOKUP($M18,职业分类属性!$A$3:$G$15,7,FALSE))*(HLOOKUP(HLOOKUP("防御",职业属性偏向!$B$3:$E$16,14,FALSE),INDIRECT(TEXT($N$1&amp;$N18&amp;"!$B$2:$G$3","")),2,FALSE)/INDIRECT(TEXT($N$1&amp;$N18&amp;"!$H$3","")))*((星级总属性!$L$3)/(星级总属性!$K$3+星级总属性!$L$3)),0)</f>
        <v>207,46,1018,222</v>
      </c>
      <c r="D18" s="26">
        <v>1016</v>
      </c>
      <c r="E18" s="43" t="str">
        <f>IF(VLOOKUP($B18,进阶要求!$A$2:$C$17,3,FALSE)=0,"",VLOOKUP($B18,进阶要求!$A$2:$C$17,3,FALSE))</f>
        <v>10001,10;10002,11;10003,12;10003,12;10003,14;10003,15</v>
      </c>
      <c r="F18" s="32" t="str">
        <f>IF(VLOOKUP($B18,进阶要求!$A$2:$C$17,2,FALSE)=0,"",VLOOKUP($B18,进阶要求!$A$2:$C$17,2,FALSE))</f>
        <v/>
      </c>
      <c r="G18" s="29"/>
      <c r="L18" s="1">
        <f t="shared" si="0"/>
        <v>5</v>
      </c>
      <c r="M18" s="1" t="str">
        <f t="shared" si="1"/>
        <v>盗贼</v>
      </c>
      <c r="N18" s="1">
        <f t="shared" si="2"/>
        <v>1</v>
      </c>
      <c r="O18" s="26" t="e">
        <f ca="1">ROUND((VLOOKUP(VALUE(RIGHT(O$1,LEN(O$1)-2)),INDIRECT(TEXT("'"&amp;$L18&amp;"星每级加强属性曲线演算'","")&amp;"!$A$2:$C$100"),3,FALSE)*VLOOKUP($M18,职业分类属性!$A$3:$G$15,9,FALSE))*INDIRECT(ADDRESS(MATCH($M18,职业分类属性!$A$1:$A$15,0),MATCH("生命值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生命值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回复力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回复力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武力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武力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防御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防御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智力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智力",职业属性偏向!$B$3:$E$16,14,FALSE),INDIRECT(TEXT($N$1&amp;$N18&amp;"!$B$2:$G$3","")),2,FALSE)/INDIRECT(TEXT($N$1&amp;$N18&amp;"!$H$3","")))*((星级总属性!$L$3)/(星级总属性!$K$3+星级总属性!$L$3)),0)&amp;","&amp;ROUND((VLOOKUP(VALUE(RIGHT(O$1,LEN(O$1)-2)),INDIRECT(TEXT("'"&amp;$L18&amp;"星每级加强属性曲线演算'","")&amp;"!$A$2:$C$100"),3,FALSE)*VLOOKUP($M18,职业分类属性!$A$3:$G$15,9,FALSE))*INDIRECT(ADDRESS(MATCH($M18,职业分类属性!$A$1:$A$15,0),MATCH("法防",职业分类属性!$A$2:$E$2,0),1,1,"职业分类属性"))*((星级总属性!$K$3)/(星级总属性!$K$3+星级总属性!$L$3))+(VLOOKUP(VALUE(RIGHT(O$1,LEN(O$1)-2)),INDIRECT(TEXT("'"&amp;$L18&amp;"星每级加强属性曲线演算'","")&amp;"!$A$2:$C$100"),3,FALSE)*VLOOKUP($M18,职业分类属性!$A$3:$G$15,9,FALSE))*(HLOOKUP(HLOOKUP("法防",职业属性偏向!$B$3:$E$16,14,FALSE),INDIRECT(TEXT($N$1&amp;$N18&amp;"!$B$2:$G$3","")),2,FALSE)/INDIRECT(TEXT($N$1&amp;$N18&amp;"!$H$3","")))*((星级总属性!$L$3)/(星级总属性!$K$3+星级总属性!$L$3)),0)</f>
        <v>#REF!</v>
      </c>
    </row>
    <row r="19" spans="1:15" x14ac:dyDescent="0.25">
      <c r="A19">
        <v>550015</v>
      </c>
      <c r="B19" s="13">
        <f t="shared" ref="B19:B28" si="3">B9</f>
        <v>0</v>
      </c>
      <c r="C19" s="26" t="str">
        <f ca="1">ROUND((VLOOKUP($B19,INDIRECT(TEXT("'"&amp;$L19&amp;"星每级加强属性曲线演算'","")&amp;"!$A$2:$C$100"),3,FALSE)*VLOOKUP($M19,职业分类属性!$A$3:$G$15,7,FALSE))*INDIRECT(ADDRESS(MATCH($M19,职业分类属性!$A$1:$A$15,0),MATCH("生命值",职业分类属性!$A$2:$E$2,0),1,1,"职业分类属性"))*((星级总属性!$K$3)/(星级总属性!$K$3+星级总属性!$L$3))+(VLOOKUP($B19,INDIRECT(TEXT("'"&amp;$L19&amp;"星每级加强属性曲线演算'","")&amp;"!$A$2:$C$100"),3,FALSE)*VLOOKUP($M19,职业分类属性!$A$3:$G$15,7,FALSE))*(HLOOKUP(HLOOKUP("生命值",职业属性偏向!$B$3:$E$16,14,FALSE),INDIRECT(TEXT($N$1&amp;$N19&amp;"!$B$2:$G$3","")),2,FALSE)/INDIRECT(TEXT($N$1&amp;$N19&amp;"!$H$3","")))*((星级总属性!$L$3)/(星级总属性!$K$3+星级总属性!$L$3)),0)&amp;","&amp;ROUND((VLOOKUP($B19,INDIRECT(TEXT("'"&amp;$L19&amp;"星每级加强属性曲线演算'","")&amp;"!$A$2:$C$100"),3,FALSE)*VLOOKUP($M19,职业分类属性!$A$3:$G$15,7,FALSE))*INDIRECT(ADDRESS(MATCH($M19,职业分类属性!$A$1:$A$15,0),MATCH("回复力",职业分类属性!$A$2:$E$2,0),1,1,"职业分类属性"))*((星级总属性!$K$3)/(星级总属性!$K$3+星级总属性!$L$3))+(VLOOKUP($B19,INDIRECT(TEXT("'"&amp;$L19&amp;"星每级加强属性曲线演算'","")&amp;"!$A$2:$C$100"),3,FALSE)*VLOOKUP($M19,职业分类属性!$A$3:$G$15,7,FALSE))*(HLOOKUP(HLOOKUP("回复力",职业属性偏向!$B$3:$E$16,14,FALSE),INDIRECT(TEXT($N$1&amp;$N19&amp;"!$B$2:$G$3","")),2,FALSE)/INDIRECT(TEXT($N$1&amp;$N19&amp;"!$H$3","")))*((星级总属性!$L$3)/(星级总属性!$K$3+星级总属性!$L$3)),0)&amp;","&amp;ROUND((VLOOKUP($B19,INDIRECT(TEXT("'"&amp;$L19&amp;"星每级加强属性曲线演算'","")&amp;"!$A$2:$C$100"),3,FALSE)*VLOOKUP($M19,职业分类属性!$A$3:$G$15,7,FALSE))*INDIRECT(ADDRESS(MATCH($M19,职业分类属性!$A$1:$A$15,0),MATCH("武力",职业分类属性!$A$2:$E$2,0),1,1,"职业分类属性"))*((星级总属性!$K$3)/(星级总属性!$K$3+星级总属性!$L$3))+(VLOOKUP($B19,INDIRECT(TEXT("'"&amp;$L19&amp;"星每级加强属性曲线演算'","")&amp;"!$A$2:$C$100"),3,FALSE)*VLOOKUP($M19,职业分类属性!$A$3:$G$15,7,FALSE))*(HLOOKUP(HLOOKUP("武力",职业属性偏向!$B$3:$E$16,14,FALSE),INDIRECT(TEXT($N$1&amp;$N19&amp;"!$B$2:$G$3","")),2,FALSE)/INDIRECT(TEXT($N$1&amp;$N19&amp;"!$H$3","")))*((星级总属性!$L$3)/(星级总属性!$K$3+星级总属性!$L$3)),0)&amp;","&amp;ROUND((VLOOKUP($B19,INDIRECT(TEXT("'"&amp;$L19&amp;"星每级加强属性曲线演算'","")&amp;"!$A$2:$C$100"),3,FALSE)*VLOOKUP($M19,职业分类属性!$A$3:$G$15,7,FALSE))*INDIRECT(ADDRESS(MATCH($M19,职业分类属性!$A$1:$A$15,0),MATCH("防御",职业分类属性!$A$2:$E$2,0),1,1,"职业分类属性"))*((星级总属性!$K$3)/(星级总属性!$K$3+星级总属性!$L$3))+(VLOOKUP($B19,INDIRECT(TEXT("'"&amp;$L19&amp;"星每级加强属性曲线演算'","")&amp;"!$A$2:$C$100"),3,FALSE)*VLOOKUP($M19,职业分类属性!$A$3:$G$15,7,FALSE))*(HLOOKUP(HLOOKUP("防御",职业属性偏向!$B$3:$E$16,14,FALSE),INDIRECT(TEXT($N$1&amp;$N19&amp;"!$B$2:$G$3","")),2,FALSE)/INDIRECT(TEXT($N$1&amp;$N19&amp;"!$H$3","")))*((星级总属性!$L$3)/(星级总属性!$K$3+星级总属性!$L$3)),0)</f>
        <v>0,0,0,0</v>
      </c>
      <c r="D19" s="26">
        <v>1017</v>
      </c>
      <c r="E19" s="43" t="str">
        <f>IF(VLOOKUP($B19,进阶要求!$A$2:$C$17,3,FALSE)=0,"",VLOOKUP($B19,进阶要求!$A$2:$C$17,3,FALSE))</f>
        <v/>
      </c>
      <c r="F19" s="32" t="str">
        <f>IF(VLOOKUP($B19,进阶要求!$A$2:$C$17,2,FALSE)=0,"",VLOOKUP($B19,进阶要求!$A$2:$C$17,2,FALSE))</f>
        <v/>
      </c>
      <c r="G19" s="29">
        <v>0</v>
      </c>
      <c r="H19" s="27">
        <v>855013</v>
      </c>
      <c r="I19" s="27" t="s">
        <v>93</v>
      </c>
      <c r="L19" s="2">
        <v>4</v>
      </c>
      <c r="M19" s="2" t="s">
        <v>69</v>
      </c>
      <c r="N19" s="2">
        <v>1</v>
      </c>
      <c r="O19" s="26" t="e">
        <f ca="1">ROUND((VLOOKUP(VALUE(RIGHT(O$1,LEN(O$1)-2)),INDIRECT(TEXT("'"&amp;$L19&amp;"星每级加强属性曲线演算'","")&amp;"!$A$2:$C$100"),3,FALSE)*VLOOKUP($M19,职业分类属性!$A$3:$G$15,9,FALSE))*INDIRECT(ADDRESS(MATCH($M19,职业分类属性!$A$1:$A$15,0),MATCH("生命值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生命值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回复力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回复力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武力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武力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防御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防御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智力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智力",职业属性偏向!$B$3:$E$16,14,FALSE),INDIRECT(TEXT($N$1&amp;$N19&amp;"!$B$2:$G$3","")),2,FALSE)/INDIRECT(TEXT($N$1&amp;$N19&amp;"!$H$3","")))*((星级总属性!$L$3)/(星级总属性!$K$3+星级总属性!$L$3)),0)&amp;","&amp;ROUND((VLOOKUP(VALUE(RIGHT(O$1,LEN(O$1)-2)),INDIRECT(TEXT("'"&amp;$L19&amp;"星每级加强属性曲线演算'","")&amp;"!$A$2:$C$100"),3,FALSE)*VLOOKUP($M19,职业分类属性!$A$3:$G$15,9,FALSE))*INDIRECT(ADDRESS(MATCH($M19,职业分类属性!$A$1:$A$15,0),MATCH("法防",职业分类属性!$A$2:$E$2,0),1,1,"职业分类属性"))*((星级总属性!$K$3)/(星级总属性!$K$3+星级总属性!$L$3))+(VLOOKUP(VALUE(RIGHT(O$1,LEN(O$1)-2)),INDIRECT(TEXT("'"&amp;$L19&amp;"星每级加强属性曲线演算'","")&amp;"!$A$2:$C$100"),3,FALSE)*VLOOKUP($M19,职业分类属性!$A$3:$G$15,9,FALSE))*(HLOOKUP(HLOOKUP("法防",职业属性偏向!$B$3:$E$16,14,FALSE),INDIRECT(TEXT($N$1&amp;$N19&amp;"!$B$2:$G$3","")),2,FALSE)/INDIRECT(TEXT($N$1&amp;$N19&amp;"!$H$3","")))*((星级总属性!$L$3)/(星级总属性!$K$3+星级总属性!$L$3)),0)</f>
        <v>#REF!</v>
      </c>
    </row>
    <row r="20" spans="1:15" x14ac:dyDescent="0.25">
      <c r="A20">
        <v>550015</v>
      </c>
      <c r="B20" s="13">
        <f t="shared" si="3"/>
        <v>1</v>
      </c>
      <c r="C20" s="26" t="str">
        <f ca="1">ROUND((VLOOKUP($B20,INDIRECT(TEXT("'"&amp;$L20&amp;"星每级加强属性曲线演算'","")&amp;"!$A$2:$C$100"),3,FALSE)*VLOOKUP($M20,职业分类属性!$A$3:$G$15,7,FALSE))*INDIRECT(ADDRESS(MATCH($M20,职业分类属性!$A$1:$A$15,0),MATCH("生命值",职业分类属性!$A$2:$E$2,0),1,1,"职业分类属性"))*((星级总属性!$K$3)/(星级总属性!$K$3+星级总属性!$L$3))+(VLOOKUP($B20,INDIRECT(TEXT("'"&amp;$L20&amp;"星每级加强属性曲线演算'","")&amp;"!$A$2:$C$100"),3,FALSE)*VLOOKUP($M20,职业分类属性!$A$3:$G$15,7,FALSE))*(HLOOKUP(HLOOKUP("生命值",职业属性偏向!$B$3:$E$16,14,FALSE),INDIRECT(TEXT($N$1&amp;$N20&amp;"!$B$2:$G$3","")),2,FALSE)/INDIRECT(TEXT($N$1&amp;$N20&amp;"!$H$3","")))*((星级总属性!$L$3)/(星级总属性!$K$3+星级总属性!$L$3)),0)&amp;","&amp;ROUND((VLOOKUP($B20,INDIRECT(TEXT("'"&amp;$L20&amp;"星每级加强属性曲线演算'","")&amp;"!$A$2:$C$100"),3,FALSE)*VLOOKUP($M20,职业分类属性!$A$3:$G$15,7,FALSE))*INDIRECT(ADDRESS(MATCH($M20,职业分类属性!$A$1:$A$15,0),MATCH("回复力",职业分类属性!$A$2:$E$2,0),1,1,"职业分类属性"))*((星级总属性!$K$3)/(星级总属性!$K$3+星级总属性!$L$3))+(VLOOKUP($B20,INDIRECT(TEXT("'"&amp;$L20&amp;"星每级加强属性曲线演算'","")&amp;"!$A$2:$C$100"),3,FALSE)*VLOOKUP($M20,职业分类属性!$A$3:$G$15,7,FALSE))*(HLOOKUP(HLOOKUP("回复力",职业属性偏向!$B$3:$E$16,14,FALSE),INDIRECT(TEXT($N$1&amp;$N20&amp;"!$B$2:$G$3","")),2,FALSE)/INDIRECT(TEXT($N$1&amp;$N20&amp;"!$H$3","")))*((星级总属性!$L$3)/(星级总属性!$K$3+星级总属性!$L$3)),0)&amp;","&amp;ROUND((VLOOKUP($B20,INDIRECT(TEXT("'"&amp;$L20&amp;"星每级加强属性曲线演算'","")&amp;"!$A$2:$C$100"),3,FALSE)*VLOOKUP($M20,职业分类属性!$A$3:$G$15,7,FALSE))*INDIRECT(ADDRESS(MATCH($M20,职业分类属性!$A$1:$A$15,0),MATCH("武力",职业分类属性!$A$2:$E$2,0),1,1,"职业分类属性"))*((星级总属性!$K$3)/(星级总属性!$K$3+星级总属性!$L$3))+(VLOOKUP($B20,INDIRECT(TEXT("'"&amp;$L20&amp;"星每级加强属性曲线演算'","")&amp;"!$A$2:$C$100"),3,FALSE)*VLOOKUP($M20,职业分类属性!$A$3:$G$15,7,FALSE))*(HLOOKUP(HLOOKUP("武力",职业属性偏向!$B$3:$E$16,14,FALSE),INDIRECT(TEXT($N$1&amp;$N20&amp;"!$B$2:$G$3","")),2,FALSE)/INDIRECT(TEXT($N$1&amp;$N20&amp;"!$H$3","")))*((星级总属性!$L$3)/(星级总属性!$K$3+星级总属性!$L$3)),0)&amp;","&amp;ROUND((VLOOKUP($B20,INDIRECT(TEXT("'"&amp;$L20&amp;"星每级加强属性曲线演算'","")&amp;"!$A$2:$C$100"),3,FALSE)*VLOOKUP($M20,职业分类属性!$A$3:$G$15,7,FALSE))*INDIRECT(ADDRESS(MATCH($M20,职业分类属性!$A$1:$A$15,0),MATCH("防御",职业分类属性!$A$2:$E$2,0),1,1,"职业分类属性"))*((星级总属性!$K$3)/(星级总属性!$K$3+星级总属性!$L$3))+(VLOOKUP($B20,INDIRECT(TEXT("'"&amp;$L20&amp;"星每级加强属性曲线演算'","")&amp;"!$A$2:$C$100"),3,FALSE)*VLOOKUP($M20,职业分类属性!$A$3:$G$15,7,FALSE))*(HLOOKUP(HLOOKUP("防御",职业属性偏向!$B$3:$E$16,14,FALSE),INDIRECT(TEXT($N$1&amp;$N20&amp;"!$B$2:$G$3","")),2,FALSE)/INDIRECT(TEXT($N$1&amp;$N20&amp;"!$H$3","")))*((星级总属性!$L$3)/(星级总属性!$K$3+星级总属性!$L$3)),0)</f>
        <v>9,6,68,7</v>
      </c>
      <c r="D20" s="26">
        <v>1018</v>
      </c>
      <c r="E20" s="43" t="str">
        <f>IF(VLOOKUP($B20,进阶要求!$A$2:$C$17,3,FALSE)=0,"",VLOOKUP($B20,进阶要求!$A$2:$C$17,3,FALSE))</f>
        <v>10001,10;10002,11</v>
      </c>
      <c r="F20" s="32">
        <f>IF(VLOOKUP($B20,进阶要求!$A$2:$C$17,2,FALSE)=0,"",VLOOKUP($B20,进阶要求!$A$2:$C$17,2,FALSE))</f>
        <v>5</v>
      </c>
      <c r="G20" s="29"/>
      <c r="L20" s="2">
        <f t="shared" ref="L20:L28" si="4">L19</f>
        <v>4</v>
      </c>
      <c r="M20" s="2" t="str">
        <f t="shared" ref="M20:M28" si="5">M19</f>
        <v>法师</v>
      </c>
      <c r="N20" s="2">
        <f t="shared" ref="N20:N28" si="6">N19</f>
        <v>1</v>
      </c>
      <c r="O20" s="26" t="e">
        <f ca="1">ROUND((VLOOKUP(VALUE(RIGHT(O$1,LEN(O$1)-2)),INDIRECT(TEXT("'"&amp;$L20&amp;"星每级加强属性曲线演算'","")&amp;"!$A$2:$C$100"),3,FALSE)*VLOOKUP($M20,职业分类属性!$A$3:$G$15,9,FALSE))*INDIRECT(ADDRESS(MATCH($M20,职业分类属性!$A$1:$A$15,0),MATCH("生命值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生命值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回复力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回复力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武力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武力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防御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防御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智力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智力",职业属性偏向!$B$3:$E$16,14,FALSE),INDIRECT(TEXT($N$1&amp;$N20&amp;"!$B$2:$G$3","")),2,FALSE)/INDIRECT(TEXT($N$1&amp;$N20&amp;"!$H$3","")))*((星级总属性!$L$3)/(星级总属性!$K$3+星级总属性!$L$3)),0)&amp;","&amp;ROUND((VLOOKUP(VALUE(RIGHT(O$1,LEN(O$1)-2)),INDIRECT(TEXT("'"&amp;$L20&amp;"星每级加强属性曲线演算'","")&amp;"!$A$2:$C$100"),3,FALSE)*VLOOKUP($M20,职业分类属性!$A$3:$G$15,9,FALSE))*INDIRECT(ADDRESS(MATCH($M20,职业分类属性!$A$1:$A$15,0),MATCH("法防",职业分类属性!$A$2:$E$2,0),1,1,"职业分类属性"))*((星级总属性!$K$3)/(星级总属性!$K$3+星级总属性!$L$3))+(VLOOKUP(VALUE(RIGHT(O$1,LEN(O$1)-2)),INDIRECT(TEXT("'"&amp;$L20&amp;"星每级加强属性曲线演算'","")&amp;"!$A$2:$C$100"),3,FALSE)*VLOOKUP($M20,职业分类属性!$A$3:$G$15,9,FALSE))*(HLOOKUP(HLOOKUP("法防",职业属性偏向!$B$3:$E$16,14,FALSE),INDIRECT(TEXT($N$1&amp;$N20&amp;"!$B$2:$G$3","")),2,FALSE)/INDIRECT(TEXT($N$1&amp;$N20&amp;"!$H$3","")))*((星级总属性!$L$3)/(星级总属性!$K$3+星级总属性!$L$3)),0)</f>
        <v>#REF!</v>
      </c>
    </row>
    <row r="21" spans="1:15" x14ac:dyDescent="0.25">
      <c r="A21">
        <v>550015</v>
      </c>
      <c r="B21" s="13">
        <f t="shared" si="3"/>
        <v>2</v>
      </c>
      <c r="C21" s="26" t="str">
        <f ca="1">ROUND((VLOOKUP($B21,INDIRECT(TEXT("'"&amp;$L21&amp;"星每级加强属性曲线演算'","")&amp;"!$A$2:$C$100"),3,FALSE)*VLOOKUP($M21,职业分类属性!$A$3:$G$15,7,FALSE))*INDIRECT(ADDRESS(MATCH($M21,职业分类属性!$A$1:$A$15,0),MATCH("生命值",职业分类属性!$A$2:$E$2,0),1,1,"职业分类属性"))*((星级总属性!$K$3)/(星级总属性!$K$3+星级总属性!$L$3))+(VLOOKUP($B21,INDIRECT(TEXT("'"&amp;$L21&amp;"星每级加强属性曲线演算'","")&amp;"!$A$2:$C$100"),3,FALSE)*VLOOKUP($M21,职业分类属性!$A$3:$G$15,7,FALSE))*(HLOOKUP(HLOOKUP("生命值",职业属性偏向!$B$3:$E$16,14,FALSE),INDIRECT(TEXT($N$1&amp;$N21&amp;"!$B$2:$G$3","")),2,FALSE)/INDIRECT(TEXT($N$1&amp;$N21&amp;"!$H$3","")))*((星级总属性!$L$3)/(星级总属性!$K$3+星级总属性!$L$3)),0)&amp;","&amp;ROUND((VLOOKUP($B21,INDIRECT(TEXT("'"&amp;$L21&amp;"星每级加强属性曲线演算'","")&amp;"!$A$2:$C$100"),3,FALSE)*VLOOKUP($M21,职业分类属性!$A$3:$G$15,7,FALSE))*INDIRECT(ADDRESS(MATCH($M21,职业分类属性!$A$1:$A$15,0),MATCH("回复力",职业分类属性!$A$2:$E$2,0),1,1,"职业分类属性"))*((星级总属性!$K$3)/(星级总属性!$K$3+星级总属性!$L$3))+(VLOOKUP($B21,INDIRECT(TEXT("'"&amp;$L21&amp;"星每级加强属性曲线演算'","")&amp;"!$A$2:$C$100"),3,FALSE)*VLOOKUP($M21,职业分类属性!$A$3:$G$15,7,FALSE))*(HLOOKUP(HLOOKUP("回复力",职业属性偏向!$B$3:$E$16,14,FALSE),INDIRECT(TEXT($N$1&amp;$N21&amp;"!$B$2:$G$3","")),2,FALSE)/INDIRECT(TEXT($N$1&amp;$N21&amp;"!$H$3","")))*((星级总属性!$L$3)/(星级总属性!$K$3+星级总属性!$L$3)),0)&amp;","&amp;ROUND((VLOOKUP($B21,INDIRECT(TEXT("'"&amp;$L21&amp;"星每级加强属性曲线演算'","")&amp;"!$A$2:$C$100"),3,FALSE)*VLOOKUP($M21,职业分类属性!$A$3:$G$15,7,FALSE))*INDIRECT(ADDRESS(MATCH($M21,职业分类属性!$A$1:$A$15,0),MATCH("武力",职业分类属性!$A$2:$E$2,0),1,1,"职业分类属性"))*((星级总属性!$K$3)/(星级总属性!$K$3+星级总属性!$L$3))+(VLOOKUP($B21,INDIRECT(TEXT("'"&amp;$L21&amp;"星每级加强属性曲线演算'","")&amp;"!$A$2:$C$100"),3,FALSE)*VLOOKUP($M21,职业分类属性!$A$3:$G$15,7,FALSE))*(HLOOKUP(HLOOKUP("武力",职业属性偏向!$B$3:$E$16,14,FALSE),INDIRECT(TEXT($N$1&amp;$N21&amp;"!$B$2:$G$3","")),2,FALSE)/INDIRECT(TEXT($N$1&amp;$N21&amp;"!$H$3","")))*((星级总属性!$L$3)/(星级总属性!$K$3+星级总属性!$L$3)),0)&amp;","&amp;ROUND((VLOOKUP($B21,INDIRECT(TEXT("'"&amp;$L21&amp;"星每级加强属性曲线演算'","")&amp;"!$A$2:$C$100"),3,FALSE)*VLOOKUP($M21,职业分类属性!$A$3:$G$15,7,FALSE))*INDIRECT(ADDRESS(MATCH($M21,职业分类属性!$A$1:$A$15,0),MATCH("防御",职业分类属性!$A$2:$E$2,0),1,1,"职业分类属性"))*((星级总属性!$K$3)/(星级总属性!$K$3+星级总属性!$L$3))+(VLOOKUP($B21,INDIRECT(TEXT("'"&amp;$L21&amp;"星每级加强属性曲线演算'","")&amp;"!$A$2:$C$100"),3,FALSE)*VLOOKUP($M21,职业分类属性!$A$3:$G$15,7,FALSE))*(HLOOKUP(HLOOKUP("防御",职业属性偏向!$B$3:$E$16,14,FALSE),INDIRECT(TEXT($N$1&amp;$N21&amp;"!$B$2:$G$3","")),2,FALSE)/INDIRECT(TEXT($N$1&amp;$N21&amp;"!$H$3","")))*((星级总属性!$L$3)/(星级总属性!$K$3+星级总属性!$L$3)),0)</f>
        <v>17,11,136,13</v>
      </c>
      <c r="D21" s="26">
        <v>1019</v>
      </c>
      <c r="E21" s="43" t="str">
        <f>IF(VLOOKUP($B21,进阶要求!$A$2:$C$17,3,FALSE)=0,"",VLOOKUP($B21,进阶要求!$A$2:$C$17,3,FALSE))</f>
        <v>10001,10;10002,11;10003,12</v>
      </c>
      <c r="F21" s="32" t="str">
        <f>IF(VLOOKUP($B21,进阶要求!$A$2:$C$17,2,FALSE)=0,"",VLOOKUP($B21,进阶要求!$A$2:$C$17,2,FALSE))</f>
        <v/>
      </c>
      <c r="G21" s="29">
        <v>1</v>
      </c>
      <c r="H21" s="27">
        <v>855016</v>
      </c>
      <c r="I21" s="27" t="s">
        <v>93</v>
      </c>
      <c r="L21" s="2">
        <f t="shared" si="4"/>
        <v>4</v>
      </c>
      <c r="M21" s="2" t="str">
        <f t="shared" si="5"/>
        <v>法师</v>
      </c>
      <c r="N21" s="2">
        <f t="shared" si="6"/>
        <v>1</v>
      </c>
      <c r="O21" s="26" t="e">
        <f ca="1">ROUND((VLOOKUP(VALUE(RIGHT(O$1,LEN(O$1)-2)),INDIRECT(TEXT("'"&amp;$L21&amp;"星每级加强属性曲线演算'","")&amp;"!$A$2:$C$100"),3,FALSE)*VLOOKUP($M21,职业分类属性!$A$3:$G$15,9,FALSE))*INDIRECT(ADDRESS(MATCH($M21,职业分类属性!$A$1:$A$15,0),MATCH("生命值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生命值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回复力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回复力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武力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武力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防御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防御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智力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智力",职业属性偏向!$B$3:$E$16,14,FALSE),INDIRECT(TEXT($N$1&amp;$N21&amp;"!$B$2:$G$3","")),2,FALSE)/INDIRECT(TEXT($N$1&amp;$N21&amp;"!$H$3","")))*((星级总属性!$L$3)/(星级总属性!$K$3+星级总属性!$L$3)),0)&amp;","&amp;ROUND((VLOOKUP(VALUE(RIGHT(O$1,LEN(O$1)-2)),INDIRECT(TEXT("'"&amp;$L21&amp;"星每级加强属性曲线演算'","")&amp;"!$A$2:$C$100"),3,FALSE)*VLOOKUP($M21,职业分类属性!$A$3:$G$15,9,FALSE))*INDIRECT(ADDRESS(MATCH($M21,职业分类属性!$A$1:$A$15,0),MATCH("法防",职业分类属性!$A$2:$E$2,0),1,1,"职业分类属性"))*((星级总属性!$K$3)/(星级总属性!$K$3+星级总属性!$L$3))+(VLOOKUP(VALUE(RIGHT(O$1,LEN(O$1)-2)),INDIRECT(TEXT("'"&amp;$L21&amp;"星每级加强属性曲线演算'","")&amp;"!$A$2:$C$100"),3,FALSE)*VLOOKUP($M21,职业分类属性!$A$3:$G$15,9,FALSE))*(HLOOKUP(HLOOKUP("法防",职业属性偏向!$B$3:$E$16,14,FALSE),INDIRECT(TEXT($N$1&amp;$N21&amp;"!$B$2:$G$3","")),2,FALSE)/INDIRECT(TEXT($N$1&amp;$N21&amp;"!$H$3","")))*((星级总属性!$L$3)/(星级总属性!$K$3+星级总属性!$L$3)),0)</f>
        <v>#REF!</v>
      </c>
    </row>
    <row r="22" spans="1:15" x14ac:dyDescent="0.25">
      <c r="A22">
        <v>550015</v>
      </c>
      <c r="B22" s="13">
        <f t="shared" si="3"/>
        <v>3</v>
      </c>
      <c r="C22" s="26" t="str">
        <f ca="1">ROUND((VLOOKUP($B22,INDIRECT(TEXT("'"&amp;$L22&amp;"星每级加强属性曲线演算'","")&amp;"!$A$2:$C$100"),3,FALSE)*VLOOKUP($M22,职业分类属性!$A$3:$G$15,7,FALSE))*INDIRECT(ADDRESS(MATCH($M22,职业分类属性!$A$1:$A$15,0),MATCH("生命值",职业分类属性!$A$2:$E$2,0),1,1,"职业分类属性"))*((星级总属性!$K$3)/(星级总属性!$K$3+星级总属性!$L$3))+(VLOOKUP($B22,INDIRECT(TEXT("'"&amp;$L22&amp;"星每级加强属性曲线演算'","")&amp;"!$A$2:$C$100"),3,FALSE)*VLOOKUP($M22,职业分类属性!$A$3:$G$15,7,FALSE))*(HLOOKUP(HLOOKUP("生命值",职业属性偏向!$B$3:$E$16,14,FALSE),INDIRECT(TEXT($N$1&amp;$N22&amp;"!$B$2:$G$3","")),2,FALSE)/INDIRECT(TEXT($N$1&amp;$N22&amp;"!$H$3","")))*((星级总属性!$L$3)/(星级总属性!$K$3+星级总属性!$L$3)),0)&amp;","&amp;ROUND((VLOOKUP($B22,INDIRECT(TEXT("'"&amp;$L22&amp;"星每级加强属性曲线演算'","")&amp;"!$A$2:$C$100"),3,FALSE)*VLOOKUP($M22,职业分类属性!$A$3:$G$15,7,FALSE))*INDIRECT(ADDRESS(MATCH($M22,职业分类属性!$A$1:$A$15,0),MATCH("回复力",职业分类属性!$A$2:$E$2,0),1,1,"职业分类属性"))*((星级总属性!$K$3)/(星级总属性!$K$3+星级总属性!$L$3))+(VLOOKUP($B22,INDIRECT(TEXT("'"&amp;$L22&amp;"星每级加强属性曲线演算'","")&amp;"!$A$2:$C$100"),3,FALSE)*VLOOKUP($M22,职业分类属性!$A$3:$G$15,7,FALSE))*(HLOOKUP(HLOOKUP("回复力",职业属性偏向!$B$3:$E$16,14,FALSE),INDIRECT(TEXT($N$1&amp;$N22&amp;"!$B$2:$G$3","")),2,FALSE)/INDIRECT(TEXT($N$1&amp;$N22&amp;"!$H$3","")))*((星级总属性!$L$3)/(星级总属性!$K$3+星级总属性!$L$3)),0)&amp;","&amp;ROUND((VLOOKUP($B22,INDIRECT(TEXT("'"&amp;$L22&amp;"星每级加强属性曲线演算'","")&amp;"!$A$2:$C$100"),3,FALSE)*VLOOKUP($M22,职业分类属性!$A$3:$G$15,7,FALSE))*INDIRECT(ADDRESS(MATCH($M22,职业分类属性!$A$1:$A$15,0),MATCH("武力",职业分类属性!$A$2:$E$2,0),1,1,"职业分类属性"))*((星级总属性!$K$3)/(星级总属性!$K$3+星级总属性!$L$3))+(VLOOKUP($B22,INDIRECT(TEXT("'"&amp;$L22&amp;"星每级加强属性曲线演算'","")&amp;"!$A$2:$C$100"),3,FALSE)*VLOOKUP($M22,职业分类属性!$A$3:$G$15,7,FALSE))*(HLOOKUP(HLOOKUP("武力",职业属性偏向!$B$3:$E$16,14,FALSE),INDIRECT(TEXT($N$1&amp;$N22&amp;"!$B$2:$G$3","")),2,FALSE)/INDIRECT(TEXT($N$1&amp;$N22&amp;"!$H$3","")))*((星级总属性!$L$3)/(星级总属性!$K$3+星级总属性!$L$3)),0)&amp;","&amp;ROUND((VLOOKUP($B22,INDIRECT(TEXT("'"&amp;$L22&amp;"星每级加强属性曲线演算'","")&amp;"!$A$2:$C$100"),3,FALSE)*VLOOKUP($M22,职业分类属性!$A$3:$G$15,7,FALSE))*INDIRECT(ADDRESS(MATCH($M22,职业分类属性!$A$1:$A$15,0),MATCH("防御",职业分类属性!$A$2:$E$2,0),1,1,"职业分类属性"))*((星级总属性!$K$3)/(星级总属性!$K$3+星级总属性!$L$3))+(VLOOKUP($B22,INDIRECT(TEXT("'"&amp;$L22&amp;"星每级加强属性曲线演算'","")&amp;"!$A$2:$C$100"),3,FALSE)*VLOOKUP($M22,职业分类属性!$A$3:$G$15,7,FALSE))*(HLOOKUP(HLOOKUP("防御",职业属性偏向!$B$3:$E$16,14,FALSE),INDIRECT(TEXT($N$1&amp;$N22&amp;"!$B$2:$G$3","")),2,FALSE)/INDIRECT(TEXT($N$1&amp;$N22&amp;"!$H$3","")))*((星级总属性!$L$3)/(星级总属性!$K$3+星级总属性!$L$3)),0)</f>
        <v>26,17,205,20</v>
      </c>
      <c r="D22" s="26">
        <v>1020</v>
      </c>
      <c r="E22" s="43" t="str">
        <f>IF(VLOOKUP($B22,进阶要求!$A$2:$C$17,3,FALSE)=0,"",VLOOKUP($B22,进阶要求!$A$2:$C$17,3,FALSE))</f>
        <v>10001,10;10002,11;10003,12;10003,13</v>
      </c>
      <c r="F22" s="32" t="str">
        <f>IF(VLOOKUP($B22,进阶要求!$A$2:$C$17,2,FALSE)=0,"",VLOOKUP($B22,进阶要求!$A$2:$C$17,2,FALSE))</f>
        <v/>
      </c>
      <c r="G22" s="29"/>
      <c r="L22" s="1">
        <f t="shared" si="4"/>
        <v>4</v>
      </c>
      <c r="M22" s="1" t="str">
        <f t="shared" si="5"/>
        <v>法师</v>
      </c>
      <c r="N22" s="1">
        <f t="shared" si="6"/>
        <v>1</v>
      </c>
      <c r="O22" s="26" t="e">
        <f ca="1">ROUND((VLOOKUP(VALUE(RIGHT(O$1,LEN(O$1)-2)),INDIRECT(TEXT("'"&amp;$L22&amp;"星每级加强属性曲线演算'","")&amp;"!$A$2:$C$100"),3,FALSE)*VLOOKUP($M22,职业分类属性!$A$3:$G$15,9,FALSE))*INDIRECT(ADDRESS(MATCH($M22,职业分类属性!$A$1:$A$15,0),MATCH("生命值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生命值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回复力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回复力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武力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武力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防御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防御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智力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智力",职业属性偏向!$B$3:$E$16,14,FALSE),INDIRECT(TEXT($N$1&amp;$N22&amp;"!$B$2:$G$3","")),2,FALSE)/INDIRECT(TEXT($N$1&amp;$N22&amp;"!$H$3","")))*((星级总属性!$L$3)/(星级总属性!$K$3+星级总属性!$L$3)),0)&amp;","&amp;ROUND((VLOOKUP(VALUE(RIGHT(O$1,LEN(O$1)-2)),INDIRECT(TEXT("'"&amp;$L22&amp;"星每级加强属性曲线演算'","")&amp;"!$A$2:$C$100"),3,FALSE)*VLOOKUP($M22,职业分类属性!$A$3:$G$15,9,FALSE))*INDIRECT(ADDRESS(MATCH($M22,职业分类属性!$A$1:$A$15,0),MATCH("法防",职业分类属性!$A$2:$E$2,0),1,1,"职业分类属性"))*((星级总属性!$K$3)/(星级总属性!$K$3+星级总属性!$L$3))+(VLOOKUP(VALUE(RIGHT(O$1,LEN(O$1)-2)),INDIRECT(TEXT("'"&amp;$L22&amp;"星每级加强属性曲线演算'","")&amp;"!$A$2:$C$100"),3,FALSE)*VLOOKUP($M22,职业分类属性!$A$3:$G$15,9,FALSE))*(HLOOKUP(HLOOKUP("法防",职业属性偏向!$B$3:$E$16,14,FALSE),INDIRECT(TEXT($N$1&amp;$N22&amp;"!$B$2:$G$3","")),2,FALSE)/INDIRECT(TEXT($N$1&amp;$N22&amp;"!$H$3","")))*((星级总属性!$L$3)/(星级总属性!$K$3+星级总属性!$L$3)),0)</f>
        <v>#REF!</v>
      </c>
    </row>
    <row r="23" spans="1:15" x14ac:dyDescent="0.25">
      <c r="A23">
        <v>550015</v>
      </c>
      <c r="B23" s="13">
        <f t="shared" si="3"/>
        <v>4</v>
      </c>
      <c r="C23" s="26" t="str">
        <f ca="1">ROUND((VLOOKUP($B23,INDIRECT(TEXT("'"&amp;$L23&amp;"星每级加强属性曲线演算'","")&amp;"!$A$2:$C$100"),3,FALSE)*VLOOKUP($M23,职业分类属性!$A$3:$G$15,7,FALSE))*INDIRECT(ADDRESS(MATCH($M23,职业分类属性!$A$1:$A$15,0),MATCH("生命值",职业分类属性!$A$2:$E$2,0),1,1,"职业分类属性"))*((星级总属性!$K$3)/(星级总属性!$K$3+星级总属性!$L$3))+(VLOOKUP($B23,INDIRECT(TEXT("'"&amp;$L23&amp;"星每级加强属性曲线演算'","")&amp;"!$A$2:$C$100"),3,FALSE)*VLOOKUP($M23,职业分类属性!$A$3:$G$15,7,FALSE))*(HLOOKUP(HLOOKUP("生命值",职业属性偏向!$B$3:$E$16,14,FALSE),INDIRECT(TEXT($N$1&amp;$N23&amp;"!$B$2:$G$3","")),2,FALSE)/INDIRECT(TEXT($N$1&amp;$N23&amp;"!$H$3","")))*((星级总属性!$L$3)/(星级总属性!$K$3+星级总属性!$L$3)),0)&amp;","&amp;ROUND((VLOOKUP($B23,INDIRECT(TEXT("'"&amp;$L23&amp;"星每级加强属性曲线演算'","")&amp;"!$A$2:$C$100"),3,FALSE)*VLOOKUP($M23,职业分类属性!$A$3:$G$15,7,FALSE))*INDIRECT(ADDRESS(MATCH($M23,职业分类属性!$A$1:$A$15,0),MATCH("回复力",职业分类属性!$A$2:$E$2,0),1,1,"职业分类属性"))*((星级总属性!$K$3)/(星级总属性!$K$3+星级总属性!$L$3))+(VLOOKUP($B23,INDIRECT(TEXT("'"&amp;$L23&amp;"星每级加强属性曲线演算'","")&amp;"!$A$2:$C$100"),3,FALSE)*VLOOKUP($M23,职业分类属性!$A$3:$G$15,7,FALSE))*(HLOOKUP(HLOOKUP("回复力",职业属性偏向!$B$3:$E$16,14,FALSE),INDIRECT(TEXT($N$1&amp;$N23&amp;"!$B$2:$G$3","")),2,FALSE)/INDIRECT(TEXT($N$1&amp;$N23&amp;"!$H$3","")))*((星级总属性!$L$3)/(星级总属性!$K$3+星级总属性!$L$3)),0)&amp;","&amp;ROUND((VLOOKUP($B23,INDIRECT(TEXT("'"&amp;$L23&amp;"星每级加强属性曲线演算'","")&amp;"!$A$2:$C$100"),3,FALSE)*VLOOKUP($M23,职业分类属性!$A$3:$G$15,7,FALSE))*INDIRECT(ADDRESS(MATCH($M23,职业分类属性!$A$1:$A$15,0),MATCH("武力",职业分类属性!$A$2:$E$2,0),1,1,"职业分类属性"))*((星级总属性!$K$3)/(星级总属性!$K$3+星级总属性!$L$3))+(VLOOKUP($B23,INDIRECT(TEXT("'"&amp;$L23&amp;"星每级加强属性曲线演算'","")&amp;"!$A$2:$C$100"),3,FALSE)*VLOOKUP($M23,职业分类属性!$A$3:$G$15,7,FALSE))*(HLOOKUP(HLOOKUP("武力",职业属性偏向!$B$3:$E$16,14,FALSE),INDIRECT(TEXT($N$1&amp;$N23&amp;"!$B$2:$G$3","")),2,FALSE)/INDIRECT(TEXT($N$1&amp;$N23&amp;"!$H$3","")))*((星级总属性!$L$3)/(星级总属性!$K$3+星级总属性!$L$3)),0)&amp;","&amp;ROUND((VLOOKUP($B23,INDIRECT(TEXT("'"&amp;$L23&amp;"星每级加强属性曲线演算'","")&amp;"!$A$2:$C$100"),3,FALSE)*VLOOKUP($M23,职业分类属性!$A$3:$G$15,7,FALSE))*INDIRECT(ADDRESS(MATCH($M23,职业分类属性!$A$1:$A$15,0),MATCH("防御",职业分类属性!$A$2:$E$2,0),1,1,"职业分类属性"))*((星级总属性!$K$3)/(星级总属性!$K$3+星级总属性!$L$3))+(VLOOKUP($B23,INDIRECT(TEXT("'"&amp;$L23&amp;"星每级加强属性曲线演算'","")&amp;"!$A$2:$C$100"),3,FALSE)*VLOOKUP($M23,职业分类属性!$A$3:$G$15,7,FALSE))*(HLOOKUP(HLOOKUP("防御",职业属性偏向!$B$3:$E$16,14,FALSE),INDIRECT(TEXT($N$1&amp;$N23&amp;"!$B$2:$G$3","")),2,FALSE)/INDIRECT(TEXT($N$1&amp;$N23&amp;"!$H$3","")))*((星级总属性!$L$3)/(星级总属性!$K$3+星级总属性!$L$3)),0)</f>
        <v>35,23,273,27</v>
      </c>
      <c r="D23" s="26">
        <v>1021</v>
      </c>
      <c r="E23" s="43" t="str">
        <f>IF(VLOOKUP($B23,进阶要求!$A$2:$C$17,3,FALSE)=0,"",VLOOKUP($B23,进阶要求!$A$2:$C$17,3,FALSE))</f>
        <v>10001,10;10002,11;10003,12;10003,13</v>
      </c>
      <c r="F23" s="32">
        <f>IF(VLOOKUP($B23,进阶要求!$A$2:$C$17,2,FALSE)=0,"",VLOOKUP($B23,进阶要求!$A$2:$C$17,2,FALSE))</f>
        <v>10</v>
      </c>
      <c r="G23" s="29">
        <v>0</v>
      </c>
      <c r="H23" s="27">
        <v>855014</v>
      </c>
      <c r="I23" s="27" t="s">
        <v>93</v>
      </c>
      <c r="L23" s="1">
        <f t="shared" si="4"/>
        <v>4</v>
      </c>
      <c r="M23" s="1" t="str">
        <f t="shared" si="5"/>
        <v>法师</v>
      </c>
      <c r="N23" s="1">
        <f t="shared" si="6"/>
        <v>1</v>
      </c>
      <c r="O23" s="26" t="e">
        <f ca="1">ROUND((VLOOKUP(VALUE(RIGHT(O$1,LEN(O$1)-2)),INDIRECT(TEXT("'"&amp;$L23&amp;"星每级加强属性曲线演算'","")&amp;"!$A$2:$C$100"),3,FALSE)*VLOOKUP($M23,职业分类属性!$A$3:$G$15,9,FALSE))*INDIRECT(ADDRESS(MATCH($M23,职业分类属性!$A$1:$A$15,0),MATCH("生命值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生命值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回复力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回复力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武力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武力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防御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防御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智力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智力",职业属性偏向!$B$3:$E$16,14,FALSE),INDIRECT(TEXT($N$1&amp;$N23&amp;"!$B$2:$G$3","")),2,FALSE)/INDIRECT(TEXT($N$1&amp;$N23&amp;"!$H$3","")))*((星级总属性!$L$3)/(星级总属性!$K$3+星级总属性!$L$3)),0)&amp;","&amp;ROUND((VLOOKUP(VALUE(RIGHT(O$1,LEN(O$1)-2)),INDIRECT(TEXT("'"&amp;$L23&amp;"星每级加强属性曲线演算'","")&amp;"!$A$2:$C$100"),3,FALSE)*VLOOKUP($M23,职业分类属性!$A$3:$G$15,9,FALSE))*INDIRECT(ADDRESS(MATCH($M23,职业分类属性!$A$1:$A$15,0),MATCH("法防",职业分类属性!$A$2:$E$2,0),1,1,"职业分类属性"))*((星级总属性!$K$3)/(星级总属性!$K$3+星级总属性!$L$3))+(VLOOKUP(VALUE(RIGHT(O$1,LEN(O$1)-2)),INDIRECT(TEXT("'"&amp;$L23&amp;"星每级加强属性曲线演算'","")&amp;"!$A$2:$C$100"),3,FALSE)*VLOOKUP($M23,职业分类属性!$A$3:$G$15,9,FALSE))*(HLOOKUP(HLOOKUP("法防",职业属性偏向!$B$3:$E$16,14,FALSE),INDIRECT(TEXT($N$1&amp;$N23&amp;"!$B$2:$G$3","")),2,FALSE)/INDIRECT(TEXT($N$1&amp;$N23&amp;"!$H$3","")))*((星级总属性!$L$3)/(星级总属性!$K$3+星级总属性!$L$3)),0)</f>
        <v>#REF!</v>
      </c>
    </row>
    <row r="24" spans="1:15" x14ac:dyDescent="0.25">
      <c r="A24">
        <v>550015</v>
      </c>
      <c r="B24" s="13">
        <f t="shared" si="3"/>
        <v>5</v>
      </c>
      <c r="C24" s="26" t="str">
        <f ca="1">ROUND((VLOOKUP($B24,INDIRECT(TEXT("'"&amp;$L24&amp;"星每级加强属性曲线演算'","")&amp;"!$A$2:$C$100"),3,FALSE)*VLOOKUP($M24,职业分类属性!$A$3:$G$15,7,FALSE))*INDIRECT(ADDRESS(MATCH($M24,职业分类属性!$A$1:$A$15,0),MATCH("生命值",职业分类属性!$A$2:$E$2,0),1,1,"职业分类属性"))*((星级总属性!$K$3)/(星级总属性!$K$3+星级总属性!$L$3))+(VLOOKUP($B24,INDIRECT(TEXT("'"&amp;$L24&amp;"星每级加强属性曲线演算'","")&amp;"!$A$2:$C$100"),3,FALSE)*VLOOKUP($M24,职业分类属性!$A$3:$G$15,7,FALSE))*(HLOOKUP(HLOOKUP("生命值",职业属性偏向!$B$3:$E$16,14,FALSE),INDIRECT(TEXT($N$1&amp;$N24&amp;"!$B$2:$G$3","")),2,FALSE)/INDIRECT(TEXT($N$1&amp;$N24&amp;"!$H$3","")))*((星级总属性!$L$3)/(星级总属性!$K$3+星级总属性!$L$3)),0)&amp;","&amp;ROUND((VLOOKUP($B24,INDIRECT(TEXT("'"&amp;$L24&amp;"星每级加强属性曲线演算'","")&amp;"!$A$2:$C$100"),3,FALSE)*VLOOKUP($M24,职业分类属性!$A$3:$G$15,7,FALSE))*INDIRECT(ADDRESS(MATCH($M24,职业分类属性!$A$1:$A$15,0),MATCH("回复力",职业分类属性!$A$2:$E$2,0),1,1,"职业分类属性"))*((星级总属性!$K$3)/(星级总属性!$K$3+星级总属性!$L$3))+(VLOOKUP($B24,INDIRECT(TEXT("'"&amp;$L24&amp;"星每级加强属性曲线演算'","")&amp;"!$A$2:$C$100"),3,FALSE)*VLOOKUP($M24,职业分类属性!$A$3:$G$15,7,FALSE))*(HLOOKUP(HLOOKUP("回复力",职业属性偏向!$B$3:$E$16,14,FALSE),INDIRECT(TEXT($N$1&amp;$N24&amp;"!$B$2:$G$3","")),2,FALSE)/INDIRECT(TEXT($N$1&amp;$N24&amp;"!$H$3","")))*((星级总属性!$L$3)/(星级总属性!$K$3+星级总属性!$L$3)),0)&amp;","&amp;ROUND((VLOOKUP($B24,INDIRECT(TEXT("'"&amp;$L24&amp;"星每级加强属性曲线演算'","")&amp;"!$A$2:$C$100"),3,FALSE)*VLOOKUP($M24,职业分类属性!$A$3:$G$15,7,FALSE))*INDIRECT(ADDRESS(MATCH($M24,职业分类属性!$A$1:$A$15,0),MATCH("武力",职业分类属性!$A$2:$E$2,0),1,1,"职业分类属性"))*((星级总属性!$K$3)/(星级总属性!$K$3+星级总属性!$L$3))+(VLOOKUP($B24,INDIRECT(TEXT("'"&amp;$L24&amp;"星每级加强属性曲线演算'","")&amp;"!$A$2:$C$100"),3,FALSE)*VLOOKUP($M24,职业分类属性!$A$3:$G$15,7,FALSE))*(HLOOKUP(HLOOKUP("武力",职业属性偏向!$B$3:$E$16,14,FALSE),INDIRECT(TEXT($N$1&amp;$N24&amp;"!$B$2:$G$3","")),2,FALSE)/INDIRECT(TEXT($N$1&amp;$N24&amp;"!$H$3","")))*((星级总属性!$L$3)/(星级总属性!$K$3+星级总属性!$L$3)),0)&amp;","&amp;ROUND((VLOOKUP($B24,INDIRECT(TEXT("'"&amp;$L24&amp;"星每级加强属性曲线演算'","")&amp;"!$A$2:$C$100"),3,FALSE)*VLOOKUP($M24,职业分类属性!$A$3:$G$15,7,FALSE))*INDIRECT(ADDRESS(MATCH($M24,职业分类属性!$A$1:$A$15,0),MATCH("防御",职业分类属性!$A$2:$E$2,0),1,1,"职业分类属性"))*((星级总属性!$K$3)/(星级总属性!$K$3+星级总属性!$L$3))+(VLOOKUP($B24,INDIRECT(TEXT("'"&amp;$L24&amp;"星每级加强属性曲线演算'","")&amp;"!$A$2:$C$100"),3,FALSE)*VLOOKUP($M24,职业分类属性!$A$3:$G$15,7,FALSE))*(HLOOKUP(HLOOKUP("防御",职业属性偏向!$B$3:$E$16,14,FALSE),INDIRECT(TEXT($N$1&amp;$N24&amp;"!$B$2:$G$3","")),2,FALSE)/INDIRECT(TEXT($N$1&amp;$N24&amp;"!$H$3","")))*((星级总属性!$L$3)/(星级总属性!$K$3+星级总属性!$L$3)),0)</f>
        <v>44,28,341,34</v>
      </c>
      <c r="D24" s="26">
        <v>1022</v>
      </c>
      <c r="E24" s="43" t="str">
        <f>IF(VLOOKUP($B24,进阶要求!$A$2:$C$17,3,FALSE)=0,"",VLOOKUP($B24,进阶要求!$A$2:$C$17,3,FALSE))</f>
        <v>10001,10;10002,11;10003,12;10003,12;10003,14</v>
      </c>
      <c r="F24" s="32" t="str">
        <f>IF(VLOOKUP($B24,进阶要求!$A$2:$C$17,2,FALSE)=0,"",VLOOKUP($B24,进阶要求!$A$2:$C$17,2,FALSE))</f>
        <v/>
      </c>
      <c r="G24" s="29"/>
      <c r="L24" s="1">
        <f t="shared" si="4"/>
        <v>4</v>
      </c>
      <c r="M24" s="1" t="str">
        <f t="shared" si="5"/>
        <v>法师</v>
      </c>
      <c r="N24" s="1">
        <f t="shared" si="6"/>
        <v>1</v>
      </c>
      <c r="O24" s="26" t="e">
        <f ca="1">ROUND((VLOOKUP(VALUE(RIGHT(O$1,LEN(O$1)-2)),INDIRECT(TEXT("'"&amp;$L24&amp;"星每级加强属性曲线演算'","")&amp;"!$A$2:$C$100"),3,FALSE)*VLOOKUP($M24,职业分类属性!$A$3:$G$15,9,FALSE))*INDIRECT(ADDRESS(MATCH($M24,职业分类属性!$A$1:$A$15,0),MATCH("生命值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生命值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回复力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回复力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武力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武力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防御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防御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智力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智力",职业属性偏向!$B$3:$E$16,14,FALSE),INDIRECT(TEXT($N$1&amp;$N24&amp;"!$B$2:$G$3","")),2,FALSE)/INDIRECT(TEXT($N$1&amp;$N24&amp;"!$H$3","")))*((星级总属性!$L$3)/(星级总属性!$K$3+星级总属性!$L$3)),0)&amp;","&amp;ROUND((VLOOKUP(VALUE(RIGHT(O$1,LEN(O$1)-2)),INDIRECT(TEXT("'"&amp;$L24&amp;"星每级加强属性曲线演算'","")&amp;"!$A$2:$C$100"),3,FALSE)*VLOOKUP($M24,职业分类属性!$A$3:$G$15,9,FALSE))*INDIRECT(ADDRESS(MATCH($M24,职业分类属性!$A$1:$A$15,0),MATCH("法防",职业分类属性!$A$2:$E$2,0),1,1,"职业分类属性"))*((星级总属性!$K$3)/(星级总属性!$K$3+星级总属性!$L$3))+(VLOOKUP(VALUE(RIGHT(O$1,LEN(O$1)-2)),INDIRECT(TEXT("'"&amp;$L24&amp;"星每级加强属性曲线演算'","")&amp;"!$A$2:$C$100"),3,FALSE)*VLOOKUP($M24,职业分类属性!$A$3:$G$15,9,FALSE))*(HLOOKUP(HLOOKUP("法防",职业属性偏向!$B$3:$E$16,14,FALSE),INDIRECT(TEXT($N$1&amp;$N24&amp;"!$B$2:$G$3","")),2,FALSE)/INDIRECT(TEXT($N$1&amp;$N24&amp;"!$H$3","")))*((星级总属性!$L$3)/(星级总属性!$K$3+星级总属性!$L$3)),0)</f>
        <v>#REF!</v>
      </c>
    </row>
    <row r="25" spans="1:15" x14ac:dyDescent="0.25">
      <c r="A25">
        <v>550015</v>
      </c>
      <c r="B25" s="13">
        <f t="shared" si="3"/>
        <v>6</v>
      </c>
      <c r="C25" s="26" t="str">
        <f ca="1">ROUND((VLOOKUP($B25,INDIRECT(TEXT("'"&amp;$L25&amp;"星每级加强属性曲线演算'","")&amp;"!$A$2:$C$100"),3,FALSE)*VLOOKUP($M25,职业分类属性!$A$3:$G$15,7,FALSE))*INDIRECT(ADDRESS(MATCH($M25,职业分类属性!$A$1:$A$15,0),MATCH("生命值",职业分类属性!$A$2:$E$2,0),1,1,"职业分类属性"))*((星级总属性!$K$3)/(星级总属性!$K$3+星级总属性!$L$3))+(VLOOKUP($B25,INDIRECT(TEXT("'"&amp;$L25&amp;"星每级加强属性曲线演算'","")&amp;"!$A$2:$C$100"),3,FALSE)*VLOOKUP($M25,职业分类属性!$A$3:$G$15,7,FALSE))*(HLOOKUP(HLOOKUP("生命值",职业属性偏向!$B$3:$E$16,14,FALSE),INDIRECT(TEXT($N$1&amp;$N25&amp;"!$B$2:$G$3","")),2,FALSE)/INDIRECT(TEXT($N$1&amp;$N25&amp;"!$H$3","")))*((星级总属性!$L$3)/(星级总属性!$K$3+星级总属性!$L$3)),0)&amp;","&amp;ROUND((VLOOKUP($B25,INDIRECT(TEXT("'"&amp;$L25&amp;"星每级加强属性曲线演算'","")&amp;"!$A$2:$C$100"),3,FALSE)*VLOOKUP($M25,职业分类属性!$A$3:$G$15,7,FALSE))*INDIRECT(ADDRESS(MATCH($M25,职业分类属性!$A$1:$A$15,0),MATCH("回复力",职业分类属性!$A$2:$E$2,0),1,1,"职业分类属性"))*((星级总属性!$K$3)/(星级总属性!$K$3+星级总属性!$L$3))+(VLOOKUP($B25,INDIRECT(TEXT("'"&amp;$L25&amp;"星每级加强属性曲线演算'","")&amp;"!$A$2:$C$100"),3,FALSE)*VLOOKUP($M25,职业分类属性!$A$3:$G$15,7,FALSE))*(HLOOKUP(HLOOKUP("回复力",职业属性偏向!$B$3:$E$16,14,FALSE),INDIRECT(TEXT($N$1&amp;$N25&amp;"!$B$2:$G$3","")),2,FALSE)/INDIRECT(TEXT($N$1&amp;$N25&amp;"!$H$3","")))*((星级总属性!$L$3)/(星级总属性!$K$3+星级总属性!$L$3)),0)&amp;","&amp;ROUND((VLOOKUP($B25,INDIRECT(TEXT("'"&amp;$L25&amp;"星每级加强属性曲线演算'","")&amp;"!$A$2:$C$100"),3,FALSE)*VLOOKUP($M25,职业分类属性!$A$3:$G$15,7,FALSE))*INDIRECT(ADDRESS(MATCH($M25,职业分类属性!$A$1:$A$15,0),MATCH("武力",职业分类属性!$A$2:$E$2,0),1,1,"职业分类属性"))*((星级总属性!$K$3)/(星级总属性!$K$3+星级总属性!$L$3))+(VLOOKUP($B25,INDIRECT(TEXT("'"&amp;$L25&amp;"星每级加强属性曲线演算'","")&amp;"!$A$2:$C$100"),3,FALSE)*VLOOKUP($M25,职业分类属性!$A$3:$G$15,7,FALSE))*(HLOOKUP(HLOOKUP("武力",职业属性偏向!$B$3:$E$16,14,FALSE),INDIRECT(TEXT($N$1&amp;$N25&amp;"!$B$2:$G$3","")),2,FALSE)/INDIRECT(TEXT($N$1&amp;$N25&amp;"!$H$3","")))*((星级总属性!$L$3)/(星级总属性!$K$3+星级总属性!$L$3)),0)&amp;","&amp;ROUND((VLOOKUP($B25,INDIRECT(TEXT("'"&amp;$L25&amp;"星每级加强属性曲线演算'","")&amp;"!$A$2:$C$100"),3,FALSE)*VLOOKUP($M25,职业分类属性!$A$3:$G$15,7,FALSE))*INDIRECT(ADDRESS(MATCH($M25,职业分类属性!$A$1:$A$15,0),MATCH("防御",职业分类属性!$A$2:$E$2,0),1,1,"职业分类属性"))*((星级总属性!$K$3)/(星级总属性!$K$3+星级总属性!$L$3))+(VLOOKUP($B25,INDIRECT(TEXT("'"&amp;$L25&amp;"星每级加强属性曲线演算'","")&amp;"!$A$2:$C$100"),3,FALSE)*VLOOKUP($M25,职业分类属性!$A$3:$G$15,7,FALSE))*(HLOOKUP(HLOOKUP("防御",职业属性偏向!$B$3:$E$16,14,FALSE),INDIRECT(TEXT($N$1&amp;$N25&amp;"!$B$2:$G$3","")),2,FALSE)/INDIRECT(TEXT($N$1&amp;$N25&amp;"!$H$3","")))*((星级总属性!$L$3)/(星级总属性!$K$3+星级总属性!$L$3)),0)</f>
        <v>52,34,409,40</v>
      </c>
      <c r="D25" s="26">
        <v>1023</v>
      </c>
      <c r="E25" s="43" t="str">
        <f>IF(VLOOKUP($B25,进阶要求!$A$2:$C$17,3,FALSE)=0,"",VLOOKUP($B25,进阶要求!$A$2:$C$17,3,FALSE))</f>
        <v>10001,10;10002,11;10003,12;10003,12;10003,14</v>
      </c>
      <c r="F25" s="32" t="str">
        <f>IF(VLOOKUP($B25,进阶要求!$A$2:$C$17,2,FALSE)=0,"",VLOOKUP($B25,进阶要求!$A$2:$C$17,2,FALSE))</f>
        <v/>
      </c>
      <c r="G25" s="29">
        <v>1</v>
      </c>
      <c r="H25" s="27">
        <v>855017</v>
      </c>
      <c r="I25" s="27" t="s">
        <v>93</v>
      </c>
      <c r="L25" s="1">
        <f t="shared" si="4"/>
        <v>4</v>
      </c>
      <c r="M25" s="1" t="str">
        <f t="shared" si="5"/>
        <v>法师</v>
      </c>
      <c r="N25" s="1">
        <f t="shared" si="6"/>
        <v>1</v>
      </c>
      <c r="O25" s="26" t="e">
        <f ca="1">ROUND((VLOOKUP(VALUE(RIGHT(O$1,LEN(O$1)-2)),INDIRECT(TEXT("'"&amp;$L25&amp;"星每级加强属性曲线演算'","")&amp;"!$A$2:$C$100"),3,FALSE)*VLOOKUP($M25,职业分类属性!$A$3:$G$15,9,FALSE))*INDIRECT(ADDRESS(MATCH($M25,职业分类属性!$A$1:$A$15,0),MATCH("生命值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生命值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回复力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回复力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武力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武力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防御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防御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智力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智力",职业属性偏向!$B$3:$E$16,14,FALSE),INDIRECT(TEXT($N$1&amp;$N25&amp;"!$B$2:$G$3","")),2,FALSE)/INDIRECT(TEXT($N$1&amp;$N25&amp;"!$H$3","")))*((星级总属性!$L$3)/(星级总属性!$K$3+星级总属性!$L$3)),0)&amp;","&amp;ROUND((VLOOKUP(VALUE(RIGHT(O$1,LEN(O$1)-2)),INDIRECT(TEXT("'"&amp;$L25&amp;"星每级加强属性曲线演算'","")&amp;"!$A$2:$C$100"),3,FALSE)*VLOOKUP($M25,职业分类属性!$A$3:$G$15,9,FALSE))*INDIRECT(ADDRESS(MATCH($M25,职业分类属性!$A$1:$A$15,0),MATCH("法防",职业分类属性!$A$2:$E$2,0),1,1,"职业分类属性"))*((星级总属性!$K$3)/(星级总属性!$K$3+星级总属性!$L$3))+(VLOOKUP(VALUE(RIGHT(O$1,LEN(O$1)-2)),INDIRECT(TEXT("'"&amp;$L25&amp;"星每级加强属性曲线演算'","")&amp;"!$A$2:$C$100"),3,FALSE)*VLOOKUP($M25,职业分类属性!$A$3:$G$15,9,FALSE))*(HLOOKUP(HLOOKUP("法防",职业属性偏向!$B$3:$E$16,14,FALSE),INDIRECT(TEXT($N$1&amp;$N25&amp;"!$B$2:$G$3","")),2,FALSE)/INDIRECT(TEXT($N$1&amp;$N25&amp;"!$H$3","")))*((星级总属性!$L$3)/(星级总属性!$K$3+星级总属性!$L$3)),0)</f>
        <v>#REF!</v>
      </c>
    </row>
    <row r="26" spans="1:15" x14ac:dyDescent="0.25">
      <c r="A26">
        <v>550015</v>
      </c>
      <c r="B26" s="13">
        <f t="shared" si="3"/>
        <v>7</v>
      </c>
      <c r="C26" s="26" t="str">
        <f ca="1">ROUND((VLOOKUP($B26,INDIRECT(TEXT("'"&amp;$L26&amp;"星每级加强属性曲线演算'","")&amp;"!$A$2:$C$100"),3,FALSE)*VLOOKUP($M26,职业分类属性!$A$3:$G$15,7,FALSE))*INDIRECT(ADDRESS(MATCH($M26,职业分类属性!$A$1:$A$15,0),MATCH("生命值",职业分类属性!$A$2:$E$2,0),1,1,"职业分类属性"))*((星级总属性!$K$3)/(星级总属性!$K$3+星级总属性!$L$3))+(VLOOKUP($B26,INDIRECT(TEXT("'"&amp;$L26&amp;"星每级加强属性曲线演算'","")&amp;"!$A$2:$C$100"),3,FALSE)*VLOOKUP($M26,职业分类属性!$A$3:$G$15,7,FALSE))*(HLOOKUP(HLOOKUP("生命值",职业属性偏向!$B$3:$E$16,14,FALSE),INDIRECT(TEXT($N$1&amp;$N26&amp;"!$B$2:$G$3","")),2,FALSE)/INDIRECT(TEXT($N$1&amp;$N26&amp;"!$H$3","")))*((星级总属性!$L$3)/(星级总属性!$K$3+星级总属性!$L$3)),0)&amp;","&amp;ROUND((VLOOKUP($B26,INDIRECT(TEXT("'"&amp;$L26&amp;"星每级加强属性曲线演算'","")&amp;"!$A$2:$C$100"),3,FALSE)*VLOOKUP($M26,职业分类属性!$A$3:$G$15,7,FALSE))*INDIRECT(ADDRESS(MATCH($M26,职业分类属性!$A$1:$A$15,0),MATCH("回复力",职业分类属性!$A$2:$E$2,0),1,1,"职业分类属性"))*((星级总属性!$K$3)/(星级总属性!$K$3+星级总属性!$L$3))+(VLOOKUP($B26,INDIRECT(TEXT("'"&amp;$L26&amp;"星每级加强属性曲线演算'","")&amp;"!$A$2:$C$100"),3,FALSE)*VLOOKUP($M26,职业分类属性!$A$3:$G$15,7,FALSE))*(HLOOKUP(HLOOKUP("回复力",职业属性偏向!$B$3:$E$16,14,FALSE),INDIRECT(TEXT($N$1&amp;$N26&amp;"!$B$2:$G$3","")),2,FALSE)/INDIRECT(TEXT($N$1&amp;$N26&amp;"!$H$3","")))*((星级总属性!$L$3)/(星级总属性!$K$3+星级总属性!$L$3)),0)&amp;","&amp;ROUND((VLOOKUP($B26,INDIRECT(TEXT("'"&amp;$L26&amp;"星每级加强属性曲线演算'","")&amp;"!$A$2:$C$100"),3,FALSE)*VLOOKUP($M26,职业分类属性!$A$3:$G$15,7,FALSE))*INDIRECT(ADDRESS(MATCH($M26,职业分类属性!$A$1:$A$15,0),MATCH("武力",职业分类属性!$A$2:$E$2,0),1,1,"职业分类属性"))*((星级总属性!$K$3)/(星级总属性!$K$3+星级总属性!$L$3))+(VLOOKUP($B26,INDIRECT(TEXT("'"&amp;$L26&amp;"星每级加强属性曲线演算'","")&amp;"!$A$2:$C$100"),3,FALSE)*VLOOKUP($M26,职业分类属性!$A$3:$G$15,7,FALSE))*(HLOOKUP(HLOOKUP("武力",职业属性偏向!$B$3:$E$16,14,FALSE),INDIRECT(TEXT($N$1&amp;$N26&amp;"!$B$2:$G$3","")),2,FALSE)/INDIRECT(TEXT($N$1&amp;$N26&amp;"!$H$3","")))*((星级总属性!$L$3)/(星级总属性!$K$3+星级总属性!$L$3)),0)&amp;","&amp;ROUND((VLOOKUP($B26,INDIRECT(TEXT("'"&amp;$L26&amp;"星每级加强属性曲线演算'","")&amp;"!$A$2:$C$100"),3,FALSE)*VLOOKUP($M26,职业分类属性!$A$3:$G$15,7,FALSE))*INDIRECT(ADDRESS(MATCH($M26,职业分类属性!$A$1:$A$15,0),MATCH("防御",职业分类属性!$A$2:$E$2,0),1,1,"职业分类属性"))*((星级总属性!$K$3)/(星级总属性!$K$3+星级总属性!$L$3))+(VLOOKUP($B26,INDIRECT(TEXT("'"&amp;$L26&amp;"星每级加强属性曲线演算'","")&amp;"!$A$2:$C$100"),3,FALSE)*VLOOKUP($M26,职业分类属性!$A$3:$G$15,7,FALSE))*(HLOOKUP(HLOOKUP("防御",职业属性偏向!$B$3:$E$16,14,FALSE),INDIRECT(TEXT($N$1&amp;$N26&amp;"!$B$2:$G$3","")),2,FALSE)/INDIRECT(TEXT($N$1&amp;$N26&amp;"!$H$3","")))*((星级总属性!$L$3)/(星级总属性!$K$3+星级总属性!$L$3)),0)</f>
        <v>61,40,478,47</v>
      </c>
      <c r="D26" s="26">
        <v>1024</v>
      </c>
      <c r="E26" s="43" t="str">
        <f>IF(VLOOKUP($B26,进阶要求!$A$2:$C$17,3,FALSE)=0,"",VLOOKUP($B26,进阶要求!$A$2:$C$17,3,FALSE))</f>
        <v>10001,10;10002,11;10003,12;10003,12;10003,14;10003,15</v>
      </c>
      <c r="F26" s="32">
        <f>IF(VLOOKUP($B26,进阶要求!$A$2:$C$17,2,FALSE)=0,"",VLOOKUP($B26,进阶要求!$A$2:$C$17,2,FALSE))</f>
        <v>20</v>
      </c>
      <c r="G26" s="29"/>
      <c r="L26" s="1">
        <f t="shared" si="4"/>
        <v>4</v>
      </c>
      <c r="M26" s="1" t="str">
        <f t="shared" si="5"/>
        <v>法师</v>
      </c>
      <c r="N26" s="1">
        <f t="shared" si="6"/>
        <v>1</v>
      </c>
      <c r="O26" s="26" t="e">
        <f ca="1">ROUND((VLOOKUP(VALUE(RIGHT(O$1,LEN(O$1)-2)),INDIRECT(TEXT("'"&amp;$L26&amp;"星每级加强属性曲线演算'","")&amp;"!$A$2:$C$100"),3,FALSE)*VLOOKUP($M26,职业分类属性!$A$3:$G$15,9,FALSE))*INDIRECT(ADDRESS(MATCH($M26,职业分类属性!$A$1:$A$15,0),MATCH("生命值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生命值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回复力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回复力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武力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武力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防御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防御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智力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智力",职业属性偏向!$B$3:$E$16,14,FALSE),INDIRECT(TEXT($N$1&amp;$N26&amp;"!$B$2:$G$3","")),2,FALSE)/INDIRECT(TEXT($N$1&amp;$N26&amp;"!$H$3","")))*((星级总属性!$L$3)/(星级总属性!$K$3+星级总属性!$L$3)),0)&amp;","&amp;ROUND((VLOOKUP(VALUE(RIGHT(O$1,LEN(O$1)-2)),INDIRECT(TEXT("'"&amp;$L26&amp;"星每级加强属性曲线演算'","")&amp;"!$A$2:$C$100"),3,FALSE)*VLOOKUP($M26,职业分类属性!$A$3:$G$15,9,FALSE))*INDIRECT(ADDRESS(MATCH($M26,职业分类属性!$A$1:$A$15,0),MATCH("法防",职业分类属性!$A$2:$E$2,0),1,1,"职业分类属性"))*((星级总属性!$K$3)/(星级总属性!$K$3+星级总属性!$L$3))+(VLOOKUP(VALUE(RIGHT(O$1,LEN(O$1)-2)),INDIRECT(TEXT("'"&amp;$L26&amp;"星每级加强属性曲线演算'","")&amp;"!$A$2:$C$100"),3,FALSE)*VLOOKUP($M26,职业分类属性!$A$3:$G$15,9,FALSE))*(HLOOKUP(HLOOKUP("法防",职业属性偏向!$B$3:$E$16,14,FALSE),INDIRECT(TEXT($N$1&amp;$N26&amp;"!$B$2:$G$3","")),2,FALSE)/INDIRECT(TEXT($N$1&amp;$N26&amp;"!$H$3","")))*((星级总属性!$L$3)/(星级总属性!$K$3+星级总属性!$L$3)),0)</f>
        <v>#REF!</v>
      </c>
    </row>
    <row r="27" spans="1:15" x14ac:dyDescent="0.25">
      <c r="A27">
        <v>550015</v>
      </c>
      <c r="B27" s="30">
        <f t="shared" si="3"/>
        <v>8</v>
      </c>
      <c r="C27" s="26" t="str">
        <f ca="1">ROUND((VLOOKUP($B27,INDIRECT(TEXT("'"&amp;$L27&amp;"星每级加强属性曲线演算'","")&amp;"!$A$2:$C$100"),3,FALSE)*VLOOKUP($M27,职业分类属性!$A$3:$G$15,7,FALSE))*INDIRECT(ADDRESS(MATCH($M27,职业分类属性!$A$1:$A$15,0),MATCH("生命值",职业分类属性!$A$2:$E$2,0),1,1,"职业分类属性"))*((星级总属性!$K$3)/(星级总属性!$K$3+星级总属性!$L$3))+(VLOOKUP($B27,INDIRECT(TEXT("'"&amp;$L27&amp;"星每级加强属性曲线演算'","")&amp;"!$A$2:$C$100"),3,FALSE)*VLOOKUP($M27,职业分类属性!$A$3:$G$15,7,FALSE))*(HLOOKUP(HLOOKUP("生命值",职业属性偏向!$B$3:$E$16,14,FALSE),INDIRECT(TEXT($N$1&amp;$N27&amp;"!$B$2:$G$3","")),2,FALSE)/INDIRECT(TEXT($N$1&amp;$N27&amp;"!$H$3","")))*((星级总属性!$L$3)/(星级总属性!$K$3+星级总属性!$L$3)),0)&amp;","&amp;ROUND((VLOOKUP($B27,INDIRECT(TEXT("'"&amp;$L27&amp;"星每级加强属性曲线演算'","")&amp;"!$A$2:$C$100"),3,FALSE)*VLOOKUP($M27,职业分类属性!$A$3:$G$15,7,FALSE))*INDIRECT(ADDRESS(MATCH($M27,职业分类属性!$A$1:$A$15,0),MATCH("回复力",职业分类属性!$A$2:$E$2,0),1,1,"职业分类属性"))*((星级总属性!$K$3)/(星级总属性!$K$3+星级总属性!$L$3))+(VLOOKUP($B27,INDIRECT(TEXT("'"&amp;$L27&amp;"星每级加强属性曲线演算'","")&amp;"!$A$2:$C$100"),3,FALSE)*VLOOKUP($M27,职业分类属性!$A$3:$G$15,7,FALSE))*(HLOOKUP(HLOOKUP("回复力",职业属性偏向!$B$3:$E$16,14,FALSE),INDIRECT(TEXT($N$1&amp;$N27&amp;"!$B$2:$G$3","")),2,FALSE)/INDIRECT(TEXT($N$1&amp;$N27&amp;"!$H$3","")))*((星级总属性!$L$3)/(星级总属性!$K$3+星级总属性!$L$3)),0)&amp;","&amp;ROUND((VLOOKUP($B27,INDIRECT(TEXT("'"&amp;$L27&amp;"星每级加强属性曲线演算'","")&amp;"!$A$2:$C$100"),3,FALSE)*VLOOKUP($M27,职业分类属性!$A$3:$G$15,7,FALSE))*INDIRECT(ADDRESS(MATCH($M27,职业分类属性!$A$1:$A$15,0),MATCH("武力",职业分类属性!$A$2:$E$2,0),1,1,"职业分类属性"))*((星级总属性!$K$3)/(星级总属性!$K$3+星级总属性!$L$3))+(VLOOKUP($B27,INDIRECT(TEXT("'"&amp;$L27&amp;"星每级加强属性曲线演算'","")&amp;"!$A$2:$C$100"),3,FALSE)*VLOOKUP($M27,职业分类属性!$A$3:$G$15,7,FALSE))*(HLOOKUP(HLOOKUP("武力",职业属性偏向!$B$3:$E$16,14,FALSE),INDIRECT(TEXT($N$1&amp;$N27&amp;"!$B$2:$G$3","")),2,FALSE)/INDIRECT(TEXT($N$1&amp;$N27&amp;"!$H$3","")))*((星级总属性!$L$3)/(星级总属性!$K$3+星级总属性!$L$3)),0)&amp;","&amp;ROUND((VLOOKUP($B27,INDIRECT(TEXT("'"&amp;$L27&amp;"星每级加强属性曲线演算'","")&amp;"!$A$2:$C$100"),3,FALSE)*VLOOKUP($M27,职业分类属性!$A$3:$G$15,7,FALSE))*INDIRECT(ADDRESS(MATCH($M27,职业分类属性!$A$1:$A$15,0),MATCH("防御",职业分类属性!$A$2:$E$2,0),1,1,"职业分类属性"))*((星级总属性!$K$3)/(星级总属性!$K$3+星级总属性!$L$3))+(VLOOKUP($B27,INDIRECT(TEXT("'"&amp;$L27&amp;"星每级加强属性曲线演算'","")&amp;"!$A$2:$C$100"),3,FALSE)*VLOOKUP($M27,职业分类属性!$A$3:$G$15,7,FALSE))*(HLOOKUP(HLOOKUP("防御",职业属性偏向!$B$3:$E$16,14,FALSE),INDIRECT(TEXT($N$1&amp;$N27&amp;"!$B$2:$G$3","")),2,FALSE)/INDIRECT(TEXT($N$1&amp;$N27&amp;"!$H$3","")))*((星级总属性!$L$3)/(星级总属性!$K$3+星级总属性!$L$3)),0)</f>
        <v>70,45,546,54</v>
      </c>
      <c r="D27" s="26">
        <v>1025</v>
      </c>
      <c r="E27" s="43" t="str">
        <f>IF(VLOOKUP($B27,进阶要求!$A$2:$C$17,3,FALSE)=0,"",VLOOKUP($B27,进阶要求!$A$2:$C$17,3,FALSE))</f>
        <v>10001,10;10002,11;10003,12;10003,12;10003,14;10003,15</v>
      </c>
      <c r="F27" s="32" t="str">
        <f>IF(VLOOKUP($B27,进阶要求!$A$2:$C$17,2,FALSE)=0,"",VLOOKUP($B27,进阶要求!$A$2:$C$17,2,FALSE))</f>
        <v/>
      </c>
      <c r="G27" s="29">
        <v>1</v>
      </c>
      <c r="H27" s="27">
        <v>855018</v>
      </c>
      <c r="I27" s="27" t="s">
        <v>93</v>
      </c>
      <c r="L27" s="1">
        <f t="shared" si="4"/>
        <v>4</v>
      </c>
      <c r="M27" s="1" t="str">
        <f t="shared" si="5"/>
        <v>法师</v>
      </c>
      <c r="N27" s="1">
        <f t="shared" si="6"/>
        <v>1</v>
      </c>
      <c r="O27" s="26" t="e">
        <f ca="1">ROUND((VLOOKUP(VALUE(RIGHT(O$1,LEN(O$1)-2)),INDIRECT(TEXT("'"&amp;$L27&amp;"星每级加强属性曲线演算'","")&amp;"!$A$2:$C$100"),3,FALSE)*VLOOKUP($M27,职业分类属性!$A$3:$G$15,9,FALSE))*INDIRECT(ADDRESS(MATCH($M27,职业分类属性!$A$1:$A$15,0),MATCH("生命值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生命值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回复力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回复力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武力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武力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防御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防御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智力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智力",职业属性偏向!$B$3:$E$16,14,FALSE),INDIRECT(TEXT($N$1&amp;$N27&amp;"!$B$2:$G$3","")),2,FALSE)/INDIRECT(TEXT($N$1&amp;$N27&amp;"!$H$3","")))*((星级总属性!$L$3)/(星级总属性!$K$3+星级总属性!$L$3)),0)&amp;","&amp;ROUND((VLOOKUP(VALUE(RIGHT(O$1,LEN(O$1)-2)),INDIRECT(TEXT("'"&amp;$L27&amp;"星每级加强属性曲线演算'","")&amp;"!$A$2:$C$100"),3,FALSE)*VLOOKUP($M27,职业分类属性!$A$3:$G$15,9,FALSE))*INDIRECT(ADDRESS(MATCH($M27,职业分类属性!$A$1:$A$15,0),MATCH("法防",职业分类属性!$A$2:$E$2,0),1,1,"职业分类属性"))*((星级总属性!$K$3)/(星级总属性!$K$3+星级总属性!$L$3))+(VLOOKUP(VALUE(RIGHT(O$1,LEN(O$1)-2)),INDIRECT(TEXT("'"&amp;$L27&amp;"星每级加强属性曲线演算'","")&amp;"!$A$2:$C$100"),3,FALSE)*VLOOKUP($M27,职业分类属性!$A$3:$G$15,9,FALSE))*(HLOOKUP(HLOOKUP("法防",职业属性偏向!$B$3:$E$16,14,FALSE),INDIRECT(TEXT($N$1&amp;$N27&amp;"!$B$2:$G$3","")),2,FALSE)/INDIRECT(TEXT($N$1&amp;$N27&amp;"!$H$3","")))*((星级总属性!$L$3)/(星级总属性!$K$3+星级总属性!$L$3)),0)</f>
        <v>#REF!</v>
      </c>
    </row>
    <row r="28" spans="1:15" x14ac:dyDescent="0.25">
      <c r="A28">
        <v>550015</v>
      </c>
      <c r="B28" s="30">
        <f t="shared" si="3"/>
        <v>9</v>
      </c>
      <c r="C28" s="26" t="str">
        <f ca="1">ROUND((VLOOKUP($B28,INDIRECT(TEXT("'"&amp;$L28&amp;"星每级加强属性曲线演算'","")&amp;"!$A$2:$C$100"),3,FALSE)*VLOOKUP($M28,职业分类属性!$A$3:$G$15,7,FALSE))*INDIRECT(ADDRESS(MATCH($M28,职业分类属性!$A$1:$A$15,0),MATCH("生命值",职业分类属性!$A$2:$E$2,0),1,1,"职业分类属性"))*((星级总属性!$K$3)/(星级总属性!$K$3+星级总属性!$L$3))+(VLOOKUP($B28,INDIRECT(TEXT("'"&amp;$L28&amp;"星每级加强属性曲线演算'","")&amp;"!$A$2:$C$100"),3,FALSE)*VLOOKUP($M28,职业分类属性!$A$3:$G$15,7,FALSE))*(HLOOKUP(HLOOKUP("生命值",职业属性偏向!$B$3:$E$16,14,FALSE),INDIRECT(TEXT($N$1&amp;$N28&amp;"!$B$2:$G$3","")),2,FALSE)/INDIRECT(TEXT($N$1&amp;$N28&amp;"!$H$3","")))*((星级总属性!$L$3)/(星级总属性!$K$3+星级总属性!$L$3)),0)&amp;","&amp;ROUND((VLOOKUP($B28,INDIRECT(TEXT("'"&amp;$L28&amp;"星每级加强属性曲线演算'","")&amp;"!$A$2:$C$100"),3,FALSE)*VLOOKUP($M28,职业分类属性!$A$3:$G$15,7,FALSE))*INDIRECT(ADDRESS(MATCH($M28,职业分类属性!$A$1:$A$15,0),MATCH("回复力",职业分类属性!$A$2:$E$2,0),1,1,"职业分类属性"))*((星级总属性!$K$3)/(星级总属性!$K$3+星级总属性!$L$3))+(VLOOKUP($B28,INDIRECT(TEXT("'"&amp;$L28&amp;"星每级加强属性曲线演算'","")&amp;"!$A$2:$C$100"),3,FALSE)*VLOOKUP($M28,职业分类属性!$A$3:$G$15,7,FALSE))*(HLOOKUP(HLOOKUP("回复力",职业属性偏向!$B$3:$E$16,14,FALSE),INDIRECT(TEXT($N$1&amp;$N28&amp;"!$B$2:$G$3","")),2,FALSE)/INDIRECT(TEXT($N$1&amp;$N28&amp;"!$H$3","")))*((星级总属性!$L$3)/(星级总属性!$K$3+星级总属性!$L$3)),0)&amp;","&amp;ROUND((VLOOKUP($B28,INDIRECT(TEXT("'"&amp;$L28&amp;"星每级加强属性曲线演算'","")&amp;"!$A$2:$C$100"),3,FALSE)*VLOOKUP($M28,职业分类属性!$A$3:$G$15,7,FALSE))*INDIRECT(ADDRESS(MATCH($M28,职业分类属性!$A$1:$A$15,0),MATCH("武力",职业分类属性!$A$2:$E$2,0),1,1,"职业分类属性"))*((星级总属性!$K$3)/(星级总属性!$K$3+星级总属性!$L$3))+(VLOOKUP($B28,INDIRECT(TEXT("'"&amp;$L28&amp;"星每级加强属性曲线演算'","")&amp;"!$A$2:$C$100"),3,FALSE)*VLOOKUP($M28,职业分类属性!$A$3:$G$15,7,FALSE))*(HLOOKUP(HLOOKUP("武力",职业属性偏向!$B$3:$E$16,14,FALSE),INDIRECT(TEXT($N$1&amp;$N28&amp;"!$B$2:$G$3","")),2,FALSE)/INDIRECT(TEXT($N$1&amp;$N28&amp;"!$H$3","")))*((星级总属性!$L$3)/(星级总属性!$K$3+星级总属性!$L$3)),0)&amp;","&amp;ROUND((VLOOKUP($B28,INDIRECT(TEXT("'"&amp;$L28&amp;"星每级加强属性曲线演算'","")&amp;"!$A$2:$C$100"),3,FALSE)*VLOOKUP($M28,职业分类属性!$A$3:$G$15,7,FALSE))*INDIRECT(ADDRESS(MATCH($M28,职业分类属性!$A$1:$A$15,0),MATCH("防御",职业分类属性!$A$2:$E$2,0),1,1,"职业分类属性"))*((星级总属性!$K$3)/(星级总属性!$K$3+星级总属性!$L$3))+(VLOOKUP($B28,INDIRECT(TEXT("'"&amp;$L28&amp;"星每级加强属性曲线演算'","")&amp;"!$A$2:$C$100"),3,FALSE)*VLOOKUP($M28,职业分类属性!$A$3:$G$15,7,FALSE))*(HLOOKUP(HLOOKUP("防御",职业属性偏向!$B$3:$E$16,14,FALSE),INDIRECT(TEXT($N$1&amp;$N28&amp;"!$B$2:$G$3","")),2,FALSE)/INDIRECT(TEXT($N$1&amp;$N28&amp;"!$H$3","")))*((星级总属性!$L$3)/(星级总属性!$K$3+星级总属性!$L$3)),0)</f>
        <v>79,51,614,60</v>
      </c>
      <c r="D28" s="26">
        <v>1026</v>
      </c>
      <c r="E28" s="43" t="str">
        <f>IF(VLOOKUP($B28,进阶要求!$A$2:$C$17,3,FALSE)=0,"",VLOOKUP($B28,进阶要求!$A$2:$C$17,3,FALSE))</f>
        <v>10001,10;10002,11;10003,12;10003,12;10003,14;10003,15</v>
      </c>
      <c r="F28" s="32" t="str">
        <f>IF(VLOOKUP($B28,进阶要求!$A$2:$C$17,2,FALSE)=0,"",VLOOKUP($B28,进阶要求!$A$2:$C$17,2,FALSE))</f>
        <v/>
      </c>
      <c r="G28" s="29"/>
      <c r="L28" s="1">
        <f t="shared" si="4"/>
        <v>4</v>
      </c>
      <c r="M28" s="1" t="str">
        <f t="shared" si="5"/>
        <v>法师</v>
      </c>
      <c r="N28" s="1">
        <f t="shared" si="6"/>
        <v>1</v>
      </c>
      <c r="O28" s="26" t="e">
        <f ca="1">ROUND((VLOOKUP(VALUE(RIGHT(O$1,LEN(O$1)-2)),INDIRECT(TEXT("'"&amp;$L28&amp;"星每级加强属性曲线演算'","")&amp;"!$A$2:$C$100"),3,FALSE)*VLOOKUP($M28,职业分类属性!$A$3:$G$15,9,FALSE))*INDIRECT(ADDRESS(MATCH($M28,职业分类属性!$A$1:$A$15,0),MATCH("生命值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生命值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回复力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回复力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武力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武力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防御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防御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智力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智力",职业属性偏向!$B$3:$E$16,14,FALSE),INDIRECT(TEXT($N$1&amp;$N28&amp;"!$B$2:$G$3","")),2,FALSE)/INDIRECT(TEXT($N$1&amp;$N28&amp;"!$H$3","")))*((星级总属性!$L$3)/(星级总属性!$K$3+星级总属性!$L$3)),0)&amp;","&amp;ROUND((VLOOKUP(VALUE(RIGHT(O$1,LEN(O$1)-2)),INDIRECT(TEXT("'"&amp;$L28&amp;"星每级加强属性曲线演算'","")&amp;"!$A$2:$C$100"),3,FALSE)*VLOOKUP($M28,职业分类属性!$A$3:$G$15,9,FALSE))*INDIRECT(ADDRESS(MATCH($M28,职业分类属性!$A$1:$A$15,0),MATCH("法防",职业分类属性!$A$2:$E$2,0),1,1,"职业分类属性"))*((星级总属性!$K$3)/(星级总属性!$K$3+星级总属性!$L$3))+(VLOOKUP(VALUE(RIGHT(O$1,LEN(O$1)-2)),INDIRECT(TEXT("'"&amp;$L28&amp;"星每级加强属性曲线演算'","")&amp;"!$A$2:$C$100"),3,FALSE)*VLOOKUP($M28,职业分类属性!$A$3:$G$15,9,FALSE))*(HLOOKUP(HLOOKUP("法防",职业属性偏向!$B$3:$E$16,14,FALSE),INDIRECT(TEXT($N$1&amp;$N28&amp;"!$B$2:$G$3","")),2,FALSE)/INDIRECT(TEXT($N$1&amp;$N28&amp;"!$H$3","")))*((星级总属性!$L$3)/(星级总属性!$K$3+星级总属性!$L$3)),0)</f>
        <v>#REF!</v>
      </c>
    </row>
    <row r="29" spans="1:15" x14ac:dyDescent="0.25">
      <c r="A29">
        <v>550015</v>
      </c>
      <c r="B29" s="30">
        <v>10</v>
      </c>
      <c r="C29" s="26" t="str">
        <f ca="1">ROUND((VLOOKUP($B29,INDIRECT(TEXT("'"&amp;$L29&amp;"星每级加强属性曲线演算'","")&amp;"!$A$2:$C$100"),3,FALSE)*VLOOKUP($M29,职业分类属性!$A$3:$G$15,7,FALSE))*INDIRECT(ADDRESS(MATCH($M29,职业分类属性!$A$1:$A$15,0),MATCH("生命值",职业分类属性!$A$2:$E$2,0),1,1,"职业分类属性"))*((星级总属性!$K$3)/(星级总属性!$K$3+星级总属性!$L$3))+(VLOOKUP($B29,INDIRECT(TEXT("'"&amp;$L29&amp;"星每级加强属性曲线演算'","")&amp;"!$A$2:$C$100"),3,FALSE)*VLOOKUP($M29,职业分类属性!$A$3:$G$15,7,FALSE))*(HLOOKUP(HLOOKUP("生命值",职业属性偏向!$B$3:$E$16,14,FALSE),INDIRECT(TEXT($N$1&amp;$N29&amp;"!$B$2:$G$3","")),2,FALSE)/INDIRECT(TEXT($N$1&amp;$N29&amp;"!$H$3","")))*((星级总属性!$L$3)/(星级总属性!$K$3+星级总属性!$L$3)),0)&amp;","&amp;ROUND((VLOOKUP($B29,INDIRECT(TEXT("'"&amp;$L29&amp;"星每级加强属性曲线演算'","")&amp;"!$A$2:$C$100"),3,FALSE)*VLOOKUP($M29,职业分类属性!$A$3:$G$15,7,FALSE))*INDIRECT(ADDRESS(MATCH($M29,职业分类属性!$A$1:$A$15,0),MATCH("回复力",职业分类属性!$A$2:$E$2,0),1,1,"职业分类属性"))*((星级总属性!$K$3)/(星级总属性!$K$3+星级总属性!$L$3))+(VLOOKUP($B29,INDIRECT(TEXT("'"&amp;$L29&amp;"星每级加强属性曲线演算'","")&amp;"!$A$2:$C$100"),3,FALSE)*VLOOKUP($M29,职业分类属性!$A$3:$G$15,7,FALSE))*(HLOOKUP(HLOOKUP("回复力",职业属性偏向!$B$3:$E$16,14,FALSE),INDIRECT(TEXT($N$1&amp;$N29&amp;"!$B$2:$G$3","")),2,FALSE)/INDIRECT(TEXT($N$1&amp;$N29&amp;"!$H$3","")))*((星级总属性!$L$3)/(星级总属性!$K$3+星级总属性!$L$3)),0)&amp;","&amp;ROUND((VLOOKUP($B29,INDIRECT(TEXT("'"&amp;$L29&amp;"星每级加强属性曲线演算'","")&amp;"!$A$2:$C$100"),3,FALSE)*VLOOKUP($M29,职业分类属性!$A$3:$G$15,7,FALSE))*INDIRECT(ADDRESS(MATCH($M29,职业分类属性!$A$1:$A$15,0),MATCH("武力",职业分类属性!$A$2:$E$2,0),1,1,"职业分类属性"))*((星级总属性!$K$3)/(星级总属性!$K$3+星级总属性!$L$3))+(VLOOKUP($B29,INDIRECT(TEXT("'"&amp;$L29&amp;"星每级加强属性曲线演算'","")&amp;"!$A$2:$C$100"),3,FALSE)*VLOOKUP($M29,职业分类属性!$A$3:$G$15,7,FALSE))*(HLOOKUP(HLOOKUP("武力",职业属性偏向!$B$3:$E$16,14,FALSE),INDIRECT(TEXT($N$1&amp;$N29&amp;"!$B$2:$G$3","")),2,FALSE)/INDIRECT(TEXT($N$1&amp;$N29&amp;"!$H$3","")))*((星级总属性!$L$3)/(星级总属性!$K$3+星级总属性!$L$3)),0)&amp;","&amp;ROUND((VLOOKUP($B29,INDIRECT(TEXT("'"&amp;$L29&amp;"星每级加强属性曲线演算'","")&amp;"!$A$2:$C$100"),3,FALSE)*VLOOKUP($M29,职业分类属性!$A$3:$G$15,7,FALSE))*INDIRECT(ADDRESS(MATCH($M29,职业分类属性!$A$1:$A$15,0),MATCH("防御",职业分类属性!$A$2:$E$2,0),1,1,"职业分类属性"))*((星级总属性!$K$3)/(星级总属性!$K$3+星级总属性!$L$3))+(VLOOKUP($B29,INDIRECT(TEXT("'"&amp;$L29&amp;"星每级加强属性曲线演算'","")&amp;"!$A$2:$C$100"),3,FALSE)*VLOOKUP($M29,职业分类属性!$A$3:$G$15,7,FALSE))*(HLOOKUP(HLOOKUP("防御",职业属性偏向!$B$3:$E$16,14,FALSE),INDIRECT(TEXT($N$1&amp;$N29&amp;"!$B$2:$G$3","")),2,FALSE)/INDIRECT(TEXT($N$1&amp;$N29&amp;"!$H$3","")))*((星级总属性!$L$3)/(星级总属性!$K$3+星级总属性!$L$3)),0)</f>
        <v>87,57,682,67</v>
      </c>
      <c r="D29" s="26">
        <v>1027</v>
      </c>
      <c r="E29" s="43" t="str">
        <f>IF(VLOOKUP($B29,进阶要求!$A$2:$C$17,3,FALSE)=0,"",VLOOKUP($B29,进阶要求!$A$2:$C$17,3,FALSE))</f>
        <v>10001,10;10002,11;10003,12;10003,12;10003,14;10003,15;10003,16</v>
      </c>
      <c r="F29" s="32">
        <f>IF(VLOOKUP($B29,进阶要求!$A$2:$C$17,2,FALSE)=0,"",VLOOKUP($B29,进阶要求!$A$2:$C$17,2,FALSE))</f>
        <v>30</v>
      </c>
      <c r="G29" s="29">
        <v>1</v>
      </c>
      <c r="H29" s="27">
        <v>855019</v>
      </c>
      <c r="I29" s="27" t="s">
        <v>93</v>
      </c>
      <c r="L29" s="1">
        <v>4</v>
      </c>
      <c r="M29" s="1" t="s">
        <v>5</v>
      </c>
      <c r="N29" s="1">
        <v>1</v>
      </c>
      <c r="O29" s="26" t="e">
        <f ca="1">ROUND((VLOOKUP(VALUE(RIGHT(O$1,LEN(O$1)-2)),INDIRECT(TEXT("'"&amp;$L29&amp;"星每级加强属性曲线演算'","")&amp;"!$A$2:$C$100"),3,FALSE)*VLOOKUP($M29,职业分类属性!$A$3:$G$15,9,FALSE))*INDIRECT(ADDRESS(MATCH($M29,职业分类属性!$A$1:$A$15,0),MATCH("生命值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生命值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回复力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回复力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武力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武力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防御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防御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智力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智力",职业属性偏向!$B$3:$E$16,14,FALSE),INDIRECT(TEXT($N$1&amp;$N29&amp;"!$B$2:$G$3","")),2,FALSE)/INDIRECT(TEXT($N$1&amp;$N29&amp;"!$H$3","")))*((星级总属性!$L$3)/(星级总属性!$K$3+星级总属性!$L$3)),0)&amp;","&amp;ROUND((VLOOKUP(VALUE(RIGHT(O$1,LEN(O$1)-2)),INDIRECT(TEXT("'"&amp;$L29&amp;"星每级加强属性曲线演算'","")&amp;"!$A$2:$C$100"),3,FALSE)*VLOOKUP($M29,职业分类属性!$A$3:$G$15,9,FALSE))*INDIRECT(ADDRESS(MATCH($M29,职业分类属性!$A$1:$A$15,0),MATCH("法防",职业分类属性!$A$2:$E$2,0),1,1,"职业分类属性"))*((星级总属性!$K$3)/(星级总属性!$K$3+星级总属性!$L$3))+(VLOOKUP(VALUE(RIGHT(O$1,LEN(O$1)-2)),INDIRECT(TEXT("'"&amp;$L29&amp;"星每级加强属性曲线演算'","")&amp;"!$A$2:$C$100"),3,FALSE)*VLOOKUP($M29,职业分类属性!$A$3:$G$15,9,FALSE))*(HLOOKUP(HLOOKUP("法防",职业属性偏向!$B$3:$E$16,14,FALSE),INDIRECT(TEXT($N$1&amp;$N29&amp;"!$B$2:$G$3","")),2,FALSE)/INDIRECT(TEXT($N$1&amp;$N29&amp;"!$H$3","")))*((星级总属性!$L$3)/(星级总属性!$K$3+星级总属性!$L$3)),0)</f>
        <v>#REF!</v>
      </c>
    </row>
    <row r="30" spans="1:15" x14ac:dyDescent="0.25">
      <c r="A30">
        <v>550015</v>
      </c>
      <c r="B30" s="30">
        <v>11</v>
      </c>
      <c r="C30" s="26" t="str">
        <f ca="1">ROUND((VLOOKUP($B30,INDIRECT(TEXT("'"&amp;$L30&amp;"星每级加强属性曲线演算'","")&amp;"!$A$2:$C$100"),3,FALSE)*VLOOKUP($M30,职业分类属性!$A$3:$G$15,7,FALSE))*INDIRECT(ADDRESS(MATCH($M30,职业分类属性!$A$1:$A$15,0),MATCH("生命值",职业分类属性!$A$2:$E$2,0),1,1,"职业分类属性"))*((星级总属性!$K$3)/(星级总属性!$K$3+星级总属性!$L$3))+(VLOOKUP($B30,INDIRECT(TEXT("'"&amp;$L30&amp;"星每级加强属性曲线演算'","")&amp;"!$A$2:$C$100"),3,FALSE)*VLOOKUP($M30,职业分类属性!$A$3:$G$15,7,FALSE))*(HLOOKUP(HLOOKUP("生命值",职业属性偏向!$B$3:$E$16,14,FALSE),INDIRECT(TEXT($N$1&amp;$N30&amp;"!$B$2:$G$3","")),2,FALSE)/INDIRECT(TEXT($N$1&amp;$N30&amp;"!$H$3","")))*((星级总属性!$L$3)/(星级总属性!$K$3+星级总属性!$L$3)),0)&amp;","&amp;ROUND((VLOOKUP($B30,INDIRECT(TEXT("'"&amp;$L30&amp;"星每级加强属性曲线演算'","")&amp;"!$A$2:$C$100"),3,FALSE)*VLOOKUP($M30,职业分类属性!$A$3:$G$15,7,FALSE))*INDIRECT(ADDRESS(MATCH($M30,职业分类属性!$A$1:$A$15,0),MATCH("回复力",职业分类属性!$A$2:$E$2,0),1,1,"职业分类属性"))*((星级总属性!$K$3)/(星级总属性!$K$3+星级总属性!$L$3))+(VLOOKUP($B30,INDIRECT(TEXT("'"&amp;$L30&amp;"星每级加强属性曲线演算'","")&amp;"!$A$2:$C$100"),3,FALSE)*VLOOKUP($M30,职业分类属性!$A$3:$G$15,7,FALSE))*(HLOOKUP(HLOOKUP("回复力",职业属性偏向!$B$3:$E$16,14,FALSE),INDIRECT(TEXT($N$1&amp;$N30&amp;"!$B$2:$G$3","")),2,FALSE)/INDIRECT(TEXT($N$1&amp;$N30&amp;"!$H$3","")))*((星级总属性!$L$3)/(星级总属性!$K$3+星级总属性!$L$3)),0)&amp;","&amp;ROUND((VLOOKUP($B30,INDIRECT(TEXT("'"&amp;$L30&amp;"星每级加强属性曲线演算'","")&amp;"!$A$2:$C$100"),3,FALSE)*VLOOKUP($M30,职业分类属性!$A$3:$G$15,7,FALSE))*INDIRECT(ADDRESS(MATCH($M30,职业分类属性!$A$1:$A$15,0),MATCH("武力",职业分类属性!$A$2:$E$2,0),1,1,"职业分类属性"))*((星级总属性!$K$3)/(星级总属性!$K$3+星级总属性!$L$3))+(VLOOKUP($B30,INDIRECT(TEXT("'"&amp;$L30&amp;"星每级加强属性曲线演算'","")&amp;"!$A$2:$C$100"),3,FALSE)*VLOOKUP($M30,职业分类属性!$A$3:$G$15,7,FALSE))*(HLOOKUP(HLOOKUP("武力",职业属性偏向!$B$3:$E$16,14,FALSE),INDIRECT(TEXT($N$1&amp;$N30&amp;"!$B$2:$G$3","")),2,FALSE)/INDIRECT(TEXT($N$1&amp;$N30&amp;"!$H$3","")))*((星级总属性!$L$3)/(星级总属性!$K$3+星级总属性!$L$3)),0)&amp;","&amp;ROUND((VLOOKUP($B30,INDIRECT(TEXT("'"&amp;$L30&amp;"星每级加强属性曲线演算'","")&amp;"!$A$2:$C$100"),3,FALSE)*VLOOKUP($M30,职业分类属性!$A$3:$G$15,7,FALSE))*INDIRECT(ADDRESS(MATCH($M30,职业分类属性!$A$1:$A$15,0),MATCH("防御",职业分类属性!$A$2:$E$2,0),1,1,"职业分类属性"))*((星级总属性!$K$3)/(星级总属性!$K$3+星级总属性!$L$3))+(VLOOKUP($B30,INDIRECT(TEXT("'"&amp;$L30&amp;"星每级加强属性曲线演算'","")&amp;"!$A$2:$C$100"),3,FALSE)*VLOOKUP($M30,职业分类属性!$A$3:$G$15,7,FALSE))*(HLOOKUP(HLOOKUP("防御",职业属性偏向!$B$3:$E$16,14,FALSE),INDIRECT(TEXT($N$1&amp;$N30&amp;"!$B$2:$G$3","")),2,FALSE)/INDIRECT(TEXT($N$1&amp;$N30&amp;"!$H$3","")))*((星级总属性!$L$3)/(星级总属性!$K$3+星级总属性!$L$3)),0)</f>
        <v>96,63,751,74</v>
      </c>
      <c r="D30" s="26">
        <v>1028</v>
      </c>
      <c r="E30" s="43" t="str">
        <f>IF(VLOOKUP($B30,进阶要求!$A$2:$C$17,3,FALSE)=0,"",VLOOKUP($B30,进阶要求!$A$2:$C$17,3,FALSE))</f>
        <v>10001,10;10002,11;10003,12;10003,12;10003,14;10003,15;10003,16</v>
      </c>
      <c r="F30" s="32" t="str">
        <f>IF(VLOOKUP($B30,进阶要求!$A$2:$C$17,2,FALSE)=0,"",VLOOKUP($B30,进阶要求!$A$2:$C$17,2,FALSE))</f>
        <v/>
      </c>
      <c r="G30" s="29"/>
      <c r="L30" s="1">
        <v>4</v>
      </c>
      <c r="M30" s="1" t="s">
        <v>5</v>
      </c>
      <c r="N30" s="1">
        <v>1</v>
      </c>
      <c r="O30" s="26" t="e">
        <f ca="1">ROUND((VLOOKUP(VALUE(RIGHT(O$1,LEN(O$1)-2)),INDIRECT(TEXT("'"&amp;$L30&amp;"星每级加强属性曲线演算'","")&amp;"!$A$2:$C$100"),3,FALSE)*VLOOKUP($M30,职业分类属性!$A$3:$G$15,9,FALSE))*INDIRECT(ADDRESS(MATCH($M30,职业分类属性!$A$1:$A$15,0),MATCH("生命值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生命值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回复力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回复力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武力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武力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防御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防御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智力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智力",职业属性偏向!$B$3:$E$16,14,FALSE),INDIRECT(TEXT($N$1&amp;$N30&amp;"!$B$2:$G$3","")),2,FALSE)/INDIRECT(TEXT($N$1&amp;$N30&amp;"!$H$3","")))*((星级总属性!$L$3)/(星级总属性!$K$3+星级总属性!$L$3)),0)&amp;","&amp;ROUND((VLOOKUP(VALUE(RIGHT(O$1,LEN(O$1)-2)),INDIRECT(TEXT("'"&amp;$L30&amp;"星每级加强属性曲线演算'","")&amp;"!$A$2:$C$100"),3,FALSE)*VLOOKUP($M30,职业分类属性!$A$3:$G$15,9,FALSE))*INDIRECT(ADDRESS(MATCH($M30,职业分类属性!$A$1:$A$15,0),MATCH("法防",职业分类属性!$A$2:$E$2,0),1,1,"职业分类属性"))*((星级总属性!$K$3)/(星级总属性!$K$3+星级总属性!$L$3))+(VLOOKUP(VALUE(RIGHT(O$1,LEN(O$1)-2)),INDIRECT(TEXT("'"&amp;$L30&amp;"星每级加强属性曲线演算'","")&amp;"!$A$2:$C$100"),3,FALSE)*VLOOKUP($M30,职业分类属性!$A$3:$G$15,9,FALSE))*(HLOOKUP(HLOOKUP("法防",职业属性偏向!$B$3:$E$16,14,FALSE),INDIRECT(TEXT($N$1&amp;$N30&amp;"!$B$2:$G$3","")),2,FALSE)/INDIRECT(TEXT($N$1&amp;$N30&amp;"!$H$3","")))*((星级总属性!$L$3)/(星级总属性!$K$3+星级总属性!$L$3)),0)</f>
        <v>#REF!</v>
      </c>
    </row>
    <row r="31" spans="1:15" x14ac:dyDescent="0.25">
      <c r="A31">
        <v>550015</v>
      </c>
      <c r="B31" s="30">
        <v>12</v>
      </c>
      <c r="C31" s="26" t="str">
        <f ca="1">ROUND((VLOOKUP($B31,INDIRECT(TEXT("'"&amp;$L31&amp;"星每级加强属性曲线演算'","")&amp;"!$A$2:$C$100"),3,FALSE)*VLOOKUP($M31,职业分类属性!$A$3:$G$15,7,FALSE))*INDIRECT(ADDRESS(MATCH($M31,职业分类属性!$A$1:$A$15,0),MATCH("生命值",职业分类属性!$A$2:$E$2,0),1,1,"职业分类属性"))*((星级总属性!$K$3)/(星级总属性!$K$3+星级总属性!$L$3))+(VLOOKUP($B31,INDIRECT(TEXT("'"&amp;$L31&amp;"星每级加强属性曲线演算'","")&amp;"!$A$2:$C$100"),3,FALSE)*VLOOKUP($M31,职业分类属性!$A$3:$G$15,7,FALSE))*(HLOOKUP(HLOOKUP("生命值",职业属性偏向!$B$3:$E$16,14,FALSE),INDIRECT(TEXT($N$1&amp;$N31&amp;"!$B$2:$G$3","")),2,FALSE)/INDIRECT(TEXT($N$1&amp;$N31&amp;"!$H$3","")))*((星级总属性!$L$3)/(星级总属性!$K$3+星级总属性!$L$3)),0)&amp;","&amp;ROUND((VLOOKUP($B31,INDIRECT(TEXT("'"&amp;$L31&amp;"星每级加强属性曲线演算'","")&amp;"!$A$2:$C$100"),3,FALSE)*VLOOKUP($M31,职业分类属性!$A$3:$G$15,7,FALSE))*INDIRECT(ADDRESS(MATCH($M31,职业分类属性!$A$1:$A$15,0),MATCH("回复力",职业分类属性!$A$2:$E$2,0),1,1,"职业分类属性"))*((星级总属性!$K$3)/(星级总属性!$K$3+星级总属性!$L$3))+(VLOOKUP($B31,INDIRECT(TEXT("'"&amp;$L31&amp;"星每级加强属性曲线演算'","")&amp;"!$A$2:$C$100"),3,FALSE)*VLOOKUP($M31,职业分类属性!$A$3:$G$15,7,FALSE))*(HLOOKUP(HLOOKUP("回复力",职业属性偏向!$B$3:$E$16,14,FALSE),INDIRECT(TEXT($N$1&amp;$N31&amp;"!$B$2:$G$3","")),2,FALSE)/INDIRECT(TEXT($N$1&amp;$N31&amp;"!$H$3","")))*((星级总属性!$L$3)/(星级总属性!$K$3+星级总属性!$L$3)),0)&amp;","&amp;ROUND((VLOOKUP($B31,INDIRECT(TEXT("'"&amp;$L31&amp;"星每级加强属性曲线演算'","")&amp;"!$A$2:$C$100"),3,FALSE)*VLOOKUP($M31,职业分类属性!$A$3:$G$15,7,FALSE))*INDIRECT(ADDRESS(MATCH($M31,职业分类属性!$A$1:$A$15,0),MATCH("武力",职业分类属性!$A$2:$E$2,0),1,1,"职业分类属性"))*((星级总属性!$K$3)/(星级总属性!$K$3+星级总属性!$L$3))+(VLOOKUP($B31,INDIRECT(TEXT("'"&amp;$L31&amp;"星每级加强属性曲线演算'","")&amp;"!$A$2:$C$100"),3,FALSE)*VLOOKUP($M31,职业分类属性!$A$3:$G$15,7,FALSE))*(HLOOKUP(HLOOKUP("武力",职业属性偏向!$B$3:$E$16,14,FALSE),INDIRECT(TEXT($N$1&amp;$N31&amp;"!$B$2:$G$3","")),2,FALSE)/INDIRECT(TEXT($N$1&amp;$N31&amp;"!$H$3","")))*((星级总属性!$L$3)/(星级总属性!$K$3+星级总属性!$L$3)),0)&amp;","&amp;ROUND((VLOOKUP($B31,INDIRECT(TEXT("'"&amp;$L31&amp;"星每级加强属性曲线演算'","")&amp;"!$A$2:$C$100"),3,FALSE)*VLOOKUP($M31,职业分类属性!$A$3:$G$15,7,FALSE))*INDIRECT(ADDRESS(MATCH($M31,职业分类属性!$A$1:$A$15,0),MATCH("防御",职业分类属性!$A$2:$E$2,0),1,1,"职业分类属性"))*((星级总属性!$K$3)/(星级总属性!$K$3+星级总属性!$L$3))+(VLOOKUP($B31,INDIRECT(TEXT("'"&amp;$L31&amp;"星每级加强属性曲线演算'","")&amp;"!$A$2:$C$100"),3,FALSE)*VLOOKUP($M31,职业分类属性!$A$3:$G$15,7,FALSE))*(HLOOKUP(HLOOKUP("防御",职业属性偏向!$B$3:$E$16,14,FALSE),INDIRECT(TEXT($N$1&amp;$N31&amp;"!$B$2:$G$3","")),2,FALSE)/INDIRECT(TEXT($N$1&amp;$N31&amp;"!$H$3","")))*((星级总属性!$L$3)/(星级总属性!$K$3+星级总属性!$L$3)),0)</f>
        <v>105,68,818,80</v>
      </c>
      <c r="D31" s="26">
        <v>1029</v>
      </c>
      <c r="E31" s="43" t="str">
        <f>IF(VLOOKUP($B31,进阶要求!$A$2:$C$17,3,FALSE)=0,"",VLOOKUP($B31,进阶要求!$A$2:$C$17,3,FALSE))</f>
        <v>10001,10;10002,11;10003,12;10003,12;10003,14;10003,15;10003,16</v>
      </c>
      <c r="F31" s="32" t="str">
        <f>IF(VLOOKUP($B31,进阶要求!$A$2:$C$17,2,FALSE)=0,"",VLOOKUP($B31,进阶要求!$A$2:$C$17,2,FALSE))</f>
        <v/>
      </c>
      <c r="G31" s="29"/>
      <c r="L31" s="1">
        <v>4</v>
      </c>
      <c r="M31" s="1" t="s">
        <v>5</v>
      </c>
      <c r="N31" s="1">
        <v>1</v>
      </c>
      <c r="O31" s="26" t="e">
        <f ca="1">ROUND((VLOOKUP(VALUE(RIGHT(O$1,LEN(O$1)-2)),INDIRECT(TEXT("'"&amp;$L31&amp;"星每级加强属性曲线演算'","")&amp;"!$A$2:$C$100"),3,FALSE)*VLOOKUP($M31,职业分类属性!$A$3:$G$15,9,FALSE))*INDIRECT(ADDRESS(MATCH($M31,职业分类属性!$A$1:$A$15,0),MATCH("生命值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生命值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回复力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回复力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武力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武力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防御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防御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智力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智力",职业属性偏向!$B$3:$E$16,14,FALSE),INDIRECT(TEXT($N$1&amp;$N31&amp;"!$B$2:$G$3","")),2,FALSE)/INDIRECT(TEXT($N$1&amp;$N31&amp;"!$H$3","")))*((星级总属性!$L$3)/(星级总属性!$K$3+星级总属性!$L$3)),0)&amp;","&amp;ROUND((VLOOKUP(VALUE(RIGHT(O$1,LEN(O$1)-2)),INDIRECT(TEXT("'"&amp;$L31&amp;"星每级加强属性曲线演算'","")&amp;"!$A$2:$C$100"),3,FALSE)*VLOOKUP($M31,职业分类属性!$A$3:$G$15,9,FALSE))*INDIRECT(ADDRESS(MATCH($M31,职业分类属性!$A$1:$A$15,0),MATCH("法防",职业分类属性!$A$2:$E$2,0),1,1,"职业分类属性"))*((星级总属性!$K$3)/(星级总属性!$K$3+星级总属性!$L$3))+(VLOOKUP(VALUE(RIGHT(O$1,LEN(O$1)-2)),INDIRECT(TEXT("'"&amp;$L31&amp;"星每级加强属性曲线演算'","")&amp;"!$A$2:$C$100"),3,FALSE)*VLOOKUP($M31,职业分类属性!$A$3:$G$15,9,FALSE))*(HLOOKUP(HLOOKUP("法防",职业属性偏向!$B$3:$E$16,14,FALSE),INDIRECT(TEXT($N$1&amp;$N31&amp;"!$B$2:$G$3","")),2,FALSE)/INDIRECT(TEXT($N$1&amp;$N31&amp;"!$H$3","")))*((星级总属性!$L$3)/(星级总属性!$K$3+星级总属性!$L$3)),0)</f>
        <v>#REF!</v>
      </c>
    </row>
  </sheetData>
  <phoneticPr fontId="3" type="noConversion"/>
  <dataValidations count="1">
    <dataValidation type="list" allowBlank="1" showInputMessage="1" showErrorMessage="1" sqref="I2:I31">
      <formula1>$T$2:$T$5</formula1>
    </dataValidation>
  </dataValidations>
  <pageMargins left="0.75" right="0.75" top="1" bottom="1" header="0.5" footer="0.5"/>
  <pageSetup paperSize="9" orientation="portrait" horizontalDpi="200" verticalDpi="200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C25" sqref="C25"/>
    </sheetView>
  </sheetViews>
  <sheetFormatPr defaultRowHeight="14.4" x14ac:dyDescent="0.25"/>
  <cols>
    <col min="7" max="7" width="14.6640625" bestFit="1" customWidth="1"/>
  </cols>
  <sheetData>
    <row r="1" spans="1:7" x14ac:dyDescent="0.25">
      <c r="A1" s="48" t="s">
        <v>17</v>
      </c>
      <c r="B1" s="49"/>
      <c r="C1" s="49"/>
      <c r="D1" s="49"/>
      <c r="E1" s="49"/>
      <c r="F1" s="9"/>
    </row>
    <row r="2" spans="1:7" x14ac:dyDescent="0.25">
      <c r="A2" s="19"/>
      <c r="B2" s="20" t="s">
        <v>14</v>
      </c>
      <c r="C2" s="20" t="s">
        <v>15</v>
      </c>
      <c r="D2" s="20" t="s">
        <v>16</v>
      </c>
      <c r="E2" s="20" t="s">
        <v>99</v>
      </c>
      <c r="F2" s="9" t="s">
        <v>18</v>
      </c>
      <c r="G2" s="21" t="s">
        <v>20</v>
      </c>
    </row>
    <row r="3" spans="1:7" x14ac:dyDescent="0.25">
      <c r="A3" s="8" t="s">
        <v>1</v>
      </c>
      <c r="B3" s="9">
        <v>0.25</v>
      </c>
      <c r="C3" s="9">
        <v>0.05</v>
      </c>
      <c r="D3" s="9">
        <v>0.55000000000000004</v>
      </c>
      <c r="E3" s="9">
        <v>0.15</v>
      </c>
      <c r="F3" s="9">
        <f t="shared" ref="F3:F15" si="0">SUM(B3:E3)</f>
        <v>1</v>
      </c>
      <c r="G3" s="11">
        <v>1.2</v>
      </c>
    </row>
    <row r="4" spans="1:7" x14ac:dyDescent="0.25">
      <c r="A4" s="8" t="s">
        <v>2</v>
      </c>
      <c r="B4" s="9">
        <v>0.14000000000000001</v>
      </c>
      <c r="C4" s="9">
        <v>0.01</v>
      </c>
      <c r="D4" s="10">
        <v>0.8</v>
      </c>
      <c r="E4" s="9">
        <v>0.05</v>
      </c>
      <c r="F4" s="9">
        <f t="shared" si="0"/>
        <v>1</v>
      </c>
      <c r="G4" s="11">
        <v>1.3</v>
      </c>
    </row>
    <row r="5" spans="1:7" x14ac:dyDescent="0.25">
      <c r="A5" s="8" t="s">
        <v>3</v>
      </c>
      <c r="B5" s="9">
        <v>0.08</v>
      </c>
      <c r="C5" s="9">
        <v>0.08</v>
      </c>
      <c r="D5" s="10">
        <v>0.75</v>
      </c>
      <c r="E5" s="9">
        <v>0.09</v>
      </c>
      <c r="F5" s="9">
        <f t="shared" si="0"/>
        <v>1</v>
      </c>
      <c r="G5" s="11">
        <v>0.9</v>
      </c>
    </row>
    <row r="6" spans="1:7" x14ac:dyDescent="0.25">
      <c r="A6" s="8" t="s">
        <v>4</v>
      </c>
      <c r="B6" s="9">
        <v>0.1</v>
      </c>
      <c r="C6" s="9">
        <v>0.01</v>
      </c>
      <c r="D6" s="10">
        <v>0.75</v>
      </c>
      <c r="E6" s="9">
        <v>0.14000000000000001</v>
      </c>
      <c r="F6" s="9">
        <f t="shared" si="0"/>
        <v>1</v>
      </c>
      <c r="G6" s="11">
        <v>1</v>
      </c>
    </row>
    <row r="7" spans="1:7" x14ac:dyDescent="0.25">
      <c r="A7" s="8" t="s">
        <v>5</v>
      </c>
      <c r="B7" s="9">
        <v>0.05</v>
      </c>
      <c r="C7" s="9">
        <v>0.05</v>
      </c>
      <c r="D7" s="10">
        <v>0.85</v>
      </c>
      <c r="E7" s="9">
        <v>0.05</v>
      </c>
      <c r="F7" s="9">
        <f t="shared" si="0"/>
        <v>1</v>
      </c>
      <c r="G7" s="11">
        <v>0.7</v>
      </c>
    </row>
    <row r="8" spans="1:7" x14ac:dyDescent="0.25">
      <c r="A8" s="8" t="s">
        <v>6</v>
      </c>
      <c r="B8" s="9">
        <v>0.05</v>
      </c>
      <c r="C8" s="9">
        <v>0.15</v>
      </c>
      <c r="D8" s="10">
        <v>0.65</v>
      </c>
      <c r="E8" s="9">
        <v>0.15</v>
      </c>
      <c r="F8" s="9">
        <f t="shared" si="0"/>
        <v>1</v>
      </c>
      <c r="G8" s="11">
        <v>0.8</v>
      </c>
    </row>
    <row r="9" spans="1:7" x14ac:dyDescent="0.25">
      <c r="A9" s="8" t="s">
        <v>7</v>
      </c>
      <c r="B9" s="9">
        <v>0.15</v>
      </c>
      <c r="C9" s="9">
        <v>0.05</v>
      </c>
      <c r="D9" s="10">
        <v>0.65</v>
      </c>
      <c r="E9" s="9">
        <v>0.15</v>
      </c>
      <c r="F9" s="9">
        <f t="shared" si="0"/>
        <v>1</v>
      </c>
      <c r="G9" s="11">
        <v>0.8</v>
      </c>
    </row>
    <row r="10" spans="1:7" x14ac:dyDescent="0.25">
      <c r="A10" s="8" t="s">
        <v>8</v>
      </c>
      <c r="B10" s="9">
        <v>0.4</v>
      </c>
      <c r="C10" s="9">
        <v>0.08</v>
      </c>
      <c r="D10" s="9">
        <v>0.32</v>
      </c>
      <c r="E10" s="9">
        <v>0.2</v>
      </c>
      <c r="F10" s="9">
        <f t="shared" si="0"/>
        <v>1</v>
      </c>
      <c r="G10" s="11">
        <v>1.1000000000000001</v>
      </c>
    </row>
    <row r="11" spans="1:7" x14ac:dyDescent="0.25">
      <c r="A11" s="8" t="s">
        <v>100</v>
      </c>
      <c r="B11" s="9">
        <v>0.15</v>
      </c>
      <c r="C11" s="9">
        <v>0.35</v>
      </c>
      <c r="D11" s="9">
        <v>0.1</v>
      </c>
      <c r="E11" s="9">
        <v>0.4</v>
      </c>
      <c r="F11" s="9">
        <f t="shared" si="0"/>
        <v>1</v>
      </c>
      <c r="G11" s="11">
        <v>0.9</v>
      </c>
    </row>
    <row r="12" spans="1:7" x14ac:dyDescent="0.25">
      <c r="A12" s="8" t="s">
        <v>101</v>
      </c>
      <c r="B12" s="9">
        <v>0.2</v>
      </c>
      <c r="C12" s="9">
        <v>0.05</v>
      </c>
      <c r="D12" s="9">
        <v>0.05</v>
      </c>
      <c r="E12" s="9">
        <v>0.7</v>
      </c>
      <c r="F12" s="9">
        <f t="shared" si="0"/>
        <v>1</v>
      </c>
      <c r="G12" s="11">
        <v>1.1000000000000001</v>
      </c>
    </row>
    <row r="13" spans="1:7" x14ac:dyDescent="0.25">
      <c r="A13" s="8" t="s">
        <v>102</v>
      </c>
      <c r="B13" s="9">
        <v>0.25</v>
      </c>
      <c r="C13" s="9">
        <v>0.25</v>
      </c>
      <c r="D13" s="9">
        <v>0.25</v>
      </c>
      <c r="E13" s="9">
        <v>0.25</v>
      </c>
      <c r="F13" s="9">
        <f t="shared" si="0"/>
        <v>1</v>
      </c>
      <c r="G13" s="11">
        <v>1.1000000000000001</v>
      </c>
    </row>
    <row r="14" spans="1:7" x14ac:dyDescent="0.25">
      <c r="A14" s="8" t="s">
        <v>9</v>
      </c>
      <c r="B14" s="9">
        <v>0.11</v>
      </c>
      <c r="C14" s="9">
        <v>0.65</v>
      </c>
      <c r="D14" s="9">
        <v>0.09</v>
      </c>
      <c r="E14" s="9">
        <v>0.15</v>
      </c>
      <c r="F14" s="9">
        <f t="shared" si="0"/>
        <v>1</v>
      </c>
      <c r="G14" s="11">
        <v>0.8</v>
      </c>
    </row>
    <row r="15" spans="1:7" x14ac:dyDescent="0.25">
      <c r="A15" s="8" t="s">
        <v>10</v>
      </c>
      <c r="B15" s="9">
        <v>0.1</v>
      </c>
      <c r="C15" s="9">
        <v>0.05</v>
      </c>
      <c r="D15" s="10">
        <v>0.65</v>
      </c>
      <c r="E15" s="9">
        <v>0.2</v>
      </c>
      <c r="F15" s="9">
        <f t="shared" si="0"/>
        <v>1</v>
      </c>
      <c r="G15" s="11">
        <v>0.8</v>
      </c>
    </row>
    <row r="16" spans="1:7" x14ac:dyDescent="0.25">
      <c r="B16" s="8" t="str">
        <f>B2</f>
        <v>生命值</v>
      </c>
      <c r="C16" s="8" t="str">
        <f t="shared" ref="C16:E16" si="1">C2</f>
        <v>回复力</v>
      </c>
      <c r="D16" s="8" t="str">
        <f t="shared" si="1"/>
        <v>武力</v>
      </c>
      <c r="E16" s="8" t="str">
        <f t="shared" si="1"/>
        <v>防御</v>
      </c>
    </row>
  </sheetData>
  <mergeCells count="1">
    <mergeCell ref="A1:E1"/>
  </mergeCells>
  <phoneticPr fontId="5" type="noConversion"/>
  <conditionalFormatting sqref="B3:E3">
    <cfRule type="top10" dxfId="12" priority="15" stopIfTrue="1" rank="2"/>
  </conditionalFormatting>
  <conditionalFormatting sqref="B4:E4">
    <cfRule type="top10" dxfId="11" priority="16" stopIfTrue="1" rank="2"/>
  </conditionalFormatting>
  <conditionalFormatting sqref="B5:E5">
    <cfRule type="top10" dxfId="10" priority="17" stopIfTrue="1" rank="2"/>
  </conditionalFormatting>
  <conditionalFormatting sqref="B6:E6">
    <cfRule type="top10" dxfId="9" priority="18" stopIfTrue="1" rank="2"/>
  </conditionalFormatting>
  <conditionalFormatting sqref="B7:E7">
    <cfRule type="top10" dxfId="8" priority="19" stopIfTrue="1" rank="2"/>
  </conditionalFormatting>
  <conditionalFormatting sqref="B8:E8">
    <cfRule type="top10" dxfId="7" priority="20" stopIfTrue="1" rank="2"/>
  </conditionalFormatting>
  <conditionalFormatting sqref="B9:E9">
    <cfRule type="top10" dxfId="6" priority="21" stopIfTrue="1" rank="2"/>
  </conditionalFormatting>
  <conditionalFormatting sqref="B10:E10">
    <cfRule type="top10" dxfId="5" priority="22" stopIfTrue="1" rank="2"/>
  </conditionalFormatting>
  <conditionalFormatting sqref="B11:E11">
    <cfRule type="top10" dxfId="4" priority="23" stopIfTrue="1" rank="2"/>
  </conditionalFormatting>
  <conditionalFormatting sqref="B12:E12">
    <cfRule type="top10" dxfId="3" priority="24" stopIfTrue="1" rank="2"/>
  </conditionalFormatting>
  <conditionalFormatting sqref="B13:E13">
    <cfRule type="top10" dxfId="2" priority="25" stopIfTrue="1" rank="2"/>
  </conditionalFormatting>
  <conditionalFormatting sqref="B14:E14">
    <cfRule type="top10" dxfId="1" priority="26" stopIfTrue="1" rank="2"/>
  </conditionalFormatting>
  <conditionalFormatting sqref="B15:E15">
    <cfRule type="top10" dxfId="0" priority="27" stopIfTrue="1" rank="2"/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7" sqref="E27"/>
    </sheetView>
  </sheetViews>
  <sheetFormatPr defaultRowHeight="14.4" x14ac:dyDescent="0.25"/>
  <cols>
    <col min="2" max="5" width="9" bestFit="1" customWidth="1"/>
    <col min="6" max="6" width="9.44140625" bestFit="1" customWidth="1"/>
  </cols>
  <sheetData>
    <row r="1" spans="1:6" x14ac:dyDescent="0.25">
      <c r="A1" s="50" t="s">
        <v>19</v>
      </c>
      <c r="B1" s="51"/>
      <c r="C1" s="51"/>
      <c r="D1" s="51"/>
      <c r="E1" s="51"/>
      <c r="F1" s="6"/>
    </row>
    <row r="2" spans="1:6" x14ac:dyDescent="0.25">
      <c r="A2" s="7" t="s">
        <v>21</v>
      </c>
      <c r="B2" s="8">
        <v>1</v>
      </c>
      <c r="C2" s="8">
        <v>2</v>
      </c>
      <c r="D2" s="8">
        <v>3</v>
      </c>
      <c r="E2" s="8">
        <v>4</v>
      </c>
    </row>
    <row r="3" spans="1:6" x14ac:dyDescent="0.25">
      <c r="A3" s="5" t="s">
        <v>1</v>
      </c>
      <c r="B3" s="12" t="str">
        <f>HLOOKUP(LARGE(职业分类属性!$B3:$E3,COLUMN()-1),职业分类属性!$B3:$E$16,17-ROW(),FALSE)</f>
        <v>武力</v>
      </c>
      <c r="C3" s="12" t="str">
        <f>HLOOKUP(LARGE(职业分类属性!$B3:$E3,COLUMN()-1),职业分类属性!$B3:$E$16,17-ROW(),FALSE)</f>
        <v>生命值</v>
      </c>
      <c r="D3" s="12" t="str">
        <f>HLOOKUP(LARGE(职业分类属性!$B3:$E3,COLUMN()-1),职业分类属性!$B3:$E$16,17-ROW(),FALSE)</f>
        <v>防御</v>
      </c>
      <c r="E3" s="12" t="str">
        <f>HLOOKUP(LARGE(职业分类属性!$B3:$E3,COLUMN()-1),职业分类属性!$B3:$E$16,17-ROW(),FALSE)</f>
        <v>回复力</v>
      </c>
    </row>
    <row r="4" spans="1:6" x14ac:dyDescent="0.25">
      <c r="A4" s="5" t="s">
        <v>2</v>
      </c>
      <c r="B4" s="12" t="str">
        <f>HLOOKUP(LARGE(职业分类属性!$B4:$E4,COLUMN()-1),职业分类属性!$B4:$E$16,17-ROW(),FALSE)</f>
        <v>武力</v>
      </c>
      <c r="C4" s="12" t="str">
        <f>HLOOKUP(LARGE(职业分类属性!$B4:$E4,COLUMN()-1),职业分类属性!$B4:$E$16,17-ROW(),FALSE)</f>
        <v>生命值</v>
      </c>
      <c r="D4" s="12" t="str">
        <f>HLOOKUP(LARGE(职业分类属性!$B4:$E4,COLUMN()-1),职业分类属性!$B4:$E$16,17-ROW(),FALSE)</f>
        <v>防御</v>
      </c>
      <c r="E4" s="12" t="str">
        <f>HLOOKUP(LARGE(职业分类属性!$B4:$E4,COLUMN()-1),职业分类属性!$B4:$E$16,17-ROW(),FALSE)</f>
        <v>回复力</v>
      </c>
    </row>
    <row r="5" spans="1:6" x14ac:dyDescent="0.25">
      <c r="A5" s="5" t="s">
        <v>3</v>
      </c>
      <c r="B5" s="12" t="str">
        <f>HLOOKUP(LARGE(职业分类属性!$B5:$E5,COLUMN()-1),职业分类属性!$B5:$E$16,17-ROW(),FALSE)</f>
        <v>武力</v>
      </c>
      <c r="C5" s="12" t="str">
        <f>HLOOKUP(LARGE(职业分类属性!$B5:$E5,COLUMN()-1),职业分类属性!$B5:$E$16,17-ROW(),FALSE)</f>
        <v>防御</v>
      </c>
      <c r="D5" s="12" t="str">
        <f>HLOOKUP(LARGE(职业分类属性!$B5:$E5,COLUMN()-1),职业分类属性!$B5:$E$16,17-ROW(),FALSE)</f>
        <v>生命值</v>
      </c>
      <c r="E5" s="12" t="str">
        <f>HLOOKUP(LARGE(职业分类属性!$B5:$E5,COLUMN()-1),职业分类属性!$B5:$E$16,17-ROW(),FALSE)</f>
        <v>生命值</v>
      </c>
    </row>
    <row r="6" spans="1:6" x14ac:dyDescent="0.25">
      <c r="A6" s="5" t="s">
        <v>4</v>
      </c>
      <c r="B6" s="12" t="str">
        <f>HLOOKUP(LARGE(职业分类属性!$B6:$E6,COLUMN()-1),职业分类属性!$B6:$E$16,17-ROW(),FALSE)</f>
        <v>武力</v>
      </c>
      <c r="C6" s="12" t="str">
        <f>HLOOKUP(LARGE(职业分类属性!$B6:$E6,COLUMN()-1),职业分类属性!$B6:$E$16,17-ROW(),FALSE)</f>
        <v>防御</v>
      </c>
      <c r="D6" s="12" t="str">
        <f>HLOOKUP(LARGE(职业分类属性!$B6:$E6,COLUMN()-1),职业分类属性!$B6:$E$16,17-ROW(),FALSE)</f>
        <v>生命值</v>
      </c>
      <c r="E6" s="12" t="str">
        <f>HLOOKUP(LARGE(职业分类属性!$B6:$E6,COLUMN()-1),职业分类属性!$B6:$E$16,17-ROW(),FALSE)</f>
        <v>回复力</v>
      </c>
    </row>
    <row r="7" spans="1:6" x14ac:dyDescent="0.25">
      <c r="A7" s="5" t="s">
        <v>5</v>
      </c>
      <c r="B7" s="12" t="str">
        <f>HLOOKUP(LARGE(职业分类属性!$B7:$E7,COLUMN()-1),职业分类属性!$B7:$E$16,17-ROW(),FALSE)</f>
        <v>武力</v>
      </c>
      <c r="C7" s="12" t="str">
        <f>HLOOKUP(LARGE(职业分类属性!$B7:$E7,COLUMN()-1),职业分类属性!$B7:$E$16,17-ROW(),FALSE)</f>
        <v>生命值</v>
      </c>
      <c r="D7" s="12" t="str">
        <f>HLOOKUP(LARGE(职业分类属性!$B7:$E7,COLUMN()-1),职业分类属性!$B7:$E$16,17-ROW(),FALSE)</f>
        <v>生命值</v>
      </c>
      <c r="E7" s="12" t="str">
        <f>HLOOKUP(LARGE(职业分类属性!$B7:$E7,COLUMN()-1),职业分类属性!$B7:$E$16,17-ROW(),FALSE)</f>
        <v>生命值</v>
      </c>
    </row>
    <row r="8" spans="1:6" x14ac:dyDescent="0.25">
      <c r="A8" s="5" t="s">
        <v>6</v>
      </c>
      <c r="B8" s="12" t="str">
        <f>HLOOKUP(LARGE(职业分类属性!$B8:$E8,COLUMN()-1),职业分类属性!$B8:$E$16,17-ROW(),FALSE)</f>
        <v>武力</v>
      </c>
      <c r="C8" s="12" t="str">
        <f>HLOOKUP(LARGE(职业分类属性!$B8:$E8,COLUMN()-1),职业分类属性!$B8:$E$16,17-ROW(),FALSE)</f>
        <v>回复力</v>
      </c>
      <c r="D8" s="12" t="str">
        <f>HLOOKUP(LARGE(职业分类属性!$B8:$E8,COLUMN()-1),职业分类属性!$B8:$E$16,17-ROW(),FALSE)</f>
        <v>回复力</v>
      </c>
      <c r="E8" s="12" t="str">
        <f>HLOOKUP(LARGE(职业分类属性!$B8:$E8,COLUMN()-1),职业分类属性!$B8:$E$16,17-ROW(),FALSE)</f>
        <v>生命值</v>
      </c>
    </row>
    <row r="9" spans="1:6" x14ac:dyDescent="0.25">
      <c r="A9" s="5" t="s">
        <v>7</v>
      </c>
      <c r="B9" s="12" t="str">
        <f>HLOOKUP(LARGE(职业分类属性!$B9:$E9,COLUMN()-1),职业分类属性!$B9:$E$16,17-ROW(),FALSE)</f>
        <v>武力</v>
      </c>
      <c r="C9" s="12" t="str">
        <f>HLOOKUP(LARGE(职业分类属性!$B9:$E9,COLUMN()-1),职业分类属性!$B9:$E$16,17-ROW(),FALSE)</f>
        <v>生命值</v>
      </c>
      <c r="D9" s="12" t="str">
        <f>HLOOKUP(LARGE(职业分类属性!$B9:$E9,COLUMN()-1),职业分类属性!$B9:$E$16,17-ROW(),FALSE)</f>
        <v>生命值</v>
      </c>
      <c r="E9" s="12" t="str">
        <f>HLOOKUP(LARGE(职业分类属性!$B9:$E9,COLUMN()-1),职业分类属性!$B9:$E$16,17-ROW(),FALSE)</f>
        <v>回复力</v>
      </c>
    </row>
    <row r="10" spans="1:6" x14ac:dyDescent="0.25">
      <c r="A10" s="5" t="s">
        <v>8</v>
      </c>
      <c r="B10" s="12" t="str">
        <f>HLOOKUP(LARGE(职业分类属性!$B10:$E10,COLUMN()-1),职业分类属性!$B10:$E$16,17-ROW(),FALSE)</f>
        <v>生命值</v>
      </c>
      <c r="C10" s="12" t="str">
        <f>HLOOKUP(LARGE(职业分类属性!$B10:$E10,COLUMN()-1),职业分类属性!$B10:$E$16,17-ROW(),FALSE)</f>
        <v>武力</v>
      </c>
      <c r="D10" s="12" t="str">
        <f>HLOOKUP(LARGE(职业分类属性!$B10:$E10,COLUMN()-1),职业分类属性!$B10:$E$16,17-ROW(),FALSE)</f>
        <v>防御</v>
      </c>
      <c r="E10" s="12" t="str">
        <f>HLOOKUP(LARGE(职业分类属性!$B10:$E10,COLUMN()-1),职业分类属性!$B10:$E$16,17-ROW(),FALSE)</f>
        <v>回复力</v>
      </c>
    </row>
    <row r="11" spans="1:6" x14ac:dyDescent="0.25">
      <c r="A11" s="5" t="s">
        <v>100</v>
      </c>
      <c r="B11" s="12" t="str">
        <f>HLOOKUP(LARGE(职业分类属性!$B11:$E11,COLUMN()-1),职业分类属性!$B11:$E$16,17-ROW(),FALSE)</f>
        <v>防御</v>
      </c>
      <c r="C11" s="12" t="str">
        <f>HLOOKUP(LARGE(职业分类属性!$B11:$E11,COLUMN()-1),职业分类属性!$B11:$E$16,17-ROW(),FALSE)</f>
        <v>回复力</v>
      </c>
      <c r="D11" s="12" t="str">
        <f>HLOOKUP(LARGE(职业分类属性!$B11:$E11,COLUMN()-1),职业分类属性!$B11:$E$16,17-ROW(),FALSE)</f>
        <v>生命值</v>
      </c>
      <c r="E11" s="12" t="str">
        <f>HLOOKUP(LARGE(职业分类属性!$B11:$E11,COLUMN()-1),职业分类属性!$B11:$E$16,17-ROW(),FALSE)</f>
        <v>武力</v>
      </c>
    </row>
    <row r="12" spans="1:6" x14ac:dyDescent="0.25">
      <c r="A12" s="5" t="s">
        <v>101</v>
      </c>
      <c r="B12" s="12" t="str">
        <f>HLOOKUP(LARGE(职业分类属性!$B12:$E12,COLUMN()-1),职业分类属性!$B12:$E$16,17-ROW(),FALSE)</f>
        <v>防御</v>
      </c>
      <c r="C12" s="12" t="str">
        <f>HLOOKUP(LARGE(职业分类属性!$B12:$E12,COLUMN()-1),职业分类属性!$B12:$E$16,17-ROW(),FALSE)</f>
        <v>生命值</v>
      </c>
      <c r="D12" s="12" t="str">
        <f>HLOOKUP(LARGE(职业分类属性!$B12:$E12,COLUMN()-1),职业分类属性!$B12:$E$16,17-ROW(),FALSE)</f>
        <v>回复力</v>
      </c>
      <c r="E12" s="12" t="str">
        <f>HLOOKUP(LARGE(职业分类属性!$B12:$E12,COLUMN()-1),职业分类属性!$B12:$E$16,17-ROW(),FALSE)</f>
        <v>回复力</v>
      </c>
    </row>
    <row r="13" spans="1:6" x14ac:dyDescent="0.25">
      <c r="A13" s="5" t="s">
        <v>102</v>
      </c>
      <c r="B13" s="12" t="str">
        <f>HLOOKUP(LARGE(职业分类属性!$B13:$E13,COLUMN()-1),职业分类属性!$B13:$E$16,17-ROW(),FALSE)</f>
        <v>生命值</v>
      </c>
      <c r="C13" s="12" t="str">
        <f>HLOOKUP(LARGE(职业分类属性!$B13:$E13,COLUMN()-1),职业分类属性!$B13:$E$16,17-ROW(),FALSE)</f>
        <v>生命值</v>
      </c>
      <c r="D13" s="12" t="str">
        <f>HLOOKUP(LARGE(职业分类属性!$B13:$E13,COLUMN()-1),职业分类属性!$B13:$E$16,17-ROW(),FALSE)</f>
        <v>生命值</v>
      </c>
      <c r="E13" s="12" t="str">
        <f>HLOOKUP(LARGE(职业分类属性!$B13:$E13,COLUMN()-1),职业分类属性!$B13:$E$16,17-ROW(),FALSE)</f>
        <v>生命值</v>
      </c>
    </row>
    <row r="14" spans="1:6" x14ac:dyDescent="0.25">
      <c r="A14" s="5" t="s">
        <v>9</v>
      </c>
      <c r="B14" s="12" t="str">
        <f>HLOOKUP(LARGE(职业分类属性!$B14:$E14,COLUMN()-1),职业分类属性!$B14:$E$16,17-ROW(),FALSE)</f>
        <v>回复力</v>
      </c>
      <c r="C14" s="12" t="str">
        <f>HLOOKUP(LARGE(职业分类属性!$B14:$E14,COLUMN()-1),职业分类属性!$B14:$E$16,17-ROW(),FALSE)</f>
        <v>防御</v>
      </c>
      <c r="D14" s="12" t="str">
        <f>HLOOKUP(LARGE(职业分类属性!$B14:$E14,COLUMN()-1),职业分类属性!$B14:$E$16,17-ROW(),FALSE)</f>
        <v>生命值</v>
      </c>
      <c r="E14" s="12" t="str">
        <f>HLOOKUP(LARGE(职业分类属性!$B14:$E14,COLUMN()-1),职业分类属性!$B14:$E$16,17-ROW(),FALSE)</f>
        <v>武力</v>
      </c>
    </row>
    <row r="15" spans="1:6" x14ac:dyDescent="0.25">
      <c r="A15" s="5" t="s">
        <v>10</v>
      </c>
      <c r="B15" s="12" t="str">
        <f>HLOOKUP(LARGE(职业分类属性!$B15:$E15,COLUMN()-1),职业分类属性!$B15:$E$16,17-ROW(),FALSE)</f>
        <v>武力</v>
      </c>
      <c r="C15" s="12" t="str">
        <f>HLOOKUP(LARGE(职业分类属性!$B15:$E15,COLUMN()-1),职业分类属性!$B15:$E$16,17-ROW(),FALSE)</f>
        <v>防御</v>
      </c>
      <c r="D15" s="12" t="str">
        <f>HLOOKUP(LARGE(职业分类属性!$B15:$E15,COLUMN()-1),职业分类属性!$B15:$E$16,17-ROW(),FALSE)</f>
        <v>生命值</v>
      </c>
      <c r="E15" s="12" t="str">
        <f>HLOOKUP(LARGE(职业分类属性!$B15:$E15,COLUMN()-1),职业分类属性!$B15:$E$16,17-ROW(),FALSE)</f>
        <v>回复力</v>
      </c>
    </row>
    <row r="16" spans="1:6" x14ac:dyDescent="0.25">
      <c r="A16" s="7" t="s">
        <v>21</v>
      </c>
      <c r="B16" s="8">
        <f>B2</f>
        <v>1</v>
      </c>
      <c r="C16" s="8">
        <f t="shared" ref="C16:E16" si="0">C2</f>
        <v>2</v>
      </c>
      <c r="D16" s="8">
        <f t="shared" si="0"/>
        <v>3</v>
      </c>
      <c r="E16" s="8">
        <f t="shared" si="0"/>
        <v>4</v>
      </c>
    </row>
  </sheetData>
  <mergeCells count="1">
    <mergeCell ref="A1:E1"/>
  </mergeCells>
  <phoneticPr fontId="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4" workbookViewId="0">
      <selection activeCell="H15" sqref="H15"/>
    </sheetView>
  </sheetViews>
  <sheetFormatPr defaultRowHeight="14.4" x14ac:dyDescent="0.25"/>
  <cols>
    <col min="1" max="1" width="14.109375" bestFit="1" customWidth="1"/>
    <col min="7" max="7" width="11.6640625" bestFit="1" customWidth="1"/>
    <col min="11" max="11" width="9.77734375" bestFit="1" customWidth="1"/>
    <col min="12" max="12" width="14.109375" bestFit="1" customWidth="1"/>
  </cols>
  <sheetData>
    <row r="1" spans="1:14" x14ac:dyDescent="0.25">
      <c r="A1" s="50" t="s">
        <v>19</v>
      </c>
      <c r="B1" s="51"/>
      <c r="C1" s="51"/>
      <c r="D1" s="51"/>
      <c r="E1" s="51"/>
      <c r="F1" s="51"/>
      <c r="G1" s="52"/>
      <c r="K1" s="48" t="s">
        <v>25</v>
      </c>
      <c r="L1" s="53"/>
    </row>
    <row r="2" spans="1:14" x14ac:dyDescent="0.25">
      <c r="A2" s="7" t="s">
        <v>22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K2" s="20" t="s">
        <v>24</v>
      </c>
      <c r="L2" s="20" t="s">
        <v>54</v>
      </c>
      <c r="N2" s="20" t="s">
        <v>28</v>
      </c>
    </row>
    <row r="3" spans="1:14" x14ac:dyDescent="0.25">
      <c r="A3" s="5" t="s">
        <v>24</v>
      </c>
      <c r="B3" s="14">
        <f>B$5*($K$3/($K$3+$L$3))</f>
        <v>5120</v>
      </c>
      <c r="C3" s="14">
        <f t="shared" ref="C3:G3" si="0">C$5*($K$3/($K$3+$L$3))</f>
        <v>6640</v>
      </c>
      <c r="D3" s="14">
        <f t="shared" si="0"/>
        <v>8640</v>
      </c>
      <c r="E3" s="14">
        <f t="shared" si="0"/>
        <v>11200</v>
      </c>
      <c r="F3" s="14">
        <f t="shared" si="0"/>
        <v>14560</v>
      </c>
      <c r="G3" s="14">
        <f t="shared" si="0"/>
        <v>18880</v>
      </c>
      <c r="K3" s="13">
        <v>4</v>
      </c>
      <c r="L3" s="13">
        <v>1</v>
      </c>
      <c r="N3" s="15">
        <v>0.3</v>
      </c>
    </row>
    <row r="4" spans="1:14" x14ac:dyDescent="0.25">
      <c r="A4" s="5" t="s">
        <v>55</v>
      </c>
      <c r="B4" s="14">
        <f>B$5*($L$3/($K$3+$L$3))</f>
        <v>1280</v>
      </c>
      <c r="C4" s="14">
        <f t="shared" ref="C4:G4" si="1">C$5*($L$3/($K$3+$L$3))</f>
        <v>1660</v>
      </c>
      <c r="D4" s="14">
        <f t="shared" si="1"/>
        <v>2160</v>
      </c>
      <c r="E4" s="14">
        <f t="shared" si="1"/>
        <v>2800</v>
      </c>
      <c r="F4" s="14">
        <f t="shared" si="1"/>
        <v>3640</v>
      </c>
      <c r="G4" s="14">
        <f t="shared" si="1"/>
        <v>4720</v>
      </c>
    </row>
    <row r="5" spans="1:14" x14ac:dyDescent="0.25">
      <c r="A5" s="5" t="s">
        <v>23</v>
      </c>
      <c r="B5" s="14">
        <f>ROUND(C5/(1+$N$3),-2)</f>
        <v>6400</v>
      </c>
      <c r="C5" s="14">
        <f>ROUND(D5/(1+$N$3),-2)</f>
        <v>8300</v>
      </c>
      <c r="D5" s="14">
        <f>ROUND(E5/(1+$N$3),-2)</f>
        <v>10800</v>
      </c>
      <c r="E5" s="14">
        <f>ROUND(F5/(1+$N$3),-2)</f>
        <v>14000</v>
      </c>
      <c r="F5" s="14">
        <f>ROUND(G5/(1+$N$3),-2)</f>
        <v>18200</v>
      </c>
      <c r="G5" s="14">
        <f>'6星每级加强属性曲线演算'!B17</f>
        <v>23600</v>
      </c>
    </row>
    <row r="6" spans="1:14" x14ac:dyDescent="0.25">
      <c r="A6" s="5" t="s">
        <v>56</v>
      </c>
      <c r="B6" s="14">
        <f>$G$5/B5</f>
        <v>3.6875</v>
      </c>
      <c r="C6" s="14">
        <f t="shared" ref="C6:F6" si="2">$G$5/C5</f>
        <v>2.8433734939759034</v>
      </c>
      <c r="D6" s="14">
        <f t="shared" si="2"/>
        <v>2.1851851851851851</v>
      </c>
      <c r="E6" s="14">
        <f t="shared" si="2"/>
        <v>1.6857142857142857</v>
      </c>
      <c r="F6" s="14">
        <f t="shared" si="2"/>
        <v>1.2967032967032968</v>
      </c>
      <c r="G6" s="14" t="s">
        <v>68</v>
      </c>
    </row>
  </sheetData>
  <mergeCells count="2">
    <mergeCell ref="A1:G1"/>
    <mergeCell ref="K1:L1"/>
  </mergeCells>
  <phoneticPr fontId="1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4" sqref="A4:H4"/>
    </sheetView>
  </sheetViews>
  <sheetFormatPr defaultRowHeight="14.4" x14ac:dyDescent="0.25"/>
  <sheetData>
    <row r="1" spans="1:8" x14ac:dyDescent="0.25">
      <c r="A1" s="48" t="s">
        <v>26</v>
      </c>
      <c r="B1" s="49"/>
      <c r="C1" s="49"/>
      <c r="D1" s="49"/>
      <c r="E1" s="49"/>
      <c r="F1" s="49"/>
      <c r="G1" s="53"/>
      <c r="H1" s="22"/>
    </row>
    <row r="2" spans="1:8" x14ac:dyDescent="0.25">
      <c r="A2" s="19" t="s">
        <v>21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 t="s">
        <v>40</v>
      </c>
    </row>
    <row r="3" spans="1:8" x14ac:dyDescent="0.25">
      <c r="A3" s="5" t="s">
        <v>27</v>
      </c>
      <c r="B3" s="14">
        <v>6</v>
      </c>
      <c r="C3" s="14">
        <v>5</v>
      </c>
      <c r="D3" s="14">
        <v>3</v>
      </c>
      <c r="E3" s="14">
        <v>2</v>
      </c>
      <c r="F3" s="14">
        <v>1</v>
      </c>
      <c r="G3" s="14">
        <v>1</v>
      </c>
      <c r="H3" s="14">
        <f>SUM(B3:G3)</f>
        <v>18</v>
      </c>
    </row>
    <row r="4" spans="1:8" x14ac:dyDescent="0.25">
      <c r="A4" s="5" t="s">
        <v>53</v>
      </c>
      <c r="B4" s="12">
        <f>B3/$H$3</f>
        <v>0.33333333333333331</v>
      </c>
      <c r="C4" s="12">
        <f t="shared" ref="C4:G4" si="0">C3/$H$3</f>
        <v>0.27777777777777779</v>
      </c>
      <c r="D4" s="12">
        <f t="shared" si="0"/>
        <v>0.16666666666666666</v>
      </c>
      <c r="E4" s="12">
        <f t="shared" si="0"/>
        <v>0.1111111111111111</v>
      </c>
      <c r="F4" s="12">
        <f t="shared" si="0"/>
        <v>5.5555555555555552E-2</v>
      </c>
      <c r="G4" s="12">
        <f t="shared" si="0"/>
        <v>5.5555555555555552E-2</v>
      </c>
      <c r="H4" s="12">
        <f>H3/$H$3</f>
        <v>1</v>
      </c>
    </row>
  </sheetData>
  <mergeCells count="1">
    <mergeCell ref="A1:G1"/>
  </mergeCells>
  <phoneticPr fontId="1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E9" sqref="E9"/>
    </sheetView>
  </sheetViews>
  <sheetFormatPr defaultRowHeight="14.4" x14ac:dyDescent="0.25"/>
  <sheetData>
    <row r="1" spans="1:8" x14ac:dyDescent="0.25">
      <c r="A1" s="48" t="s">
        <v>49</v>
      </c>
      <c r="B1" s="49"/>
      <c r="C1" s="49"/>
      <c r="D1" s="49"/>
      <c r="E1" s="49"/>
      <c r="F1" s="49"/>
      <c r="G1" s="53"/>
      <c r="H1" s="22"/>
    </row>
    <row r="2" spans="1:8" x14ac:dyDescent="0.25">
      <c r="A2" s="19" t="s">
        <v>21</v>
      </c>
      <c r="B2" s="24">
        <v>1</v>
      </c>
      <c r="C2" s="24">
        <v>2</v>
      </c>
      <c r="D2" s="20">
        <v>3</v>
      </c>
      <c r="E2" s="20">
        <v>4</v>
      </c>
      <c r="F2" s="20">
        <v>5</v>
      </c>
      <c r="G2" s="20">
        <v>6</v>
      </c>
      <c r="H2" s="20" t="s">
        <v>40</v>
      </c>
    </row>
    <row r="3" spans="1:8" x14ac:dyDescent="0.25">
      <c r="A3" s="5" t="s">
        <v>27</v>
      </c>
      <c r="B3" s="14">
        <v>5</v>
      </c>
      <c r="C3" s="14">
        <v>8</v>
      </c>
      <c r="D3" s="14">
        <v>2</v>
      </c>
      <c r="E3" s="14">
        <v>1</v>
      </c>
      <c r="F3" s="14">
        <v>1</v>
      </c>
      <c r="G3" s="14">
        <v>1</v>
      </c>
      <c r="H3" s="14">
        <f>SUM(B3:G3)</f>
        <v>18</v>
      </c>
    </row>
    <row r="4" spans="1:8" x14ac:dyDescent="0.25">
      <c r="A4" s="5" t="s">
        <v>53</v>
      </c>
      <c r="B4" s="12">
        <f>B3/$H$3</f>
        <v>0.27777777777777779</v>
      </c>
      <c r="C4" s="12">
        <f t="shared" ref="C4:G4" si="0">C3/$H$3</f>
        <v>0.44444444444444442</v>
      </c>
      <c r="D4" s="12">
        <f t="shared" si="0"/>
        <v>0.1111111111111111</v>
      </c>
      <c r="E4" s="12">
        <f t="shared" si="0"/>
        <v>5.5555555555555552E-2</v>
      </c>
      <c r="F4" s="12">
        <f t="shared" si="0"/>
        <v>5.5555555555555552E-2</v>
      </c>
      <c r="G4" s="12">
        <f t="shared" si="0"/>
        <v>5.5555555555555552E-2</v>
      </c>
      <c r="H4" s="12">
        <f>H3/$H$3</f>
        <v>1</v>
      </c>
    </row>
  </sheetData>
  <mergeCells count="1">
    <mergeCell ref="A1:G1"/>
  </mergeCells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8" sqref="C8"/>
    </sheetView>
  </sheetViews>
  <sheetFormatPr defaultRowHeight="14.4" x14ac:dyDescent="0.25"/>
  <sheetData>
    <row r="1" spans="1:8" x14ac:dyDescent="0.25">
      <c r="A1" s="48" t="s">
        <v>49</v>
      </c>
      <c r="B1" s="49"/>
      <c r="C1" s="49"/>
      <c r="D1" s="49"/>
      <c r="E1" s="49"/>
      <c r="F1" s="49"/>
      <c r="G1" s="53"/>
      <c r="H1" s="22"/>
    </row>
    <row r="2" spans="1:8" x14ac:dyDescent="0.25">
      <c r="A2" s="19" t="s">
        <v>21</v>
      </c>
      <c r="B2" s="20">
        <v>1</v>
      </c>
      <c r="C2" s="20">
        <v>2</v>
      </c>
      <c r="D2" s="20">
        <v>3</v>
      </c>
      <c r="E2" s="20">
        <v>4</v>
      </c>
      <c r="F2" s="20">
        <v>5</v>
      </c>
      <c r="G2" s="20">
        <v>6</v>
      </c>
      <c r="H2" s="20" t="s">
        <v>40</v>
      </c>
    </row>
    <row r="3" spans="1:8" x14ac:dyDescent="0.25">
      <c r="A3" s="5" t="s">
        <v>27</v>
      </c>
      <c r="B3" s="14">
        <v>3</v>
      </c>
      <c r="C3" s="14">
        <v>3</v>
      </c>
      <c r="D3" s="14">
        <v>3</v>
      </c>
      <c r="E3" s="14">
        <v>3</v>
      </c>
      <c r="F3" s="14">
        <v>3</v>
      </c>
      <c r="G3" s="14">
        <v>3</v>
      </c>
      <c r="H3" s="14">
        <f>SUM(B3:G3)</f>
        <v>18</v>
      </c>
    </row>
    <row r="4" spans="1:8" x14ac:dyDescent="0.25">
      <c r="A4" s="5" t="s">
        <v>53</v>
      </c>
      <c r="B4" s="12">
        <f>B3/$H$3</f>
        <v>0.16666666666666666</v>
      </c>
      <c r="C4" s="12">
        <f t="shared" ref="C4:G4" si="0">C3/$H$3</f>
        <v>0.16666666666666666</v>
      </c>
      <c r="D4" s="12">
        <f t="shared" si="0"/>
        <v>0.16666666666666666</v>
      </c>
      <c r="E4" s="12">
        <f t="shared" si="0"/>
        <v>0.16666666666666666</v>
      </c>
      <c r="F4" s="12">
        <f t="shared" si="0"/>
        <v>0.16666666666666666</v>
      </c>
      <c r="G4" s="12">
        <f t="shared" si="0"/>
        <v>0.16666666666666666</v>
      </c>
      <c r="H4" s="12">
        <f>H3/$H$3</f>
        <v>1</v>
      </c>
    </row>
  </sheetData>
  <mergeCells count="1">
    <mergeCell ref="A1:G1"/>
  </mergeCells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20" sqref="H20"/>
    </sheetView>
  </sheetViews>
  <sheetFormatPr defaultRowHeight="14.4" x14ac:dyDescent="0.25"/>
  <sheetData>
    <row r="1" spans="1:4" x14ac:dyDescent="0.25">
      <c r="A1" s="13">
        <v>1</v>
      </c>
      <c r="B1" s="13">
        <v>2</v>
      </c>
      <c r="C1" s="13">
        <v>3</v>
      </c>
      <c r="D1" s="13">
        <v>4</v>
      </c>
    </row>
    <row r="2" spans="1:4" x14ac:dyDescent="0.25">
      <c r="A2" s="20" t="s">
        <v>14</v>
      </c>
      <c r="B2" s="20" t="s">
        <v>15</v>
      </c>
      <c r="C2" s="20" t="s">
        <v>16</v>
      </c>
      <c r="D2" s="20" t="s">
        <v>98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70" zoomScaleNormal="70" workbookViewId="0">
      <selection sqref="A1:B17"/>
    </sheetView>
  </sheetViews>
  <sheetFormatPr defaultRowHeight="14.4" x14ac:dyDescent="0.25"/>
  <cols>
    <col min="1" max="1" width="14.44140625" style="13" bestFit="1" customWidth="1"/>
    <col min="2" max="2" width="17.109375" style="13" bestFit="1" customWidth="1"/>
    <col min="3" max="3" width="89.44140625" style="45" bestFit="1" customWidth="1"/>
    <col min="4" max="19" width="11.33203125" bestFit="1" customWidth="1"/>
  </cols>
  <sheetData>
    <row r="1" spans="1:19" x14ac:dyDescent="0.25">
      <c r="A1" s="38" t="s">
        <v>70</v>
      </c>
      <c r="B1" s="39" t="s">
        <v>71</v>
      </c>
      <c r="C1" s="39" t="s">
        <v>72</v>
      </c>
      <c r="D1" s="39" t="s">
        <v>73</v>
      </c>
      <c r="E1" s="39" t="s">
        <v>74</v>
      </c>
      <c r="F1" s="39" t="s">
        <v>75</v>
      </c>
      <c r="G1" s="39" t="s">
        <v>76</v>
      </c>
      <c r="H1" s="39" t="s">
        <v>77</v>
      </c>
      <c r="I1" s="39" t="s">
        <v>78</v>
      </c>
      <c r="J1" s="39" t="s">
        <v>79</v>
      </c>
      <c r="K1" s="39" t="s">
        <v>80</v>
      </c>
      <c r="L1" s="39" t="s">
        <v>81</v>
      </c>
      <c r="M1" s="39" t="s">
        <v>82</v>
      </c>
      <c r="N1" s="39" t="s">
        <v>83</v>
      </c>
      <c r="O1" s="39" t="s">
        <v>84</v>
      </c>
      <c r="P1" s="39" t="s">
        <v>85</v>
      </c>
      <c r="Q1" s="39" t="s">
        <v>86</v>
      </c>
      <c r="R1" s="39" t="s">
        <v>87</v>
      </c>
      <c r="S1" s="40" t="s">
        <v>88</v>
      </c>
    </row>
    <row r="2" spans="1:19" x14ac:dyDescent="0.25">
      <c r="A2" s="35">
        <v>0</v>
      </c>
      <c r="B2" s="6"/>
      <c r="C2" s="44" t="str">
        <f>IF(D2&lt;&gt;"",D2&amp;","&amp;E2,"")&amp;IF(F2&lt;&gt;"",";"&amp;F2&amp;","&amp;G2,"")&amp;IF(H2&lt;&gt;"",";"&amp;H2&amp;","&amp;I2,"")&amp;IF(J2&lt;&gt;"",";"&amp;J2&amp;","&amp;K2,"")&amp;IF(L2&lt;&gt;"",";"&amp;L2&amp;","&amp;M2,"")&amp;IF(N2&lt;&gt;"",";"&amp;N2&amp;","&amp;O2,"")&amp;IF(P2&lt;&gt;"",";"&amp;P2&amp;","&amp;Q2,"")&amp;IF(R2&lt;&gt;"",";"&amp;R2&amp;","&amp;S2,"")</f>
        <v/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37"/>
    </row>
    <row r="3" spans="1:19" x14ac:dyDescent="0.25">
      <c r="A3" s="35">
        <v>1</v>
      </c>
      <c r="B3" s="6">
        <v>5</v>
      </c>
      <c r="C3" s="44" t="str">
        <f t="shared" ref="C3:C17" si="0">IF(D3&lt;&gt;"",D3&amp;","&amp;E3,"")&amp;IF(F3&lt;&gt;"",";"&amp;F3&amp;","&amp;G3,"")&amp;IF(H3&lt;&gt;"",";"&amp;H3&amp;","&amp;I3,"")&amp;IF(J3&lt;&gt;"",";"&amp;J3&amp;","&amp;K3,"")&amp;IF(L3&lt;&gt;"",";"&amp;L3&amp;","&amp;M3,"")&amp;IF(N3&lt;&gt;"",";"&amp;N3&amp;","&amp;O3,"")&amp;IF(P3&lt;&gt;"",";"&amp;P3&amp;","&amp;Q3,"")&amp;IF(R3&lt;&gt;"",";"&amp;R3&amp;","&amp;S3,"")</f>
        <v>10001,10;10002,11</v>
      </c>
      <c r="D3" s="6">
        <v>10001</v>
      </c>
      <c r="E3" s="6">
        <v>10</v>
      </c>
      <c r="F3" s="6">
        <v>10002</v>
      </c>
      <c r="G3" s="6">
        <v>11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37"/>
    </row>
    <row r="4" spans="1:19" x14ac:dyDescent="0.25">
      <c r="A4" s="35">
        <v>2</v>
      </c>
      <c r="B4" s="6"/>
      <c r="C4" s="44" t="str">
        <f t="shared" si="0"/>
        <v>10001,10;10002,11;10003,12</v>
      </c>
      <c r="D4" s="6">
        <v>10001</v>
      </c>
      <c r="E4" s="6">
        <v>10</v>
      </c>
      <c r="F4" s="6">
        <v>10002</v>
      </c>
      <c r="G4" s="6">
        <v>11</v>
      </c>
      <c r="H4" s="6">
        <v>10003</v>
      </c>
      <c r="I4" s="6">
        <v>12</v>
      </c>
      <c r="J4" s="6"/>
      <c r="K4" s="6"/>
      <c r="L4" s="6"/>
      <c r="M4" s="6"/>
      <c r="N4" s="6"/>
      <c r="O4" s="6"/>
      <c r="P4" s="6"/>
      <c r="Q4" s="6"/>
      <c r="R4" s="6"/>
      <c r="S4" s="37"/>
    </row>
    <row r="5" spans="1:19" x14ac:dyDescent="0.25">
      <c r="A5" s="35">
        <v>3</v>
      </c>
      <c r="B5" s="6"/>
      <c r="C5" s="44" t="str">
        <f t="shared" si="0"/>
        <v>10001,10;10002,11;10003,12;10003,13</v>
      </c>
      <c r="D5" s="6">
        <v>10001</v>
      </c>
      <c r="E5" s="6">
        <v>10</v>
      </c>
      <c r="F5" s="6">
        <v>10002</v>
      </c>
      <c r="G5" s="6">
        <v>11</v>
      </c>
      <c r="H5" s="6">
        <v>10003</v>
      </c>
      <c r="I5" s="6">
        <v>12</v>
      </c>
      <c r="J5" s="6">
        <v>10003</v>
      </c>
      <c r="K5" s="6">
        <v>13</v>
      </c>
      <c r="L5" s="6"/>
      <c r="M5" s="6"/>
      <c r="N5" s="6"/>
      <c r="O5" s="6"/>
      <c r="P5" s="6"/>
      <c r="Q5" s="6"/>
      <c r="R5" s="6"/>
      <c r="S5" s="37"/>
    </row>
    <row r="6" spans="1:19" x14ac:dyDescent="0.25">
      <c r="A6" s="35">
        <v>4</v>
      </c>
      <c r="B6" s="6">
        <v>10</v>
      </c>
      <c r="C6" s="44" t="str">
        <f t="shared" si="0"/>
        <v>10001,10;10002,11;10003,12;10003,13</v>
      </c>
      <c r="D6" s="6">
        <v>10001</v>
      </c>
      <c r="E6" s="6">
        <v>10</v>
      </c>
      <c r="F6" s="6">
        <v>10002</v>
      </c>
      <c r="G6" s="6">
        <v>11</v>
      </c>
      <c r="H6" s="6">
        <v>10003</v>
      </c>
      <c r="I6" s="6">
        <v>12</v>
      </c>
      <c r="J6" s="6">
        <v>10003</v>
      </c>
      <c r="K6" s="6">
        <v>13</v>
      </c>
      <c r="L6" s="6"/>
      <c r="M6" s="6"/>
      <c r="N6" s="6"/>
      <c r="O6" s="6"/>
      <c r="P6" s="6"/>
      <c r="Q6" s="6"/>
      <c r="R6" s="6"/>
      <c r="S6" s="37"/>
    </row>
    <row r="7" spans="1:19" x14ac:dyDescent="0.25">
      <c r="A7" s="35">
        <v>5</v>
      </c>
      <c r="B7" s="6"/>
      <c r="C7" s="44" t="str">
        <f t="shared" si="0"/>
        <v>10001,10;10002,11;10003,12;10003,12;10003,14</v>
      </c>
      <c r="D7" s="6">
        <v>10001</v>
      </c>
      <c r="E7" s="6">
        <v>10</v>
      </c>
      <c r="F7" s="6">
        <v>10002</v>
      </c>
      <c r="G7" s="6">
        <v>11</v>
      </c>
      <c r="H7" s="6">
        <v>10003</v>
      </c>
      <c r="I7" s="6">
        <v>12</v>
      </c>
      <c r="J7" s="6">
        <v>10003</v>
      </c>
      <c r="K7" s="6">
        <v>12</v>
      </c>
      <c r="L7" s="6">
        <v>10003</v>
      </c>
      <c r="M7" s="6">
        <v>14</v>
      </c>
      <c r="N7" s="6"/>
      <c r="O7" s="6"/>
      <c r="P7" s="6"/>
      <c r="Q7" s="6"/>
      <c r="R7" s="6"/>
      <c r="S7" s="37"/>
    </row>
    <row r="8" spans="1:19" x14ac:dyDescent="0.25">
      <c r="A8" s="35">
        <v>6</v>
      </c>
      <c r="B8" s="6"/>
      <c r="C8" s="44" t="str">
        <f>IF(D8&lt;&gt;"",D8&amp;","&amp;E8,"")&amp;IF(F8&lt;&gt;"",";"&amp;F8&amp;","&amp;G8,"")&amp;IF(H8&lt;&gt;"",";"&amp;H8&amp;","&amp;I8,"")&amp;IF(J8&lt;&gt;"",";"&amp;J8&amp;","&amp;K8,"")&amp;IF(L8&lt;&gt;"",";"&amp;L8&amp;","&amp;M8,"")&amp;IF(N8&lt;&gt;"",";"&amp;N8&amp;","&amp;O8,"")&amp;IF(P8&lt;&gt;"",";"&amp;P8&amp;","&amp;Q8,"")&amp;IF(R8&lt;&gt;"",";"&amp;R8&amp;","&amp;S8,"")</f>
        <v>10001,10;10002,11;10003,12;10003,12;10003,14</v>
      </c>
      <c r="D8" s="6">
        <v>10001</v>
      </c>
      <c r="E8" s="6">
        <v>10</v>
      </c>
      <c r="F8" s="6">
        <v>10002</v>
      </c>
      <c r="G8" s="6">
        <v>11</v>
      </c>
      <c r="H8" s="6">
        <v>10003</v>
      </c>
      <c r="I8" s="6">
        <v>12</v>
      </c>
      <c r="J8" s="6">
        <v>10003</v>
      </c>
      <c r="K8" s="6">
        <v>12</v>
      </c>
      <c r="L8" s="6">
        <v>10003</v>
      </c>
      <c r="M8" s="6">
        <v>14</v>
      </c>
      <c r="N8" s="6"/>
      <c r="O8" s="6"/>
      <c r="P8" s="6"/>
      <c r="Q8" s="6"/>
      <c r="R8" s="6"/>
      <c r="S8" s="37"/>
    </row>
    <row r="9" spans="1:19" x14ac:dyDescent="0.25">
      <c r="A9" s="35">
        <v>7</v>
      </c>
      <c r="B9" s="6">
        <v>20</v>
      </c>
      <c r="C9" s="44" t="str">
        <f t="shared" si="0"/>
        <v>10001,10;10002,11;10003,12;10003,12;10003,14;10003,15</v>
      </c>
      <c r="D9" s="6">
        <v>10001</v>
      </c>
      <c r="E9" s="6">
        <v>10</v>
      </c>
      <c r="F9" s="6">
        <v>10002</v>
      </c>
      <c r="G9" s="6">
        <v>11</v>
      </c>
      <c r="H9" s="6">
        <v>10003</v>
      </c>
      <c r="I9" s="6">
        <v>12</v>
      </c>
      <c r="J9" s="6">
        <v>10003</v>
      </c>
      <c r="K9" s="6">
        <v>12</v>
      </c>
      <c r="L9" s="6">
        <v>10003</v>
      </c>
      <c r="M9" s="6">
        <v>14</v>
      </c>
      <c r="N9" s="6">
        <v>10003</v>
      </c>
      <c r="O9" s="6">
        <v>15</v>
      </c>
      <c r="P9" s="6"/>
      <c r="Q9" s="6"/>
      <c r="R9" s="6"/>
      <c r="S9" s="6"/>
    </row>
    <row r="10" spans="1:19" x14ac:dyDescent="0.25">
      <c r="A10" s="35">
        <v>8</v>
      </c>
      <c r="B10" s="6"/>
      <c r="C10" s="44" t="str">
        <f t="shared" si="0"/>
        <v>10001,10;10002,11;10003,12;10003,12;10003,14;10003,15</v>
      </c>
      <c r="D10" s="6">
        <v>10001</v>
      </c>
      <c r="E10" s="6">
        <v>10</v>
      </c>
      <c r="F10" s="6">
        <v>10002</v>
      </c>
      <c r="G10" s="6">
        <v>11</v>
      </c>
      <c r="H10" s="6">
        <v>10003</v>
      </c>
      <c r="I10" s="6">
        <v>12</v>
      </c>
      <c r="J10" s="6">
        <v>10003</v>
      </c>
      <c r="K10" s="6">
        <v>12</v>
      </c>
      <c r="L10" s="6">
        <v>10003</v>
      </c>
      <c r="M10" s="6">
        <v>14</v>
      </c>
      <c r="N10" s="6">
        <v>10003</v>
      </c>
      <c r="O10" s="6">
        <v>15</v>
      </c>
      <c r="P10" s="6"/>
      <c r="Q10" s="6"/>
      <c r="R10" s="6"/>
      <c r="S10" s="37"/>
    </row>
    <row r="11" spans="1:19" x14ac:dyDescent="0.25">
      <c r="A11" s="35">
        <v>9</v>
      </c>
      <c r="B11" s="6"/>
      <c r="C11" s="44" t="str">
        <f t="shared" si="0"/>
        <v>10001,10;10002,11;10003,12;10003,12;10003,14;10003,15</v>
      </c>
      <c r="D11" s="6">
        <v>10001</v>
      </c>
      <c r="E11" s="6">
        <v>10</v>
      </c>
      <c r="F11" s="6">
        <v>10002</v>
      </c>
      <c r="G11" s="6">
        <v>11</v>
      </c>
      <c r="H11" s="6">
        <v>10003</v>
      </c>
      <c r="I11" s="6">
        <v>12</v>
      </c>
      <c r="J11" s="6">
        <v>10003</v>
      </c>
      <c r="K11" s="6">
        <v>12</v>
      </c>
      <c r="L11" s="6">
        <v>10003</v>
      </c>
      <c r="M11" s="6">
        <v>14</v>
      </c>
      <c r="N11" s="6">
        <v>10003</v>
      </c>
      <c r="O11" s="6">
        <v>15</v>
      </c>
      <c r="P11" s="6"/>
      <c r="Q11" s="6"/>
      <c r="R11" s="6"/>
      <c r="S11" s="37"/>
    </row>
    <row r="12" spans="1:19" x14ac:dyDescent="0.25">
      <c r="A12" s="35">
        <v>10</v>
      </c>
      <c r="B12" s="6">
        <v>30</v>
      </c>
      <c r="C12" s="44" t="str">
        <f t="shared" si="0"/>
        <v>10001,10;10002,11;10003,12;10003,12;10003,14;10003,15;10003,16</v>
      </c>
      <c r="D12" s="6">
        <v>10001</v>
      </c>
      <c r="E12" s="6">
        <v>10</v>
      </c>
      <c r="F12" s="6">
        <v>10002</v>
      </c>
      <c r="G12" s="6">
        <v>11</v>
      </c>
      <c r="H12" s="6">
        <v>10003</v>
      </c>
      <c r="I12" s="6">
        <v>12</v>
      </c>
      <c r="J12" s="6">
        <v>10003</v>
      </c>
      <c r="K12" s="6">
        <v>12</v>
      </c>
      <c r="L12" s="6">
        <v>10003</v>
      </c>
      <c r="M12" s="6">
        <v>14</v>
      </c>
      <c r="N12" s="6">
        <v>10003</v>
      </c>
      <c r="O12" s="6">
        <v>15</v>
      </c>
      <c r="P12" s="6">
        <v>10003</v>
      </c>
      <c r="Q12" s="6">
        <v>16</v>
      </c>
      <c r="R12" s="6"/>
      <c r="S12" s="37"/>
    </row>
    <row r="13" spans="1:19" x14ac:dyDescent="0.25">
      <c r="A13" s="35">
        <v>11</v>
      </c>
      <c r="B13" s="6"/>
      <c r="C13" s="44" t="str">
        <f t="shared" si="0"/>
        <v>10001,10;10002,11;10003,12;10003,12;10003,14;10003,15;10003,16</v>
      </c>
      <c r="D13" s="6">
        <v>10001</v>
      </c>
      <c r="E13" s="6">
        <v>10</v>
      </c>
      <c r="F13" s="6">
        <v>10002</v>
      </c>
      <c r="G13" s="6">
        <v>11</v>
      </c>
      <c r="H13" s="6">
        <v>10003</v>
      </c>
      <c r="I13" s="6">
        <v>12</v>
      </c>
      <c r="J13" s="6">
        <v>10003</v>
      </c>
      <c r="K13" s="6">
        <v>12</v>
      </c>
      <c r="L13" s="6">
        <v>10003</v>
      </c>
      <c r="M13" s="6">
        <v>14</v>
      </c>
      <c r="N13" s="6">
        <v>10003</v>
      </c>
      <c r="O13" s="6">
        <v>15</v>
      </c>
      <c r="P13" s="6">
        <v>10003</v>
      </c>
      <c r="Q13" s="6">
        <v>16</v>
      </c>
      <c r="R13" s="6"/>
      <c r="S13" s="37"/>
    </row>
    <row r="14" spans="1:19" x14ac:dyDescent="0.25">
      <c r="A14" s="35">
        <v>12</v>
      </c>
      <c r="B14" s="6"/>
      <c r="C14" s="44" t="str">
        <f t="shared" si="0"/>
        <v>10001,10;10002,11;10003,12;10003,12;10003,14;10003,15;10003,16</v>
      </c>
      <c r="D14" s="6">
        <v>10001</v>
      </c>
      <c r="E14" s="6">
        <v>10</v>
      </c>
      <c r="F14" s="6">
        <v>10002</v>
      </c>
      <c r="G14" s="6">
        <v>11</v>
      </c>
      <c r="H14" s="6">
        <v>10003</v>
      </c>
      <c r="I14" s="6">
        <v>12</v>
      </c>
      <c r="J14" s="6">
        <v>10003</v>
      </c>
      <c r="K14" s="6">
        <v>12</v>
      </c>
      <c r="L14" s="6">
        <v>10003</v>
      </c>
      <c r="M14" s="6">
        <v>14</v>
      </c>
      <c r="N14" s="6">
        <v>10003</v>
      </c>
      <c r="O14" s="6">
        <v>15</v>
      </c>
      <c r="P14" s="6">
        <v>10003</v>
      </c>
      <c r="Q14" s="6">
        <v>16</v>
      </c>
      <c r="R14" s="6"/>
      <c r="S14" s="37"/>
    </row>
    <row r="15" spans="1:19" x14ac:dyDescent="0.25">
      <c r="A15" s="35">
        <v>13</v>
      </c>
      <c r="B15" s="6">
        <v>40</v>
      </c>
      <c r="C15" s="44" t="str">
        <f t="shared" si="0"/>
        <v>10001,10;10002,11;10003,12;10003,12;10003,14;10003,15;10003,16;10003,17</v>
      </c>
      <c r="D15" s="6">
        <v>10001</v>
      </c>
      <c r="E15" s="6">
        <v>10</v>
      </c>
      <c r="F15" s="6">
        <v>10002</v>
      </c>
      <c r="G15" s="6">
        <v>11</v>
      </c>
      <c r="H15" s="6">
        <v>10003</v>
      </c>
      <c r="I15" s="6">
        <v>12</v>
      </c>
      <c r="J15" s="6">
        <v>10003</v>
      </c>
      <c r="K15" s="6">
        <v>12</v>
      </c>
      <c r="L15" s="6">
        <v>10003</v>
      </c>
      <c r="M15" s="6">
        <v>14</v>
      </c>
      <c r="N15" s="6">
        <v>10003</v>
      </c>
      <c r="O15" s="6">
        <v>15</v>
      </c>
      <c r="P15" s="6">
        <v>10003</v>
      </c>
      <c r="Q15" s="6">
        <v>16</v>
      </c>
      <c r="R15" s="6">
        <v>10003</v>
      </c>
      <c r="S15" s="6">
        <v>17</v>
      </c>
    </row>
    <row r="16" spans="1:19" x14ac:dyDescent="0.25">
      <c r="A16" s="35">
        <v>14</v>
      </c>
      <c r="B16" s="6"/>
      <c r="C16" s="44" t="str">
        <f t="shared" si="0"/>
        <v>10001,10;10002,11;10003,12;10003,12;10003,14;10003,15;10003,16;10003,17</v>
      </c>
      <c r="D16" s="6">
        <v>10001</v>
      </c>
      <c r="E16" s="6">
        <v>10</v>
      </c>
      <c r="F16" s="6">
        <v>10002</v>
      </c>
      <c r="G16" s="6">
        <v>11</v>
      </c>
      <c r="H16" s="6">
        <v>10003</v>
      </c>
      <c r="I16" s="6">
        <v>12</v>
      </c>
      <c r="J16" s="6">
        <v>10003</v>
      </c>
      <c r="K16" s="6">
        <v>12</v>
      </c>
      <c r="L16" s="6">
        <v>10003</v>
      </c>
      <c r="M16" s="6">
        <v>14</v>
      </c>
      <c r="N16" s="6">
        <v>10003</v>
      </c>
      <c r="O16" s="6">
        <v>15</v>
      </c>
      <c r="P16" s="6">
        <v>10003</v>
      </c>
      <c r="Q16" s="6">
        <v>16</v>
      </c>
      <c r="R16" s="6">
        <v>10003</v>
      </c>
      <c r="S16" s="6">
        <v>17</v>
      </c>
    </row>
    <row r="17" spans="1:19" x14ac:dyDescent="0.25">
      <c r="A17" s="41">
        <v>15</v>
      </c>
      <c r="B17" s="42"/>
      <c r="C17" s="44" t="str">
        <f t="shared" si="0"/>
        <v>10001,10;10002,11;10003,12;10003,12;10003,14;10003,15;10003,16;10003,17</v>
      </c>
      <c r="D17" s="6">
        <v>10001</v>
      </c>
      <c r="E17" s="6">
        <v>10</v>
      </c>
      <c r="F17" s="6">
        <v>10002</v>
      </c>
      <c r="G17" s="6">
        <v>11</v>
      </c>
      <c r="H17" s="6">
        <v>10003</v>
      </c>
      <c r="I17" s="6">
        <v>12</v>
      </c>
      <c r="J17" s="6">
        <v>10003</v>
      </c>
      <c r="K17" s="6">
        <v>12</v>
      </c>
      <c r="L17" s="6">
        <v>10003</v>
      </c>
      <c r="M17" s="6">
        <v>14</v>
      </c>
      <c r="N17" s="6">
        <v>10003</v>
      </c>
      <c r="O17" s="6">
        <v>15</v>
      </c>
      <c r="P17" s="6">
        <v>10003</v>
      </c>
      <c r="Q17" s="6">
        <v>16</v>
      </c>
      <c r="R17" s="6">
        <v>10003</v>
      </c>
      <c r="S17" s="6">
        <v>17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2"/>
  <sheetViews>
    <sheetView topLeftCell="A37" workbookViewId="0">
      <selection activeCell="A39" sqref="A39:A51"/>
    </sheetView>
  </sheetViews>
  <sheetFormatPr defaultRowHeight="14.4" x14ac:dyDescent="0.25"/>
  <cols>
    <col min="1" max="1" width="16.109375" bestFit="1" customWidth="1"/>
    <col min="2" max="2" width="9.44140625" bestFit="1" customWidth="1"/>
    <col min="7" max="7" width="14.109375" bestFit="1" customWidth="1"/>
  </cols>
  <sheetData>
    <row r="2" spans="1:8" x14ac:dyDescent="0.25">
      <c r="A2" s="23" t="s">
        <v>50</v>
      </c>
      <c r="E2" s="8" t="s">
        <v>39</v>
      </c>
      <c r="F2" s="6">
        <v>15</v>
      </c>
    </row>
    <row r="3" spans="1:8" x14ac:dyDescent="0.25">
      <c r="A3" s="7"/>
      <c r="B3" s="8" t="s">
        <v>14</v>
      </c>
      <c r="C3" s="8" t="s">
        <v>15</v>
      </c>
      <c r="D3" s="8" t="s">
        <v>16</v>
      </c>
      <c r="E3" s="8" t="s">
        <v>98</v>
      </c>
      <c r="F3" s="8" t="s">
        <v>41</v>
      </c>
      <c r="G3" s="8" t="s">
        <v>42</v>
      </c>
    </row>
    <row r="4" spans="1:8" x14ac:dyDescent="0.25">
      <c r="A4" s="8" t="s">
        <v>1</v>
      </c>
      <c r="B4" s="6">
        <f ca="1">ROUND($G4*职业分类属性!B3*((星级总属性!$K$3)/(星级总属性!$K$3+星级总属性!$L$3))+$G4*(HLOOKUP(HLOOKUP(武将总属性分配!B$3,职业属性偏向!$B$3:$E$16,14,FALSE),INDIRECT(TEXT($A$2&amp;"!$B$2:$G$3","")),2,FALSE)/INDIRECT(TEXT($A$2&amp;"!$H$3","")))*((星级总属性!$L$3)/(星级总属性!$K$3+星级总属性!$L$3)),0)</f>
        <v>7237</v>
      </c>
      <c r="C4" s="6">
        <f ca="1">ROUND($G4*职业分类属性!C3*((星级总属性!$K$3)/(星级总属性!$K$3+星级总属性!$L$3))+$G4*(HLOOKUP(HLOOKUP(武将总属性分配!C$3,职业属性偏向!$B$3:$E$16,14,FALSE),INDIRECT(TEXT($A$2&amp;"!$B$2:$G$3","")),2,FALSE)/INDIRECT(TEXT($A$2&amp;"!$H$3","")))*((星级总属性!$L$3)/(星级总属性!$K$3+星级总属性!$L$3)),0)</f>
        <v>1762</v>
      </c>
      <c r="D4" s="6">
        <f ca="1">ROUND($G4*职业分类属性!D3*((星级总属性!$K$3)/(星级总属性!$K$3+星级总属性!$L$3))+$G4*(HLOOKUP(HLOOKUP(武将总属性分配!D$3,职业属性偏向!$B$3:$E$16,14,FALSE),INDIRECT(TEXT($A$2&amp;"!$B$2:$G$3","")),2,FALSE)/INDIRECT(TEXT($A$2&amp;"!$H$3","")))*((星级总属性!$L$3)/(星级总属性!$K$3+星级总属性!$L$3)),0)</f>
        <v>14349</v>
      </c>
      <c r="E4" s="6">
        <f ca="1">ROUND($G4*职业分类属性!E3*((星级总属性!$K$3)/(星级总属性!$K$3+星级总属性!$L$3))+$G4*(HLOOKUP(HLOOKUP(武将总属性分配!E$3,职业属性偏向!$B$3:$E$16,14,FALSE),INDIRECT(TEXT($A$2&amp;"!$B$2:$G$3","")),2,FALSE)/INDIRECT(TEXT($A$2&amp;"!$H$3","")))*((星级总属性!$L$3)/(星级总属性!$K$3+星级总属性!$L$3)),0)</f>
        <v>4342</v>
      </c>
      <c r="F4" s="6">
        <f>VLOOKUP($F$2,'6星每级加强属性曲线演算'!$A$3:$B$17,2,FALSE)</f>
        <v>23600</v>
      </c>
      <c r="G4" s="6">
        <f>F4*职业分类属性!G3</f>
        <v>28320</v>
      </c>
      <c r="H4" t="str">
        <f>TEXT(A2&amp;"!$B$2:$G$3","")</f>
        <v>属性分配方式1!$B$2:$G$3</v>
      </c>
    </row>
    <row r="5" spans="1:8" x14ac:dyDescent="0.25">
      <c r="A5" s="8" t="s">
        <v>2</v>
      </c>
      <c r="B5" s="6">
        <f ca="1">ROUND($G5*职业分类属性!B4*((星级总属性!$K$3)/(星级总属性!$K$3+星级总属性!$L$3))+$G5*(HLOOKUP(HLOOKUP(武将总属性分配!B$3,职业属性偏向!$B$3:$E$16,14,FALSE),INDIRECT(TEXT($A$2&amp;"!$B$2:$G$3","")),2,FALSE)/INDIRECT(TEXT($A$2&amp;"!$H$3","")))*((星级总属性!$L$3)/(星级总属性!$K$3+星级总属性!$L$3)),0)</f>
        <v>5141</v>
      </c>
      <c r="C5" s="6">
        <f ca="1">ROUND($G5*职业分类属性!C4*((星级总属性!$K$3)/(星级总属性!$K$3+星级总属性!$L$3))+$G5*(HLOOKUP(HLOOKUP(武将总属性分配!C$3,职业属性偏向!$B$3:$E$16,14,FALSE),INDIRECT(TEXT($A$2&amp;"!$B$2:$G$3","")),2,FALSE)/INDIRECT(TEXT($A$2&amp;"!$H$3","")))*((星级总属性!$L$3)/(星级总属性!$K$3+星级总属性!$L$3)),0)</f>
        <v>927</v>
      </c>
      <c r="D5" s="6">
        <f ca="1">ROUND($G5*职业分类属性!D4*((星级总属性!$K$3)/(星级总属性!$K$3+星级总属性!$L$3))+$G5*(HLOOKUP(HLOOKUP(武将总属性分配!D$3,职业属性偏向!$B$3:$E$16,14,FALSE),INDIRECT(TEXT($A$2&amp;"!$B$2:$G$3","")),2,FALSE)/INDIRECT(TEXT($A$2&amp;"!$H$3","")))*((星级总属性!$L$3)/(星级总属性!$K$3+星级总属性!$L$3)),0)</f>
        <v>21681</v>
      </c>
      <c r="E5" s="6">
        <f ca="1">ROUND($G5*职业分类属性!E4*((星级总属性!$K$3)/(星级总属性!$K$3+星级总属性!$L$3))+$G5*(HLOOKUP(HLOOKUP(武将总属性分配!E$3,职业属性偏向!$B$3:$E$16,14,FALSE),INDIRECT(TEXT($A$2&amp;"!$B$2:$G$3","")),2,FALSE)/INDIRECT(TEXT($A$2&amp;"!$H$3","")))*((星级总属性!$L$3)/(星级总属性!$K$3+星级总属性!$L$3)),0)</f>
        <v>2250</v>
      </c>
      <c r="F5" s="6">
        <f>VLOOKUP($F$2,'6星每级加强属性曲线演算'!$A$3:$B$17,2,FALSE)</f>
        <v>23600</v>
      </c>
      <c r="G5" s="6">
        <f>F5*职业分类属性!G4</f>
        <v>30680</v>
      </c>
    </row>
    <row r="6" spans="1:8" x14ac:dyDescent="0.25">
      <c r="A6" s="8" t="s">
        <v>3</v>
      </c>
      <c r="B6" s="6">
        <f ca="1">ROUND($G6*职业分类属性!B5*((星级总属性!$K$3)/(星级总属性!$K$3+星级总属性!$L$3))+$G6*(HLOOKUP(HLOOKUP(武将总属性分配!B$3,职业属性偏向!$B$3:$E$16,14,FALSE),INDIRECT(TEXT($A$2&amp;"!$B$2:$G$3","")),2,FALSE)/INDIRECT(TEXT($A$2&amp;"!$H$3","")))*((星级总属性!$L$3)/(星级总属性!$K$3+星级总属性!$L$3)),0)</f>
        <v>2539</v>
      </c>
      <c r="C6" s="6">
        <f ca="1">ROUND($G6*职业分类属性!C5*((星级总属性!$K$3)/(星级总属性!$K$3+星级总属性!$L$3))+$G6*(HLOOKUP(HLOOKUP(武将总属性分配!C$3,职业属性偏向!$B$3:$E$16,14,FALSE),INDIRECT(TEXT($A$2&amp;"!$B$2:$G$3","")),2,FALSE)/INDIRECT(TEXT($A$2&amp;"!$H$3","")))*((星级总属性!$L$3)/(星级总属性!$K$3+星级总属性!$L$3)),0)</f>
        <v>1831</v>
      </c>
      <c r="D6" s="6">
        <f ca="1">ROUND($G6*职业分类属性!D5*((星级总属性!$K$3)/(星级总属性!$K$3+星级总属性!$L$3))+$G6*(HLOOKUP(HLOOKUP(武将总属性分配!D$3,职业属性偏向!$B$3:$E$16,14,FALSE),INDIRECT(TEXT($A$2&amp;"!$B$2:$G$3","")),2,FALSE)/INDIRECT(TEXT($A$2&amp;"!$H$3","")))*((星级总属性!$L$3)/(星级总属性!$K$3+星级总属性!$L$3)),0)</f>
        <v>14160</v>
      </c>
      <c r="E6" s="6">
        <f ca="1">ROUND($G6*职业分类属性!E5*((星级总属性!$K$3)/(星级总属性!$K$3+星级总属性!$L$3))+$G6*(HLOOKUP(HLOOKUP(武将总属性分配!E$3,职业属性偏向!$B$3:$E$16,14,FALSE),INDIRECT(TEXT($A$2&amp;"!$B$2:$G$3","")),2,FALSE)/INDIRECT(TEXT($A$2&amp;"!$H$3","")))*((星级总属性!$L$3)/(星级总属性!$K$3+星级总属性!$L$3)),0)</f>
        <v>2237</v>
      </c>
      <c r="F6" s="6">
        <f>VLOOKUP($F$2,'6星每级加强属性曲线演算'!$A$3:$B$17,2,FALSE)</f>
        <v>23600</v>
      </c>
      <c r="G6" s="6">
        <f>F6*职业分类属性!G5</f>
        <v>21240</v>
      </c>
    </row>
    <row r="7" spans="1:8" x14ac:dyDescent="0.25">
      <c r="A7" s="8" t="s">
        <v>4</v>
      </c>
      <c r="B7" s="6">
        <f ca="1">ROUND($G7*职业分类属性!B6*((星级总属性!$K$3)/(星级总属性!$K$3+星级总属性!$L$3))+$G7*(HLOOKUP(HLOOKUP(武将总属性分配!B$3,职业属性偏向!$B$3:$E$16,14,FALSE),INDIRECT(TEXT($A$2&amp;"!$B$2:$G$3","")),2,FALSE)/INDIRECT(TEXT($A$2&amp;"!$H$3","")))*((星级总属性!$L$3)/(星级总属性!$K$3+星级总属性!$L$3)),0)</f>
        <v>3199</v>
      </c>
      <c r="C7" s="6">
        <f ca="1">ROUND($G7*职业分类属性!C6*((星级总属性!$K$3)/(星级总属性!$K$3+星级总属性!$L$3))+$G7*(HLOOKUP(HLOOKUP(武将总属性分配!C$3,职业属性偏向!$B$3:$E$16,14,FALSE),INDIRECT(TEXT($A$2&amp;"!$B$2:$G$3","")),2,FALSE)/INDIRECT(TEXT($A$2&amp;"!$H$3","")))*((星级总属性!$L$3)/(星级总属性!$K$3+星级总属性!$L$3)),0)</f>
        <v>713</v>
      </c>
      <c r="D7" s="6">
        <f ca="1">ROUND($G7*职业分类属性!D6*((星级总属性!$K$3)/(星级总属性!$K$3+星级总属性!$L$3))+$G7*(HLOOKUP(HLOOKUP(武将总属性分配!D$3,职业属性偏向!$B$3:$E$16,14,FALSE),INDIRECT(TEXT($A$2&amp;"!$B$2:$G$3","")),2,FALSE)/INDIRECT(TEXT($A$2&amp;"!$H$3","")))*((星级总属性!$L$3)/(星级总属性!$K$3+星级总属性!$L$3)),0)</f>
        <v>15733</v>
      </c>
      <c r="E7" s="6">
        <f ca="1">ROUND($G7*职业分类属性!E6*((星级总属性!$K$3)/(星级总属性!$K$3+星级总属性!$L$3))+$G7*(HLOOKUP(HLOOKUP(武将总属性分配!E$3,职业属性偏向!$B$3:$E$16,14,FALSE),INDIRECT(TEXT($A$2&amp;"!$B$2:$G$3","")),2,FALSE)/INDIRECT(TEXT($A$2&amp;"!$H$3","")))*((星级总属性!$L$3)/(星级总属性!$K$3+星级总属性!$L$3)),0)</f>
        <v>3430</v>
      </c>
      <c r="F7" s="6">
        <f>VLOOKUP($F$2,'6星每级加强属性曲线演算'!$A$3:$B$17,2,FALSE)</f>
        <v>23600</v>
      </c>
      <c r="G7" s="6">
        <f>F7*职业分类属性!G6</f>
        <v>23600</v>
      </c>
    </row>
    <row r="8" spans="1:8" x14ac:dyDescent="0.25">
      <c r="A8" s="8" t="s">
        <v>5</v>
      </c>
      <c r="B8" s="6">
        <f ca="1">ROUND($G8*职业分类属性!B7*((星级总属性!$K$3)/(星级总属性!$K$3+星级总属性!$L$3))+$G8*(HLOOKUP(HLOOKUP(武将总属性分配!B$3,职业属性偏向!$B$3:$E$16,14,FALSE),INDIRECT(TEXT($A$2&amp;"!$B$2:$G$3","")),2,FALSE)/INDIRECT(TEXT($A$2&amp;"!$H$3","")))*((星级总属性!$L$3)/(星级总属性!$K$3+星级总属性!$L$3)),0)</f>
        <v>1579</v>
      </c>
      <c r="C8" s="6">
        <f ca="1">ROUND($G8*职业分类属性!C7*((星级总属性!$K$3)/(星级总属性!$K$3+星级总属性!$L$3))+$G8*(HLOOKUP(HLOOKUP(武将总属性分配!C$3,职业属性偏向!$B$3:$E$16,14,FALSE),INDIRECT(TEXT($A$2&amp;"!$B$2:$G$3","")),2,FALSE)/INDIRECT(TEXT($A$2&amp;"!$H$3","")))*((星级总属性!$L$3)/(星级总属性!$K$3+星级总属性!$L$3)),0)</f>
        <v>1028</v>
      </c>
      <c r="D8" s="6">
        <f ca="1">ROUND($G8*职业分类属性!D7*((星级总属性!$K$3)/(星级总属性!$K$3+星级总属性!$L$3))+$G8*(HLOOKUP(HLOOKUP(武将总属性分配!D$3,职业属性偏向!$B$3:$E$16,14,FALSE),INDIRECT(TEXT($A$2&amp;"!$B$2:$G$3","")),2,FALSE)/INDIRECT(TEXT($A$2&amp;"!$H$3","")))*((星级总属性!$L$3)/(星级总属性!$K$3+星级总属性!$L$3)),0)</f>
        <v>12335</v>
      </c>
      <c r="E8" s="6">
        <f ca="1">ROUND($G8*职业分类属性!E7*((星级总属性!$K$3)/(星级总属性!$K$3+星级总属性!$L$3))+$G8*(HLOOKUP(HLOOKUP(武将总属性分配!E$3,职业属性偏向!$B$3:$E$16,14,FALSE),INDIRECT(TEXT($A$2&amp;"!$B$2:$G$3","")),2,FALSE)/INDIRECT(TEXT($A$2&amp;"!$H$3","")))*((星级总属性!$L$3)/(星级总属性!$K$3+星级总属性!$L$3)),0)</f>
        <v>1211</v>
      </c>
      <c r="F8" s="6">
        <f>VLOOKUP($F$2,'6星每级加强属性曲线演算'!$A$3:$B$17,2,FALSE)</f>
        <v>23600</v>
      </c>
      <c r="G8" s="6">
        <f>F8*职业分类属性!G7</f>
        <v>16520</v>
      </c>
    </row>
    <row r="9" spans="1:8" x14ac:dyDescent="0.25">
      <c r="A9" s="8" t="s">
        <v>6</v>
      </c>
      <c r="B9" s="6">
        <f ca="1">ROUND($G9*职业分类属性!B8*((星级总属性!$K$3)/(星级总属性!$K$3+星级总属性!$L$3))+$G9*(HLOOKUP(HLOOKUP(武将总属性分配!B$3,职业属性偏向!$B$3:$E$16,14,FALSE),INDIRECT(TEXT($A$2&amp;"!$B$2:$G$3","")),2,FALSE)/INDIRECT(TEXT($A$2&amp;"!$H$3","")))*((星级总属性!$L$3)/(星级总属性!$K$3+星级总属性!$L$3)),0)</f>
        <v>1804</v>
      </c>
      <c r="C9" s="6">
        <f ca="1">ROUND($G9*职业分类属性!C8*((星级总属性!$K$3)/(星级总属性!$K$3+星级总属性!$L$3))+$G9*(HLOOKUP(HLOOKUP(武将总属性分配!C$3,职业属性偏向!$B$3:$E$16,14,FALSE),INDIRECT(TEXT($A$2&amp;"!$B$2:$G$3","")),2,FALSE)/INDIRECT(TEXT($A$2&amp;"!$H$3","")))*((星级总属性!$L$3)/(星级总属性!$K$3+星级总属性!$L$3)),0)</f>
        <v>2685</v>
      </c>
      <c r="D9" s="6">
        <f ca="1">ROUND($G9*职业分类属性!D8*((星级总属性!$K$3)/(星级总属性!$K$3+星级总属性!$L$3))+$G9*(HLOOKUP(HLOOKUP(武将总属性分配!D$3,职业属性偏向!$B$3:$E$16,14,FALSE),INDIRECT(TEXT($A$2&amp;"!$B$2:$G$3","")),2,FALSE)/INDIRECT(TEXT($A$2&amp;"!$H$3","")))*((星级总属性!$L$3)/(星级总属性!$K$3+星级总属性!$L$3)),0)</f>
        <v>11076</v>
      </c>
      <c r="E9" s="6">
        <f ca="1">ROUND($G9*职业分类属性!E8*((星级总属性!$K$3)/(星级总属性!$K$3+星级总属性!$L$3))+$G9*(HLOOKUP(HLOOKUP(武将总属性分配!E$3,职业属性偏向!$B$3:$E$16,14,FALSE),INDIRECT(TEXT($A$2&amp;"!$B$2:$G$3","")),2,FALSE)/INDIRECT(TEXT($A$2&amp;"!$H$3","")))*((星级总属性!$L$3)/(星级总属性!$K$3+星级总属性!$L$3)),0)</f>
        <v>2895</v>
      </c>
      <c r="F9" s="6">
        <f>VLOOKUP($F$2,'6星每级加强属性曲线演算'!$A$3:$B$17,2,FALSE)</f>
        <v>23600</v>
      </c>
      <c r="G9" s="6">
        <f>F9*职业分类属性!G8</f>
        <v>18880</v>
      </c>
    </row>
    <row r="10" spans="1:8" x14ac:dyDescent="0.25">
      <c r="A10" s="8" t="s">
        <v>7</v>
      </c>
      <c r="B10" s="6">
        <f ca="1">ROUND($G10*职业分类属性!B9*((星级总属性!$K$3)/(星级总属性!$K$3+星级总属性!$L$3))+$G10*(HLOOKUP(HLOOKUP(武将总属性分配!B$3,职业属性偏向!$B$3:$E$16,14,FALSE),INDIRECT(TEXT($A$2&amp;"!$B$2:$G$3","")),2,FALSE)/INDIRECT(TEXT($A$2&amp;"!$H$3","")))*((星级总属性!$L$3)/(星级总属性!$K$3+星级总属性!$L$3)),0)</f>
        <v>3314</v>
      </c>
      <c r="C10" s="6">
        <f ca="1">ROUND($G10*职业分类属性!C9*((星级总属性!$K$3)/(星级总属性!$K$3+星级总属性!$L$3))+$G10*(HLOOKUP(HLOOKUP(武将总属性分配!C$3,职业属性偏向!$B$3:$E$16,14,FALSE),INDIRECT(TEXT($A$2&amp;"!$B$2:$G$3","")),2,FALSE)/INDIRECT(TEXT($A$2&amp;"!$H$3","")))*((星级总属性!$L$3)/(星级总属性!$K$3+星级总属性!$L$3)),0)</f>
        <v>1175</v>
      </c>
      <c r="D10" s="6">
        <f ca="1">ROUND($G10*职业分类属性!D9*((星级总属性!$K$3)/(星级总属性!$K$3+星级总属性!$L$3))+$G10*(HLOOKUP(HLOOKUP(武将总属性分配!D$3,职业属性偏向!$B$3:$E$16,14,FALSE),INDIRECT(TEXT($A$2&amp;"!$B$2:$G$3","")),2,FALSE)/INDIRECT(TEXT($A$2&amp;"!$H$3","")))*((星级总属性!$L$3)/(星级总属性!$K$3+星级总属性!$L$3)),0)</f>
        <v>11076</v>
      </c>
      <c r="E10" s="6">
        <f ca="1">ROUND($G10*职业分类属性!E9*((星级总属性!$K$3)/(星级总属性!$K$3+星级总属性!$L$3))+$G10*(HLOOKUP(HLOOKUP(武将总属性分配!E$3,职业属性偏向!$B$3:$E$16,14,FALSE),INDIRECT(TEXT($A$2&amp;"!$B$2:$G$3","")),2,FALSE)/INDIRECT(TEXT($A$2&amp;"!$H$3","")))*((星级总属性!$L$3)/(星级总属性!$K$3+星级总属性!$L$3)),0)</f>
        <v>2895</v>
      </c>
      <c r="F10" s="6">
        <f>VLOOKUP($F$2,'6星每级加强属性曲线演算'!$A$3:$B$17,2,FALSE)</f>
        <v>23600</v>
      </c>
      <c r="G10" s="6">
        <f>F10*职业分类属性!G9</f>
        <v>18880</v>
      </c>
    </row>
    <row r="11" spans="1:8" x14ac:dyDescent="0.25">
      <c r="A11" s="8" t="s">
        <v>8</v>
      </c>
      <c r="B11" s="6">
        <f ca="1">ROUND($G11*职业分类属性!B10*((星级总属性!$K$3)/(星级总属性!$K$3+星级总属性!$L$3))+$G11*(HLOOKUP(HLOOKUP(武将总属性分配!B$3,职业属性偏向!$B$3:$E$16,14,FALSE),INDIRECT(TEXT($A$2&amp;"!$B$2:$G$3","")),2,FALSE)/INDIRECT(TEXT($A$2&amp;"!$H$3","")))*((星级总属性!$L$3)/(星级总属性!$K$3+星级总属性!$L$3)),0)</f>
        <v>9749</v>
      </c>
      <c r="C11" s="6">
        <f ca="1">ROUND($G11*职业分类属性!C10*((星级总属性!$K$3)/(星级总属性!$K$3+星级总属性!$L$3))+$G11*(HLOOKUP(HLOOKUP(武将总属性分配!C$3,职业属性偏向!$B$3:$E$16,14,FALSE),INDIRECT(TEXT($A$2&amp;"!$B$2:$G$3","")),2,FALSE)/INDIRECT(TEXT($A$2&amp;"!$H$3","")))*((星级总属性!$L$3)/(星级总属性!$K$3+星级总属性!$L$3)),0)</f>
        <v>2238</v>
      </c>
      <c r="D11" s="6">
        <f ca="1">ROUND($G11*职业分类属性!D10*((星级总属性!$K$3)/(星级总属性!$K$3+星级总属性!$L$3))+$G11*(HLOOKUP(HLOOKUP(武将总属性分配!D$3,职业属性偏向!$B$3:$E$16,14,FALSE),INDIRECT(TEXT($A$2&amp;"!$B$2:$G$3","")),2,FALSE)/INDIRECT(TEXT($A$2&amp;"!$H$3","")))*((星级总属性!$L$3)/(星级总属性!$K$3+星级总属性!$L$3)),0)</f>
        <v>8376</v>
      </c>
      <c r="E11" s="6">
        <f ca="1">ROUND($G11*职业分类属性!E10*((星级总属性!$K$3)/(星级总属性!$K$3+星级总属性!$L$3))+$G11*(HLOOKUP(HLOOKUP(武将总属性分配!E$3,职业属性偏向!$B$3:$E$16,14,FALSE),INDIRECT(TEXT($A$2&amp;"!$B$2:$G$3","")),2,FALSE)/INDIRECT(TEXT($A$2&amp;"!$H$3","")))*((星级总属性!$L$3)/(星级总属性!$K$3+星级总属性!$L$3)),0)</f>
        <v>5019</v>
      </c>
      <c r="F11" s="6">
        <f>VLOOKUP($F$2,'6星每级加强属性曲线演算'!$A$3:$B$17,2,FALSE)</f>
        <v>23600</v>
      </c>
      <c r="G11" s="6">
        <f>F11*职业分类属性!G10</f>
        <v>25960.000000000004</v>
      </c>
    </row>
    <row r="12" spans="1:8" x14ac:dyDescent="0.25">
      <c r="A12" s="8" t="s">
        <v>11</v>
      </c>
      <c r="B12" s="6">
        <f ca="1">ROUND($G12*职业分类属性!B11*((星级总属性!$K$3)/(星级总属性!$K$3+星级总属性!$L$3))+$G12*(HLOOKUP(HLOOKUP(武将总属性分配!B$3,职业属性偏向!$B$3:$E$16,14,FALSE),INDIRECT(TEXT($A$2&amp;"!$B$2:$G$3","")),2,FALSE)/INDIRECT(TEXT($A$2&amp;"!$H$3","")))*((星级总属性!$L$3)/(星级总属性!$K$3+星级总属性!$L$3)),0)</f>
        <v>3729</v>
      </c>
      <c r="C12" s="6">
        <f ca="1">ROUND($G12*职业分类属性!C11*((星级总属性!$K$3)/(星级总属性!$K$3+星级总属性!$L$3))+$G12*(HLOOKUP(HLOOKUP(武将总属性分配!C$3,职业属性偏向!$B$3:$E$16,14,FALSE),INDIRECT(TEXT($A$2&amp;"!$B$2:$G$3","")),2,FALSE)/INDIRECT(TEXT($A$2&amp;"!$H$3","")))*((星级总属性!$L$3)/(星级总属性!$K$3+星级总属性!$L$3)),0)</f>
        <v>6419</v>
      </c>
      <c r="D12" s="6">
        <f ca="1">ROUND($G12*职业分类属性!D11*((星级总属性!$K$3)/(星级总属性!$K$3+星级总属性!$L$3))+$G12*(HLOOKUP(HLOOKUP(武将总属性分配!D$3,职业属性偏向!$B$3:$E$16,14,FALSE),INDIRECT(TEXT($A$2&amp;"!$B$2:$G$3","")),2,FALSE)/INDIRECT(TEXT($A$2&amp;"!$H$3","")))*((星级总属性!$L$3)/(星级总属性!$K$3+星级总属性!$L$3)),0)</f>
        <v>3115</v>
      </c>
      <c r="E12" s="6">
        <f ca="1">ROUND($G12*职业分类属性!E11*((星级总属性!$K$3)/(星级总属性!$K$3+星级总属性!$L$3))+$G12*(HLOOKUP(HLOOKUP(武将总属性分配!E$3,职业属性偏向!$B$3:$E$16,14,FALSE),INDIRECT(TEXT($A$2&amp;"!$B$2:$G$3","")),2,FALSE)/INDIRECT(TEXT($A$2&amp;"!$H$3","")))*((星级总属性!$L$3)/(星级总属性!$K$3+星级总属性!$L$3)),0)</f>
        <v>7505</v>
      </c>
      <c r="F12" s="6">
        <f>VLOOKUP($F$2,'6星每级加强属性曲线演算'!$A$3:$B$17,2,FALSE)</f>
        <v>23600</v>
      </c>
      <c r="G12" s="6">
        <f>F12*职业分类属性!G11</f>
        <v>21240</v>
      </c>
    </row>
    <row r="13" spans="1:8" x14ac:dyDescent="0.25">
      <c r="A13" s="8" t="s">
        <v>12</v>
      </c>
      <c r="B13" s="6">
        <f ca="1">ROUND($G13*职业分类属性!B12*((星级总属性!$K$3)/(星级总属性!$K$3+星级总属性!$L$3))+$G13*(HLOOKUP(HLOOKUP(武将总属性分配!B$3,职业属性偏向!$B$3:$E$16,14,FALSE),INDIRECT(TEXT($A$2&amp;"!$B$2:$G$3","")),2,FALSE)/INDIRECT(TEXT($A$2&amp;"!$H$3","")))*((星级总属性!$L$3)/(星级总属性!$K$3+星级总属性!$L$3)),0)</f>
        <v>5596</v>
      </c>
      <c r="C13" s="6">
        <f ca="1">ROUND($G13*职业分类属性!C12*((星级总属性!$K$3)/(星级总属性!$K$3+星级总属性!$L$3))+$G13*(HLOOKUP(HLOOKUP(武将总属性分配!C$3,职业属性偏向!$B$3:$E$16,14,FALSE),INDIRECT(TEXT($A$2&amp;"!$B$2:$G$3","")),2,FALSE)/INDIRECT(TEXT($A$2&amp;"!$H$3","")))*((星级总属性!$L$3)/(星级总属性!$K$3+星级总属性!$L$3)),0)</f>
        <v>1615</v>
      </c>
      <c r="D13" s="6">
        <f ca="1">ROUND($G13*职业分类属性!D12*((星级总属性!$K$3)/(星级总属性!$K$3+星级总属性!$L$3))+$G13*(HLOOKUP(HLOOKUP(武将总属性分配!D$3,职业属性偏向!$B$3:$E$16,14,FALSE),INDIRECT(TEXT($A$2&amp;"!$B$2:$G$3","")),2,FALSE)/INDIRECT(TEXT($A$2&amp;"!$H$3","")))*((星级总属性!$L$3)/(星级总属性!$K$3+星级总属性!$L$3)),0)</f>
        <v>2769</v>
      </c>
      <c r="E13" s="6">
        <f ca="1">ROUND($G13*职业分类属性!E12*((星级总属性!$K$3)/(星级总属性!$K$3+星级总属性!$L$3))+$G13*(HLOOKUP(HLOOKUP(武将总属性分配!E$3,职业属性偏向!$B$3:$E$16,14,FALSE),INDIRECT(TEXT($A$2&amp;"!$B$2:$G$3","")),2,FALSE)/INDIRECT(TEXT($A$2&amp;"!$H$3","")))*((星级总属性!$L$3)/(星级总属性!$K$3+星级总属性!$L$3)),0)</f>
        <v>15403</v>
      </c>
      <c r="F13" s="6">
        <f>VLOOKUP($F$2,'6星每级加强属性曲线演算'!$A$3:$B$17,2,FALSE)</f>
        <v>23600</v>
      </c>
      <c r="G13" s="6">
        <f>F13*职业分类属性!G12</f>
        <v>25960.000000000004</v>
      </c>
    </row>
    <row r="14" spans="1:8" x14ac:dyDescent="0.25">
      <c r="A14" s="8" t="s">
        <v>13</v>
      </c>
      <c r="B14" s="6">
        <f ca="1">ROUND($G14*职业分类属性!B13*((星级总属性!$K$3)/(星级总属性!$K$3+星级总属性!$L$3))+$G14*(HLOOKUP(HLOOKUP(武将总属性分配!B$3,职业属性偏向!$B$3:$E$16,14,FALSE),INDIRECT(TEXT($A$2&amp;"!$B$2:$G$3","")),2,FALSE)/INDIRECT(TEXT($A$2&amp;"!$H$3","")))*((星级总属性!$L$3)/(星级总属性!$K$3+星级总属性!$L$3)),0)</f>
        <v>6634</v>
      </c>
      <c r="C14" s="6">
        <f ca="1">ROUND($G14*职业分类属性!C13*((星级总属性!$K$3)/(星级总属性!$K$3+星级总属性!$L$3))+$G14*(HLOOKUP(HLOOKUP(武将总属性分配!C$3,职业属性偏向!$B$3:$E$16,14,FALSE),INDIRECT(TEXT($A$2&amp;"!$B$2:$G$3","")),2,FALSE)/INDIRECT(TEXT($A$2&amp;"!$H$3","")))*((星级总属性!$L$3)/(星级总属性!$K$3+星级总属性!$L$3)),0)</f>
        <v>5769</v>
      </c>
      <c r="D14" s="6">
        <f ca="1">ROUND($G14*职业分类属性!D13*((星级总属性!$K$3)/(星级总属性!$K$3+星级总属性!$L$3))+$G14*(HLOOKUP(HLOOKUP(武将总属性分配!D$3,职业属性偏向!$B$3:$E$16,14,FALSE),INDIRECT(TEXT($A$2&amp;"!$B$2:$G$3","")),2,FALSE)/INDIRECT(TEXT($A$2&amp;"!$H$3","")))*((星级总属性!$L$3)/(星级总属性!$K$3+星级总属性!$L$3)),0)</f>
        <v>6923</v>
      </c>
      <c r="E14" s="6">
        <f ca="1">ROUND($G14*职业分类属性!E13*((星级总属性!$K$3)/(星级总属性!$K$3+星级总属性!$L$3))+$G14*(HLOOKUP(HLOOKUP(武将总属性分配!E$3,职业属性偏向!$B$3:$E$16,14,FALSE),INDIRECT(TEXT($A$2&amp;"!$B$2:$G$3","")),2,FALSE)/INDIRECT(TEXT($A$2&amp;"!$H$3","")))*((星级总属性!$L$3)/(星级总属性!$K$3+星级总属性!$L$3)),0)</f>
        <v>6057</v>
      </c>
      <c r="F14" s="6">
        <f>VLOOKUP($F$2,'6星每级加强属性曲线演算'!$A$3:$B$17,2,FALSE)</f>
        <v>23600</v>
      </c>
      <c r="G14" s="6">
        <f>F14*职业分类属性!G13</f>
        <v>25960.000000000004</v>
      </c>
    </row>
    <row r="15" spans="1:8" x14ac:dyDescent="0.25">
      <c r="A15" s="8" t="s">
        <v>9</v>
      </c>
      <c r="B15" s="6">
        <f ca="1">ROUND($G15*职业分类属性!B14*((星级总属性!$K$3)/(星级总属性!$K$3+星级总属性!$L$3))+$G15*(HLOOKUP(HLOOKUP(武将总属性分配!B$3,职业属性偏向!$B$3:$E$16,14,FALSE),INDIRECT(TEXT($A$2&amp;"!$B$2:$G$3","")),2,FALSE)/INDIRECT(TEXT($A$2&amp;"!$H$3","")))*((星级总属性!$L$3)/(星级总属性!$K$3+星级总属性!$L$3)),0)</f>
        <v>2710</v>
      </c>
      <c r="C15" s="6">
        <f ca="1">ROUND($G15*职业分类属性!C14*((星级总属性!$K$3)/(星级总属性!$K$3+星级总属性!$L$3))+$G15*(HLOOKUP(HLOOKUP(武将总属性分配!C$3,职业属性偏向!$B$3:$E$16,14,FALSE),INDIRECT(TEXT($A$2&amp;"!$B$2:$G$3","")),2,FALSE)/INDIRECT(TEXT($A$2&amp;"!$H$3","")))*((星级总属性!$L$3)/(星级总属性!$K$3+星级总属性!$L$3)),0)</f>
        <v>10237</v>
      </c>
      <c r="D15" s="6">
        <f ca="1">ROUND($G15*职业分类属性!D14*((星级总属性!$K$3)/(星级总属性!$K$3+星级总属性!$L$3))+$G15*(HLOOKUP(HLOOKUP(武将总属性分配!D$3,职业属性偏向!$B$3:$E$16,14,FALSE),INDIRECT(TEXT($A$2&amp;"!$B$2:$G$3","")),2,FALSE)/INDIRECT(TEXT($A$2&amp;"!$H$3","")))*((星级总属性!$L$3)/(星级总属性!$K$3+星级总属性!$L$3)),0)</f>
        <v>2618</v>
      </c>
      <c r="E15" s="6">
        <f ca="1">ROUND($G15*职业分类属性!E14*((星级总属性!$K$3)/(星级总属性!$K$3+星级总属性!$L$3))+$G15*(HLOOKUP(HLOOKUP(武将总属性分配!E$3,职业属性偏向!$B$3:$E$16,14,FALSE),INDIRECT(TEXT($A$2&amp;"!$B$2:$G$3","")),2,FALSE)/INDIRECT(TEXT($A$2&amp;"!$H$3","")))*((星级总属性!$L$3)/(星级总属性!$K$3+星级总属性!$L$3)),0)</f>
        <v>2895</v>
      </c>
      <c r="F15" s="6">
        <f>VLOOKUP($F$2,'6星每级加强属性曲线演算'!$A$3:$B$17,2,FALSE)</f>
        <v>23600</v>
      </c>
      <c r="G15" s="6">
        <f>F15*职业分类属性!G14</f>
        <v>18880</v>
      </c>
    </row>
    <row r="16" spans="1:8" x14ac:dyDescent="0.25">
      <c r="A16" s="8" t="s">
        <v>10</v>
      </c>
      <c r="B16" s="6">
        <f ca="1">ROUND($G16*职业分类属性!B15*((星级总属性!$K$3)/(星级总属性!$K$3+星级总属性!$L$3))+$G16*(HLOOKUP(HLOOKUP(武将总属性分配!B$3,职业属性偏向!$B$3:$E$16,14,FALSE),INDIRECT(TEXT($A$2&amp;"!$B$2:$G$3","")),2,FALSE)/INDIRECT(TEXT($A$2&amp;"!$H$3","")))*((星级总属性!$L$3)/(星级总属性!$K$3+星级总属性!$L$3)),0)</f>
        <v>2559</v>
      </c>
      <c r="C16" s="6">
        <f ca="1">ROUND($G16*职业分类属性!C15*((星级总属性!$K$3)/(星级总属性!$K$3+星级总属性!$L$3))+$G16*(HLOOKUP(HLOOKUP(武将总属性分配!C$3,职业属性偏向!$B$3:$E$16,14,FALSE),INDIRECT(TEXT($A$2&amp;"!$B$2:$G$3","")),2,FALSE)/INDIRECT(TEXT($A$2&amp;"!$H$3","")))*((星级总属性!$L$3)/(星级总属性!$K$3+星级总属性!$L$3)),0)</f>
        <v>1175</v>
      </c>
      <c r="D16" s="6">
        <f ca="1">ROUND($G16*职业分类属性!D15*((星级总属性!$K$3)/(星级总属性!$K$3+星级总属性!$L$3))+$G16*(HLOOKUP(HLOOKUP(武将总属性分配!D$3,职业属性偏向!$B$3:$E$16,14,FALSE),INDIRECT(TEXT($A$2&amp;"!$B$2:$G$3","")),2,FALSE)/INDIRECT(TEXT($A$2&amp;"!$H$3","")))*((星级总属性!$L$3)/(星级总属性!$K$3+星级总属性!$L$3)),0)</f>
        <v>11076</v>
      </c>
      <c r="E16" s="6">
        <f ca="1">ROUND($G16*职业分类属性!E15*((星级总属性!$K$3)/(星级总属性!$K$3+星级总属性!$L$3))+$G16*(HLOOKUP(HLOOKUP(武将总属性分配!E$3,职业属性偏向!$B$3:$E$16,14,FALSE),INDIRECT(TEXT($A$2&amp;"!$B$2:$G$3","")),2,FALSE)/INDIRECT(TEXT($A$2&amp;"!$H$3","")))*((星级总属性!$L$3)/(星级总属性!$K$3+星级总属性!$L$3)),0)</f>
        <v>3650</v>
      </c>
      <c r="F16" s="6">
        <f>VLOOKUP($F$2,'6星每级加强属性曲线演算'!$A$3:$B$17,2,FALSE)</f>
        <v>23600</v>
      </c>
      <c r="G16" s="6">
        <f>F16*职业分类属性!G15</f>
        <v>18880</v>
      </c>
    </row>
    <row r="17" spans="1:7" x14ac:dyDescent="0.25">
      <c r="B17" s="8" t="str">
        <f>B3</f>
        <v>生命值</v>
      </c>
      <c r="C17" s="8" t="str">
        <f t="shared" ref="C17:E17" si="0">C3</f>
        <v>回复力</v>
      </c>
      <c r="D17" s="8" t="str">
        <f t="shared" si="0"/>
        <v>武力</v>
      </c>
      <c r="E17" s="8" t="str">
        <f t="shared" si="0"/>
        <v>防御</v>
      </c>
      <c r="F17" s="8" t="str">
        <f t="shared" ref="F17:G17" si="1">F3</f>
        <v>原总属性</v>
      </c>
      <c r="G17" s="8" t="str">
        <f t="shared" si="1"/>
        <v>修正后总属性</v>
      </c>
    </row>
    <row r="20" spans="1:7" x14ac:dyDescent="0.25">
      <c r="A20" s="23" t="s">
        <v>51</v>
      </c>
      <c r="E20" s="8" t="s">
        <v>39</v>
      </c>
      <c r="F20" s="6">
        <v>15</v>
      </c>
    </row>
    <row r="21" spans="1:7" x14ac:dyDescent="0.25">
      <c r="A21" s="7"/>
      <c r="B21" s="8" t="s">
        <v>14</v>
      </c>
      <c r="C21" s="8" t="s">
        <v>15</v>
      </c>
      <c r="D21" s="8" t="s">
        <v>16</v>
      </c>
      <c r="E21" s="8" t="s">
        <v>98</v>
      </c>
      <c r="F21" s="8" t="s">
        <v>41</v>
      </c>
      <c r="G21" s="8" t="s">
        <v>42</v>
      </c>
    </row>
    <row r="22" spans="1:7" x14ac:dyDescent="0.25">
      <c r="A22" s="8" t="s">
        <v>1</v>
      </c>
      <c r="B22" s="6">
        <f ca="1">ROUND($G22*职业分类属性!B3*((星级总属性!$K$3)/(星级总属性!$K$3+星级总属性!$L$3))+$G22*(HLOOKUP(HLOOKUP(武将总属性分配!B$3,职业属性偏向!$B$3:$E$16,14,FALSE),INDIRECT(TEXT($A$20&amp;"!$B$2:$G$3","")),2,FALSE)/INDIRECT(TEXT($A$20&amp;"!$H$3","")))*((星级总属性!$L$3)/(星级总属性!$K$3+星级总属性!$L$3)),0)</f>
        <v>8181</v>
      </c>
      <c r="C22" s="6">
        <f ca="1">ROUND($G22*职业分类属性!C3*((星级总属性!$K$3)/(星级总属性!$K$3+星级总属性!$L$3))+$G22*(HLOOKUP(HLOOKUP(武将总属性分配!C$3,职业属性偏向!$B$3:$E$16,14,FALSE),INDIRECT(TEXT($A$20&amp;"!$B$2:$G$3","")),2,FALSE)/INDIRECT(TEXT($A$20&amp;"!$H$3","")))*((星级总属性!$L$3)/(星级总属性!$K$3+星级总属性!$L$3)),0)</f>
        <v>1447</v>
      </c>
      <c r="D22" s="6">
        <f ca="1">ROUND($G22*职业分类属性!D3*((星级总属性!$K$3)/(星级总属性!$K$3+星级总属性!$L$3))+$G22*(HLOOKUP(HLOOKUP(武将总属性分配!D$3,职业属性偏向!$B$3:$E$16,14,FALSE),INDIRECT(TEXT($A$20&amp;"!$B$2:$G$3","")),2,FALSE)/INDIRECT(TEXT($A$20&amp;"!$H$3","")))*((星级总属性!$L$3)/(星级总属性!$K$3+星级总属性!$L$3)),0)</f>
        <v>14034</v>
      </c>
      <c r="E22" s="6">
        <f ca="1">ROUND($G22*职业分类属性!E3*((星级总属性!$K$3)/(星级总属性!$K$3+星级总属性!$L$3))+$G22*(HLOOKUP(HLOOKUP(武将总属性分配!E$3,职业属性偏向!$B$3:$E$16,14,FALSE),INDIRECT(TEXT($A$20&amp;"!$B$2:$G$3","")),2,FALSE)/INDIRECT(TEXT($A$20&amp;"!$H$3","")))*((星级总属性!$L$3)/(星级总属性!$K$3+星级总属性!$L$3)),0)</f>
        <v>4028</v>
      </c>
      <c r="F22" s="6">
        <f>VLOOKUP($F$20,'6星每级加强属性曲线演算'!$A$3:$B$17,2,FALSE)</f>
        <v>23600</v>
      </c>
      <c r="G22" s="6">
        <f>F22*职业分类属性!G3</f>
        <v>28320</v>
      </c>
    </row>
    <row r="23" spans="1:7" x14ac:dyDescent="0.25">
      <c r="A23" s="8" t="s">
        <v>2</v>
      </c>
      <c r="B23" s="6">
        <f ca="1">ROUND($G23*职业分类属性!B4*((星级总属性!$K$3)/(星级总属性!$K$3+星级总属性!$L$3))+$G23*(HLOOKUP(HLOOKUP(武将总属性分配!B$3,职业属性偏向!$B$3:$E$16,14,FALSE),INDIRECT(TEXT($A$20&amp;"!$B$2:$G$3","")),2,FALSE)/INDIRECT(TEXT($A$20&amp;"!$H$3","")))*((星级总属性!$L$3)/(星级总属性!$K$3+星级总属性!$L$3)),0)</f>
        <v>6163</v>
      </c>
      <c r="C23" s="6">
        <f ca="1">ROUND($G23*职业分类属性!C4*((星级总属性!$K$3)/(星级总属性!$K$3+星级总属性!$L$3))+$G23*(HLOOKUP(HLOOKUP(武将总属性分配!C$3,职业属性偏向!$B$3:$E$16,14,FALSE),INDIRECT(TEXT($A$20&amp;"!$B$2:$G$3","")),2,FALSE)/INDIRECT(TEXT($A$20&amp;"!$H$3","")))*((星级总属性!$L$3)/(星级总属性!$K$3+星级总属性!$L$3)),0)</f>
        <v>586</v>
      </c>
      <c r="D23" s="6">
        <f ca="1">ROUND($G23*职业分类属性!D4*((星级总属性!$K$3)/(星级总属性!$K$3+星级总属性!$L$3))+$G23*(HLOOKUP(HLOOKUP(武将总属性分配!D$3,职业属性偏向!$B$3:$E$16,14,FALSE),INDIRECT(TEXT($A$20&amp;"!$B$2:$G$3","")),2,FALSE)/INDIRECT(TEXT($A$20&amp;"!$H$3","")))*((星级总属性!$L$3)/(星级总属性!$K$3+星级总属性!$L$3)),0)</f>
        <v>21340</v>
      </c>
      <c r="E23" s="6">
        <f ca="1">ROUND($G23*职业分类属性!E4*((星级总属性!$K$3)/(星级总属性!$K$3+星级总属性!$L$3))+$G23*(HLOOKUP(HLOOKUP(武将总属性分配!E$3,职业属性偏向!$B$3:$E$16,14,FALSE),INDIRECT(TEXT($A$20&amp;"!$B$2:$G$3","")),2,FALSE)/INDIRECT(TEXT($A$20&amp;"!$H$3","")))*((星级总属性!$L$3)/(星级总属性!$K$3+星级总属性!$L$3)),0)</f>
        <v>1909</v>
      </c>
      <c r="F23" s="6">
        <f>VLOOKUP($F$20,'6星每级加强属性曲线演算'!$A$3:$B$17,2,FALSE)</f>
        <v>23600</v>
      </c>
      <c r="G23" s="6">
        <f>F23*职业分类属性!G4</f>
        <v>30680</v>
      </c>
    </row>
    <row r="24" spans="1:7" x14ac:dyDescent="0.25">
      <c r="A24" s="8" t="s">
        <v>3</v>
      </c>
      <c r="B24" s="6">
        <f ca="1">ROUND($G24*职业分类属性!B5*((星级总属性!$K$3)/(星级总属性!$K$3+星级总属性!$L$3))+$G24*(HLOOKUP(HLOOKUP(武将总属性分配!B$3,职业属性偏向!$B$3:$E$16,14,FALSE),INDIRECT(TEXT($A$20&amp;"!$B$2:$G$3","")),2,FALSE)/INDIRECT(TEXT($A$20&amp;"!$H$3","")))*((星级总属性!$L$3)/(星级总属性!$K$3+星级总属性!$L$3)),0)</f>
        <v>3247</v>
      </c>
      <c r="C24" s="6">
        <f ca="1">ROUND($G24*职业分类属性!C5*((星级总属性!$K$3)/(星级总属性!$K$3+星级总属性!$L$3))+$G24*(HLOOKUP(HLOOKUP(武将总属性分配!C$3,职业属性偏向!$B$3:$E$16,14,FALSE),INDIRECT(TEXT($A$20&amp;"!$B$2:$G$3","")),2,FALSE)/INDIRECT(TEXT($A$20&amp;"!$H$3","")))*((星级总属性!$L$3)/(星级总属性!$K$3+星级总属性!$L$3)),0)</f>
        <v>1595</v>
      </c>
      <c r="D24" s="6">
        <f ca="1">ROUND($G24*职业分类属性!D5*((星级总属性!$K$3)/(星级总属性!$K$3+星级总属性!$L$3))+$G24*(HLOOKUP(HLOOKUP(武将总属性分配!D$3,职业属性偏向!$B$3:$E$16,14,FALSE),INDIRECT(TEXT($A$20&amp;"!$B$2:$G$3","")),2,FALSE)/INDIRECT(TEXT($A$20&amp;"!$H$3","")))*((星级总属性!$L$3)/(星级总属性!$K$3+星级总属性!$L$3)),0)</f>
        <v>13924</v>
      </c>
      <c r="E24" s="6">
        <f ca="1">ROUND($G24*职业分类属性!E5*((星级总属性!$K$3)/(星级总属性!$K$3+星级总属性!$L$3))+$G24*(HLOOKUP(HLOOKUP(武将总属性分配!E$3,职业属性偏向!$B$3:$E$16,14,FALSE),INDIRECT(TEXT($A$20&amp;"!$B$2:$G$3","")),2,FALSE)/INDIRECT(TEXT($A$20&amp;"!$H$3","")))*((星级总属性!$L$3)/(星级总属性!$K$3+星级总属性!$L$3)),0)</f>
        <v>2001</v>
      </c>
      <c r="F24" s="6">
        <f>VLOOKUP($F$20,'6星每级加强属性曲线演算'!$A$3:$B$17,2,FALSE)</f>
        <v>23600</v>
      </c>
      <c r="G24" s="6">
        <f>F24*职业分类属性!G5</f>
        <v>21240</v>
      </c>
    </row>
    <row r="25" spans="1:7" x14ac:dyDescent="0.25">
      <c r="A25" s="8" t="s">
        <v>4</v>
      </c>
      <c r="B25" s="6">
        <f ca="1">ROUND($G25*职业分类属性!B6*((星级总属性!$K$3)/(星级总属性!$K$3+星级总属性!$L$3))+$G25*(HLOOKUP(HLOOKUP(武将总属性分配!B$3,职业属性偏向!$B$3:$E$16,14,FALSE),INDIRECT(TEXT($A$20&amp;"!$B$2:$G$3","")),2,FALSE)/INDIRECT(TEXT($A$20&amp;"!$H$3","")))*((星级总属性!$L$3)/(星级总属性!$K$3+星级总属性!$L$3)),0)</f>
        <v>3986</v>
      </c>
      <c r="C25" s="6">
        <f ca="1">ROUND($G25*职业分类属性!C6*((星级总属性!$K$3)/(星级总属性!$K$3+星级总属性!$L$3))+$G25*(HLOOKUP(HLOOKUP(武将总属性分配!C$3,职业属性偏向!$B$3:$E$16,14,FALSE),INDIRECT(TEXT($A$20&amp;"!$B$2:$G$3","")),2,FALSE)/INDIRECT(TEXT($A$20&amp;"!$H$3","")))*((星级总属性!$L$3)/(星级总属性!$K$3+星级总属性!$L$3)),0)</f>
        <v>451</v>
      </c>
      <c r="D25" s="6">
        <f ca="1">ROUND($G25*职业分类属性!D6*((星级总属性!$K$3)/(星级总属性!$K$3+星级总属性!$L$3))+$G25*(HLOOKUP(HLOOKUP(武将总属性分配!D$3,职业属性偏向!$B$3:$E$16,14,FALSE),INDIRECT(TEXT($A$20&amp;"!$B$2:$G$3","")),2,FALSE)/INDIRECT(TEXT($A$20&amp;"!$H$3","")))*((星级总属性!$L$3)/(星级总属性!$K$3+星级总属性!$L$3)),0)</f>
        <v>15471</v>
      </c>
      <c r="E25" s="6">
        <f ca="1">ROUND($G25*职业分类属性!E6*((星级总属性!$K$3)/(星级总属性!$K$3+星级总属性!$L$3))+$G25*(HLOOKUP(HLOOKUP(武将总属性分配!E$3,职业属性偏向!$B$3:$E$16,14,FALSE),INDIRECT(TEXT($A$20&amp;"!$B$2:$G$3","")),2,FALSE)/INDIRECT(TEXT($A$20&amp;"!$H$3","")))*((星级总属性!$L$3)/(星级总属性!$K$3+星级总属性!$L$3)),0)</f>
        <v>3168</v>
      </c>
      <c r="F25" s="6">
        <f>VLOOKUP($F$20,'6星每级加强属性曲线演算'!$A$3:$B$17,2,FALSE)</f>
        <v>23600</v>
      </c>
      <c r="G25" s="6">
        <f>F25*职业分类属性!G6</f>
        <v>23600</v>
      </c>
    </row>
    <row r="26" spans="1:7" x14ac:dyDescent="0.25">
      <c r="A26" s="8" t="s">
        <v>5</v>
      </c>
      <c r="B26" s="6">
        <f ca="1">ROUND($G26*职业分类属性!B7*((星级总属性!$K$3)/(星级总属性!$K$3+星级总属性!$L$3))+$G26*(HLOOKUP(HLOOKUP(武将总属性分配!B$3,职业属性偏向!$B$3:$E$16,14,FALSE),INDIRECT(TEXT($A$20&amp;"!$B$2:$G$3","")),2,FALSE)/INDIRECT(TEXT($A$20&amp;"!$H$3","")))*((星级总属性!$L$3)/(星级总属性!$K$3+星级总属性!$L$3)),0)</f>
        <v>2129</v>
      </c>
      <c r="C26" s="6">
        <f ca="1">ROUND($G26*职业分类属性!C7*((星级总属性!$K$3)/(星级总属性!$K$3+星级总属性!$L$3))+$G26*(HLOOKUP(HLOOKUP(武将总属性分配!C$3,职业属性偏向!$B$3:$E$16,14,FALSE),INDIRECT(TEXT($A$20&amp;"!$B$2:$G$3","")),2,FALSE)/INDIRECT(TEXT($A$20&amp;"!$H$3","")))*((星级总属性!$L$3)/(星级总属性!$K$3+星级总属性!$L$3)),0)</f>
        <v>844</v>
      </c>
      <c r="D26" s="6">
        <f ca="1">ROUND($G26*职业分类属性!D7*((星级总属性!$K$3)/(星级总属性!$K$3+星级总属性!$L$3))+$G26*(HLOOKUP(HLOOKUP(武将总属性分配!D$3,职业属性偏向!$B$3:$E$16,14,FALSE),INDIRECT(TEXT($A$20&amp;"!$B$2:$G$3","")),2,FALSE)/INDIRECT(TEXT($A$20&amp;"!$H$3","")))*((星级总属性!$L$3)/(星级总属性!$K$3+星级总属性!$L$3)),0)</f>
        <v>12151</v>
      </c>
      <c r="E26" s="6">
        <f ca="1">ROUND($G26*职业分类属性!E7*((星级总属性!$K$3)/(星级总属性!$K$3+星级总属性!$L$3))+$G26*(HLOOKUP(HLOOKUP(武将总属性分配!E$3,职业属性偏向!$B$3:$E$16,14,FALSE),INDIRECT(TEXT($A$20&amp;"!$B$2:$G$3","")),2,FALSE)/INDIRECT(TEXT($A$20&amp;"!$H$3","")))*((星级总属性!$L$3)/(星级总属性!$K$3+星级总属性!$L$3)),0)</f>
        <v>1028</v>
      </c>
      <c r="F26" s="6">
        <f>VLOOKUP($F$20,'6星每级加强属性曲线演算'!$A$3:$B$17,2,FALSE)</f>
        <v>23600</v>
      </c>
      <c r="G26" s="6">
        <f>F26*职业分类属性!G7</f>
        <v>16520</v>
      </c>
    </row>
    <row r="27" spans="1:7" x14ac:dyDescent="0.25">
      <c r="A27" s="8" t="s">
        <v>6</v>
      </c>
      <c r="B27" s="6">
        <f ca="1">ROUND($G27*职业分类属性!B8*((星级总属性!$K$3)/(星级总属性!$K$3+星级总属性!$L$3))+$G27*(HLOOKUP(HLOOKUP(武将总属性分配!B$3,职业属性偏向!$B$3:$E$16,14,FALSE),INDIRECT(TEXT($A$20&amp;"!$B$2:$G$3","")),2,FALSE)/INDIRECT(TEXT($A$20&amp;"!$H$3","")))*((星级总属性!$L$3)/(星级总属性!$K$3+星级总属性!$L$3)),0)</f>
        <v>2433</v>
      </c>
      <c r="C27" s="6">
        <f ca="1">ROUND($G27*职业分类属性!C8*((星级总属性!$K$3)/(星级总属性!$K$3+星级总属性!$L$3))+$G27*(HLOOKUP(HLOOKUP(武将总属性分配!C$3,职业属性偏向!$B$3:$E$16,14,FALSE),INDIRECT(TEXT($A$20&amp;"!$B$2:$G$3","")),2,FALSE)/INDIRECT(TEXT($A$20&amp;"!$H$3","")))*((星级总属性!$L$3)/(星级总属性!$K$3+星级总属性!$L$3)),0)</f>
        <v>2475</v>
      </c>
      <c r="D27" s="6">
        <f ca="1">ROUND($G27*职业分类属性!D8*((星级总属性!$K$3)/(星级总属性!$K$3+星级总属性!$L$3))+$G27*(HLOOKUP(HLOOKUP(武将总属性分配!D$3,职业属性偏向!$B$3:$E$16,14,FALSE),INDIRECT(TEXT($A$20&amp;"!$B$2:$G$3","")),2,FALSE)/INDIRECT(TEXT($A$20&amp;"!$H$3","")))*((星级总属性!$L$3)/(星级总属性!$K$3+星级总属性!$L$3)),0)</f>
        <v>10866</v>
      </c>
      <c r="E27" s="6">
        <f ca="1">ROUND($G27*职业分类属性!E8*((星级总属性!$K$3)/(星级总属性!$K$3+星级总属性!$L$3))+$G27*(HLOOKUP(HLOOKUP(武将总属性分配!E$3,职业属性偏向!$B$3:$E$16,14,FALSE),INDIRECT(TEXT($A$20&amp;"!$B$2:$G$3","")),2,FALSE)/INDIRECT(TEXT($A$20&amp;"!$H$3","")))*((星级总属性!$L$3)/(星级总属性!$K$3+星级总属性!$L$3)),0)</f>
        <v>2685</v>
      </c>
      <c r="F27" s="6">
        <f>VLOOKUP($F$20,'6星每级加强属性曲线演算'!$A$3:$B$17,2,FALSE)</f>
        <v>23600</v>
      </c>
      <c r="G27" s="6">
        <f>F27*职业分类属性!G8</f>
        <v>18880</v>
      </c>
    </row>
    <row r="28" spans="1:7" x14ac:dyDescent="0.25">
      <c r="A28" s="8" t="s">
        <v>7</v>
      </c>
      <c r="B28" s="6">
        <f ca="1">ROUND($G28*职业分类属性!B9*((星级总属性!$K$3)/(星级总属性!$K$3+星级总属性!$L$3))+$G28*(HLOOKUP(HLOOKUP(武将总属性分配!B$3,职业属性偏向!$B$3:$E$16,14,FALSE),INDIRECT(TEXT($A$20&amp;"!$B$2:$G$3","")),2,FALSE)/INDIRECT(TEXT($A$20&amp;"!$H$3","")))*((星级总属性!$L$3)/(星级总属性!$K$3+星级总属性!$L$3)),0)</f>
        <v>3944</v>
      </c>
      <c r="C28" s="6">
        <f ca="1">ROUND($G28*职业分类属性!C9*((星级总属性!$K$3)/(星级总属性!$K$3+星级总属性!$L$3))+$G28*(HLOOKUP(HLOOKUP(武将总属性分配!C$3,职业属性偏向!$B$3:$E$16,14,FALSE),INDIRECT(TEXT($A$20&amp;"!$B$2:$G$3","")),2,FALSE)/INDIRECT(TEXT($A$20&amp;"!$H$3","")))*((星级总属性!$L$3)/(星级总属性!$K$3+星级总属性!$L$3)),0)</f>
        <v>965</v>
      </c>
      <c r="D28" s="6">
        <f ca="1">ROUND($G28*职业分类属性!D9*((星级总属性!$K$3)/(星级总属性!$K$3+星级总属性!$L$3))+$G28*(HLOOKUP(HLOOKUP(武将总属性分配!D$3,职业属性偏向!$B$3:$E$16,14,FALSE),INDIRECT(TEXT($A$20&amp;"!$B$2:$G$3","")),2,FALSE)/INDIRECT(TEXT($A$20&amp;"!$H$3","")))*((星级总属性!$L$3)/(星级总属性!$K$3+星级总属性!$L$3)),0)</f>
        <v>10866</v>
      </c>
      <c r="E28" s="6">
        <f ca="1">ROUND($G28*职业分类属性!E9*((星级总属性!$K$3)/(星级总属性!$K$3+星级总属性!$L$3))+$G28*(HLOOKUP(HLOOKUP(武将总属性分配!E$3,职业属性偏向!$B$3:$E$16,14,FALSE),INDIRECT(TEXT($A$20&amp;"!$B$2:$G$3","")),2,FALSE)/INDIRECT(TEXT($A$20&amp;"!$H$3","")))*((星级总属性!$L$3)/(星级总属性!$K$3+星级总属性!$L$3)),0)</f>
        <v>2685</v>
      </c>
      <c r="F28" s="6">
        <f>VLOOKUP($F$20,'6星每级加强属性曲线演算'!$A$3:$B$17,2,FALSE)</f>
        <v>23600</v>
      </c>
      <c r="G28" s="6">
        <f>F28*职业分类属性!G9</f>
        <v>18880</v>
      </c>
    </row>
    <row r="29" spans="1:7" x14ac:dyDescent="0.25">
      <c r="A29" s="8" t="s">
        <v>8</v>
      </c>
      <c r="B29" s="6">
        <f ca="1">ROUND($G29*职业分类属性!B10*((星级总属性!$K$3)/(星级总属性!$K$3+星级总属性!$L$3))+$G29*(HLOOKUP(HLOOKUP(武将总属性分配!B$3,职业属性偏向!$B$3:$E$16,14,FALSE),INDIRECT(TEXT($A$20&amp;"!$B$2:$G$3","")),2,FALSE)/INDIRECT(TEXT($A$20&amp;"!$H$3","")))*((星级总属性!$L$3)/(星级总属性!$K$3+星级总属性!$L$3)),0)</f>
        <v>10615</v>
      </c>
      <c r="C29" s="6">
        <f ca="1">ROUND($G29*职业分类属性!C10*((星级总属性!$K$3)/(星级总属性!$K$3+星级总属性!$L$3))+$G29*(HLOOKUP(HLOOKUP(武将总属性分配!C$3,职业属性偏向!$B$3:$E$16,14,FALSE),INDIRECT(TEXT($A$20&amp;"!$B$2:$G$3","")),2,FALSE)/INDIRECT(TEXT($A$20&amp;"!$H$3","")))*((星级总属性!$L$3)/(星级总属性!$K$3+星级总属性!$L$3)),0)</f>
        <v>1950</v>
      </c>
      <c r="D29" s="6">
        <f ca="1">ROUND($G29*职业分类属性!D10*((星级总属性!$K$3)/(星级总属性!$K$3+星级总属性!$L$3))+$G29*(HLOOKUP(HLOOKUP(武将总属性分配!D$3,职业属性偏向!$B$3:$E$16,14,FALSE),INDIRECT(TEXT($A$20&amp;"!$B$2:$G$3","")),2,FALSE)/INDIRECT(TEXT($A$20&amp;"!$H$3","")))*((星级总属性!$L$3)/(星级总属性!$K$3+星级总属性!$L$3)),0)</f>
        <v>8088</v>
      </c>
      <c r="E29" s="6">
        <f ca="1">ROUND($G29*职业分类属性!E10*((星级总属性!$K$3)/(星级总属性!$K$3+星级总属性!$L$3))+$G29*(HLOOKUP(HLOOKUP(武将总属性分配!E$3,职业属性偏向!$B$3:$E$16,14,FALSE),INDIRECT(TEXT($A$20&amp;"!$B$2:$G$3","")),2,FALSE)/INDIRECT(TEXT($A$20&amp;"!$H$3","")))*((星级总属性!$L$3)/(星级总属性!$K$3+星级总属性!$L$3)),0)</f>
        <v>4730</v>
      </c>
      <c r="F29" s="6">
        <f>VLOOKUP($F$20,'6星每级加强属性曲线演算'!$A$3:$B$17,2,FALSE)</f>
        <v>23600</v>
      </c>
      <c r="G29" s="6">
        <f>F29*职业分类属性!G10</f>
        <v>25960.000000000004</v>
      </c>
    </row>
    <row r="30" spans="1:7" x14ac:dyDescent="0.25">
      <c r="A30" s="8" t="s">
        <v>11</v>
      </c>
      <c r="B30" s="6">
        <f ca="1">ROUND($G30*职业分类属性!B11*((星级总属性!$K$3)/(星级总属性!$K$3+星级总属性!$L$3))+$G30*(HLOOKUP(HLOOKUP(武将总属性分配!B$3,职业属性偏向!$B$3:$E$16,14,FALSE),INDIRECT(TEXT($A$20&amp;"!$B$2:$G$3","")),2,FALSE)/INDIRECT(TEXT($A$20&amp;"!$H$3","")))*((星级总属性!$L$3)/(星级总属性!$K$3+星级总属性!$L$3)),0)</f>
        <v>4437</v>
      </c>
      <c r="C30" s="6">
        <f ca="1">ROUND($G30*职业分类属性!C11*((星级总属性!$K$3)/(星级总属性!$K$3+星级总属性!$L$3))+$G30*(HLOOKUP(HLOOKUP(武将总属性分配!C$3,职业属性偏向!$B$3:$E$16,14,FALSE),INDIRECT(TEXT($A$20&amp;"!$B$2:$G$3","")),2,FALSE)/INDIRECT(TEXT($A$20&amp;"!$H$3","")))*((星级总属性!$L$3)/(星级总属性!$K$3+星级总属性!$L$3)),0)</f>
        <v>6183</v>
      </c>
      <c r="D30" s="6">
        <f ca="1">ROUND($G30*职业分类属性!D11*((星级总属性!$K$3)/(星级总属性!$K$3+星级总属性!$L$3))+$G30*(HLOOKUP(HLOOKUP(武将总属性分配!D$3,职业属性偏向!$B$3:$E$16,14,FALSE),INDIRECT(TEXT($A$20&amp;"!$B$2:$G$3","")),2,FALSE)/INDIRECT(TEXT($A$20&amp;"!$H$3","")))*((星级总属性!$L$3)/(星级总属性!$K$3+星级总属性!$L$3)),0)</f>
        <v>2879</v>
      </c>
      <c r="E30" s="6">
        <f ca="1">ROUND($G30*职业分类属性!E11*((星级总属性!$K$3)/(星级总属性!$K$3+星级总属性!$L$3))+$G30*(HLOOKUP(HLOOKUP(武将总属性分配!E$3,职业属性偏向!$B$3:$E$16,14,FALSE),INDIRECT(TEXT($A$20&amp;"!$B$2:$G$3","")),2,FALSE)/INDIRECT(TEXT($A$20&amp;"!$H$3","")))*((星级总属性!$L$3)/(星级总属性!$K$3+星级总属性!$L$3)),0)</f>
        <v>7269</v>
      </c>
      <c r="F30" s="6">
        <f>VLOOKUP($F$20,'6星每级加强属性曲线演算'!$A$3:$B$17,2,FALSE)</f>
        <v>23600</v>
      </c>
      <c r="G30" s="6">
        <f>F30*职业分类属性!G11</f>
        <v>21240</v>
      </c>
    </row>
    <row r="31" spans="1:7" x14ac:dyDescent="0.25">
      <c r="A31" s="8" t="s">
        <v>12</v>
      </c>
      <c r="B31" s="6">
        <f ca="1">ROUND($G31*职业分类属性!B12*((星级总属性!$K$3)/(星级总属性!$K$3+星级总属性!$L$3))+$G31*(HLOOKUP(HLOOKUP(武将总属性分配!B$3,职业属性偏向!$B$3:$E$16,14,FALSE),INDIRECT(TEXT($A$20&amp;"!$B$2:$G$3","")),2,FALSE)/INDIRECT(TEXT($A$20&amp;"!$H$3","")))*((星级总属性!$L$3)/(星级总属性!$K$3+星级总属性!$L$3)),0)</f>
        <v>6461</v>
      </c>
      <c r="C31" s="6">
        <f ca="1">ROUND($G31*职业分类属性!C12*((星级总属性!$K$3)/(星级总属性!$K$3+星级总属性!$L$3))+$G31*(HLOOKUP(HLOOKUP(武将总属性分配!C$3,职业属性偏向!$B$3:$E$16,14,FALSE),INDIRECT(TEXT($A$20&amp;"!$B$2:$G$3","")),2,FALSE)/INDIRECT(TEXT($A$20&amp;"!$H$3","")))*((星级总属性!$L$3)/(星级总属性!$K$3+星级总属性!$L$3)),0)</f>
        <v>1327</v>
      </c>
      <c r="D31" s="6">
        <f ca="1">ROUND($G31*职业分类属性!D12*((星级总属性!$K$3)/(星级总属性!$K$3+星级总属性!$L$3))+$G31*(HLOOKUP(HLOOKUP(武将总属性分配!D$3,职业属性偏向!$B$3:$E$16,14,FALSE),INDIRECT(TEXT($A$20&amp;"!$B$2:$G$3","")),2,FALSE)/INDIRECT(TEXT($A$20&amp;"!$H$3","")))*((星级总属性!$L$3)/(星级总属性!$K$3+星级总属性!$L$3)),0)</f>
        <v>2481</v>
      </c>
      <c r="E31" s="6">
        <f ca="1">ROUND($G31*职业分类属性!E12*((星级总属性!$K$3)/(星级总属性!$K$3+星级总属性!$L$3))+$G31*(HLOOKUP(HLOOKUP(武将总属性分配!E$3,职业属性偏向!$B$3:$E$16,14,FALSE),INDIRECT(TEXT($A$20&amp;"!$B$2:$G$3","")),2,FALSE)/INDIRECT(TEXT($A$20&amp;"!$H$3","")))*((星级总属性!$L$3)/(星级总属性!$K$3+星级总属性!$L$3)),0)</f>
        <v>15114</v>
      </c>
      <c r="F31" s="6">
        <f>VLOOKUP($F$20,'6星每级加强属性曲线演算'!$A$3:$B$17,2,FALSE)</f>
        <v>23600</v>
      </c>
      <c r="G31" s="6">
        <f>F31*职业分类属性!G12</f>
        <v>25960.000000000004</v>
      </c>
    </row>
    <row r="32" spans="1:7" x14ac:dyDescent="0.25">
      <c r="A32" s="8" t="s">
        <v>13</v>
      </c>
      <c r="B32" s="6">
        <f ca="1">ROUND($G32*职业分类属性!B13*((星级总属性!$K$3)/(星级总属性!$K$3+星级总属性!$L$3))+$G32*(HLOOKUP(HLOOKUP(武将总属性分配!B$3,职业属性偏向!$B$3:$E$16,14,FALSE),INDIRECT(TEXT($A$20&amp;"!$B$2:$G$3","")),2,FALSE)/INDIRECT(TEXT($A$20&amp;"!$H$3","")))*((星级总属性!$L$3)/(星级总属性!$K$3+星级总属性!$L$3)),0)</f>
        <v>7500</v>
      </c>
      <c r="C32" s="6">
        <f ca="1">ROUND($G32*职业分类属性!C13*((星级总属性!$K$3)/(星级总属性!$K$3+星级总属性!$L$3))+$G32*(HLOOKUP(HLOOKUP(武将总属性分配!C$3,职业属性偏向!$B$3:$E$16,14,FALSE),INDIRECT(TEXT($A$20&amp;"!$B$2:$G$3","")),2,FALSE)/INDIRECT(TEXT($A$20&amp;"!$H$3","")))*((星级总属性!$L$3)/(星级总属性!$K$3+星级总属性!$L$3)),0)</f>
        <v>5480</v>
      </c>
      <c r="D32" s="6">
        <f ca="1">ROUND($G32*职业分类属性!D13*((星级总属性!$K$3)/(星级总属性!$K$3+星级总属性!$L$3))+$G32*(HLOOKUP(HLOOKUP(武将总属性分配!D$3,职业属性偏向!$B$3:$E$16,14,FALSE),INDIRECT(TEXT($A$20&amp;"!$B$2:$G$3","")),2,FALSE)/INDIRECT(TEXT($A$20&amp;"!$H$3","")))*((星级总属性!$L$3)/(星级总属性!$K$3+星级总属性!$L$3)),0)</f>
        <v>6634</v>
      </c>
      <c r="E32" s="6">
        <f ca="1">ROUND($G32*职业分类属性!E13*((星级总属性!$K$3)/(星级总属性!$K$3+星级总属性!$L$3))+$G32*(HLOOKUP(HLOOKUP(武将总属性分配!E$3,职业属性偏向!$B$3:$E$16,14,FALSE),INDIRECT(TEXT($A$20&amp;"!$B$2:$G$3","")),2,FALSE)/INDIRECT(TEXT($A$20&amp;"!$H$3","")))*((星级总属性!$L$3)/(星级总属性!$K$3+星级总属性!$L$3)),0)</f>
        <v>5769</v>
      </c>
      <c r="F32" s="6">
        <f>VLOOKUP($F$20,'6星每级加强属性曲线演算'!$A$3:$B$17,2,FALSE)</f>
        <v>23600</v>
      </c>
      <c r="G32" s="6">
        <f>F32*职业分类属性!G13</f>
        <v>25960.000000000004</v>
      </c>
    </row>
    <row r="33" spans="1:7" x14ac:dyDescent="0.25">
      <c r="A33" s="8" t="s">
        <v>9</v>
      </c>
      <c r="B33" s="6">
        <f ca="1">ROUND($G33*职业分类属性!B14*((星级总属性!$K$3)/(星级总属性!$K$3+星级总属性!$L$3))+$G33*(HLOOKUP(HLOOKUP(武将总属性分配!B$3,职业属性偏向!$B$3:$E$16,14,FALSE),INDIRECT(TEXT($A$20&amp;"!$B$2:$G$3","")),2,FALSE)/INDIRECT(TEXT($A$20&amp;"!$H$3","")))*((星级总属性!$L$3)/(星级总属性!$K$3+星级总属性!$L$3)),0)</f>
        <v>3340</v>
      </c>
      <c r="C33" s="6">
        <f ca="1">ROUND($G33*职业分类属性!C14*((星级总属性!$K$3)/(星级总属性!$K$3+星级总属性!$L$3))+$G33*(HLOOKUP(HLOOKUP(武将总属性分配!C$3,职业属性偏向!$B$3:$E$16,14,FALSE),INDIRECT(TEXT($A$20&amp;"!$B$2:$G$3","")),2,FALSE)/INDIRECT(TEXT($A$20&amp;"!$H$3","")))*((星级总属性!$L$3)/(星级总属性!$K$3+星级总属性!$L$3)),0)</f>
        <v>10027</v>
      </c>
      <c r="D33" s="6">
        <f ca="1">ROUND($G33*职业分类属性!D14*((星级总属性!$K$3)/(星级总属性!$K$3+星级总属性!$L$3))+$G33*(HLOOKUP(HLOOKUP(武将总属性分配!D$3,职业属性偏向!$B$3:$E$16,14,FALSE),INDIRECT(TEXT($A$20&amp;"!$B$2:$G$3","")),2,FALSE)/INDIRECT(TEXT($A$20&amp;"!$H$3","")))*((星级总属性!$L$3)/(星级总属性!$K$3+星级总属性!$L$3)),0)</f>
        <v>2408</v>
      </c>
      <c r="E33" s="6">
        <f ca="1">ROUND($G33*职业分类属性!E14*((星级总属性!$K$3)/(星级总属性!$K$3+星级总属性!$L$3))+$G33*(HLOOKUP(HLOOKUP(武将总属性分配!E$3,职业属性偏向!$B$3:$E$16,14,FALSE),INDIRECT(TEXT($A$20&amp;"!$B$2:$G$3","")),2,FALSE)/INDIRECT(TEXT($A$20&amp;"!$H$3","")))*((星级总属性!$L$3)/(星级总属性!$K$3+星级总属性!$L$3)),0)</f>
        <v>2685</v>
      </c>
      <c r="F33" s="6">
        <f>VLOOKUP($F$20,'6星每级加强属性曲线演算'!$A$3:$B$17,2,FALSE)</f>
        <v>23600</v>
      </c>
      <c r="G33" s="6">
        <f>F33*职业分类属性!G14</f>
        <v>18880</v>
      </c>
    </row>
    <row r="34" spans="1:7" x14ac:dyDescent="0.25">
      <c r="A34" s="8" t="s">
        <v>10</v>
      </c>
      <c r="B34" s="6">
        <f ca="1">ROUND($G34*职业分类属性!B15*((星级总属性!$K$3)/(星级总属性!$K$3+星级总属性!$L$3))+$G34*(HLOOKUP(HLOOKUP(武将总属性分配!B$3,职业属性偏向!$B$3:$E$16,14,FALSE),INDIRECT(TEXT($A$20&amp;"!$B$2:$G$3","")),2,FALSE)/INDIRECT(TEXT($A$20&amp;"!$H$3","")))*((星级总属性!$L$3)/(星级总属性!$K$3+星级总属性!$L$3)),0)</f>
        <v>3189</v>
      </c>
      <c r="C34" s="6">
        <f ca="1">ROUND($G34*职业分类属性!C15*((星级总属性!$K$3)/(星级总属性!$K$3+星级总属性!$L$3))+$G34*(HLOOKUP(HLOOKUP(武将总属性分配!C$3,职业属性偏向!$B$3:$E$16,14,FALSE),INDIRECT(TEXT($A$20&amp;"!$B$2:$G$3","")),2,FALSE)/INDIRECT(TEXT($A$20&amp;"!$H$3","")))*((星级总属性!$L$3)/(星级总属性!$K$3+星级总属性!$L$3)),0)</f>
        <v>965</v>
      </c>
      <c r="D34" s="6">
        <f ca="1">ROUND($G34*职业分类属性!D15*((星级总属性!$K$3)/(星级总属性!$K$3+星级总属性!$L$3))+$G34*(HLOOKUP(HLOOKUP(武将总属性分配!D$3,职业属性偏向!$B$3:$E$16,14,FALSE),INDIRECT(TEXT($A$20&amp;"!$B$2:$G$3","")),2,FALSE)/INDIRECT(TEXT($A$20&amp;"!$H$3","")))*((星级总属性!$L$3)/(星级总属性!$K$3+星级总属性!$L$3)),0)</f>
        <v>10866</v>
      </c>
      <c r="E34" s="6">
        <f ca="1">ROUND($G34*职业分类属性!E15*((星级总属性!$K$3)/(星级总属性!$K$3+星级总属性!$L$3))+$G34*(HLOOKUP(HLOOKUP(武将总属性分配!E$3,职业属性偏向!$B$3:$E$16,14,FALSE),INDIRECT(TEXT($A$20&amp;"!$B$2:$G$3","")),2,FALSE)/INDIRECT(TEXT($A$20&amp;"!$H$3","")))*((星级总属性!$L$3)/(星级总属性!$K$3+星级总属性!$L$3)),0)</f>
        <v>3440</v>
      </c>
      <c r="F34" s="6">
        <f>VLOOKUP($F$20,'6星每级加强属性曲线演算'!$A$3:$B$17,2,FALSE)</f>
        <v>23600</v>
      </c>
      <c r="G34" s="6">
        <f>F34*职业分类属性!G15</f>
        <v>18880</v>
      </c>
    </row>
    <row r="35" spans="1:7" x14ac:dyDescent="0.25">
      <c r="B35" s="8" t="str">
        <f>B21</f>
        <v>生命值</v>
      </c>
      <c r="C35" s="8" t="str">
        <f t="shared" ref="C35:G35" si="2">C21</f>
        <v>回复力</v>
      </c>
      <c r="D35" s="8" t="str">
        <f t="shared" si="2"/>
        <v>武力</v>
      </c>
      <c r="E35" s="8" t="str">
        <f t="shared" si="2"/>
        <v>防御</v>
      </c>
      <c r="F35" s="8" t="str">
        <f t="shared" si="2"/>
        <v>原总属性</v>
      </c>
      <c r="G35" s="8" t="str">
        <f t="shared" si="2"/>
        <v>修正后总属性</v>
      </c>
    </row>
    <row r="37" spans="1:7" x14ac:dyDescent="0.25">
      <c r="A37" s="23" t="s">
        <v>52</v>
      </c>
      <c r="E37" s="8" t="s">
        <v>39</v>
      </c>
      <c r="F37" s="6">
        <v>15</v>
      </c>
    </row>
    <row r="38" spans="1:7" x14ac:dyDescent="0.25">
      <c r="A38" s="7"/>
      <c r="B38" s="8" t="s">
        <v>14</v>
      </c>
      <c r="C38" s="8" t="s">
        <v>15</v>
      </c>
      <c r="D38" s="8" t="s">
        <v>16</v>
      </c>
      <c r="E38" s="8" t="s">
        <v>98</v>
      </c>
      <c r="F38" s="8" t="s">
        <v>41</v>
      </c>
      <c r="G38" s="8" t="s">
        <v>42</v>
      </c>
    </row>
    <row r="39" spans="1:7" x14ac:dyDescent="0.25">
      <c r="A39" s="8" t="s">
        <v>1</v>
      </c>
      <c r="B39" s="6">
        <f ca="1">ROUND($G39*职业分类属性!B3*((星级总属性!$K$3)/(星级总属性!$K$3+星级总属性!$L$3))+$G39*(HLOOKUP(HLOOKUP(武将总属性分配!B$3,职业属性偏向!$B$3:$E$16,14,FALSE),INDIRECT(TEXT($A$37&amp;"!$B$2:$G$3","")),2,FALSE)/INDIRECT(TEXT($A$37&amp;"!$H$3","")))*((星级总属性!$L$3)/(星级总属性!$K$3+星级总属性!$L$3)),0)</f>
        <v>6608</v>
      </c>
      <c r="C39" s="6">
        <f ca="1">ROUND($G39*职业分类属性!C3*((星级总属性!$K$3)/(星级总属性!$K$3+星级总属性!$L$3))+$G39*(HLOOKUP(HLOOKUP(武将总属性分配!C$3,职业属性偏向!$B$3:$E$16,14,FALSE),INDIRECT(TEXT($A$37&amp;"!$B$2:$G$3","")),2,FALSE)/INDIRECT(TEXT($A$37&amp;"!$H$3","")))*((星级总属性!$L$3)/(星级总属性!$K$3+星级总属性!$L$3)),0)</f>
        <v>2077</v>
      </c>
      <c r="D39" s="6">
        <f ca="1">ROUND($G39*职业分类属性!D3*((星级总属性!$K$3)/(星级总属性!$K$3+星级总属性!$L$3))+$G39*(HLOOKUP(HLOOKUP(武将总属性分配!D$3,职业属性偏向!$B$3:$E$16,14,FALSE),INDIRECT(TEXT($A$37&amp;"!$B$2:$G$3","")),2,FALSE)/INDIRECT(TEXT($A$37&amp;"!$H$3","")))*((星级总属性!$L$3)/(星级总属性!$K$3+星级总属性!$L$3)),0)</f>
        <v>13405</v>
      </c>
      <c r="E39" s="6">
        <f ca="1">ROUND($G39*职业分类属性!E3*((星级总属性!$K$3)/(星级总属性!$K$3+星级总属性!$L$3))+$G39*(HLOOKUP(HLOOKUP(武将总属性分配!E$3,职业属性偏向!$B$3:$E$16,14,FALSE),INDIRECT(TEXT($A$37&amp;"!$B$2:$G$3","")),2,FALSE)/INDIRECT(TEXT($A$37&amp;"!$H$3","")))*((星级总属性!$L$3)/(星级总属性!$K$3+星级总属性!$L$3)),0)</f>
        <v>4342</v>
      </c>
      <c r="F39" s="6">
        <f>VLOOKUP($F$37,'6星每级加强属性曲线演算'!$A$3:$B$17,2,FALSE)</f>
        <v>23600</v>
      </c>
      <c r="G39" s="6">
        <f>F39*职业分类属性!G3</f>
        <v>28320</v>
      </c>
    </row>
    <row r="40" spans="1:7" x14ac:dyDescent="0.25">
      <c r="A40" s="8" t="s">
        <v>2</v>
      </c>
      <c r="B40" s="6">
        <f ca="1">ROUND($G40*职业分类属性!B4*((星级总属性!$K$3)/(星级总属性!$K$3+星级总属性!$L$3))+$G40*(HLOOKUP(HLOOKUP(武将总属性分配!B$3,职业属性偏向!$B$3:$E$16,14,FALSE),INDIRECT(TEXT($A$37&amp;"!$B$2:$G$3","")),2,FALSE)/INDIRECT(TEXT($A$37&amp;"!$H$3","")))*((星级总属性!$L$3)/(星级总属性!$K$3+星级总属性!$L$3)),0)</f>
        <v>4459</v>
      </c>
      <c r="C40" s="6">
        <f ca="1">ROUND($G40*职业分类属性!C4*((星级总属性!$K$3)/(星级总属性!$K$3+星级总属性!$L$3))+$G40*(HLOOKUP(HLOOKUP(武将总属性分配!C$3,职业属性偏向!$B$3:$E$16,14,FALSE),INDIRECT(TEXT($A$37&amp;"!$B$2:$G$3","")),2,FALSE)/INDIRECT(TEXT($A$37&amp;"!$H$3","")))*((星级总属性!$L$3)/(星级总属性!$K$3+星级总属性!$L$3)),0)</f>
        <v>1268</v>
      </c>
      <c r="D40" s="6">
        <f ca="1">ROUND($G40*职业分类属性!D4*((星级总属性!$K$3)/(星级总属性!$K$3+星级总属性!$L$3))+$G40*(HLOOKUP(HLOOKUP(武将总属性分配!D$3,职业属性偏向!$B$3:$E$16,14,FALSE),INDIRECT(TEXT($A$37&amp;"!$B$2:$G$3","")),2,FALSE)/INDIRECT(TEXT($A$37&amp;"!$H$3","")))*((星级总属性!$L$3)/(星级总属性!$K$3+星级总属性!$L$3)),0)</f>
        <v>20658</v>
      </c>
      <c r="E40" s="6">
        <f ca="1">ROUND($G40*职业分类属性!E4*((星级总属性!$K$3)/(星级总属性!$K$3+星级总属性!$L$3))+$G40*(HLOOKUP(HLOOKUP(武将总属性分配!E$3,职业属性偏向!$B$3:$E$16,14,FALSE),INDIRECT(TEXT($A$37&amp;"!$B$2:$G$3","")),2,FALSE)/INDIRECT(TEXT($A$37&amp;"!$H$3","")))*((星级总属性!$L$3)/(星级总属性!$K$3+星级总属性!$L$3)),0)</f>
        <v>2250</v>
      </c>
      <c r="F40" s="6">
        <f>VLOOKUP($F$37,'6星每级加强属性曲线演算'!$A$3:$B$17,2,FALSE)</f>
        <v>23600</v>
      </c>
      <c r="G40" s="6">
        <f>F40*职业分类属性!G4</f>
        <v>30680</v>
      </c>
    </row>
    <row r="41" spans="1:7" x14ac:dyDescent="0.25">
      <c r="A41" s="8" t="s">
        <v>3</v>
      </c>
      <c r="B41" s="6">
        <f ca="1">ROUND($G41*职业分类属性!B5*((星级总属性!$K$3)/(星级总属性!$K$3+星级总属性!$L$3))+$G41*(HLOOKUP(HLOOKUP(武将总属性分配!B$3,职业属性偏向!$B$3:$E$16,14,FALSE),INDIRECT(TEXT($A$37&amp;"!$B$2:$G$3","")),2,FALSE)/INDIRECT(TEXT($A$37&amp;"!$H$3","")))*((星级总属性!$L$3)/(星级总属性!$K$3+星级总属性!$L$3)),0)</f>
        <v>2067</v>
      </c>
      <c r="C41" s="6">
        <f ca="1">ROUND($G41*职业分类属性!C5*((星级总属性!$K$3)/(星级总属性!$K$3+星级总属性!$L$3))+$G41*(HLOOKUP(HLOOKUP(武将总属性分配!C$3,职业属性偏向!$B$3:$E$16,14,FALSE),INDIRECT(TEXT($A$37&amp;"!$B$2:$G$3","")),2,FALSE)/INDIRECT(TEXT($A$37&amp;"!$H$3","")))*((星级总属性!$L$3)/(星级总属性!$K$3+星级总属性!$L$3)),0)</f>
        <v>2067</v>
      </c>
      <c r="D41" s="6">
        <f ca="1">ROUND($G41*职业分类属性!D5*((星级总属性!$K$3)/(星级总属性!$K$3+星级总属性!$L$3))+$G41*(HLOOKUP(HLOOKUP(武将总属性分配!D$3,职业属性偏向!$B$3:$E$16,14,FALSE),INDIRECT(TEXT($A$37&amp;"!$B$2:$G$3","")),2,FALSE)/INDIRECT(TEXT($A$37&amp;"!$H$3","")))*((星级总属性!$L$3)/(星级总属性!$K$3+星级总属性!$L$3)),0)</f>
        <v>13452</v>
      </c>
      <c r="E41" s="6">
        <f ca="1">ROUND($G41*职业分类属性!E5*((星级总属性!$K$3)/(星级总属性!$K$3+星级总属性!$L$3))+$G41*(HLOOKUP(HLOOKUP(武将总属性分配!E$3,职业属性偏向!$B$3:$E$16,14,FALSE),INDIRECT(TEXT($A$37&amp;"!$B$2:$G$3","")),2,FALSE)/INDIRECT(TEXT($A$37&amp;"!$H$3","")))*((星级总属性!$L$3)/(星级总属性!$K$3+星级总属性!$L$3)),0)</f>
        <v>2237</v>
      </c>
      <c r="F41" s="6">
        <f>VLOOKUP($F$37,'6星每级加强属性曲线演算'!$A$3:$B$17,2,FALSE)</f>
        <v>23600</v>
      </c>
      <c r="G41" s="6">
        <f>F41*职业分类属性!G5</f>
        <v>21240</v>
      </c>
    </row>
    <row r="42" spans="1:7" x14ac:dyDescent="0.25">
      <c r="A42" s="8" t="s">
        <v>4</v>
      </c>
      <c r="B42" s="6">
        <f ca="1">ROUND($G42*职业分类属性!B6*((星级总属性!$K$3)/(星级总属性!$K$3+星级总属性!$L$3))+$G42*(HLOOKUP(HLOOKUP(武将总属性分配!B$3,职业属性偏向!$B$3:$E$16,14,FALSE),INDIRECT(TEXT($A$37&amp;"!$B$2:$G$3","")),2,FALSE)/INDIRECT(TEXT($A$37&amp;"!$H$3","")))*((星级总属性!$L$3)/(星级总属性!$K$3+星级总属性!$L$3)),0)</f>
        <v>2675</v>
      </c>
      <c r="C42" s="6">
        <f ca="1">ROUND($G42*职业分类属性!C6*((星级总属性!$K$3)/(星级总属性!$K$3+星级总属性!$L$3))+$G42*(HLOOKUP(HLOOKUP(武将总属性分配!C$3,职业属性偏向!$B$3:$E$16,14,FALSE),INDIRECT(TEXT($A$37&amp;"!$B$2:$G$3","")),2,FALSE)/INDIRECT(TEXT($A$37&amp;"!$H$3","")))*((星级总属性!$L$3)/(星级总属性!$K$3+星级总属性!$L$3)),0)</f>
        <v>975</v>
      </c>
      <c r="D42" s="6">
        <f ca="1">ROUND($G42*职业分类属性!D6*((星级总属性!$K$3)/(星级总属性!$K$3+星级总属性!$L$3))+$G42*(HLOOKUP(HLOOKUP(武将总属性分配!D$3,职业属性偏向!$B$3:$E$16,14,FALSE),INDIRECT(TEXT($A$37&amp;"!$B$2:$G$3","")),2,FALSE)/INDIRECT(TEXT($A$37&amp;"!$H$3","")))*((星级总属性!$L$3)/(星级总属性!$K$3+星级总属性!$L$3)),0)</f>
        <v>14947</v>
      </c>
      <c r="E42" s="6">
        <f ca="1">ROUND($G42*职业分类属性!E6*((星级总属性!$K$3)/(星级总属性!$K$3+星级总属性!$L$3))+$G42*(HLOOKUP(HLOOKUP(武将总属性分配!E$3,职业属性偏向!$B$3:$E$16,14,FALSE),INDIRECT(TEXT($A$37&amp;"!$B$2:$G$3","")),2,FALSE)/INDIRECT(TEXT($A$37&amp;"!$H$3","")))*((星级总属性!$L$3)/(星级总属性!$K$3+星级总属性!$L$3)),0)</f>
        <v>3430</v>
      </c>
      <c r="F42" s="6">
        <f>VLOOKUP($F$37,'6星每级加强属性曲线演算'!$A$3:$B$17,2,FALSE)</f>
        <v>23600</v>
      </c>
      <c r="G42" s="6">
        <f>F42*职业分类属性!G6</f>
        <v>23600</v>
      </c>
    </row>
    <row r="43" spans="1:7" x14ac:dyDescent="0.25">
      <c r="A43" s="8" t="s">
        <v>5</v>
      </c>
      <c r="B43" s="6">
        <f ca="1">ROUND($G43*职业分类属性!B7*((星级总属性!$K$3)/(星级总属性!$K$3+星级总属性!$L$3))+$G43*(HLOOKUP(HLOOKUP(武将总属性分配!B$3,职业属性偏向!$B$3:$E$16,14,FALSE),INDIRECT(TEXT($A$37&amp;"!$B$2:$G$3","")),2,FALSE)/INDIRECT(TEXT($A$37&amp;"!$H$3","")))*((星级总属性!$L$3)/(星级总属性!$K$3+星级总属性!$L$3)),0)</f>
        <v>1211</v>
      </c>
      <c r="C43" s="6">
        <f ca="1">ROUND($G43*职业分类属性!C7*((星级总属性!$K$3)/(星级总属性!$K$3+星级总属性!$L$3))+$G43*(HLOOKUP(HLOOKUP(武将总属性分配!C$3,职业属性偏向!$B$3:$E$16,14,FALSE),INDIRECT(TEXT($A$37&amp;"!$B$2:$G$3","")),2,FALSE)/INDIRECT(TEXT($A$37&amp;"!$H$3","")))*((星级总属性!$L$3)/(星级总属性!$K$3+星级总属性!$L$3)),0)</f>
        <v>1211</v>
      </c>
      <c r="D43" s="6">
        <f ca="1">ROUND($G43*职业分类属性!D7*((星级总属性!$K$3)/(星级总属性!$K$3+星级总属性!$L$3))+$G43*(HLOOKUP(HLOOKUP(武将总属性分配!D$3,职业属性偏向!$B$3:$E$16,14,FALSE),INDIRECT(TEXT($A$37&amp;"!$B$2:$G$3","")),2,FALSE)/INDIRECT(TEXT($A$37&amp;"!$H$3","")))*((星级总属性!$L$3)/(星级总属性!$K$3+星级总属性!$L$3)),0)</f>
        <v>11784</v>
      </c>
      <c r="E43" s="6">
        <f ca="1">ROUND($G43*职业分类属性!E7*((星级总属性!$K$3)/(星级总属性!$K$3+星级总属性!$L$3))+$G43*(HLOOKUP(HLOOKUP(武将总属性分配!E$3,职业属性偏向!$B$3:$E$16,14,FALSE),INDIRECT(TEXT($A$37&amp;"!$B$2:$G$3","")),2,FALSE)/INDIRECT(TEXT($A$37&amp;"!$H$3","")))*((星级总属性!$L$3)/(星级总属性!$K$3+星级总属性!$L$3)),0)</f>
        <v>1211</v>
      </c>
      <c r="F43" s="6">
        <f>VLOOKUP($F$37,'6星每级加强属性曲线演算'!$A$3:$B$17,2,FALSE)</f>
        <v>23600</v>
      </c>
      <c r="G43" s="6">
        <f>F43*职业分类属性!G7</f>
        <v>16520</v>
      </c>
    </row>
    <row r="44" spans="1:7" x14ac:dyDescent="0.25">
      <c r="A44" s="8" t="s">
        <v>6</v>
      </c>
      <c r="B44" s="6">
        <f ca="1">ROUND($G44*职业分类属性!B8*((星级总属性!$K$3)/(星级总属性!$K$3+星级总属性!$L$3))+$G44*(HLOOKUP(HLOOKUP(武将总属性分配!B$3,职业属性偏向!$B$3:$E$16,14,FALSE),INDIRECT(TEXT($A$37&amp;"!$B$2:$G$3","")),2,FALSE)/INDIRECT(TEXT($A$37&amp;"!$H$3","")))*((星级总属性!$L$3)/(星级总属性!$K$3+星级总属性!$L$3)),0)</f>
        <v>1385</v>
      </c>
      <c r="C44" s="6">
        <f ca="1">ROUND($G44*职业分类属性!C8*((星级总属性!$K$3)/(星级总属性!$K$3+星级总属性!$L$3))+$G44*(HLOOKUP(HLOOKUP(武将总属性分配!C$3,职业属性偏向!$B$3:$E$16,14,FALSE),INDIRECT(TEXT($A$37&amp;"!$B$2:$G$3","")),2,FALSE)/INDIRECT(TEXT($A$37&amp;"!$H$3","")))*((星级总属性!$L$3)/(星级总属性!$K$3+星级总属性!$L$3)),0)</f>
        <v>2895</v>
      </c>
      <c r="D44" s="6">
        <f ca="1">ROUND($G44*职业分类属性!D8*((星级总属性!$K$3)/(星级总属性!$K$3+星级总属性!$L$3))+$G44*(HLOOKUP(HLOOKUP(武将总属性分配!D$3,职业属性偏向!$B$3:$E$16,14,FALSE),INDIRECT(TEXT($A$37&amp;"!$B$2:$G$3","")),2,FALSE)/INDIRECT(TEXT($A$37&amp;"!$H$3","")))*((星级总属性!$L$3)/(星级总属性!$K$3+星级总属性!$L$3)),0)</f>
        <v>10447</v>
      </c>
      <c r="E44" s="6">
        <f ca="1">ROUND($G44*职业分类属性!E8*((星级总属性!$K$3)/(星级总属性!$K$3+星级总属性!$L$3))+$G44*(HLOOKUP(HLOOKUP(武将总属性分配!E$3,职业属性偏向!$B$3:$E$16,14,FALSE),INDIRECT(TEXT($A$37&amp;"!$B$2:$G$3","")),2,FALSE)/INDIRECT(TEXT($A$37&amp;"!$H$3","")))*((星级总属性!$L$3)/(星级总属性!$K$3+星级总属性!$L$3)),0)</f>
        <v>2895</v>
      </c>
      <c r="F44" s="6">
        <f>VLOOKUP($F$37,'6星每级加强属性曲线演算'!$A$3:$B$17,2,FALSE)</f>
        <v>23600</v>
      </c>
      <c r="G44" s="6">
        <f>F44*职业分类属性!G8</f>
        <v>18880</v>
      </c>
    </row>
    <row r="45" spans="1:7" x14ac:dyDescent="0.25">
      <c r="A45" s="8" t="s">
        <v>7</v>
      </c>
      <c r="B45" s="6">
        <f ca="1">ROUND($G45*职业分类属性!B9*((星级总属性!$K$3)/(星级总属性!$K$3+星级总属性!$L$3))+$G45*(HLOOKUP(HLOOKUP(武将总属性分配!B$3,职业属性偏向!$B$3:$E$16,14,FALSE),INDIRECT(TEXT($A$37&amp;"!$B$2:$G$3","")),2,FALSE)/INDIRECT(TEXT($A$37&amp;"!$H$3","")))*((星级总属性!$L$3)/(星级总属性!$K$3+星级总属性!$L$3)),0)</f>
        <v>2895</v>
      </c>
      <c r="C45" s="6">
        <f ca="1">ROUND($G45*职业分类属性!C9*((星级总属性!$K$3)/(星级总属性!$K$3+星级总属性!$L$3))+$G45*(HLOOKUP(HLOOKUP(武将总属性分配!C$3,职业属性偏向!$B$3:$E$16,14,FALSE),INDIRECT(TEXT($A$37&amp;"!$B$2:$G$3","")),2,FALSE)/INDIRECT(TEXT($A$37&amp;"!$H$3","")))*((星级总属性!$L$3)/(星级总属性!$K$3+星级总属性!$L$3)),0)</f>
        <v>1385</v>
      </c>
      <c r="D45" s="6">
        <f ca="1">ROUND($G45*职业分类属性!D9*((星级总属性!$K$3)/(星级总属性!$K$3+星级总属性!$L$3))+$G45*(HLOOKUP(HLOOKUP(武将总属性分配!D$3,职业属性偏向!$B$3:$E$16,14,FALSE),INDIRECT(TEXT($A$37&amp;"!$B$2:$G$3","")),2,FALSE)/INDIRECT(TEXT($A$37&amp;"!$H$3","")))*((星级总属性!$L$3)/(星级总属性!$K$3+星级总属性!$L$3)),0)</f>
        <v>10447</v>
      </c>
      <c r="E45" s="6">
        <f ca="1">ROUND($G45*职业分类属性!E9*((星级总属性!$K$3)/(星级总属性!$K$3+星级总属性!$L$3))+$G45*(HLOOKUP(HLOOKUP(武将总属性分配!E$3,职业属性偏向!$B$3:$E$16,14,FALSE),INDIRECT(TEXT($A$37&amp;"!$B$2:$G$3","")),2,FALSE)/INDIRECT(TEXT($A$37&amp;"!$H$3","")))*((星级总属性!$L$3)/(星级总属性!$K$3+星级总属性!$L$3)),0)</f>
        <v>2895</v>
      </c>
      <c r="F45" s="6">
        <f>VLOOKUP($F$37,'6星每级加强属性曲线演算'!$A$3:$B$17,2,FALSE)</f>
        <v>23600</v>
      </c>
      <c r="G45" s="6">
        <f>F45*职业分类属性!G9</f>
        <v>18880</v>
      </c>
    </row>
    <row r="46" spans="1:7" x14ac:dyDescent="0.25">
      <c r="A46" s="8" t="s">
        <v>8</v>
      </c>
      <c r="B46" s="6">
        <f ca="1">ROUND($G46*职业分类属性!B10*((星级总属性!$K$3)/(星级总属性!$K$3+星级总属性!$L$3))+$G46*(HLOOKUP(HLOOKUP(武将总属性分配!B$3,职业属性偏向!$B$3:$E$16,14,FALSE),INDIRECT(TEXT($A$37&amp;"!$B$2:$G$3","")),2,FALSE)/INDIRECT(TEXT($A$37&amp;"!$H$3","")))*((星级总属性!$L$3)/(星级总属性!$K$3+星级总属性!$L$3)),0)</f>
        <v>9173</v>
      </c>
      <c r="C46" s="6">
        <f ca="1">ROUND($G46*职业分类属性!C10*((星级总属性!$K$3)/(星级总属性!$K$3+星级总属性!$L$3))+$G46*(HLOOKUP(HLOOKUP(武将总属性分配!C$3,职业属性偏向!$B$3:$E$16,14,FALSE),INDIRECT(TEXT($A$37&amp;"!$B$2:$G$3","")),2,FALSE)/INDIRECT(TEXT($A$37&amp;"!$H$3","")))*((星级总属性!$L$3)/(星级总属性!$K$3+星级总属性!$L$3)),0)</f>
        <v>2527</v>
      </c>
      <c r="D46" s="6">
        <f ca="1">ROUND($G46*职业分类属性!D10*((星级总属性!$K$3)/(星级总属性!$K$3+星级总属性!$L$3))+$G46*(HLOOKUP(HLOOKUP(武将总属性分配!D$3,职业属性偏向!$B$3:$E$16,14,FALSE),INDIRECT(TEXT($A$37&amp;"!$B$2:$G$3","")),2,FALSE)/INDIRECT(TEXT($A$37&amp;"!$H$3","")))*((星级总属性!$L$3)/(星级总属性!$K$3+星级总属性!$L$3)),0)</f>
        <v>7511</v>
      </c>
      <c r="E46" s="6">
        <f ca="1">ROUND($G46*职业分类属性!E10*((星级总属性!$K$3)/(星级总属性!$K$3+星级总属性!$L$3))+$G46*(HLOOKUP(HLOOKUP(武将总属性分配!E$3,职业属性偏向!$B$3:$E$16,14,FALSE),INDIRECT(TEXT($A$37&amp;"!$B$2:$G$3","")),2,FALSE)/INDIRECT(TEXT($A$37&amp;"!$H$3","")))*((星级总属性!$L$3)/(星级总属性!$K$3+星级总属性!$L$3)),0)</f>
        <v>5019</v>
      </c>
      <c r="F46" s="6">
        <f>VLOOKUP($F$37,'6星每级加强属性曲线演算'!$A$3:$B$17,2,FALSE)</f>
        <v>23600</v>
      </c>
      <c r="G46" s="6">
        <f>F46*职业分类属性!G10</f>
        <v>25960.000000000004</v>
      </c>
    </row>
    <row r="47" spans="1:7" x14ac:dyDescent="0.25">
      <c r="A47" s="8" t="s">
        <v>100</v>
      </c>
      <c r="B47" s="6">
        <f ca="1">ROUND($G47*职业分类属性!B11*((星级总属性!$K$3)/(星级总属性!$K$3+星级总属性!$L$3))+$G47*(HLOOKUP(HLOOKUP(武将总属性分配!B$3,职业属性偏向!$B$3:$E$16,14,FALSE),INDIRECT(TEXT($A$37&amp;"!$B$2:$G$3","")),2,FALSE)/INDIRECT(TEXT($A$37&amp;"!$H$3","")))*((星级总属性!$L$3)/(星级总属性!$K$3+星级总属性!$L$3)),0)</f>
        <v>3257</v>
      </c>
      <c r="C47" s="6">
        <f ca="1">ROUND($G47*职业分类属性!C11*((星级总属性!$K$3)/(星级总属性!$K$3+星级总属性!$L$3))+$G47*(HLOOKUP(HLOOKUP(武将总属性分配!C$3,职业属性偏向!$B$3:$E$16,14,FALSE),INDIRECT(TEXT($A$37&amp;"!$B$2:$G$3","")),2,FALSE)/INDIRECT(TEXT($A$37&amp;"!$H$3","")))*((星级总属性!$L$3)/(星级总属性!$K$3+星级总属性!$L$3)),0)</f>
        <v>6655</v>
      </c>
      <c r="D47" s="6">
        <f ca="1">ROUND($G47*职业分类属性!D11*((星级总属性!$K$3)/(星级总属性!$K$3+星级总属性!$L$3))+$G47*(HLOOKUP(HLOOKUP(武将总属性分配!D$3,职业属性偏向!$B$3:$E$16,14,FALSE),INDIRECT(TEXT($A$37&amp;"!$B$2:$G$3","")),2,FALSE)/INDIRECT(TEXT($A$37&amp;"!$H$3","")))*((星级总属性!$L$3)/(星级总属性!$K$3+星级总属性!$L$3)),0)</f>
        <v>2407</v>
      </c>
      <c r="E47" s="6">
        <f ca="1">ROUND($G47*职业分类属性!E11*((星级总属性!$K$3)/(星级总属性!$K$3+星级总属性!$L$3))+$G47*(HLOOKUP(HLOOKUP(武将总属性分配!E$3,职业属性偏向!$B$3:$E$16,14,FALSE),INDIRECT(TEXT($A$37&amp;"!$B$2:$G$3","")),2,FALSE)/INDIRECT(TEXT($A$37&amp;"!$H$3","")))*((星级总属性!$L$3)/(星级总属性!$K$3+星级总属性!$L$3)),0)</f>
        <v>7505</v>
      </c>
      <c r="F47" s="6">
        <f>VLOOKUP($F$37,'6星每级加强属性曲线演算'!$A$3:$B$17,2,FALSE)</f>
        <v>23600</v>
      </c>
      <c r="G47" s="6">
        <f>F47*职业分类属性!G11</f>
        <v>21240</v>
      </c>
    </row>
    <row r="48" spans="1:7" x14ac:dyDescent="0.25">
      <c r="A48" s="8" t="s">
        <v>101</v>
      </c>
      <c r="B48" s="6">
        <f ca="1">ROUND($G48*职业分类属性!B12*((星级总属性!$K$3)/(星级总属性!$K$3+星级总属性!$L$3))+$G48*(HLOOKUP(HLOOKUP(武将总属性分配!B$3,职业属性偏向!$B$3:$E$16,14,FALSE),INDIRECT(TEXT($A$37&amp;"!$B$2:$G$3","")),2,FALSE)/INDIRECT(TEXT($A$37&amp;"!$H$3","")))*((星级总属性!$L$3)/(星级总属性!$K$3+星级总属性!$L$3)),0)</f>
        <v>5019</v>
      </c>
      <c r="C48" s="6">
        <f ca="1">ROUND($G48*职业分类属性!C12*((星级总属性!$K$3)/(星级总属性!$K$3+星级总属性!$L$3))+$G48*(HLOOKUP(HLOOKUP(武将总属性分配!C$3,职业属性偏向!$B$3:$E$16,14,FALSE),INDIRECT(TEXT($A$37&amp;"!$B$2:$G$3","")),2,FALSE)/INDIRECT(TEXT($A$37&amp;"!$H$3","")))*((星级总属性!$L$3)/(星级总属性!$K$3+星级总属性!$L$3)),0)</f>
        <v>1904</v>
      </c>
      <c r="D48" s="6">
        <f ca="1">ROUND($G48*职业分类属性!D12*((星级总属性!$K$3)/(星级总属性!$K$3+星级总属性!$L$3))+$G48*(HLOOKUP(HLOOKUP(武将总属性分配!D$3,职业属性偏向!$B$3:$E$16,14,FALSE),INDIRECT(TEXT($A$37&amp;"!$B$2:$G$3","")),2,FALSE)/INDIRECT(TEXT($A$37&amp;"!$H$3","")))*((星级总属性!$L$3)/(星级总属性!$K$3+星级总属性!$L$3)),0)</f>
        <v>1904</v>
      </c>
      <c r="E48" s="6">
        <f ca="1">ROUND($G48*职业分类属性!E12*((星级总属性!$K$3)/(星级总属性!$K$3+星级总属性!$L$3))+$G48*(HLOOKUP(HLOOKUP(武将总属性分配!E$3,职业属性偏向!$B$3:$E$16,14,FALSE),INDIRECT(TEXT($A$37&amp;"!$B$2:$G$3","")),2,FALSE)/INDIRECT(TEXT($A$37&amp;"!$H$3","")))*((星级总属性!$L$3)/(星级总属性!$K$3+星级总属性!$L$3)),0)</f>
        <v>15403</v>
      </c>
      <c r="F48" s="6">
        <f>VLOOKUP($F$37,'6星每级加强属性曲线演算'!$A$3:$B$17,2,FALSE)</f>
        <v>23600</v>
      </c>
      <c r="G48" s="6">
        <f>F48*职业分类属性!G12</f>
        <v>25960.000000000004</v>
      </c>
    </row>
    <row r="49" spans="1:7" x14ac:dyDescent="0.25">
      <c r="A49" s="8" t="s">
        <v>102</v>
      </c>
      <c r="B49" s="6">
        <f ca="1">ROUND($G49*职业分类属性!B13*((星级总属性!$K$3)/(星级总属性!$K$3+星级总属性!$L$3))+$G49*(HLOOKUP(HLOOKUP(武将总属性分配!B$3,职业属性偏向!$B$3:$E$16,14,FALSE),INDIRECT(TEXT($A$37&amp;"!$B$2:$G$3","")),2,FALSE)/INDIRECT(TEXT($A$37&amp;"!$H$3","")))*((星级总属性!$L$3)/(星级总属性!$K$3+星级总属性!$L$3)),0)</f>
        <v>6057</v>
      </c>
      <c r="C49" s="6">
        <f ca="1">ROUND($G49*职业分类属性!C13*((星级总属性!$K$3)/(星级总属性!$K$3+星级总属性!$L$3))+$G49*(HLOOKUP(HLOOKUP(武将总属性分配!C$3,职业属性偏向!$B$3:$E$16,14,FALSE),INDIRECT(TEXT($A$37&amp;"!$B$2:$G$3","")),2,FALSE)/INDIRECT(TEXT($A$37&amp;"!$H$3","")))*((星级总属性!$L$3)/(星级总属性!$K$3+星级总属性!$L$3)),0)</f>
        <v>6057</v>
      </c>
      <c r="D49" s="6">
        <f ca="1">ROUND($G49*职业分类属性!D13*((星级总属性!$K$3)/(星级总属性!$K$3+星级总属性!$L$3))+$G49*(HLOOKUP(HLOOKUP(武将总属性分配!D$3,职业属性偏向!$B$3:$E$16,14,FALSE),INDIRECT(TEXT($A$37&amp;"!$B$2:$G$3","")),2,FALSE)/INDIRECT(TEXT($A$37&amp;"!$H$3","")))*((星级总属性!$L$3)/(星级总属性!$K$3+星级总属性!$L$3)),0)</f>
        <v>6057</v>
      </c>
      <c r="E49" s="6">
        <f ca="1">ROUND($G49*职业分类属性!E13*((星级总属性!$K$3)/(星级总属性!$K$3+星级总属性!$L$3))+$G49*(HLOOKUP(HLOOKUP(武将总属性分配!E$3,职业属性偏向!$B$3:$E$16,14,FALSE),INDIRECT(TEXT($A$37&amp;"!$B$2:$G$3","")),2,FALSE)/INDIRECT(TEXT($A$37&amp;"!$H$3","")))*((星级总属性!$L$3)/(星级总属性!$K$3+星级总属性!$L$3)),0)</f>
        <v>6057</v>
      </c>
      <c r="F49" s="6">
        <f>VLOOKUP($F$37,'6星每级加强属性曲线演算'!$A$3:$B$17,2,FALSE)</f>
        <v>23600</v>
      </c>
      <c r="G49" s="6">
        <f>F49*职业分类属性!G13</f>
        <v>25960.000000000004</v>
      </c>
    </row>
    <row r="50" spans="1:7" x14ac:dyDescent="0.25">
      <c r="A50" s="8" t="s">
        <v>9</v>
      </c>
      <c r="B50" s="6">
        <f ca="1">ROUND($G50*职业分类属性!B14*((星级总属性!$K$3)/(星级总属性!$K$3+星级总属性!$L$3))+$G50*(HLOOKUP(HLOOKUP(武将总属性分配!B$3,职业属性偏向!$B$3:$E$16,14,FALSE),INDIRECT(TEXT($A$37&amp;"!$B$2:$G$3","")),2,FALSE)/INDIRECT(TEXT($A$37&amp;"!$H$3","")))*((星级总属性!$L$3)/(星级总属性!$K$3+星级总属性!$L$3)),0)</f>
        <v>2291</v>
      </c>
      <c r="C50" s="6">
        <f ca="1">ROUND($G50*职业分类属性!C14*((星级总属性!$K$3)/(星级总属性!$K$3+星级总属性!$L$3))+$G50*(HLOOKUP(HLOOKUP(武将总属性分配!C$3,职业属性偏向!$B$3:$E$16,14,FALSE),INDIRECT(TEXT($A$37&amp;"!$B$2:$G$3","")),2,FALSE)/INDIRECT(TEXT($A$37&amp;"!$H$3","")))*((星级总属性!$L$3)/(星级总属性!$K$3+星级总属性!$L$3)),0)</f>
        <v>10447</v>
      </c>
      <c r="D50" s="6">
        <f ca="1">ROUND($G50*职业分类属性!D14*((星级总属性!$K$3)/(星级总属性!$K$3+星级总属性!$L$3))+$G50*(HLOOKUP(HLOOKUP(武将总属性分配!D$3,职业属性偏向!$B$3:$E$16,14,FALSE),INDIRECT(TEXT($A$37&amp;"!$B$2:$G$3","")),2,FALSE)/INDIRECT(TEXT($A$37&amp;"!$H$3","")))*((星级总属性!$L$3)/(星级总属性!$K$3+星级总属性!$L$3)),0)</f>
        <v>1989</v>
      </c>
      <c r="E50" s="6">
        <f ca="1">ROUND($G50*职业分类属性!E14*((星级总属性!$K$3)/(星级总属性!$K$3+星级总属性!$L$3))+$G50*(HLOOKUP(HLOOKUP(武将总属性分配!E$3,职业属性偏向!$B$3:$E$16,14,FALSE),INDIRECT(TEXT($A$37&amp;"!$B$2:$G$3","")),2,FALSE)/INDIRECT(TEXT($A$37&amp;"!$H$3","")))*((星级总属性!$L$3)/(星级总属性!$K$3+星级总属性!$L$3)),0)</f>
        <v>2895</v>
      </c>
      <c r="F50" s="6">
        <f>VLOOKUP($F$37,'6星每级加强属性曲线演算'!$A$3:$B$17,2,FALSE)</f>
        <v>23600</v>
      </c>
      <c r="G50" s="6">
        <f>F50*职业分类属性!G14</f>
        <v>18880</v>
      </c>
    </row>
    <row r="51" spans="1:7" x14ac:dyDescent="0.25">
      <c r="A51" s="8" t="s">
        <v>10</v>
      </c>
      <c r="B51" s="6">
        <f ca="1">ROUND($G51*职业分类属性!B15*((星级总属性!$K$3)/(星级总属性!$K$3+星级总属性!$L$3))+$G51*(HLOOKUP(HLOOKUP(武将总属性分配!B$3,职业属性偏向!$B$3:$E$16,14,FALSE),INDIRECT(TEXT($A$37&amp;"!$B$2:$G$3","")),2,FALSE)/INDIRECT(TEXT($A$37&amp;"!$H$3","")))*((星级总属性!$L$3)/(星级总属性!$K$3+星级总属性!$L$3)),0)</f>
        <v>2140</v>
      </c>
      <c r="C51" s="6">
        <f ca="1">ROUND($G51*职业分类属性!C15*((星级总属性!$K$3)/(星级总属性!$K$3+星级总属性!$L$3))+$G51*(HLOOKUP(HLOOKUP(武将总属性分配!C$3,职业属性偏向!$B$3:$E$16,14,FALSE),INDIRECT(TEXT($A$37&amp;"!$B$2:$G$3","")),2,FALSE)/INDIRECT(TEXT($A$37&amp;"!$H$3","")))*((星级总属性!$L$3)/(星级总属性!$K$3+星级总属性!$L$3)),0)</f>
        <v>1385</v>
      </c>
      <c r="D51" s="6">
        <f ca="1">ROUND($G51*职业分类属性!D15*((星级总属性!$K$3)/(星级总属性!$K$3+星级总属性!$L$3))+$G51*(HLOOKUP(HLOOKUP(武将总属性分配!D$3,职业属性偏向!$B$3:$E$16,14,FALSE),INDIRECT(TEXT($A$37&amp;"!$B$2:$G$3","")),2,FALSE)/INDIRECT(TEXT($A$37&amp;"!$H$3","")))*((星级总属性!$L$3)/(星级总属性!$K$3+星级总属性!$L$3)),0)</f>
        <v>10447</v>
      </c>
      <c r="E51" s="6">
        <f ca="1">ROUND($G51*职业分类属性!E15*((星级总属性!$K$3)/(星级总属性!$K$3+星级总属性!$L$3))+$G51*(HLOOKUP(HLOOKUP(武将总属性分配!E$3,职业属性偏向!$B$3:$E$16,14,FALSE),INDIRECT(TEXT($A$37&amp;"!$B$2:$G$3","")),2,FALSE)/INDIRECT(TEXT($A$37&amp;"!$H$3","")))*((星级总属性!$L$3)/(星级总属性!$K$3+星级总属性!$L$3)),0)</f>
        <v>3650</v>
      </c>
      <c r="F51" s="6">
        <f>VLOOKUP($F$37,'6星每级加强属性曲线演算'!$A$3:$B$17,2,FALSE)</f>
        <v>23600</v>
      </c>
      <c r="G51" s="6">
        <f>F51*职业分类属性!G15</f>
        <v>18880</v>
      </c>
    </row>
    <row r="52" spans="1:7" x14ac:dyDescent="0.25">
      <c r="B52" s="8" t="str">
        <f>B38</f>
        <v>生命值</v>
      </c>
      <c r="C52" s="8" t="str">
        <f t="shared" ref="C52:G52" si="3">C38</f>
        <v>回复力</v>
      </c>
      <c r="D52" s="8" t="str">
        <f t="shared" si="3"/>
        <v>武力</v>
      </c>
      <c r="E52" s="8" t="str">
        <f t="shared" si="3"/>
        <v>防御</v>
      </c>
      <c r="F52" s="8" t="str">
        <f t="shared" si="3"/>
        <v>原总属性</v>
      </c>
      <c r="G52" s="8" t="str">
        <f t="shared" si="3"/>
        <v>修正后总属性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D1" zoomScaleNormal="100" workbookViewId="0">
      <selection activeCell="I9" sqref="I9"/>
    </sheetView>
  </sheetViews>
  <sheetFormatPr defaultRowHeight="14.4" x14ac:dyDescent="0.25"/>
  <cols>
    <col min="2" max="2" width="13" style="16" bestFit="1" customWidth="1"/>
    <col min="3" max="3" width="8.88671875" style="16"/>
    <col min="4" max="4" width="12.109375" style="18" bestFit="1" customWidth="1"/>
    <col min="5" max="6" width="9" style="16"/>
    <col min="7" max="9" width="18.77734375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29</v>
      </c>
      <c r="B1" s="13" t="s">
        <v>38</v>
      </c>
      <c r="C1" s="13" t="s">
        <v>30</v>
      </c>
      <c r="D1" s="17" t="s">
        <v>89</v>
      </c>
      <c r="E1" s="13"/>
      <c r="F1" s="20" t="str">
        <f>[4]系统占比!O1</f>
        <v>星级</v>
      </c>
      <c r="G1" s="20" t="str">
        <f>[4]系统占比!P1</f>
        <v>初始数值</v>
      </c>
      <c r="H1" s="20" t="str">
        <f>[4]系统占比!Q1</f>
        <v>递增间隔</v>
      </c>
      <c r="I1" s="20" t="str">
        <f>[4]系统占比!R1</f>
        <v>步进幅度</v>
      </c>
      <c r="J1" s="20" t="s">
        <v>45</v>
      </c>
      <c r="K1" s="13"/>
      <c r="L1" s="13" t="s">
        <v>36</v>
      </c>
      <c r="M1" s="13" t="s">
        <v>38</v>
      </c>
    </row>
    <row r="2" spans="1:16" x14ac:dyDescent="0.25">
      <c r="A2" s="13">
        <v>0</v>
      </c>
      <c r="B2" s="13">
        <v>0</v>
      </c>
      <c r="C2" s="13">
        <v>0</v>
      </c>
      <c r="D2" s="17"/>
      <c r="E2"/>
      <c r="F2" s="14">
        <f>[4]系统占比!O2</f>
        <v>6</v>
      </c>
      <c r="G2" s="14">
        <f>[4]系统占比!P2</f>
        <v>500</v>
      </c>
      <c r="H2" s="14">
        <f>[4]系统占比!Q2</f>
        <v>1</v>
      </c>
      <c r="I2" s="14">
        <f>[4]系统占比!R2</f>
        <v>220</v>
      </c>
      <c r="J2" s="14">
        <f>H2-ROW(C3)</f>
        <v>-2</v>
      </c>
      <c r="L2" s="13">
        <v>0</v>
      </c>
      <c r="M2" s="13">
        <v>0</v>
      </c>
      <c r="P2" t="s">
        <v>32</v>
      </c>
    </row>
    <row r="3" spans="1:16" x14ac:dyDescent="0.25">
      <c r="A3" s="16">
        <v>1</v>
      </c>
      <c r="B3" s="16">
        <f>$G$2</f>
        <v>500</v>
      </c>
      <c r="C3">
        <f>INT((ROW()+$J$2)/$H$2)*$I$2</f>
        <v>220</v>
      </c>
      <c r="E3" s="13"/>
      <c r="F3" s="13"/>
      <c r="G3" s="20" t="s">
        <v>46</v>
      </c>
      <c r="H3" s="20" t="s">
        <v>47</v>
      </c>
      <c r="I3" s="20" t="s">
        <v>48</v>
      </c>
      <c r="J3" s="20" t="s">
        <v>37</v>
      </c>
      <c r="L3" s="13">
        <f t="shared" ref="L3:L17" si="0">A3</f>
        <v>1</v>
      </c>
      <c r="M3" s="13">
        <f t="shared" ref="M3:M17" si="1">ROUND($G$4*(($A3)^3)+$H$4*(($A3)^2)+$I$4*$A3+$J$4,0)</f>
        <v>500</v>
      </c>
    </row>
    <row r="4" spans="1:16" x14ac:dyDescent="0.25">
      <c r="A4" s="16">
        <v>2</v>
      </c>
      <c r="B4" s="16">
        <f>B3+C3</f>
        <v>720</v>
      </c>
      <c r="C4">
        <f t="shared" ref="C4:C17" si="2">INT((ROW()+$J$2)/$H$2)*$I$2</f>
        <v>440</v>
      </c>
      <c r="D4" s="18">
        <f>(B4-B3)/B3</f>
        <v>0.44</v>
      </c>
      <c r="E4"/>
      <c r="F4"/>
      <c r="G4" s="14">
        <f>INDEX(LINEST($B$3:$B$17, $A$3:$A$17^{1,2,3},TRUE,TRUE),1,1)</f>
        <v>2.6739790366855152E-15</v>
      </c>
      <c r="H4" s="14">
        <f>INDEX(LINEST($B$3:$B$17, $A$3:$A$17^{1,2,3},TRUE,TRUE),1,2)</f>
        <v>109.99999999999997</v>
      </c>
      <c r="I4" s="14">
        <f>INDEX(LINEST($B$3:$B$17, $A$3:$A$17^{1,2,3},TRUE,TRUE),1,3)</f>
        <v>-109.99999999999966</v>
      </c>
      <c r="J4" s="14">
        <f>INDEX(LINEST($B$3:$B$17, $A$3:$A$17^{1,2,3},TRUE,TRUE),1,4)</f>
        <v>499.99999999999744</v>
      </c>
      <c r="L4" s="13">
        <f t="shared" si="0"/>
        <v>2</v>
      </c>
      <c r="M4" s="13">
        <f t="shared" si="1"/>
        <v>720</v>
      </c>
      <c r="P4" t="s">
        <v>35</v>
      </c>
    </row>
    <row r="5" spans="1:16" x14ac:dyDescent="0.25">
      <c r="A5" s="16">
        <v>3</v>
      </c>
      <c r="B5" s="16">
        <f t="shared" ref="B5:B17" si="3">B4+C4</f>
        <v>1160</v>
      </c>
      <c r="C5">
        <f t="shared" si="2"/>
        <v>660</v>
      </c>
      <c r="D5" s="18">
        <f t="shared" ref="D5:D17" si="4">(B5-B4)/B4</f>
        <v>0.61111111111111116</v>
      </c>
      <c r="E5"/>
      <c r="F5"/>
      <c r="L5" s="13">
        <f t="shared" si="0"/>
        <v>3</v>
      </c>
      <c r="M5" s="13">
        <f t="shared" si="1"/>
        <v>1160</v>
      </c>
      <c r="P5" t="s">
        <v>33</v>
      </c>
    </row>
    <row r="6" spans="1:16" x14ac:dyDescent="0.25">
      <c r="A6" s="16">
        <v>4</v>
      </c>
      <c r="B6" s="16">
        <f t="shared" si="3"/>
        <v>1820</v>
      </c>
      <c r="C6">
        <f t="shared" si="2"/>
        <v>880</v>
      </c>
      <c r="D6" s="18">
        <f t="shared" si="4"/>
        <v>0.56896551724137934</v>
      </c>
      <c r="E6"/>
      <c r="F6"/>
      <c r="L6" s="13">
        <f t="shared" si="0"/>
        <v>4</v>
      </c>
      <c r="M6" s="13">
        <f t="shared" si="1"/>
        <v>1820</v>
      </c>
      <c r="P6" t="s">
        <v>34</v>
      </c>
    </row>
    <row r="7" spans="1:16" x14ac:dyDescent="0.25">
      <c r="A7" s="16">
        <v>5</v>
      </c>
      <c r="B7" s="16">
        <f t="shared" si="3"/>
        <v>2700</v>
      </c>
      <c r="C7">
        <f t="shared" si="2"/>
        <v>1100</v>
      </c>
      <c r="D7" s="18">
        <f t="shared" si="4"/>
        <v>0.48351648351648352</v>
      </c>
      <c r="E7"/>
      <c r="F7"/>
      <c r="L7" s="13">
        <f t="shared" si="0"/>
        <v>5</v>
      </c>
      <c r="M7" s="13">
        <f t="shared" si="1"/>
        <v>2700</v>
      </c>
    </row>
    <row r="8" spans="1:16" x14ac:dyDescent="0.25">
      <c r="A8" s="16">
        <v>6</v>
      </c>
      <c r="B8" s="16">
        <f t="shared" si="3"/>
        <v>3800</v>
      </c>
      <c r="C8">
        <f t="shared" si="2"/>
        <v>1320</v>
      </c>
      <c r="D8" s="18">
        <f t="shared" si="4"/>
        <v>0.40740740740740738</v>
      </c>
      <c r="E8"/>
      <c r="F8"/>
      <c r="L8" s="13">
        <f t="shared" si="0"/>
        <v>6</v>
      </c>
      <c r="M8" s="13">
        <f t="shared" si="1"/>
        <v>3800</v>
      </c>
    </row>
    <row r="9" spans="1:16" x14ac:dyDescent="0.25">
      <c r="A9" s="16">
        <v>7</v>
      </c>
      <c r="B9" s="16">
        <f t="shared" si="3"/>
        <v>5120</v>
      </c>
      <c r="C9">
        <f t="shared" si="2"/>
        <v>1540</v>
      </c>
      <c r="D9" s="18">
        <f t="shared" si="4"/>
        <v>0.3473684210526316</v>
      </c>
      <c r="E9"/>
      <c r="F9"/>
      <c r="L9" s="13">
        <f t="shared" si="0"/>
        <v>7</v>
      </c>
      <c r="M9" s="13">
        <f t="shared" si="1"/>
        <v>5120</v>
      </c>
    </row>
    <row r="10" spans="1:16" x14ac:dyDescent="0.25">
      <c r="A10" s="16">
        <v>8</v>
      </c>
      <c r="B10" s="16">
        <f t="shared" si="3"/>
        <v>6660</v>
      </c>
      <c r="C10">
        <f t="shared" si="2"/>
        <v>1760</v>
      </c>
      <c r="D10" s="18">
        <f t="shared" si="4"/>
        <v>0.30078125</v>
      </c>
      <c r="E10"/>
      <c r="F10"/>
      <c r="L10" s="13">
        <f t="shared" si="0"/>
        <v>8</v>
      </c>
      <c r="M10" s="13">
        <f t="shared" si="1"/>
        <v>6660</v>
      </c>
    </row>
    <row r="11" spans="1:16" x14ac:dyDescent="0.25">
      <c r="A11" s="16">
        <v>9</v>
      </c>
      <c r="B11" s="16">
        <f t="shared" si="3"/>
        <v>8420</v>
      </c>
      <c r="C11">
        <f t="shared" si="2"/>
        <v>1980</v>
      </c>
      <c r="D11" s="18">
        <f t="shared" si="4"/>
        <v>0.26426426426426425</v>
      </c>
      <c r="E11"/>
      <c r="F11"/>
      <c r="L11" s="13">
        <f t="shared" si="0"/>
        <v>9</v>
      </c>
      <c r="M11" s="13">
        <f t="shared" si="1"/>
        <v>8420</v>
      </c>
    </row>
    <row r="12" spans="1:16" x14ac:dyDescent="0.25">
      <c r="A12" s="16">
        <v>10</v>
      </c>
      <c r="B12" s="16">
        <f t="shared" si="3"/>
        <v>10400</v>
      </c>
      <c r="C12">
        <f t="shared" si="2"/>
        <v>2200</v>
      </c>
      <c r="D12" s="18">
        <f t="shared" si="4"/>
        <v>0.23515439429928742</v>
      </c>
      <c r="E12"/>
      <c r="F12"/>
      <c r="L12" s="13">
        <f t="shared" si="0"/>
        <v>10</v>
      </c>
      <c r="M12" s="13">
        <f t="shared" si="1"/>
        <v>10400</v>
      </c>
    </row>
    <row r="13" spans="1:16" x14ac:dyDescent="0.25">
      <c r="A13" s="16">
        <v>11</v>
      </c>
      <c r="B13" s="16">
        <f t="shared" si="3"/>
        <v>12600</v>
      </c>
      <c r="C13">
        <f t="shared" si="2"/>
        <v>2420</v>
      </c>
      <c r="D13" s="18">
        <f t="shared" si="4"/>
        <v>0.21153846153846154</v>
      </c>
      <c r="E13"/>
      <c r="F13"/>
      <c r="L13" s="13">
        <f t="shared" si="0"/>
        <v>11</v>
      </c>
      <c r="M13" s="13">
        <f t="shared" si="1"/>
        <v>12600</v>
      </c>
    </row>
    <row r="14" spans="1:16" x14ac:dyDescent="0.25">
      <c r="A14" s="16">
        <v>12</v>
      </c>
      <c r="B14" s="16">
        <f t="shared" si="3"/>
        <v>15020</v>
      </c>
      <c r="C14">
        <f t="shared" si="2"/>
        <v>2640</v>
      </c>
      <c r="D14" s="18">
        <f t="shared" si="4"/>
        <v>0.19206349206349208</v>
      </c>
      <c r="E14"/>
      <c r="F14"/>
      <c r="L14" s="13">
        <f t="shared" si="0"/>
        <v>12</v>
      </c>
      <c r="M14" s="13">
        <f t="shared" si="1"/>
        <v>15020</v>
      </c>
    </row>
    <row r="15" spans="1:16" x14ac:dyDescent="0.25">
      <c r="A15" s="16">
        <v>13</v>
      </c>
      <c r="B15" s="16">
        <f t="shared" si="3"/>
        <v>17660</v>
      </c>
      <c r="C15">
        <f t="shared" si="2"/>
        <v>2860</v>
      </c>
      <c r="D15" s="18">
        <f t="shared" si="4"/>
        <v>0.17576564580559254</v>
      </c>
      <c r="E15"/>
      <c r="F15"/>
      <c r="L15" s="13">
        <f t="shared" si="0"/>
        <v>13</v>
      </c>
      <c r="M15" s="13">
        <f t="shared" si="1"/>
        <v>17660</v>
      </c>
    </row>
    <row r="16" spans="1:16" x14ac:dyDescent="0.25">
      <c r="A16" s="16">
        <v>14</v>
      </c>
      <c r="B16" s="16">
        <f t="shared" si="3"/>
        <v>20520</v>
      </c>
      <c r="C16">
        <f t="shared" si="2"/>
        <v>3080</v>
      </c>
      <c r="D16" s="18">
        <f t="shared" si="4"/>
        <v>0.16194790486976218</v>
      </c>
      <c r="E16"/>
      <c r="F16"/>
      <c r="L16" s="13">
        <f t="shared" si="0"/>
        <v>14</v>
      </c>
      <c r="M16" s="13">
        <f t="shared" si="1"/>
        <v>20520</v>
      </c>
    </row>
    <row r="17" spans="1:13" x14ac:dyDescent="0.25">
      <c r="A17" s="16">
        <v>15</v>
      </c>
      <c r="B17" s="16">
        <f t="shared" si="3"/>
        <v>23600</v>
      </c>
      <c r="C17">
        <f t="shared" si="2"/>
        <v>3300</v>
      </c>
      <c r="D17" s="18">
        <f t="shared" si="4"/>
        <v>0.15009746588693956</v>
      </c>
      <c r="E17"/>
      <c r="F17"/>
      <c r="L17" s="13">
        <f t="shared" si="0"/>
        <v>15</v>
      </c>
      <c r="M17" s="13">
        <f t="shared" si="1"/>
        <v>23600</v>
      </c>
    </row>
    <row r="18" spans="1:13" x14ac:dyDescent="0.25">
      <c r="C18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5" zoomScaleNormal="85" workbookViewId="0">
      <selection activeCell="G1" sqref="G1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8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29</v>
      </c>
      <c r="B1" s="13" t="s">
        <v>38</v>
      </c>
      <c r="C1" s="13" t="s">
        <v>30</v>
      </c>
      <c r="D1" s="17" t="s">
        <v>89</v>
      </c>
      <c r="E1" s="13"/>
      <c r="F1" s="20" t="s">
        <v>57</v>
      </c>
      <c r="G1" s="20" t="s">
        <v>31</v>
      </c>
      <c r="H1" s="20" t="s">
        <v>43</v>
      </c>
      <c r="I1" s="20" t="s">
        <v>44</v>
      </c>
      <c r="J1" s="20" t="s">
        <v>45</v>
      </c>
      <c r="K1" s="13"/>
      <c r="L1" s="13" t="s">
        <v>36</v>
      </c>
      <c r="M1" s="13" t="s">
        <v>38</v>
      </c>
    </row>
    <row r="2" spans="1:16" x14ac:dyDescent="0.25">
      <c r="A2" s="13">
        <v>0</v>
      </c>
      <c r="B2" s="13">
        <v>0</v>
      </c>
      <c r="C2" s="13">
        <v>0</v>
      </c>
      <c r="D2" s="17"/>
      <c r="E2"/>
      <c r="F2" s="14">
        <v>5</v>
      </c>
      <c r="G2" s="14">
        <f>'6星每级加强属性曲线演算'!G$2/HLOOKUP('5星每级加强属性曲线演算'!$F$2,星级总属性!$B$2:$G$6,5,FALSE)</f>
        <v>385.59322033898303</v>
      </c>
      <c r="H2" s="14">
        <f>'6星每级加强属性曲线演算'!$H$2</f>
        <v>1</v>
      </c>
      <c r="I2" s="14">
        <f>'6星每级加强属性曲线演算'!I$2/HLOOKUP('5星每级加强属性曲线演算'!$F$2,星级总属性!$B$2:$G$6,5,FALSE)</f>
        <v>169.66101694915253</v>
      </c>
      <c r="J2" s="14">
        <f>H2-ROW(C3)</f>
        <v>-2</v>
      </c>
      <c r="L2" s="13">
        <v>0</v>
      </c>
      <c r="M2" s="13">
        <v>0</v>
      </c>
      <c r="P2" t="s">
        <v>32</v>
      </c>
    </row>
    <row r="3" spans="1:16" x14ac:dyDescent="0.25">
      <c r="A3" s="16">
        <v>1</v>
      </c>
      <c r="B3" s="16">
        <f>ROUND($G$2,0)</f>
        <v>386</v>
      </c>
      <c r="C3" s="13">
        <f>ROUND(INT((ROW()+$J$2)/$H$2)*$I$2,0)</f>
        <v>170</v>
      </c>
      <c r="E3" s="13"/>
      <c r="F3" s="13"/>
      <c r="G3" s="20" t="s">
        <v>46</v>
      </c>
      <c r="H3" s="20" t="s">
        <v>47</v>
      </c>
      <c r="I3" s="20" t="s">
        <v>48</v>
      </c>
      <c r="J3" s="20" t="s">
        <v>37</v>
      </c>
      <c r="L3" s="13">
        <f t="shared" ref="L3:L17" si="0">A3</f>
        <v>1</v>
      </c>
      <c r="M3" s="13">
        <f t="shared" ref="M3:M17" si="1">ROUND($G$4*(($A3)^3)+$H$4*(($A3)^2)+$I$4*$A3+$J$4,0)</f>
        <v>386</v>
      </c>
    </row>
    <row r="4" spans="1:16" x14ac:dyDescent="0.25">
      <c r="A4" s="16">
        <v>2</v>
      </c>
      <c r="B4" s="16">
        <f>ROUND(B3+C3,0)</f>
        <v>556</v>
      </c>
      <c r="C4" s="13">
        <f t="shared" ref="C4:C17" si="2">ROUND(INT((ROW()+$J$2)/$H$2)*$I$2,0)</f>
        <v>339</v>
      </c>
      <c r="D4" s="18">
        <f>(B4-B3)/B3</f>
        <v>0.44041450777202074</v>
      </c>
      <c r="E4"/>
      <c r="F4"/>
      <c r="G4" s="14">
        <f>INDEX(LINEST($B$3:$B$17, $A$3:$A$17^{1,2,3},TRUE,TRUE),1,1)</f>
        <v>2.2283158639045961E-14</v>
      </c>
      <c r="H4" s="14">
        <f>INDEX(LINEST($B$3:$B$17, $A$3:$A$17^{1,2,3},TRUE,TRUE),1,2)</f>
        <v>84.833063994828109</v>
      </c>
      <c r="I4" s="14">
        <f>INDEX(LINEST($B$3:$B$17, $A$3:$A$17^{1,2,3},TRUE,TRUE),1,3)</f>
        <v>-84.829023917254318</v>
      </c>
      <c r="J4" s="14">
        <f>INDEX(LINEST($B$3:$B$17, $A$3:$A$17^{1,2,3},TRUE,TRUE),1,4)</f>
        <v>386.09890109888829</v>
      </c>
      <c r="L4" s="13">
        <f t="shared" si="0"/>
        <v>2</v>
      </c>
      <c r="M4" s="13">
        <f t="shared" si="1"/>
        <v>556</v>
      </c>
      <c r="P4" t="s">
        <v>35</v>
      </c>
    </row>
    <row r="5" spans="1:16" x14ac:dyDescent="0.25">
      <c r="A5" s="16">
        <v>3</v>
      </c>
      <c r="B5" s="16">
        <f t="shared" ref="B5:B17" si="3">ROUND(B4+C4,0)</f>
        <v>895</v>
      </c>
      <c r="C5" s="13">
        <f t="shared" si="2"/>
        <v>509</v>
      </c>
      <c r="D5" s="18">
        <f t="shared" ref="D5:D17" si="4">(B5-B4)/B4</f>
        <v>0.60971223021582732</v>
      </c>
      <c r="E5"/>
      <c r="F5"/>
      <c r="L5" s="13">
        <f t="shared" si="0"/>
        <v>3</v>
      </c>
      <c r="M5" s="13">
        <f t="shared" si="1"/>
        <v>895</v>
      </c>
      <c r="P5" t="s">
        <v>33</v>
      </c>
    </row>
    <row r="6" spans="1:16" x14ac:dyDescent="0.25">
      <c r="A6" s="16">
        <v>4</v>
      </c>
      <c r="B6" s="16">
        <f t="shared" si="3"/>
        <v>1404</v>
      </c>
      <c r="C6" s="13">
        <f t="shared" si="2"/>
        <v>679</v>
      </c>
      <c r="D6" s="18">
        <f t="shared" si="4"/>
        <v>0.56871508379888269</v>
      </c>
      <c r="E6"/>
      <c r="F6"/>
      <c r="L6" s="13">
        <f t="shared" si="0"/>
        <v>4</v>
      </c>
      <c r="M6" s="13">
        <f t="shared" si="1"/>
        <v>1404</v>
      </c>
      <c r="P6" t="s">
        <v>34</v>
      </c>
    </row>
    <row r="7" spans="1:16" x14ac:dyDescent="0.25">
      <c r="A7" s="16">
        <v>5</v>
      </c>
      <c r="B7" s="16">
        <f t="shared" si="3"/>
        <v>2083</v>
      </c>
      <c r="C7" s="13">
        <f t="shared" si="2"/>
        <v>848</v>
      </c>
      <c r="D7" s="18">
        <f t="shared" si="4"/>
        <v>0.48361823361823364</v>
      </c>
      <c r="E7"/>
      <c r="F7"/>
      <c r="L7" s="13">
        <f t="shared" si="0"/>
        <v>5</v>
      </c>
      <c r="M7" s="13">
        <f t="shared" si="1"/>
        <v>2083</v>
      </c>
    </row>
    <row r="8" spans="1:16" x14ac:dyDescent="0.25">
      <c r="A8" s="16">
        <v>6</v>
      </c>
      <c r="B8" s="16">
        <f t="shared" si="3"/>
        <v>2931</v>
      </c>
      <c r="C8" s="13">
        <f t="shared" si="2"/>
        <v>1018</v>
      </c>
      <c r="D8" s="18">
        <f t="shared" si="4"/>
        <v>0.40710513682189148</v>
      </c>
      <c r="E8"/>
      <c r="F8"/>
      <c r="L8" s="13">
        <f t="shared" si="0"/>
        <v>6</v>
      </c>
      <c r="M8" s="13">
        <f t="shared" si="1"/>
        <v>2931</v>
      </c>
    </row>
    <row r="9" spans="1:16" x14ac:dyDescent="0.25">
      <c r="A9" s="16">
        <v>7</v>
      </c>
      <c r="B9" s="16">
        <f t="shared" si="3"/>
        <v>3949</v>
      </c>
      <c r="C9" s="13">
        <f t="shared" si="2"/>
        <v>1188</v>
      </c>
      <c r="D9" s="18">
        <f t="shared" si="4"/>
        <v>0.34732173319686116</v>
      </c>
      <c r="E9"/>
      <c r="F9"/>
      <c r="L9" s="13">
        <f t="shared" si="0"/>
        <v>7</v>
      </c>
      <c r="M9" s="13">
        <f t="shared" si="1"/>
        <v>3949</v>
      </c>
    </row>
    <row r="10" spans="1:16" x14ac:dyDescent="0.25">
      <c r="A10" s="16">
        <v>8</v>
      </c>
      <c r="B10" s="16">
        <f t="shared" si="3"/>
        <v>5137</v>
      </c>
      <c r="C10" s="13">
        <f t="shared" si="2"/>
        <v>1357</v>
      </c>
      <c r="D10" s="18">
        <f t="shared" si="4"/>
        <v>0.30083565459610029</v>
      </c>
      <c r="E10"/>
      <c r="F10"/>
      <c r="L10" s="13">
        <f t="shared" si="0"/>
        <v>8</v>
      </c>
      <c r="M10" s="13">
        <f t="shared" si="1"/>
        <v>5137</v>
      </c>
    </row>
    <row r="11" spans="1:16" x14ac:dyDescent="0.25">
      <c r="A11" s="16">
        <v>9</v>
      </c>
      <c r="B11" s="16">
        <f t="shared" si="3"/>
        <v>6494</v>
      </c>
      <c r="C11" s="13">
        <f t="shared" si="2"/>
        <v>1527</v>
      </c>
      <c r="D11" s="18">
        <f t="shared" si="4"/>
        <v>0.2641619622347674</v>
      </c>
      <c r="E11"/>
      <c r="F11"/>
      <c r="L11" s="13">
        <f t="shared" si="0"/>
        <v>9</v>
      </c>
      <c r="M11" s="13">
        <f t="shared" si="1"/>
        <v>6494</v>
      </c>
    </row>
    <row r="12" spans="1:16" x14ac:dyDescent="0.25">
      <c r="A12" s="16">
        <v>10</v>
      </c>
      <c r="B12" s="16">
        <f t="shared" si="3"/>
        <v>8021</v>
      </c>
      <c r="C12" s="13">
        <f t="shared" si="2"/>
        <v>1697</v>
      </c>
      <c r="D12" s="18">
        <f t="shared" si="4"/>
        <v>0.2351401293501694</v>
      </c>
      <c r="E12"/>
      <c r="F12"/>
      <c r="L12" s="13">
        <f t="shared" si="0"/>
        <v>10</v>
      </c>
      <c r="M12" s="13">
        <f t="shared" si="1"/>
        <v>8021</v>
      </c>
    </row>
    <row r="13" spans="1:16" x14ac:dyDescent="0.25">
      <c r="A13" s="16">
        <v>11</v>
      </c>
      <c r="B13" s="16">
        <f t="shared" si="3"/>
        <v>9718</v>
      </c>
      <c r="C13" s="13">
        <f t="shared" si="2"/>
        <v>1866</v>
      </c>
      <c r="D13" s="18">
        <f t="shared" si="4"/>
        <v>0.21156962972197979</v>
      </c>
      <c r="E13"/>
      <c r="F13"/>
      <c r="L13" s="13">
        <f t="shared" si="0"/>
        <v>11</v>
      </c>
      <c r="M13" s="13">
        <f t="shared" si="1"/>
        <v>9718</v>
      </c>
    </row>
    <row r="14" spans="1:16" x14ac:dyDescent="0.25">
      <c r="A14" s="16">
        <v>12</v>
      </c>
      <c r="B14" s="16">
        <f t="shared" si="3"/>
        <v>11584</v>
      </c>
      <c r="C14" s="13">
        <f t="shared" si="2"/>
        <v>2036</v>
      </c>
      <c r="D14" s="18">
        <f t="shared" si="4"/>
        <v>0.19201481786375799</v>
      </c>
      <c r="E14"/>
      <c r="F14"/>
      <c r="L14" s="13">
        <f t="shared" si="0"/>
        <v>12</v>
      </c>
      <c r="M14" s="13">
        <f t="shared" si="1"/>
        <v>11584</v>
      </c>
    </row>
    <row r="15" spans="1:16" x14ac:dyDescent="0.25">
      <c r="A15" s="16">
        <v>13</v>
      </c>
      <c r="B15" s="16">
        <f t="shared" si="3"/>
        <v>13620</v>
      </c>
      <c r="C15" s="13">
        <f t="shared" si="2"/>
        <v>2206</v>
      </c>
      <c r="D15" s="18">
        <f t="shared" si="4"/>
        <v>0.17575966850828728</v>
      </c>
      <c r="E15"/>
      <c r="F15"/>
      <c r="L15" s="13">
        <f t="shared" si="0"/>
        <v>13</v>
      </c>
      <c r="M15" s="13">
        <f t="shared" si="1"/>
        <v>13620</v>
      </c>
    </row>
    <row r="16" spans="1:16" x14ac:dyDescent="0.25">
      <c r="A16" s="16">
        <v>14</v>
      </c>
      <c r="B16" s="16">
        <f t="shared" si="3"/>
        <v>15826</v>
      </c>
      <c r="C16" s="13">
        <f t="shared" si="2"/>
        <v>2375</v>
      </c>
      <c r="D16" s="18">
        <f t="shared" si="4"/>
        <v>0.16196769456681351</v>
      </c>
      <c r="E16"/>
      <c r="F16"/>
      <c r="L16" s="13">
        <f t="shared" si="0"/>
        <v>14</v>
      </c>
      <c r="M16" s="13">
        <f t="shared" si="1"/>
        <v>15826</v>
      </c>
    </row>
    <row r="17" spans="1:13" x14ac:dyDescent="0.25">
      <c r="A17" s="16">
        <v>15</v>
      </c>
      <c r="B17" s="16">
        <f t="shared" si="3"/>
        <v>18201</v>
      </c>
      <c r="C17" s="13">
        <f t="shared" si="2"/>
        <v>2545</v>
      </c>
      <c r="D17" s="18">
        <f t="shared" si="4"/>
        <v>0.15006950587640591</v>
      </c>
      <c r="E17"/>
      <c r="F17"/>
      <c r="L17" s="13">
        <f t="shared" si="0"/>
        <v>15</v>
      </c>
      <c r="M17" s="13">
        <f t="shared" si="1"/>
        <v>18201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5" zoomScaleNormal="85" workbookViewId="0">
      <selection activeCell="I22" sqref="I22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8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29</v>
      </c>
      <c r="B1" s="13" t="s">
        <v>38</v>
      </c>
      <c r="C1" s="13" t="s">
        <v>30</v>
      </c>
      <c r="D1" s="17" t="s">
        <v>89</v>
      </c>
      <c r="E1" s="13"/>
      <c r="F1" s="20" t="s">
        <v>57</v>
      </c>
      <c r="G1" s="20" t="s">
        <v>31</v>
      </c>
      <c r="H1" s="20" t="s">
        <v>43</v>
      </c>
      <c r="I1" s="20" t="s">
        <v>44</v>
      </c>
      <c r="J1" s="20" t="s">
        <v>45</v>
      </c>
      <c r="K1" s="13"/>
      <c r="L1" s="13" t="s">
        <v>36</v>
      </c>
      <c r="M1" s="13" t="s">
        <v>38</v>
      </c>
    </row>
    <row r="2" spans="1:16" x14ac:dyDescent="0.25">
      <c r="A2" s="13">
        <v>0</v>
      </c>
      <c r="B2" s="13">
        <v>0</v>
      </c>
      <c r="C2" s="13">
        <v>0</v>
      </c>
      <c r="D2" s="17"/>
      <c r="E2"/>
      <c r="F2" s="14">
        <v>4</v>
      </c>
      <c r="G2" s="14">
        <f>'6星每级加强属性曲线演算'!G$2/HLOOKUP('4星每级加强属性曲线演算'!$F$2,星级总属性!$B$2:$G$6,5,FALSE)</f>
        <v>296.61016949152543</v>
      </c>
      <c r="H2" s="14">
        <f>'6星每级加强属性曲线演算'!$H$2</f>
        <v>1</v>
      </c>
      <c r="I2" s="14">
        <f>'6星每级加强属性曲线演算'!I$2/HLOOKUP('4星每级加强属性曲线演算'!$F$2,星级总属性!$B$2:$G$6,5,FALSE)</f>
        <v>130.5084745762712</v>
      </c>
      <c r="J2" s="14">
        <f>H2-ROW(C3)</f>
        <v>-2</v>
      </c>
      <c r="L2" s="13">
        <v>0</v>
      </c>
      <c r="M2" s="13">
        <v>0</v>
      </c>
      <c r="P2" t="s">
        <v>32</v>
      </c>
    </row>
    <row r="3" spans="1:16" x14ac:dyDescent="0.25">
      <c r="A3" s="16">
        <v>1</v>
      </c>
      <c r="B3" s="16">
        <f>ROUND($G$2,0)</f>
        <v>297</v>
      </c>
      <c r="C3" s="13">
        <f>ROUND(INT((ROW()+$J$2)/$H$2)*$I$2,0)</f>
        <v>131</v>
      </c>
      <c r="E3" s="13"/>
      <c r="F3" s="13"/>
      <c r="G3" s="20" t="s">
        <v>46</v>
      </c>
      <c r="H3" s="20" t="s">
        <v>47</v>
      </c>
      <c r="I3" s="20" t="s">
        <v>48</v>
      </c>
      <c r="J3" s="20" t="s">
        <v>37</v>
      </c>
      <c r="L3" s="13">
        <f t="shared" ref="L3:L17" si="0">A3</f>
        <v>1</v>
      </c>
      <c r="M3" s="13">
        <f t="shared" ref="M3:M17" si="1">ROUND($G$4*(($A3)^3)+$H$4*(($A3)^2)+$I$4*$A3+$J$4,0)</f>
        <v>297</v>
      </c>
    </row>
    <row r="4" spans="1:16" x14ac:dyDescent="0.25">
      <c r="A4" s="16">
        <v>2</v>
      </c>
      <c r="B4" s="16">
        <f>ROUND(B3+C3,0)</f>
        <v>428</v>
      </c>
      <c r="C4" s="13">
        <f t="shared" ref="C4:C17" si="2">ROUND(INT((ROW()+$J$2)/$H$2)*$I$2,0)</f>
        <v>261</v>
      </c>
      <c r="D4" s="18">
        <f>(B4-B3)/B3</f>
        <v>0.44107744107744107</v>
      </c>
      <c r="E4"/>
      <c r="F4"/>
      <c r="G4" s="14">
        <f>INDEX(LINEST($B$3:$B$17, $A$3:$A$17^{1,2,3},TRUE,TRUE),1,1)</f>
        <v>1.8717853256798606E-14</v>
      </c>
      <c r="H4" s="14">
        <f>INDEX(LINEST($B$3:$B$17, $A$3:$A$17^{1,2,3},TRUE,TRUE),1,2)</f>
        <v>65.248868778280055</v>
      </c>
      <c r="I4" s="14">
        <f>INDEX(LINEST($B$3:$B$17, $A$3:$A$17^{1,2,3},TRUE,TRUE),1,3)</f>
        <v>-64.98190045248441</v>
      </c>
      <c r="J4" s="14">
        <f>INDEX(LINEST($B$3:$B$17, $A$3:$A$17^{1,2,3},TRUE,TRUE),1,4)</f>
        <v>296.81538461537298</v>
      </c>
      <c r="L4" s="13">
        <f t="shared" si="0"/>
        <v>2</v>
      </c>
      <c r="M4" s="13">
        <f t="shared" si="1"/>
        <v>428</v>
      </c>
      <c r="P4" t="s">
        <v>35</v>
      </c>
    </row>
    <row r="5" spans="1:16" x14ac:dyDescent="0.25">
      <c r="A5" s="16">
        <v>3</v>
      </c>
      <c r="B5" s="16">
        <f t="shared" ref="B5:B17" si="3">ROUND(B4+C4,0)</f>
        <v>689</v>
      </c>
      <c r="C5" s="13">
        <f t="shared" si="2"/>
        <v>392</v>
      </c>
      <c r="D5" s="18">
        <f t="shared" ref="D5:D17" si="4">(B5-B4)/B4</f>
        <v>0.60981308411214952</v>
      </c>
      <c r="E5"/>
      <c r="F5"/>
      <c r="L5" s="13">
        <f t="shared" si="0"/>
        <v>3</v>
      </c>
      <c r="M5" s="13">
        <f t="shared" si="1"/>
        <v>689</v>
      </c>
      <c r="P5" t="s">
        <v>33</v>
      </c>
    </row>
    <row r="6" spans="1:16" x14ac:dyDescent="0.25">
      <c r="A6" s="16">
        <v>4</v>
      </c>
      <c r="B6" s="16">
        <f t="shared" si="3"/>
        <v>1081</v>
      </c>
      <c r="C6" s="13">
        <f t="shared" si="2"/>
        <v>522</v>
      </c>
      <c r="D6" s="18">
        <f t="shared" si="4"/>
        <v>0.56894049346879538</v>
      </c>
      <c r="E6"/>
      <c r="F6"/>
      <c r="L6" s="13">
        <f t="shared" si="0"/>
        <v>4</v>
      </c>
      <c r="M6" s="13">
        <f t="shared" si="1"/>
        <v>1081</v>
      </c>
      <c r="P6" t="s">
        <v>34</v>
      </c>
    </row>
    <row r="7" spans="1:16" x14ac:dyDescent="0.25">
      <c r="A7" s="16">
        <v>5</v>
      </c>
      <c r="B7" s="16">
        <f t="shared" si="3"/>
        <v>1603</v>
      </c>
      <c r="C7" s="13">
        <f t="shared" si="2"/>
        <v>653</v>
      </c>
      <c r="D7" s="18">
        <f t="shared" si="4"/>
        <v>0.48288621646623497</v>
      </c>
      <c r="E7"/>
      <c r="F7"/>
      <c r="L7" s="13">
        <f t="shared" si="0"/>
        <v>5</v>
      </c>
      <c r="M7" s="13">
        <f t="shared" si="1"/>
        <v>1603</v>
      </c>
    </row>
    <row r="8" spans="1:16" x14ac:dyDescent="0.25">
      <c r="A8" s="16">
        <v>6</v>
      </c>
      <c r="B8" s="16">
        <f t="shared" si="3"/>
        <v>2256</v>
      </c>
      <c r="C8" s="13">
        <f t="shared" si="2"/>
        <v>783</v>
      </c>
      <c r="D8" s="18">
        <f t="shared" si="4"/>
        <v>0.40736119775421087</v>
      </c>
      <c r="E8"/>
      <c r="F8"/>
      <c r="L8" s="13">
        <f t="shared" si="0"/>
        <v>6</v>
      </c>
      <c r="M8" s="13">
        <f t="shared" si="1"/>
        <v>2256</v>
      </c>
    </row>
    <row r="9" spans="1:16" x14ac:dyDescent="0.25">
      <c r="A9" s="16">
        <v>7</v>
      </c>
      <c r="B9" s="16">
        <f t="shared" si="3"/>
        <v>3039</v>
      </c>
      <c r="C9" s="13">
        <f t="shared" si="2"/>
        <v>914</v>
      </c>
      <c r="D9" s="18">
        <f t="shared" si="4"/>
        <v>0.34707446808510639</v>
      </c>
      <c r="E9"/>
      <c r="F9"/>
      <c r="L9" s="13">
        <f t="shared" si="0"/>
        <v>7</v>
      </c>
      <c r="M9" s="13">
        <f t="shared" si="1"/>
        <v>3039</v>
      </c>
    </row>
    <row r="10" spans="1:16" x14ac:dyDescent="0.25">
      <c r="A10" s="16">
        <v>8</v>
      </c>
      <c r="B10" s="16">
        <f t="shared" si="3"/>
        <v>3953</v>
      </c>
      <c r="C10" s="13">
        <f t="shared" si="2"/>
        <v>1044</v>
      </c>
      <c r="D10" s="18">
        <f t="shared" si="4"/>
        <v>0.30075682790391578</v>
      </c>
      <c r="E10"/>
      <c r="F10"/>
      <c r="L10" s="13">
        <f t="shared" si="0"/>
        <v>8</v>
      </c>
      <c r="M10" s="13">
        <f t="shared" si="1"/>
        <v>3953</v>
      </c>
    </row>
    <row r="11" spans="1:16" x14ac:dyDescent="0.25">
      <c r="A11" s="16">
        <v>9</v>
      </c>
      <c r="B11" s="16">
        <f t="shared" si="3"/>
        <v>4997</v>
      </c>
      <c r="C11" s="13">
        <f t="shared" si="2"/>
        <v>1175</v>
      </c>
      <c r="D11" s="18">
        <f t="shared" si="4"/>
        <v>0.26410321274981025</v>
      </c>
      <c r="E11"/>
      <c r="F11"/>
      <c r="L11" s="13">
        <f t="shared" si="0"/>
        <v>9</v>
      </c>
      <c r="M11" s="13">
        <f t="shared" si="1"/>
        <v>4997</v>
      </c>
    </row>
    <row r="12" spans="1:16" x14ac:dyDescent="0.25">
      <c r="A12" s="16">
        <v>10</v>
      </c>
      <c r="B12" s="16">
        <f t="shared" si="3"/>
        <v>6172</v>
      </c>
      <c r="C12" s="13">
        <f t="shared" si="2"/>
        <v>1305</v>
      </c>
      <c r="D12" s="18">
        <f t="shared" si="4"/>
        <v>0.23514108465079048</v>
      </c>
      <c r="E12"/>
      <c r="F12"/>
      <c r="L12" s="13">
        <f t="shared" si="0"/>
        <v>10</v>
      </c>
      <c r="M12" s="13">
        <f t="shared" si="1"/>
        <v>6172</v>
      </c>
    </row>
    <row r="13" spans="1:16" x14ac:dyDescent="0.25">
      <c r="A13" s="16">
        <v>11</v>
      </c>
      <c r="B13" s="16">
        <f t="shared" si="3"/>
        <v>7477</v>
      </c>
      <c r="C13" s="13">
        <f t="shared" si="2"/>
        <v>1436</v>
      </c>
      <c r="D13" s="18">
        <f t="shared" si="4"/>
        <v>0.21143875567077122</v>
      </c>
      <c r="E13"/>
      <c r="F13"/>
      <c r="L13" s="13">
        <f t="shared" si="0"/>
        <v>11</v>
      </c>
      <c r="M13" s="13">
        <f t="shared" si="1"/>
        <v>7477</v>
      </c>
    </row>
    <row r="14" spans="1:16" x14ac:dyDescent="0.25">
      <c r="A14" s="16">
        <v>12</v>
      </c>
      <c r="B14" s="16">
        <f t="shared" si="3"/>
        <v>8913</v>
      </c>
      <c r="C14" s="13">
        <f t="shared" si="2"/>
        <v>1566</v>
      </c>
      <c r="D14" s="18">
        <f t="shared" si="4"/>
        <v>0.19205563728768221</v>
      </c>
      <c r="E14"/>
      <c r="F14"/>
      <c r="L14" s="13">
        <f t="shared" si="0"/>
        <v>12</v>
      </c>
      <c r="M14" s="13">
        <f t="shared" si="1"/>
        <v>8913</v>
      </c>
    </row>
    <row r="15" spans="1:16" x14ac:dyDescent="0.25">
      <c r="A15" s="16">
        <v>13</v>
      </c>
      <c r="B15" s="16">
        <f t="shared" si="3"/>
        <v>10479</v>
      </c>
      <c r="C15" s="13">
        <f t="shared" si="2"/>
        <v>1697</v>
      </c>
      <c r="D15" s="18">
        <f t="shared" si="4"/>
        <v>0.17569841804106362</v>
      </c>
      <c r="E15"/>
      <c r="F15"/>
      <c r="L15" s="13">
        <f t="shared" si="0"/>
        <v>13</v>
      </c>
      <c r="M15" s="13">
        <f t="shared" si="1"/>
        <v>10479</v>
      </c>
    </row>
    <row r="16" spans="1:16" x14ac:dyDescent="0.25">
      <c r="A16" s="16">
        <v>14</v>
      </c>
      <c r="B16" s="16">
        <f t="shared" si="3"/>
        <v>12176</v>
      </c>
      <c r="C16" s="13">
        <f t="shared" si="2"/>
        <v>1827</v>
      </c>
      <c r="D16" s="18">
        <f t="shared" si="4"/>
        <v>0.16194293348601965</v>
      </c>
      <c r="E16"/>
      <c r="F16"/>
      <c r="L16" s="13">
        <f t="shared" si="0"/>
        <v>14</v>
      </c>
      <c r="M16" s="13">
        <f t="shared" si="1"/>
        <v>12176</v>
      </c>
    </row>
    <row r="17" spans="1:13" x14ac:dyDescent="0.25">
      <c r="A17" s="16">
        <v>15</v>
      </c>
      <c r="B17" s="16">
        <f t="shared" si="3"/>
        <v>14003</v>
      </c>
      <c r="C17" s="13">
        <f t="shared" si="2"/>
        <v>1958</v>
      </c>
      <c r="D17" s="18">
        <f t="shared" si="4"/>
        <v>0.15004927726675427</v>
      </c>
      <c r="E17"/>
      <c r="F17"/>
      <c r="L17" s="13">
        <f t="shared" si="0"/>
        <v>15</v>
      </c>
      <c r="M17" s="13">
        <f t="shared" si="1"/>
        <v>14003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85" zoomScaleNormal="85" workbookViewId="0">
      <selection activeCell="D1" sqref="D1:D1048576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8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29</v>
      </c>
      <c r="B1" s="13" t="s">
        <v>38</v>
      </c>
      <c r="C1" s="13" t="s">
        <v>30</v>
      </c>
      <c r="D1" s="17" t="s">
        <v>89</v>
      </c>
      <c r="E1" s="13"/>
      <c r="F1" s="20" t="s">
        <v>57</v>
      </c>
      <c r="G1" s="20" t="s">
        <v>31</v>
      </c>
      <c r="H1" s="20" t="s">
        <v>43</v>
      </c>
      <c r="I1" s="20" t="s">
        <v>44</v>
      </c>
      <c r="J1" s="20" t="s">
        <v>45</v>
      </c>
      <c r="K1" s="13"/>
      <c r="L1" s="13" t="s">
        <v>36</v>
      </c>
      <c r="M1" s="13" t="s">
        <v>38</v>
      </c>
    </row>
    <row r="2" spans="1:16" x14ac:dyDescent="0.25">
      <c r="A2" s="13">
        <v>0</v>
      </c>
      <c r="B2" s="13">
        <v>0</v>
      </c>
      <c r="C2" s="13">
        <v>0</v>
      </c>
      <c r="D2" s="17"/>
      <c r="E2"/>
      <c r="F2" s="14">
        <v>3</v>
      </c>
      <c r="G2" s="14">
        <f>'6星每级加强属性曲线演算'!G$2/HLOOKUP('3星每级加强属性曲线演算'!$F$2,星级总属性!$B$2:$G$6,5,FALSE)</f>
        <v>228.81355932203391</v>
      </c>
      <c r="H2" s="14">
        <f>'6星每级加强属性曲线演算'!$H$2</f>
        <v>1</v>
      </c>
      <c r="I2" s="14">
        <f>'6星每级加强属性曲线演算'!I$2/HLOOKUP('3星每级加强属性曲线演算'!$F$2,星级总属性!$B$2:$G$6,5,FALSE)</f>
        <v>100.67796610169492</v>
      </c>
      <c r="J2" s="14">
        <f>H2-ROW(C3)</f>
        <v>-2</v>
      </c>
      <c r="L2" s="13">
        <v>0</v>
      </c>
      <c r="M2" s="13">
        <v>0</v>
      </c>
      <c r="P2" t="s">
        <v>32</v>
      </c>
    </row>
    <row r="3" spans="1:16" x14ac:dyDescent="0.25">
      <c r="A3" s="16">
        <v>1</v>
      </c>
      <c r="B3" s="16">
        <f>ROUND($G$2,0)</f>
        <v>229</v>
      </c>
      <c r="C3" s="13">
        <f>ROUND(INT((ROW()+$J$2)/$H$2)*$I$2,0)</f>
        <v>101</v>
      </c>
      <c r="E3" s="13"/>
      <c r="F3" s="13"/>
      <c r="G3" s="20" t="s">
        <v>46</v>
      </c>
      <c r="H3" s="20" t="s">
        <v>47</v>
      </c>
      <c r="I3" s="20" t="s">
        <v>48</v>
      </c>
      <c r="J3" s="20" t="s">
        <v>37</v>
      </c>
      <c r="L3" s="13">
        <f t="shared" ref="L3:L17" si="0">A3</f>
        <v>1</v>
      </c>
      <c r="M3" s="13">
        <f t="shared" ref="M3:M17" si="1">ROUND($G$4*(($A3)^3)+$H$4*(($A3)^2)+$I$4*$A3+$J$4,0)</f>
        <v>229</v>
      </c>
    </row>
    <row r="4" spans="1:16" x14ac:dyDescent="0.25">
      <c r="A4" s="16">
        <v>2</v>
      </c>
      <c r="B4" s="16">
        <f>ROUND(B3+C3,0)</f>
        <v>330</v>
      </c>
      <c r="C4" s="13">
        <f t="shared" ref="C4:C17" si="2">ROUND(INT((ROW()+$J$2)/$H$2)*$I$2,0)</f>
        <v>201</v>
      </c>
      <c r="D4" s="18">
        <f>(B4-B3)/B3</f>
        <v>0.44104803493449779</v>
      </c>
      <c r="E4"/>
      <c r="F4"/>
      <c r="G4" s="14">
        <f>INDEX(LINEST($B$3:$B$17, $A$3:$A$17^{1,2,3},TRUE,TRUE),1,1)</f>
        <v>8.9132634556183851E-15</v>
      </c>
      <c r="H4" s="14">
        <f>INDEX(LINEST($B$3:$B$17, $A$3:$A$17^{1,2,3},TRUE,TRUE),1,2)</f>
        <v>50.333063994828464</v>
      </c>
      <c r="I4" s="14">
        <f>INDEX(LINEST($B$3:$B$17, $A$3:$A$17^{1,2,3},TRUE,TRUE),1,3)</f>
        <v>-50.329023917257295</v>
      </c>
      <c r="J4" s="14">
        <f>INDEX(LINEST($B$3:$B$17, $A$3:$A$17^{1,2,3},TRUE,TRUE),1,4)</f>
        <v>229.09890109889656</v>
      </c>
      <c r="L4" s="13">
        <f t="shared" si="0"/>
        <v>2</v>
      </c>
      <c r="M4" s="13">
        <f t="shared" si="1"/>
        <v>330</v>
      </c>
      <c r="P4" t="s">
        <v>35</v>
      </c>
    </row>
    <row r="5" spans="1:16" x14ac:dyDescent="0.25">
      <c r="A5" s="16">
        <v>3</v>
      </c>
      <c r="B5" s="16">
        <f t="shared" ref="B5:B17" si="3">ROUND(B4+C4,0)</f>
        <v>531</v>
      </c>
      <c r="C5" s="13">
        <f t="shared" si="2"/>
        <v>302</v>
      </c>
      <c r="D5" s="18">
        <f t="shared" ref="D5:D17" si="4">(B5-B4)/B4</f>
        <v>0.60909090909090913</v>
      </c>
      <c r="E5"/>
      <c r="F5"/>
      <c r="L5" s="13">
        <f t="shared" si="0"/>
        <v>3</v>
      </c>
      <c r="M5" s="13">
        <f t="shared" si="1"/>
        <v>531</v>
      </c>
      <c r="P5" t="s">
        <v>33</v>
      </c>
    </row>
    <row r="6" spans="1:16" x14ac:dyDescent="0.25">
      <c r="A6" s="16">
        <v>4</v>
      </c>
      <c r="B6" s="16">
        <f t="shared" si="3"/>
        <v>833</v>
      </c>
      <c r="C6" s="13">
        <f t="shared" si="2"/>
        <v>403</v>
      </c>
      <c r="D6" s="18">
        <f t="shared" si="4"/>
        <v>0.56873822975517896</v>
      </c>
      <c r="E6"/>
      <c r="F6"/>
      <c r="L6" s="13">
        <f t="shared" si="0"/>
        <v>4</v>
      </c>
      <c r="M6" s="13">
        <f t="shared" si="1"/>
        <v>833</v>
      </c>
      <c r="P6" t="s">
        <v>34</v>
      </c>
    </row>
    <row r="7" spans="1:16" x14ac:dyDescent="0.25">
      <c r="A7" s="16">
        <v>5</v>
      </c>
      <c r="B7" s="16">
        <f t="shared" si="3"/>
        <v>1236</v>
      </c>
      <c r="C7" s="13">
        <f t="shared" si="2"/>
        <v>503</v>
      </c>
      <c r="D7" s="18">
        <f t="shared" si="4"/>
        <v>0.4837935174069628</v>
      </c>
      <c r="E7"/>
      <c r="F7"/>
      <c r="L7" s="13">
        <f t="shared" si="0"/>
        <v>5</v>
      </c>
      <c r="M7" s="13">
        <f t="shared" si="1"/>
        <v>1236</v>
      </c>
    </row>
    <row r="8" spans="1:16" x14ac:dyDescent="0.25">
      <c r="A8" s="16">
        <v>6</v>
      </c>
      <c r="B8" s="16">
        <f t="shared" si="3"/>
        <v>1739</v>
      </c>
      <c r="C8" s="13">
        <f t="shared" si="2"/>
        <v>604</v>
      </c>
      <c r="D8" s="18">
        <f t="shared" si="4"/>
        <v>0.40695792880258902</v>
      </c>
      <c r="E8"/>
      <c r="F8"/>
      <c r="L8" s="13">
        <f t="shared" si="0"/>
        <v>6</v>
      </c>
      <c r="M8" s="13">
        <f t="shared" si="1"/>
        <v>1739</v>
      </c>
    </row>
    <row r="9" spans="1:16" x14ac:dyDescent="0.25">
      <c r="A9" s="16">
        <v>7</v>
      </c>
      <c r="B9" s="16">
        <f t="shared" si="3"/>
        <v>2343</v>
      </c>
      <c r="C9" s="13">
        <f t="shared" si="2"/>
        <v>705</v>
      </c>
      <c r="D9" s="18">
        <f t="shared" si="4"/>
        <v>0.34732604945370904</v>
      </c>
      <c r="E9"/>
      <c r="F9"/>
      <c r="L9" s="13">
        <f t="shared" si="0"/>
        <v>7</v>
      </c>
      <c r="M9" s="13">
        <f t="shared" si="1"/>
        <v>2343</v>
      </c>
    </row>
    <row r="10" spans="1:16" x14ac:dyDescent="0.25">
      <c r="A10" s="16">
        <v>8</v>
      </c>
      <c r="B10" s="16">
        <f t="shared" si="3"/>
        <v>3048</v>
      </c>
      <c r="C10" s="13">
        <f t="shared" si="2"/>
        <v>805</v>
      </c>
      <c r="D10" s="18">
        <f t="shared" si="4"/>
        <v>0.30089628681177977</v>
      </c>
      <c r="E10"/>
      <c r="F10"/>
      <c r="L10" s="13">
        <f t="shared" si="0"/>
        <v>8</v>
      </c>
      <c r="M10" s="13">
        <f t="shared" si="1"/>
        <v>3048</v>
      </c>
    </row>
    <row r="11" spans="1:16" x14ac:dyDescent="0.25">
      <c r="A11" s="16">
        <v>9</v>
      </c>
      <c r="B11" s="16">
        <f t="shared" si="3"/>
        <v>3853</v>
      </c>
      <c r="C11" s="13">
        <f t="shared" si="2"/>
        <v>906</v>
      </c>
      <c r="D11" s="18">
        <f t="shared" si="4"/>
        <v>0.26410761154855644</v>
      </c>
      <c r="E11"/>
      <c r="F11"/>
      <c r="L11" s="13">
        <f t="shared" si="0"/>
        <v>9</v>
      </c>
      <c r="M11" s="13">
        <f t="shared" si="1"/>
        <v>3853</v>
      </c>
    </row>
    <row r="12" spans="1:16" x14ac:dyDescent="0.25">
      <c r="A12" s="16">
        <v>10</v>
      </c>
      <c r="B12" s="16">
        <f t="shared" si="3"/>
        <v>4759</v>
      </c>
      <c r="C12" s="13">
        <f t="shared" si="2"/>
        <v>1007</v>
      </c>
      <c r="D12" s="18">
        <f t="shared" si="4"/>
        <v>0.23514144822216454</v>
      </c>
      <c r="E12"/>
      <c r="F12"/>
      <c r="L12" s="13">
        <f t="shared" si="0"/>
        <v>10</v>
      </c>
      <c r="M12" s="13">
        <f t="shared" si="1"/>
        <v>4759</v>
      </c>
    </row>
    <row r="13" spans="1:16" x14ac:dyDescent="0.25">
      <c r="A13" s="16">
        <v>11</v>
      </c>
      <c r="B13" s="16">
        <f t="shared" si="3"/>
        <v>5766</v>
      </c>
      <c r="C13" s="13">
        <f t="shared" si="2"/>
        <v>1107</v>
      </c>
      <c r="D13" s="18">
        <f t="shared" si="4"/>
        <v>0.21159907543601597</v>
      </c>
      <c r="E13"/>
      <c r="F13"/>
      <c r="L13" s="13">
        <f t="shared" si="0"/>
        <v>11</v>
      </c>
      <c r="M13" s="13">
        <f t="shared" si="1"/>
        <v>5766</v>
      </c>
    </row>
    <row r="14" spans="1:16" x14ac:dyDescent="0.25">
      <c r="A14" s="16">
        <v>12</v>
      </c>
      <c r="B14" s="16">
        <f t="shared" si="3"/>
        <v>6873</v>
      </c>
      <c r="C14" s="13">
        <f t="shared" si="2"/>
        <v>1208</v>
      </c>
      <c r="D14" s="18">
        <f t="shared" si="4"/>
        <v>0.19198751300728409</v>
      </c>
      <c r="E14"/>
      <c r="F14"/>
      <c r="L14" s="13">
        <f t="shared" si="0"/>
        <v>12</v>
      </c>
      <c r="M14" s="13">
        <f t="shared" si="1"/>
        <v>6873</v>
      </c>
    </row>
    <row r="15" spans="1:16" x14ac:dyDescent="0.25">
      <c r="A15" s="16">
        <v>13</v>
      </c>
      <c r="B15" s="16">
        <f t="shared" si="3"/>
        <v>8081</v>
      </c>
      <c r="C15" s="13">
        <f t="shared" si="2"/>
        <v>1309</v>
      </c>
      <c r="D15" s="18">
        <f t="shared" si="4"/>
        <v>0.17576022115524517</v>
      </c>
      <c r="E15"/>
      <c r="F15"/>
      <c r="L15" s="13">
        <f t="shared" si="0"/>
        <v>13</v>
      </c>
      <c r="M15" s="13">
        <f t="shared" si="1"/>
        <v>8081</v>
      </c>
    </row>
    <row r="16" spans="1:16" x14ac:dyDescent="0.25">
      <c r="A16" s="16">
        <v>14</v>
      </c>
      <c r="B16" s="16">
        <f t="shared" si="3"/>
        <v>9390</v>
      </c>
      <c r="C16" s="13">
        <f t="shared" si="2"/>
        <v>1409</v>
      </c>
      <c r="D16" s="18">
        <f t="shared" si="4"/>
        <v>0.1619849028585571</v>
      </c>
      <c r="E16"/>
      <c r="F16"/>
      <c r="L16" s="13">
        <f t="shared" si="0"/>
        <v>14</v>
      </c>
      <c r="M16" s="13">
        <f t="shared" si="1"/>
        <v>9390</v>
      </c>
    </row>
    <row r="17" spans="1:13" x14ac:dyDescent="0.25">
      <c r="A17" s="16">
        <v>15</v>
      </c>
      <c r="B17" s="16">
        <f t="shared" si="3"/>
        <v>10799</v>
      </c>
      <c r="C17" s="13">
        <f t="shared" si="2"/>
        <v>1510</v>
      </c>
      <c r="D17" s="18">
        <f t="shared" si="4"/>
        <v>0.15005324813631524</v>
      </c>
      <c r="E17"/>
      <c r="F17"/>
      <c r="L17" s="13">
        <f t="shared" si="0"/>
        <v>15</v>
      </c>
      <c r="M17" s="13">
        <f t="shared" si="1"/>
        <v>10799</v>
      </c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A4" zoomScale="85" zoomScaleNormal="85" workbookViewId="0">
      <selection activeCell="F34" sqref="F34:F35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8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29</v>
      </c>
      <c r="B1" s="13" t="s">
        <v>38</v>
      </c>
      <c r="C1" s="13" t="s">
        <v>30</v>
      </c>
      <c r="D1" s="17" t="s">
        <v>89</v>
      </c>
      <c r="E1" s="13"/>
      <c r="F1" s="20" t="s">
        <v>57</v>
      </c>
      <c r="G1" s="20" t="s">
        <v>31</v>
      </c>
      <c r="H1" s="20" t="s">
        <v>43</v>
      </c>
      <c r="I1" s="20" t="s">
        <v>44</v>
      </c>
      <c r="J1" s="20" t="s">
        <v>45</v>
      </c>
      <c r="K1" s="13"/>
      <c r="L1" s="13" t="s">
        <v>36</v>
      </c>
      <c r="M1" s="13" t="s">
        <v>38</v>
      </c>
    </row>
    <row r="2" spans="1:16" x14ac:dyDescent="0.25">
      <c r="A2" s="13">
        <v>0</v>
      </c>
      <c r="B2" s="13">
        <v>0</v>
      </c>
      <c r="C2" s="13">
        <v>0</v>
      </c>
      <c r="D2" s="17"/>
      <c r="E2"/>
      <c r="F2" s="14">
        <v>2</v>
      </c>
      <c r="G2" s="14">
        <f>'6星每级加强属性曲线演算'!G$2/HLOOKUP('2星每级加强属性曲线演算'!$F$2,星级总属性!$B$2:$G$6,5,FALSE)</f>
        <v>175.84745762711864</v>
      </c>
      <c r="H2" s="14">
        <f>'6星每级加强属性曲线演算'!$H$2</f>
        <v>1</v>
      </c>
      <c r="I2" s="14">
        <f>'6星每级加强属性曲线演算'!I$2/HLOOKUP('2星每级加强属性曲线演算'!$F$2,星级总属性!$B$2:$G$6,5,FALSE)</f>
        <v>77.372881355932208</v>
      </c>
      <c r="J2" s="14">
        <f>H2-ROW(C3)</f>
        <v>-2</v>
      </c>
      <c r="L2" s="13">
        <v>0</v>
      </c>
      <c r="M2" s="13">
        <v>0</v>
      </c>
      <c r="P2" t="s">
        <v>32</v>
      </c>
    </row>
    <row r="3" spans="1:16" x14ac:dyDescent="0.25">
      <c r="A3" s="16">
        <v>1</v>
      </c>
      <c r="B3" s="16">
        <f>ROUND($G$2,0)</f>
        <v>176</v>
      </c>
      <c r="C3" s="13">
        <f>ROUND(INT((ROW()+$J$2)/$H$2)*$I$2,0)</f>
        <v>77</v>
      </c>
      <c r="E3" s="13"/>
      <c r="F3" s="13"/>
      <c r="G3" s="20" t="s">
        <v>46</v>
      </c>
      <c r="H3" s="20" t="s">
        <v>47</v>
      </c>
      <c r="I3" s="20" t="s">
        <v>48</v>
      </c>
      <c r="J3" s="20" t="s">
        <v>37</v>
      </c>
      <c r="L3" s="13">
        <f t="shared" ref="L3:L17" si="0">A3</f>
        <v>1</v>
      </c>
      <c r="M3" s="13">
        <f t="shared" ref="M3:M17" si="1">ROUND($G$4*(($A3)^3)+$H$4*(($A3)^2)+$I$4*$A3+$J$4,0)</f>
        <v>176</v>
      </c>
    </row>
    <row r="4" spans="1:16" x14ac:dyDescent="0.25">
      <c r="A4" s="16">
        <v>2</v>
      </c>
      <c r="B4" s="16">
        <f>ROUND(B3+C3,0)</f>
        <v>253</v>
      </c>
      <c r="C4" s="13">
        <f t="shared" ref="C4:C17" si="2">ROUND(INT((ROW()+$J$2)/$H$2)*$I$2,0)</f>
        <v>155</v>
      </c>
      <c r="D4" s="18">
        <f>(B4-B3)/B3</f>
        <v>0.4375</v>
      </c>
      <c r="E4"/>
      <c r="F4"/>
      <c r="G4" s="14">
        <f>INDEX(LINEST($B$3:$B$17, $A$3:$A$17^{1,2,3},TRUE,TRUE),1,1)</f>
        <v>-1.5082956259386013E-3</v>
      </c>
      <c r="H4" s="14">
        <f>INDEX(LINEST($B$3:$B$17, $A$3:$A$17^{1,2,3},TRUE,TRUE),1,2)</f>
        <v>38.722527472527368</v>
      </c>
      <c r="I4" s="14">
        <f>INDEX(LINEST($B$3:$B$17, $A$3:$A$17^{1,2,3},TRUE,TRUE),1,3)</f>
        <v>-38.984755440636746</v>
      </c>
      <c r="J4" s="14">
        <f>INDEX(LINEST($B$3:$B$17, $A$3:$A$17^{1,2,3},TRUE,TRUE),1,4)</f>
        <v>176.26373626373237</v>
      </c>
      <c r="L4" s="13">
        <f t="shared" si="0"/>
        <v>2</v>
      </c>
      <c r="M4" s="13">
        <f t="shared" si="1"/>
        <v>253</v>
      </c>
      <c r="P4" t="s">
        <v>35</v>
      </c>
    </row>
    <row r="5" spans="1:16" x14ac:dyDescent="0.25">
      <c r="A5" s="16">
        <v>3</v>
      </c>
      <c r="B5" s="16">
        <f t="shared" ref="B5:B17" si="3">ROUND(B4+C4,0)</f>
        <v>408</v>
      </c>
      <c r="C5" s="13">
        <f t="shared" si="2"/>
        <v>232</v>
      </c>
      <c r="D5" s="18">
        <f t="shared" ref="D5:D17" si="4">(B5-B4)/B4</f>
        <v>0.61264822134387353</v>
      </c>
      <c r="E5"/>
      <c r="F5"/>
      <c r="L5" s="13">
        <f t="shared" si="0"/>
        <v>3</v>
      </c>
      <c r="M5" s="13">
        <f t="shared" si="1"/>
        <v>408</v>
      </c>
      <c r="P5" t="s">
        <v>33</v>
      </c>
    </row>
    <row r="6" spans="1:16" x14ac:dyDescent="0.25">
      <c r="A6" s="16">
        <v>4</v>
      </c>
      <c r="B6" s="16">
        <f t="shared" si="3"/>
        <v>640</v>
      </c>
      <c r="C6" s="13">
        <f t="shared" si="2"/>
        <v>309</v>
      </c>
      <c r="D6" s="18">
        <f t="shared" si="4"/>
        <v>0.56862745098039214</v>
      </c>
      <c r="E6"/>
      <c r="F6"/>
      <c r="L6" s="13">
        <f t="shared" si="0"/>
        <v>4</v>
      </c>
      <c r="M6" s="13">
        <f t="shared" si="1"/>
        <v>640</v>
      </c>
      <c r="P6" t="s">
        <v>34</v>
      </c>
    </row>
    <row r="7" spans="1:16" x14ac:dyDescent="0.25">
      <c r="A7" s="16">
        <v>5</v>
      </c>
      <c r="B7" s="16">
        <f t="shared" si="3"/>
        <v>949</v>
      </c>
      <c r="C7" s="13">
        <f t="shared" si="2"/>
        <v>387</v>
      </c>
      <c r="D7" s="18">
        <f t="shared" si="4"/>
        <v>0.48281249999999998</v>
      </c>
      <c r="E7"/>
      <c r="F7"/>
      <c r="L7" s="13">
        <f t="shared" si="0"/>
        <v>5</v>
      </c>
      <c r="M7" s="13">
        <f t="shared" si="1"/>
        <v>949</v>
      </c>
    </row>
    <row r="8" spans="1:16" x14ac:dyDescent="0.25">
      <c r="A8" s="16">
        <v>6</v>
      </c>
      <c r="B8" s="16">
        <f t="shared" si="3"/>
        <v>1336</v>
      </c>
      <c r="C8" s="13">
        <f t="shared" si="2"/>
        <v>464</v>
      </c>
      <c r="D8" s="18">
        <f t="shared" si="4"/>
        <v>0.40779768177028453</v>
      </c>
      <c r="E8"/>
      <c r="F8"/>
      <c r="L8" s="13">
        <f t="shared" si="0"/>
        <v>6</v>
      </c>
      <c r="M8" s="13">
        <f t="shared" si="1"/>
        <v>1336</v>
      </c>
    </row>
    <row r="9" spans="1:16" x14ac:dyDescent="0.25">
      <c r="A9" s="16">
        <v>7</v>
      </c>
      <c r="B9" s="16">
        <f t="shared" si="3"/>
        <v>1800</v>
      </c>
      <c r="C9" s="13">
        <f t="shared" si="2"/>
        <v>542</v>
      </c>
      <c r="D9" s="18">
        <f t="shared" si="4"/>
        <v>0.3473053892215569</v>
      </c>
      <c r="E9"/>
      <c r="F9"/>
      <c r="L9" s="13">
        <f t="shared" si="0"/>
        <v>7</v>
      </c>
      <c r="M9" s="13">
        <f t="shared" si="1"/>
        <v>1800</v>
      </c>
    </row>
    <row r="10" spans="1:16" x14ac:dyDescent="0.25">
      <c r="A10" s="16">
        <v>8</v>
      </c>
      <c r="B10" s="16">
        <f t="shared" si="3"/>
        <v>2342</v>
      </c>
      <c r="C10" s="13">
        <f t="shared" si="2"/>
        <v>619</v>
      </c>
      <c r="D10" s="18">
        <f t="shared" si="4"/>
        <v>0.30111111111111111</v>
      </c>
      <c r="E10"/>
      <c r="F10"/>
      <c r="L10" s="13">
        <f t="shared" si="0"/>
        <v>8</v>
      </c>
      <c r="M10" s="13">
        <f t="shared" si="1"/>
        <v>2342</v>
      </c>
    </row>
    <row r="11" spans="1:16" x14ac:dyDescent="0.25">
      <c r="A11" s="16">
        <v>9</v>
      </c>
      <c r="B11" s="16">
        <f t="shared" si="3"/>
        <v>2961</v>
      </c>
      <c r="C11" s="13">
        <f t="shared" si="2"/>
        <v>696</v>
      </c>
      <c r="D11" s="18">
        <f t="shared" si="4"/>
        <v>0.26430401366353545</v>
      </c>
      <c r="E11"/>
      <c r="F11"/>
      <c r="L11" s="13">
        <f t="shared" si="0"/>
        <v>9</v>
      </c>
      <c r="M11" s="13">
        <f t="shared" si="1"/>
        <v>2961</v>
      </c>
    </row>
    <row r="12" spans="1:16" x14ac:dyDescent="0.25">
      <c r="A12" s="16">
        <v>10</v>
      </c>
      <c r="B12" s="16">
        <f t="shared" si="3"/>
        <v>3657</v>
      </c>
      <c r="C12" s="13">
        <f t="shared" si="2"/>
        <v>774</v>
      </c>
      <c r="D12" s="18">
        <f t="shared" si="4"/>
        <v>0.23505572441742653</v>
      </c>
      <c r="E12"/>
      <c r="F12"/>
      <c r="L12" s="13">
        <f t="shared" si="0"/>
        <v>10</v>
      </c>
      <c r="M12" s="13">
        <f t="shared" si="1"/>
        <v>3657</v>
      </c>
    </row>
    <row r="13" spans="1:16" x14ac:dyDescent="0.25">
      <c r="A13" s="16">
        <v>11</v>
      </c>
      <c r="B13" s="16">
        <f t="shared" si="3"/>
        <v>4431</v>
      </c>
      <c r="C13" s="13">
        <f t="shared" si="2"/>
        <v>851</v>
      </c>
      <c r="D13" s="18">
        <f t="shared" si="4"/>
        <v>0.21164889253486463</v>
      </c>
      <c r="E13"/>
      <c r="F13"/>
      <c r="L13" s="13">
        <f t="shared" si="0"/>
        <v>11</v>
      </c>
      <c r="M13" s="13">
        <f t="shared" si="1"/>
        <v>4431</v>
      </c>
    </row>
    <row r="14" spans="1:16" x14ac:dyDescent="0.25">
      <c r="A14" s="16">
        <v>12</v>
      </c>
      <c r="B14" s="16">
        <f t="shared" si="3"/>
        <v>5282</v>
      </c>
      <c r="C14" s="13">
        <f t="shared" si="2"/>
        <v>928</v>
      </c>
      <c r="D14" s="18">
        <f t="shared" si="4"/>
        <v>0.19205596930715413</v>
      </c>
      <c r="E14"/>
      <c r="F14"/>
      <c r="L14" s="13">
        <f t="shared" si="0"/>
        <v>12</v>
      </c>
      <c r="M14" s="13">
        <f t="shared" si="1"/>
        <v>5282</v>
      </c>
    </row>
    <row r="15" spans="1:16" x14ac:dyDescent="0.25">
      <c r="A15" s="16">
        <v>13</v>
      </c>
      <c r="B15" s="16">
        <f t="shared" si="3"/>
        <v>6210</v>
      </c>
      <c r="C15" s="13">
        <f t="shared" si="2"/>
        <v>1006</v>
      </c>
      <c r="D15" s="18">
        <f t="shared" si="4"/>
        <v>0.17569102612646725</v>
      </c>
      <c r="E15"/>
      <c r="F15"/>
      <c r="L15" s="13">
        <f t="shared" si="0"/>
        <v>13</v>
      </c>
      <c r="M15" s="13">
        <f t="shared" si="1"/>
        <v>6210</v>
      </c>
    </row>
    <row r="16" spans="1:16" x14ac:dyDescent="0.25">
      <c r="A16" s="16">
        <v>14</v>
      </c>
      <c r="B16" s="16">
        <f t="shared" si="3"/>
        <v>7216</v>
      </c>
      <c r="C16" s="13">
        <f t="shared" si="2"/>
        <v>1083</v>
      </c>
      <c r="D16" s="18">
        <f t="shared" si="4"/>
        <v>0.16199677938808374</v>
      </c>
      <c r="E16"/>
      <c r="F16"/>
      <c r="L16" s="13">
        <f t="shared" si="0"/>
        <v>14</v>
      </c>
      <c r="M16" s="13">
        <f t="shared" si="1"/>
        <v>7216</v>
      </c>
    </row>
    <row r="17" spans="1:13" x14ac:dyDescent="0.25">
      <c r="A17" s="16">
        <v>15</v>
      </c>
      <c r="B17" s="16">
        <f t="shared" si="3"/>
        <v>8299</v>
      </c>
      <c r="C17" s="13">
        <f t="shared" si="2"/>
        <v>1161</v>
      </c>
      <c r="D17" s="18">
        <f t="shared" si="4"/>
        <v>0.15008314855875832</v>
      </c>
      <c r="E17"/>
      <c r="F17"/>
      <c r="L17" s="13">
        <f t="shared" si="0"/>
        <v>15</v>
      </c>
      <c r="M17" s="13">
        <f t="shared" si="1"/>
        <v>8299</v>
      </c>
    </row>
    <row r="18" spans="1:13" x14ac:dyDescent="0.25">
      <c r="C18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85" zoomScaleNormal="85" workbookViewId="0">
      <selection activeCell="D1" sqref="D1:D1048576"/>
    </sheetView>
  </sheetViews>
  <sheetFormatPr defaultRowHeight="14.4" x14ac:dyDescent="0.25"/>
  <cols>
    <col min="2" max="2" width="13" style="16" bestFit="1" customWidth="1"/>
    <col min="3" max="3" width="9" style="16"/>
    <col min="4" max="4" width="12.109375" style="18" bestFit="1" customWidth="1"/>
    <col min="5" max="6" width="9" style="16"/>
    <col min="7" max="8" width="12.77734375" bestFit="1" customWidth="1"/>
    <col min="10" max="10" width="13" bestFit="1" customWidth="1"/>
    <col min="11" max="11" width="13" customWidth="1"/>
    <col min="12" max="12" width="9" style="13"/>
    <col min="13" max="13" width="13" style="13" bestFit="1" customWidth="1"/>
    <col min="14" max="14" width="9" style="13"/>
  </cols>
  <sheetData>
    <row r="1" spans="1:16" x14ac:dyDescent="0.25">
      <c r="A1" s="13" t="s">
        <v>29</v>
      </c>
      <c r="B1" s="13" t="s">
        <v>38</v>
      </c>
      <c r="C1" s="13" t="s">
        <v>30</v>
      </c>
      <c r="D1" s="17" t="s">
        <v>89</v>
      </c>
      <c r="E1" s="13"/>
      <c r="F1" s="20" t="s">
        <v>57</v>
      </c>
      <c r="G1" s="20" t="s">
        <v>31</v>
      </c>
      <c r="H1" s="20" t="s">
        <v>43</v>
      </c>
      <c r="I1" s="20" t="s">
        <v>44</v>
      </c>
      <c r="J1" s="20" t="s">
        <v>45</v>
      </c>
      <c r="K1" s="13"/>
      <c r="L1" s="13" t="s">
        <v>36</v>
      </c>
      <c r="M1" s="13" t="s">
        <v>38</v>
      </c>
    </row>
    <row r="2" spans="1:16" x14ac:dyDescent="0.25">
      <c r="A2" s="13">
        <v>0</v>
      </c>
      <c r="B2" s="13">
        <v>0</v>
      </c>
      <c r="C2" s="13">
        <v>0</v>
      </c>
      <c r="D2" s="17"/>
      <c r="E2"/>
      <c r="F2" s="14">
        <v>1</v>
      </c>
      <c r="G2" s="14">
        <f>'6星每级加强属性曲线演算'!G$2/HLOOKUP('1星每级加强属性曲线演算'!$F$2,星级总属性!$B$2:$G$6,5,FALSE)</f>
        <v>135.59322033898306</v>
      </c>
      <c r="H2" s="14">
        <f>'6星每级加强属性曲线演算'!$H$2</f>
        <v>1</v>
      </c>
      <c r="I2" s="14">
        <f>'6星每级加强属性曲线演算'!I$2/HLOOKUP('1星每级加强属性曲线演算'!$F$2,星级总属性!$B$2:$G$6,5,FALSE)</f>
        <v>59.66101694915254</v>
      </c>
      <c r="J2" s="14">
        <f>H2-ROW(C3)</f>
        <v>-2</v>
      </c>
      <c r="L2" s="13">
        <v>0</v>
      </c>
      <c r="M2" s="13">
        <v>0</v>
      </c>
      <c r="P2" t="s">
        <v>32</v>
      </c>
    </row>
    <row r="3" spans="1:16" x14ac:dyDescent="0.25">
      <c r="A3" s="16">
        <v>1</v>
      </c>
      <c r="B3" s="16">
        <f>ROUND($G$2,0)</f>
        <v>136</v>
      </c>
      <c r="C3" s="13">
        <f>ROUND(INT((ROW()+$J$2)/$H$2)*$I$2,0)</f>
        <v>60</v>
      </c>
      <c r="E3" s="13"/>
      <c r="F3" s="13"/>
      <c r="G3" s="20" t="s">
        <v>46</v>
      </c>
      <c r="H3" s="20" t="s">
        <v>47</v>
      </c>
      <c r="I3" s="20" t="s">
        <v>48</v>
      </c>
      <c r="J3" s="20" t="s">
        <v>37</v>
      </c>
      <c r="L3" s="13">
        <f t="shared" ref="L3:L17" si="0">A3</f>
        <v>1</v>
      </c>
      <c r="M3" s="13">
        <f t="shared" ref="M3:M17" si="1">ROUND($G$4*(($A3)^3)+$H$4*(($A3)^2)+$I$4*$A3+$J$4,0)</f>
        <v>136</v>
      </c>
    </row>
    <row r="4" spans="1:16" x14ac:dyDescent="0.25">
      <c r="A4" s="16">
        <v>2</v>
      </c>
      <c r="B4" s="16">
        <f>ROUND(B3+C3,0)</f>
        <v>196</v>
      </c>
      <c r="C4" s="13">
        <f t="shared" ref="C4:C17" si="2">ROUND(INT((ROW()+$J$2)/$H$2)*$I$2,0)</f>
        <v>119</v>
      </c>
      <c r="D4" s="18">
        <f>(B4-B3)/B3</f>
        <v>0.44117647058823528</v>
      </c>
      <c r="E4"/>
      <c r="F4"/>
      <c r="G4" s="14">
        <f>INDEX(LINEST($B$3:$B$17, $A$3:$A$17^{1,2,3},TRUE,TRUE),1,1)</f>
        <v>8.0219371100565456E-15</v>
      </c>
      <c r="H4" s="14">
        <f>INDEX(LINEST($B$3:$B$17, $A$3:$A$17^{1,2,3},TRUE,TRUE),1,2)</f>
        <v>29.8330639948285</v>
      </c>
      <c r="I4" s="14">
        <f>INDEX(LINEST($B$3:$B$17, $A$3:$A$17^{1,2,3},TRUE,TRUE),1,3)</f>
        <v>-29.829023917257576</v>
      </c>
      <c r="J4" s="14">
        <f>INDEX(LINEST($B$3:$B$17, $A$3:$A$17^{1,2,3},TRUE,TRUE),1,4)</f>
        <v>136.0989010988965</v>
      </c>
      <c r="L4" s="13">
        <f t="shared" si="0"/>
        <v>2</v>
      </c>
      <c r="M4" s="13">
        <f t="shared" si="1"/>
        <v>196</v>
      </c>
      <c r="P4" t="s">
        <v>35</v>
      </c>
    </row>
    <row r="5" spans="1:16" x14ac:dyDescent="0.25">
      <c r="A5" s="16">
        <v>3</v>
      </c>
      <c r="B5" s="16">
        <f t="shared" ref="B5:B17" si="3">ROUND(B4+C4,0)</f>
        <v>315</v>
      </c>
      <c r="C5" s="13">
        <f t="shared" si="2"/>
        <v>179</v>
      </c>
      <c r="D5" s="18">
        <f t="shared" ref="D5:D17" si="4">(B5-B4)/B4</f>
        <v>0.6071428571428571</v>
      </c>
      <c r="E5"/>
      <c r="F5"/>
      <c r="L5" s="13">
        <f t="shared" si="0"/>
        <v>3</v>
      </c>
      <c r="M5" s="13">
        <f t="shared" si="1"/>
        <v>315</v>
      </c>
      <c r="P5" t="s">
        <v>33</v>
      </c>
    </row>
    <row r="6" spans="1:16" x14ac:dyDescent="0.25">
      <c r="A6" s="16">
        <v>4</v>
      </c>
      <c r="B6" s="16">
        <f t="shared" si="3"/>
        <v>494</v>
      </c>
      <c r="C6" s="13">
        <f t="shared" si="2"/>
        <v>239</v>
      </c>
      <c r="D6" s="18">
        <f t="shared" si="4"/>
        <v>0.56825396825396823</v>
      </c>
      <c r="E6"/>
      <c r="F6"/>
      <c r="L6" s="13">
        <f t="shared" si="0"/>
        <v>4</v>
      </c>
      <c r="M6" s="13">
        <f t="shared" si="1"/>
        <v>494</v>
      </c>
      <c r="P6" t="s">
        <v>34</v>
      </c>
    </row>
    <row r="7" spans="1:16" x14ac:dyDescent="0.25">
      <c r="A7" s="16">
        <v>5</v>
      </c>
      <c r="B7" s="16">
        <f t="shared" si="3"/>
        <v>733</v>
      </c>
      <c r="C7" s="13">
        <f t="shared" si="2"/>
        <v>298</v>
      </c>
      <c r="D7" s="18">
        <f t="shared" si="4"/>
        <v>0.48380566801619435</v>
      </c>
      <c r="E7"/>
      <c r="F7"/>
      <c r="L7" s="13">
        <f t="shared" si="0"/>
        <v>5</v>
      </c>
      <c r="M7" s="13">
        <f t="shared" si="1"/>
        <v>733</v>
      </c>
    </row>
    <row r="8" spans="1:16" x14ac:dyDescent="0.25">
      <c r="A8" s="16">
        <v>6</v>
      </c>
      <c r="B8" s="16">
        <f t="shared" si="3"/>
        <v>1031</v>
      </c>
      <c r="C8" s="13">
        <f t="shared" si="2"/>
        <v>358</v>
      </c>
      <c r="D8" s="18">
        <f t="shared" si="4"/>
        <v>0.40654843110504774</v>
      </c>
      <c r="E8"/>
      <c r="F8"/>
      <c r="L8" s="13">
        <f t="shared" si="0"/>
        <v>6</v>
      </c>
      <c r="M8" s="13">
        <f t="shared" si="1"/>
        <v>1031</v>
      </c>
    </row>
    <row r="9" spans="1:16" x14ac:dyDescent="0.25">
      <c r="A9" s="16">
        <v>7</v>
      </c>
      <c r="B9" s="16">
        <f t="shared" si="3"/>
        <v>1389</v>
      </c>
      <c r="C9" s="13">
        <f t="shared" si="2"/>
        <v>418</v>
      </c>
      <c r="D9" s="18">
        <f t="shared" si="4"/>
        <v>0.34723569350145489</v>
      </c>
      <c r="E9"/>
      <c r="F9"/>
      <c r="L9" s="13">
        <f t="shared" si="0"/>
        <v>7</v>
      </c>
      <c r="M9" s="13">
        <f t="shared" si="1"/>
        <v>1389</v>
      </c>
    </row>
    <row r="10" spans="1:16" x14ac:dyDescent="0.25">
      <c r="A10" s="16">
        <v>8</v>
      </c>
      <c r="B10" s="16">
        <f t="shared" si="3"/>
        <v>1807</v>
      </c>
      <c r="C10" s="13">
        <f t="shared" si="2"/>
        <v>477</v>
      </c>
      <c r="D10" s="18">
        <f t="shared" si="4"/>
        <v>0.30093592512598993</v>
      </c>
      <c r="E10"/>
      <c r="F10"/>
      <c r="L10" s="13">
        <f t="shared" si="0"/>
        <v>8</v>
      </c>
      <c r="M10" s="13">
        <f t="shared" si="1"/>
        <v>1807</v>
      </c>
    </row>
    <row r="11" spans="1:16" x14ac:dyDescent="0.25">
      <c r="A11" s="16">
        <v>9</v>
      </c>
      <c r="B11" s="16">
        <f t="shared" si="3"/>
        <v>2284</v>
      </c>
      <c r="C11" s="13">
        <f t="shared" si="2"/>
        <v>537</v>
      </c>
      <c r="D11" s="18">
        <f t="shared" si="4"/>
        <v>0.26397343663530715</v>
      </c>
      <c r="E11"/>
      <c r="F11"/>
      <c r="L11" s="13">
        <f t="shared" si="0"/>
        <v>9</v>
      </c>
      <c r="M11" s="13">
        <f t="shared" si="1"/>
        <v>2284</v>
      </c>
    </row>
    <row r="12" spans="1:16" x14ac:dyDescent="0.25">
      <c r="A12" s="16">
        <v>10</v>
      </c>
      <c r="B12" s="16">
        <f t="shared" si="3"/>
        <v>2821</v>
      </c>
      <c r="C12" s="13">
        <f t="shared" si="2"/>
        <v>597</v>
      </c>
      <c r="D12" s="18">
        <f t="shared" si="4"/>
        <v>0.23511383537653241</v>
      </c>
      <c r="E12"/>
      <c r="F12"/>
      <c r="L12" s="13">
        <f t="shared" si="0"/>
        <v>10</v>
      </c>
      <c r="M12" s="13">
        <f t="shared" si="1"/>
        <v>2821</v>
      </c>
    </row>
    <row r="13" spans="1:16" x14ac:dyDescent="0.25">
      <c r="A13" s="16">
        <v>11</v>
      </c>
      <c r="B13" s="16">
        <f t="shared" si="3"/>
        <v>3418</v>
      </c>
      <c r="C13" s="13">
        <f t="shared" si="2"/>
        <v>656</v>
      </c>
      <c r="D13" s="18">
        <f t="shared" si="4"/>
        <v>0.21162708259482452</v>
      </c>
      <c r="E13"/>
      <c r="F13"/>
      <c r="L13" s="13">
        <f t="shared" si="0"/>
        <v>11</v>
      </c>
      <c r="M13" s="13">
        <f t="shared" si="1"/>
        <v>3418</v>
      </c>
    </row>
    <row r="14" spans="1:16" x14ac:dyDescent="0.25">
      <c r="A14" s="16">
        <v>12</v>
      </c>
      <c r="B14" s="16">
        <f t="shared" si="3"/>
        <v>4074</v>
      </c>
      <c r="C14" s="13">
        <f t="shared" si="2"/>
        <v>716</v>
      </c>
      <c r="D14" s="18">
        <f t="shared" si="4"/>
        <v>0.19192510239906377</v>
      </c>
      <c r="E14"/>
      <c r="F14"/>
      <c r="L14" s="13">
        <f t="shared" si="0"/>
        <v>12</v>
      </c>
      <c r="M14" s="13">
        <f t="shared" si="1"/>
        <v>4074</v>
      </c>
    </row>
    <row r="15" spans="1:16" x14ac:dyDescent="0.25">
      <c r="A15" s="16">
        <v>13</v>
      </c>
      <c r="B15" s="16">
        <f t="shared" si="3"/>
        <v>4790</v>
      </c>
      <c r="C15" s="13">
        <f t="shared" si="2"/>
        <v>776</v>
      </c>
      <c r="D15" s="18">
        <f t="shared" si="4"/>
        <v>0.17574864997545409</v>
      </c>
      <c r="E15"/>
      <c r="F15"/>
      <c r="L15" s="13">
        <f t="shared" si="0"/>
        <v>13</v>
      </c>
      <c r="M15" s="13">
        <f t="shared" si="1"/>
        <v>4790</v>
      </c>
    </row>
    <row r="16" spans="1:16" x14ac:dyDescent="0.25">
      <c r="A16" s="16">
        <v>14</v>
      </c>
      <c r="B16" s="16">
        <f t="shared" si="3"/>
        <v>5566</v>
      </c>
      <c r="C16" s="13">
        <f t="shared" si="2"/>
        <v>835</v>
      </c>
      <c r="D16" s="18">
        <f t="shared" si="4"/>
        <v>0.16200417536534448</v>
      </c>
      <c r="E16"/>
      <c r="F16"/>
      <c r="L16" s="13">
        <f t="shared" si="0"/>
        <v>14</v>
      </c>
      <c r="M16" s="13">
        <f t="shared" si="1"/>
        <v>5566</v>
      </c>
    </row>
    <row r="17" spans="1:13" x14ac:dyDescent="0.25">
      <c r="A17" s="16">
        <v>15</v>
      </c>
      <c r="B17" s="16">
        <f t="shared" si="3"/>
        <v>6401</v>
      </c>
      <c r="C17" s="13">
        <f t="shared" si="2"/>
        <v>895</v>
      </c>
      <c r="D17" s="18">
        <f t="shared" si="4"/>
        <v>0.15001796622349983</v>
      </c>
      <c r="E17"/>
      <c r="F17"/>
      <c r="L17" s="13">
        <f t="shared" si="0"/>
        <v>15</v>
      </c>
      <c r="M17" s="13">
        <f t="shared" si="1"/>
        <v>6401</v>
      </c>
    </row>
    <row r="18" spans="1:13" x14ac:dyDescent="0.25">
      <c r="C18"/>
    </row>
  </sheetData>
  <phoneticPr fontId="1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advancement</vt:lpstr>
      <vt:lpstr>进阶要求</vt:lpstr>
      <vt:lpstr>武将总属性分配</vt:lpstr>
      <vt:lpstr>6星每级加强属性曲线演算</vt:lpstr>
      <vt:lpstr>5星每级加强属性曲线演算</vt:lpstr>
      <vt:lpstr>4星每级加强属性曲线演算</vt:lpstr>
      <vt:lpstr>3星每级加强属性曲线演算</vt:lpstr>
      <vt:lpstr>2星每级加强属性曲线演算</vt:lpstr>
      <vt:lpstr>1星每级加强属性曲线演算</vt:lpstr>
      <vt:lpstr>职业分类属性</vt:lpstr>
      <vt:lpstr>职业属性偏向</vt:lpstr>
      <vt:lpstr>星级总属性</vt:lpstr>
      <vt:lpstr>属性分配方式1</vt:lpstr>
      <vt:lpstr>属性分配方式2</vt:lpstr>
      <vt:lpstr>属性分配方式3</vt:lpstr>
      <vt:lpstr>属性顺序表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2014-10-30T10:27:21Z</dcterms:modified>
</cp:coreProperties>
</file>