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firstSheet="6" activeTab="10"/>
  </bookViews>
  <sheets>
    <sheet name="awake" sheetId="4" r:id="rId1"/>
    <sheet name="觉醒要求" sheetId="32" r:id="rId2"/>
    <sheet name="武将总属性分配" sheetId="12" r:id="rId3"/>
    <sheet name="6星每级加强属性曲线演算" sheetId="13" r:id="rId4"/>
    <sheet name="5星每级加强属性曲线演算" sheetId="30" r:id="rId5"/>
    <sheet name="4星每级加强属性曲线演算" sheetId="29" r:id="rId6"/>
    <sheet name="3星每级加强属性曲线演算" sheetId="28" r:id="rId7"/>
    <sheet name="2星每级加强属性曲线演算" sheetId="27" r:id="rId8"/>
    <sheet name="1星每级加强属性曲线演算" sheetId="25" r:id="rId9"/>
    <sheet name="职业分类属性" sheetId="9" r:id="rId10"/>
    <sheet name="职业属性偏向" sheetId="10" r:id="rId11"/>
    <sheet name="星级总属性" sheetId="11" r:id="rId12"/>
    <sheet name="属性分配方式1" sheetId="14" r:id="rId13"/>
    <sheet name="属性分配方式2" sheetId="15" r:id="rId14"/>
    <sheet name="属性分配方式3" sheetId="16" r:id="rId15"/>
    <sheet name="属性顺序表" sheetId="31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0" hidden="1">awake!#REF!</definedName>
    <definedName name="NPC功能列表" localSheetId="8">#REF!</definedName>
    <definedName name="NPC功能列表" localSheetId="7">#REF!</definedName>
    <definedName name="NPC功能列表" localSheetId="6">#REF!</definedName>
    <definedName name="NPC功能列表" localSheetId="5">#REF!</definedName>
    <definedName name="NPC功能列表" localSheetId="4">#REF!</definedName>
    <definedName name="NPC功能列表" localSheetId="14">#REF!</definedName>
    <definedName name="NPC功能列表">#REF!</definedName>
    <definedName name="抽卡卡包" localSheetId="8">#REF!</definedName>
    <definedName name="抽卡卡包" localSheetId="7">#REF!</definedName>
    <definedName name="抽卡卡包" localSheetId="6">#REF!</definedName>
    <definedName name="抽卡卡包" localSheetId="5">#REF!</definedName>
    <definedName name="抽卡卡包" localSheetId="4">#REF!</definedName>
    <definedName name="抽卡卡包" localSheetId="14">#REF!</definedName>
    <definedName name="抽卡卡包">#REF!</definedName>
    <definedName name="敌人死亡动画">[1]Skill!$AP$2:$AP$5</definedName>
    <definedName name="飞行物轨迹">[1]Skill!$AQ$2:$AQ$6</definedName>
    <definedName name="符文类型" localSheetId="8">#REF!</definedName>
    <definedName name="符文类型" localSheetId="7">#REF!</definedName>
    <definedName name="符文类型" localSheetId="6">#REF!</definedName>
    <definedName name="符文类型" localSheetId="5">#REF!</definedName>
    <definedName name="符文类型" localSheetId="4">#REF!</definedName>
    <definedName name="符文类型" localSheetId="14">#REF!</definedName>
    <definedName name="符文类型">#REF!</definedName>
    <definedName name="符文品阶" localSheetId="8">#REF!</definedName>
    <definedName name="符文品阶" localSheetId="7">#REF!</definedName>
    <definedName name="符文品阶" localSheetId="6">#REF!</definedName>
    <definedName name="符文品阶" localSheetId="5">#REF!</definedName>
    <definedName name="符文品阶" localSheetId="4">#REF!</definedName>
    <definedName name="符文品阶" localSheetId="14">#REF!</definedName>
    <definedName name="符文品阶">#REF!</definedName>
    <definedName name="格子类型" localSheetId="8">#REF!</definedName>
    <definedName name="格子类型" localSheetId="7">#REF!</definedName>
    <definedName name="格子类型" localSheetId="6">#REF!</definedName>
    <definedName name="格子类型" localSheetId="5">#REF!</definedName>
    <definedName name="格子类型" localSheetId="4">#REF!</definedName>
    <definedName name="格子类型" localSheetId="14">#REF!</definedName>
    <definedName name="格子类型">#REF!</definedName>
    <definedName name="公会活动类型" localSheetId="8">#REF!</definedName>
    <definedName name="公会活动类型" localSheetId="7">#REF!</definedName>
    <definedName name="公会活动类型" localSheetId="6">#REF!</definedName>
    <definedName name="公会活动类型" localSheetId="5">#REF!</definedName>
    <definedName name="公会活动类型" localSheetId="4">#REF!</definedName>
    <definedName name="公会活动类型" localSheetId="14">#REF!</definedName>
    <definedName name="公会活动类型">#REF!</definedName>
    <definedName name="攻击策略">[1]Enemy!$AD$2:$AD$8</definedName>
    <definedName name="技能类型">[1]Skill!$AN$2:$AN$15</definedName>
    <definedName name="加点效果" localSheetId="8">#REF!</definedName>
    <definedName name="加点效果" localSheetId="7">#REF!</definedName>
    <definedName name="加点效果" localSheetId="6">#REF!</definedName>
    <definedName name="加点效果" localSheetId="5">#REF!</definedName>
    <definedName name="加点效果" localSheetId="4">#REF!</definedName>
    <definedName name="加点效果" localSheetId="14">#REF!</definedName>
    <definedName name="加点效果">#REF!</definedName>
    <definedName name="卡牌技能生效范围" localSheetId="8">#REF!</definedName>
    <definedName name="卡牌技能生效范围" localSheetId="7">#REF!</definedName>
    <definedName name="卡牌技能生效范围" localSheetId="6">#REF!</definedName>
    <definedName name="卡牌技能生效范围" localSheetId="5">#REF!</definedName>
    <definedName name="卡牌技能生效范围" localSheetId="4">#REF!</definedName>
    <definedName name="卡牌技能生效范围" localSheetId="14">#REF!</definedName>
    <definedName name="卡牌技能生效范围">#REF!</definedName>
    <definedName name="开启条件列表" localSheetId="8">#REF!</definedName>
    <definedName name="开启条件列表" localSheetId="7">#REF!</definedName>
    <definedName name="开启条件列表" localSheetId="6">#REF!</definedName>
    <definedName name="开启条件列表" localSheetId="5">#REF!</definedName>
    <definedName name="开启条件列表" localSheetId="4">#REF!</definedName>
    <definedName name="开启条件列表" localSheetId="14">#REF!</definedName>
    <definedName name="开启条件列表">#REF!</definedName>
    <definedName name="迷宫类型" localSheetId="8">#REF!</definedName>
    <definedName name="迷宫类型" localSheetId="7">#REF!</definedName>
    <definedName name="迷宫类型" localSheetId="6">#REF!</definedName>
    <definedName name="迷宫类型" localSheetId="5">#REF!</definedName>
    <definedName name="迷宫类型" localSheetId="4">#REF!</definedName>
    <definedName name="迷宫类型" localSheetId="14">#REF!</definedName>
    <definedName name="迷宫类型">#REF!</definedName>
    <definedName name="生效对象">[1]achevements!$AJ$2:$AJ$9</definedName>
    <definedName name="使用对象" localSheetId="8">#REF!</definedName>
    <definedName name="使用对象" localSheetId="7">#REF!</definedName>
    <definedName name="使用对象" localSheetId="6">#REF!</definedName>
    <definedName name="使用对象" localSheetId="5">#REF!</definedName>
    <definedName name="使用对象" localSheetId="4">#REF!</definedName>
    <definedName name="使用对象" localSheetId="14">#REF!</definedName>
    <definedName name="使用对象">#REF!</definedName>
    <definedName name="完成条件">[1]achevements!$AI$2:$AI$21</definedName>
    <definedName name="物品类型" localSheetId="8">#REF!</definedName>
    <definedName name="物品类型" localSheetId="7">#REF!</definedName>
    <definedName name="物品类型" localSheetId="6">#REF!</definedName>
    <definedName name="物品类型" localSheetId="5">#REF!</definedName>
    <definedName name="物品类型" localSheetId="4">#REF!</definedName>
    <definedName name="物品类型" localSheetId="14">#REF!</definedName>
    <definedName name="物品类型">#REF!</definedName>
    <definedName name="物品效果" localSheetId="8">#REF!</definedName>
    <definedName name="物品效果" localSheetId="7">#REF!</definedName>
    <definedName name="物品效果" localSheetId="6">#REF!</definedName>
    <definedName name="物品效果" localSheetId="5">#REF!</definedName>
    <definedName name="物品效果" localSheetId="4">#REF!</definedName>
    <definedName name="物品效果" localSheetId="14">#REF!</definedName>
    <definedName name="物品效果">#REF!</definedName>
    <definedName name="优惠图">[2]pay!$I$23:$I$25</definedName>
    <definedName name="游戏活动类型">[3]activities!$T$2:$T$26</definedName>
    <definedName name="驭兽效果" localSheetId="8">#REF!</definedName>
    <definedName name="驭兽效果" localSheetId="7">#REF!</definedName>
    <definedName name="驭兽效果" localSheetId="6">#REF!</definedName>
    <definedName name="驭兽效果" localSheetId="5">#REF!</definedName>
    <definedName name="驭兽效果" localSheetId="4">#REF!</definedName>
    <definedName name="驭兽效果" localSheetId="14">#REF!</definedName>
    <definedName name="驭兽效果">#REF!</definedName>
    <definedName name="装备特性">[1]item!$X$2:$X$6</definedName>
  </definedNames>
  <calcPr calcId="152511"/>
</workbook>
</file>

<file path=xl/calcChain.xml><?xml version="1.0" encoding="utf-8"?>
<calcChain xmlns="http://schemas.openxmlformats.org/spreadsheetml/2006/main">
  <c r="G1" i="13" l="1"/>
  <c r="H1" i="13"/>
  <c r="I1" i="13"/>
  <c r="G2" i="13"/>
  <c r="H2" i="13"/>
  <c r="I2" i="13"/>
  <c r="F1" i="13"/>
  <c r="F2" i="13"/>
  <c r="J2" i="13"/>
  <c r="M22" i="4"/>
  <c r="M23" i="4" s="1"/>
  <c r="B8" i="32"/>
  <c r="D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  <c r="L9" i="4" l="1"/>
  <c r="M9" i="4"/>
  <c r="M10" i="4" s="1"/>
  <c r="M11" i="4" s="1"/>
  <c r="M12" i="4" s="1"/>
  <c r="M13" i="4" s="1"/>
  <c r="L10" i="4"/>
  <c r="L15" i="4"/>
  <c r="M15" i="4"/>
  <c r="M16" i="4"/>
  <c r="M17" i="4" s="1"/>
  <c r="M18" i="4" s="1"/>
  <c r="M19" i="4" s="1"/>
  <c r="M20" i="4" s="1"/>
  <c r="L11" i="4" l="1"/>
  <c r="L16" i="4"/>
  <c r="C3" i="32"/>
  <c r="C4" i="32"/>
  <c r="C5" i="32"/>
  <c r="C6" i="32"/>
  <c r="C7" i="32"/>
  <c r="C2" i="32"/>
  <c r="N20" i="4"/>
  <c r="N21" i="4" s="1"/>
  <c r="N22" i="4" s="1"/>
  <c r="N23" i="4" s="1"/>
  <c r="N24" i="4" s="1"/>
  <c r="N25" i="4" s="1"/>
  <c r="N26" i="4" s="1"/>
  <c r="N27" i="4" s="1"/>
  <c r="N28" i="4" s="1"/>
  <c r="M24" i="4"/>
  <c r="M25" i="4" s="1"/>
  <c r="M26" i="4" s="1"/>
  <c r="M27" i="4" s="1"/>
  <c r="M28" i="4" s="1"/>
  <c r="N10" i="4"/>
  <c r="L17" i="4" l="1"/>
  <c r="L12" i="4"/>
  <c r="N11" i="4"/>
  <c r="F8" i="4"/>
  <c r="F2" i="4"/>
  <c r="F20" i="4"/>
  <c r="F26" i="4"/>
  <c r="F14" i="4"/>
  <c r="F10" i="4"/>
  <c r="F22" i="4"/>
  <c r="F4" i="4"/>
  <c r="F28" i="4"/>
  <c r="F16" i="4"/>
  <c r="F7" i="4"/>
  <c r="F31" i="4"/>
  <c r="F13" i="4"/>
  <c r="F25" i="4"/>
  <c r="F19" i="4"/>
  <c r="F30" i="4"/>
  <c r="F24" i="4"/>
  <c r="F6" i="4"/>
  <c r="F18" i="4"/>
  <c r="F12" i="4"/>
  <c r="F29" i="4"/>
  <c r="F5" i="4"/>
  <c r="F17" i="4"/>
  <c r="F11" i="4"/>
  <c r="F23" i="4"/>
  <c r="F3" i="4"/>
  <c r="F9" i="4"/>
  <c r="F27" i="4"/>
  <c r="F15" i="4"/>
  <c r="F21" i="4"/>
  <c r="L4" i="13"/>
  <c r="L5" i="13"/>
  <c r="L6" i="13"/>
  <c r="L7" i="13"/>
  <c r="B3" i="13"/>
  <c r="L18" i="4" l="1"/>
  <c r="N12" i="4"/>
  <c r="L13" i="4"/>
  <c r="H2" i="25"/>
  <c r="J2" i="25" s="1"/>
  <c r="H2" i="30"/>
  <c r="J2" i="30" s="1"/>
  <c r="H2" i="27"/>
  <c r="J2" i="27" s="1"/>
  <c r="H2" i="28"/>
  <c r="J2" i="28" s="1"/>
  <c r="H2" i="29"/>
  <c r="J2" i="29" s="1"/>
  <c r="L7" i="30"/>
  <c r="L6" i="30"/>
  <c r="L5" i="30"/>
  <c r="L4" i="30"/>
  <c r="L3" i="30"/>
  <c r="L7" i="29"/>
  <c r="L6" i="29"/>
  <c r="L5" i="29"/>
  <c r="L4" i="29"/>
  <c r="L3" i="29"/>
  <c r="L7" i="28"/>
  <c r="L6" i="28"/>
  <c r="L5" i="28"/>
  <c r="L4" i="28"/>
  <c r="L3" i="28"/>
  <c r="L7" i="27"/>
  <c r="L6" i="27"/>
  <c r="L5" i="27"/>
  <c r="L4" i="27"/>
  <c r="L3" i="27"/>
  <c r="L7" i="25"/>
  <c r="L6" i="25"/>
  <c r="L5" i="25"/>
  <c r="L4" i="25"/>
  <c r="L3" i="25"/>
  <c r="H4" i="16"/>
  <c r="G4" i="16"/>
  <c r="F4" i="16"/>
  <c r="E4" i="16"/>
  <c r="D4" i="16"/>
  <c r="C4" i="16"/>
  <c r="B4" i="16"/>
  <c r="H4" i="14"/>
  <c r="C4" i="14"/>
  <c r="D4" i="14"/>
  <c r="E4" i="14"/>
  <c r="F4" i="14"/>
  <c r="G4" i="14"/>
  <c r="B4" i="14"/>
  <c r="B35" i="12"/>
  <c r="C35" i="12"/>
  <c r="D35" i="12"/>
  <c r="E35" i="12"/>
  <c r="N13" i="4" l="1"/>
  <c r="L19" i="4"/>
  <c r="H4" i="12"/>
  <c r="H3" i="16"/>
  <c r="G52" i="12"/>
  <c r="F52" i="12"/>
  <c r="E52" i="12"/>
  <c r="D52" i="12"/>
  <c r="C52" i="12"/>
  <c r="B52" i="12"/>
  <c r="H3" i="15"/>
  <c r="H3" i="14"/>
  <c r="G35" i="12"/>
  <c r="F35" i="12"/>
  <c r="G17" i="12"/>
  <c r="F17" i="12"/>
  <c r="L3" i="13"/>
  <c r="L20" i="4" l="1"/>
  <c r="N14" i="4"/>
  <c r="C3" i="13"/>
  <c r="E4" i="15"/>
  <c r="H4" i="15"/>
  <c r="D4" i="15"/>
  <c r="G4" i="15"/>
  <c r="C4" i="15"/>
  <c r="F4" i="15"/>
  <c r="B4" i="15"/>
  <c r="C7" i="13"/>
  <c r="C6" i="13"/>
  <c r="C5" i="13"/>
  <c r="C4" i="13"/>
  <c r="B4" i="13" l="1"/>
  <c r="N15" i="4"/>
  <c r="L21" i="4"/>
  <c r="E17" i="12"/>
  <c r="D17" i="12"/>
  <c r="C17" i="12"/>
  <c r="B17" i="12"/>
  <c r="B5" i="13" l="1"/>
  <c r="D5" i="13" s="1"/>
  <c r="D4" i="13"/>
  <c r="L22" i="4"/>
  <c r="N16" i="4"/>
  <c r="B6" i="13"/>
  <c r="D6" i="13" s="1"/>
  <c r="C16" i="10"/>
  <c r="D16" i="10"/>
  <c r="E16" i="10"/>
  <c r="B16" i="10"/>
  <c r="N17" i="4" l="1"/>
  <c r="L23" i="4"/>
  <c r="B7" i="13"/>
  <c r="G5" i="11" l="1"/>
  <c r="D7" i="13"/>
  <c r="L24" i="4"/>
  <c r="N18" i="4"/>
  <c r="E4" i="10"/>
  <c r="D5" i="10"/>
  <c r="E5" i="10"/>
  <c r="B7" i="10"/>
  <c r="E7" i="10"/>
  <c r="D8" i="10"/>
  <c r="E8" i="10"/>
  <c r="C9" i="10"/>
  <c r="D9" i="10"/>
  <c r="B10" i="10"/>
  <c r="C10" i="10"/>
  <c r="E12" i="10"/>
  <c r="C13" i="10"/>
  <c r="D13" i="10"/>
  <c r="B14" i="10"/>
  <c r="B15" i="10"/>
  <c r="E15" i="10"/>
  <c r="C16" i="9"/>
  <c r="E6" i="10" s="1"/>
  <c r="D16" i="9"/>
  <c r="B4" i="10" s="1"/>
  <c r="E16" i="9"/>
  <c r="B12" i="10" s="1"/>
  <c r="B16" i="9"/>
  <c r="C7" i="10" s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B6" i="10" l="1"/>
  <c r="E3" i="10"/>
  <c r="D15" i="10"/>
  <c r="E14" i="10"/>
  <c r="B13" i="10"/>
  <c r="D12" i="10"/>
  <c r="E11" i="10"/>
  <c r="B9" i="10"/>
  <c r="C8" i="10"/>
  <c r="D7" i="10"/>
  <c r="B5" i="10"/>
  <c r="D4" i="10"/>
  <c r="C14" i="10"/>
  <c r="B11" i="10"/>
  <c r="C6" i="10"/>
  <c r="B3" i="10"/>
  <c r="C3" i="10"/>
  <c r="C15" i="10"/>
  <c r="D14" i="10"/>
  <c r="E13" i="10"/>
  <c r="C12" i="10"/>
  <c r="D11" i="10"/>
  <c r="E10" i="10"/>
  <c r="E9" i="10"/>
  <c r="B8" i="10"/>
  <c r="C11" i="10"/>
  <c r="C5" i="10"/>
  <c r="D10" i="10"/>
  <c r="D6" i="10"/>
  <c r="D3" i="10"/>
  <c r="C4" i="10"/>
  <c r="L25" i="4"/>
  <c r="F39" i="12"/>
  <c r="G39" i="12" s="1"/>
  <c r="F29" i="12"/>
  <c r="G29" i="12" s="1"/>
  <c r="F41" i="12"/>
  <c r="G41" i="12" s="1"/>
  <c r="F46" i="12"/>
  <c r="G46" i="12" s="1"/>
  <c r="F8" i="12"/>
  <c r="G8" i="12" s="1"/>
  <c r="F49" i="12"/>
  <c r="G49" i="12" s="1"/>
  <c r="F34" i="12"/>
  <c r="G34" i="12" s="1"/>
  <c r="F11" i="12"/>
  <c r="G11" i="12" s="1"/>
  <c r="F22" i="12"/>
  <c r="G22" i="12" s="1"/>
  <c r="F32" i="12"/>
  <c r="G32" i="12" s="1"/>
  <c r="F43" i="12"/>
  <c r="G43" i="12" s="1"/>
  <c r="F7" i="12"/>
  <c r="G7" i="12" s="1"/>
  <c r="F31" i="12"/>
  <c r="G31" i="12" s="1"/>
  <c r="F6" i="12"/>
  <c r="G6" i="12" s="1"/>
  <c r="F27" i="12"/>
  <c r="G27" i="12" s="1"/>
  <c r="F15" i="12"/>
  <c r="G15" i="12" s="1"/>
  <c r="F50" i="12"/>
  <c r="G50" i="12" s="1"/>
  <c r="F26" i="12"/>
  <c r="G26" i="12" s="1"/>
  <c r="F10" i="12"/>
  <c r="G10" i="12" s="1"/>
  <c r="F23" i="12"/>
  <c r="G23" i="12" s="1"/>
  <c r="F24" i="12"/>
  <c r="G24" i="12" s="1"/>
  <c r="F13" i="12"/>
  <c r="G13" i="12" s="1"/>
  <c r="F9" i="12"/>
  <c r="G9" i="12" s="1"/>
  <c r="F4" i="12"/>
  <c r="G4" i="12" s="1"/>
  <c r="F5" i="12"/>
  <c r="G5" i="12" s="1"/>
  <c r="F44" i="12"/>
  <c r="G44" i="12" s="1"/>
  <c r="F14" i="12"/>
  <c r="G14" i="12" s="1"/>
  <c r="F25" i="12"/>
  <c r="G25" i="12" s="1"/>
  <c r="F30" i="12"/>
  <c r="G30" i="12" s="1"/>
  <c r="F28" i="12"/>
  <c r="G28" i="12" s="1"/>
  <c r="F51" i="12"/>
  <c r="G51" i="12" s="1"/>
  <c r="F33" i="12"/>
  <c r="G33" i="12" s="1"/>
  <c r="F45" i="12"/>
  <c r="G45" i="12" s="1"/>
  <c r="F16" i="12"/>
  <c r="G16" i="12" s="1"/>
  <c r="F12" i="12"/>
  <c r="G12" i="12" s="1"/>
  <c r="F40" i="12"/>
  <c r="G40" i="12" s="1"/>
  <c r="F47" i="12"/>
  <c r="G47" i="12" s="1"/>
  <c r="F48" i="12"/>
  <c r="G48" i="12" s="1"/>
  <c r="F42" i="12"/>
  <c r="G42" i="12" s="1"/>
  <c r="I4" i="13"/>
  <c r="G4" i="13"/>
  <c r="H4" i="13"/>
  <c r="J4" i="13"/>
  <c r="C2" i="4"/>
  <c r="C25" i="4"/>
  <c r="C13" i="4"/>
  <c r="C31" i="4"/>
  <c r="C30" i="4"/>
  <c r="C26" i="4"/>
  <c r="C22" i="4"/>
  <c r="C18" i="4"/>
  <c r="C14" i="4"/>
  <c r="C10" i="4"/>
  <c r="C6" i="4"/>
  <c r="C29" i="4"/>
  <c r="C17" i="4"/>
  <c r="C5" i="4"/>
  <c r="C28" i="4"/>
  <c r="C24" i="4"/>
  <c r="C20" i="4"/>
  <c r="C16" i="4"/>
  <c r="C12" i="4"/>
  <c r="C8" i="4"/>
  <c r="C4" i="4"/>
  <c r="C21" i="4"/>
  <c r="C9" i="4"/>
  <c r="C27" i="4"/>
  <c r="C23" i="4"/>
  <c r="C19" i="4"/>
  <c r="C15" i="4"/>
  <c r="C11" i="4"/>
  <c r="C7" i="4"/>
  <c r="C3" i="4"/>
  <c r="O2" i="4"/>
  <c r="E39" i="12"/>
  <c r="B42" i="12"/>
  <c r="E33" i="12"/>
  <c r="D7" i="12"/>
  <c r="B6" i="12"/>
  <c r="C46" i="12"/>
  <c r="C49" i="12"/>
  <c r="B4" i="12"/>
  <c r="E47" i="12"/>
  <c r="D26" i="12"/>
  <c r="C34" i="12"/>
  <c r="D16" i="12"/>
  <c r="E46" i="12"/>
  <c r="C45" i="12"/>
  <c r="E31" i="12"/>
  <c r="B9" i="12"/>
  <c r="B25" i="12"/>
  <c r="D29" i="12"/>
  <c r="B43" i="12"/>
  <c r="B12" i="12"/>
  <c r="B49" i="12"/>
  <c r="B11" i="12"/>
  <c r="D41" i="12"/>
  <c r="E34" i="12"/>
  <c r="D14" i="12"/>
  <c r="D13" i="12"/>
  <c r="C25" i="12"/>
  <c r="C5" i="12"/>
  <c r="C13" i="12"/>
  <c r="E9" i="12"/>
  <c r="D24" i="12"/>
  <c r="C4" i="12"/>
  <c r="C22" i="12"/>
  <c r="B8" i="12"/>
  <c r="B16" i="12"/>
  <c r="E42" i="12"/>
  <c r="C40" i="12"/>
  <c r="C47" i="12"/>
  <c r="C42" i="12"/>
  <c r="D47" i="12"/>
  <c r="C12" i="12"/>
  <c r="D9" i="12"/>
  <c r="E12" i="12"/>
  <c r="B24" i="12"/>
  <c r="E45" i="12"/>
  <c r="C16" i="12"/>
  <c r="C10" i="12"/>
  <c r="D39" i="12"/>
  <c r="C44" i="12"/>
  <c r="B30" i="12"/>
  <c r="C41" i="12"/>
  <c r="D46" i="12"/>
  <c r="D6" i="12"/>
  <c r="B22" i="12"/>
  <c r="D22" i="12"/>
  <c r="D32" i="12"/>
  <c r="C30" i="12"/>
  <c r="E25" i="12"/>
  <c r="D43" i="12"/>
  <c r="B23" i="12"/>
  <c r="C8" i="12"/>
  <c r="C48" i="12"/>
  <c r="D48" i="12"/>
  <c r="C24" i="12"/>
  <c r="B14" i="12"/>
  <c r="E28" i="12"/>
  <c r="B28" i="12"/>
  <c r="B34" i="12"/>
  <c r="C32" i="12"/>
  <c r="C43" i="12"/>
  <c r="E29" i="12"/>
  <c r="C7" i="12"/>
  <c r="B51" i="12"/>
  <c r="E24" i="12"/>
  <c r="E11" i="12"/>
  <c r="B5" i="12"/>
  <c r="C33" i="12"/>
  <c r="E14" i="12"/>
  <c r="D10" i="12"/>
  <c r="D8" i="12"/>
  <c r="E32" i="12"/>
  <c r="B41" i="12"/>
  <c r="B48" i="12"/>
  <c r="E23" i="12"/>
  <c r="D5" i="12"/>
  <c r="D51" i="12"/>
  <c r="E13" i="12"/>
  <c r="D4" i="12"/>
  <c r="D30" i="12"/>
  <c r="E44" i="12"/>
  <c r="D12" i="12"/>
  <c r="D44" i="12"/>
  <c r="E51" i="12"/>
  <c r="E48" i="12"/>
  <c r="E8" i="12"/>
  <c r="E43" i="12"/>
  <c r="D40" i="12"/>
  <c r="C11" i="12"/>
  <c r="D31" i="12"/>
  <c r="E26" i="12"/>
  <c r="D50" i="12"/>
  <c r="B50" i="12"/>
  <c r="B15" i="12"/>
  <c r="C26" i="12"/>
  <c r="E6" i="12"/>
  <c r="B45" i="12"/>
  <c r="B31" i="12"/>
  <c r="B26" i="12"/>
  <c r="B40" i="12"/>
  <c r="B39" i="12"/>
  <c r="D23" i="12"/>
  <c r="C9" i="12"/>
  <c r="C28" i="12"/>
  <c r="D33" i="12"/>
  <c r="C31" i="12"/>
  <c r="E5" i="12"/>
  <c r="E50" i="12"/>
  <c r="C27" i="12"/>
  <c r="D11" i="12"/>
  <c r="D27" i="12"/>
  <c r="C23" i="12"/>
  <c r="E30" i="12"/>
  <c r="B47" i="12"/>
  <c r="C14" i="12"/>
  <c r="D34" i="12"/>
  <c r="B7" i="12"/>
  <c r="D45" i="12"/>
  <c r="D49" i="12"/>
  <c r="D28" i="12"/>
  <c r="E7" i="12"/>
  <c r="D42" i="12"/>
  <c r="E22" i="12"/>
  <c r="E49" i="12"/>
  <c r="C39" i="12"/>
  <c r="B27" i="12"/>
  <c r="D15" i="12"/>
  <c r="C6" i="12"/>
  <c r="B33" i="12"/>
  <c r="C51" i="12"/>
  <c r="E10" i="12"/>
  <c r="B29" i="12"/>
  <c r="B46" i="12"/>
  <c r="C50" i="12"/>
  <c r="E41" i="12"/>
  <c r="B32" i="12"/>
  <c r="B10" i="12"/>
  <c r="E15" i="12"/>
  <c r="C29" i="12"/>
  <c r="E16" i="12"/>
  <c r="E4" i="12"/>
  <c r="B44" i="12"/>
  <c r="E40" i="12"/>
  <c r="B13" i="12"/>
  <c r="C15" i="12"/>
  <c r="E27" i="12"/>
  <c r="D25" i="12"/>
  <c r="L26" i="4" l="1"/>
  <c r="M4" i="13"/>
  <c r="M5" i="13"/>
  <c r="M6" i="13"/>
  <c r="M7" i="13"/>
  <c r="M3" i="13"/>
  <c r="G3" i="11"/>
  <c r="F5" i="11"/>
  <c r="F6" i="11" s="1"/>
  <c r="G4" i="11"/>
  <c r="L27" i="4" l="1"/>
  <c r="I2" i="30"/>
  <c r="G2" i="30"/>
  <c r="B3" i="30" s="1"/>
  <c r="F4" i="11"/>
  <c r="F3" i="11"/>
  <c r="E5" i="11"/>
  <c r="L28" i="4" l="1"/>
  <c r="D5" i="11"/>
  <c r="E3" i="11"/>
  <c r="E4" i="11"/>
  <c r="E6" i="11"/>
  <c r="C4" i="30"/>
  <c r="C5" i="30"/>
  <c r="C7" i="30"/>
  <c r="C3" i="30"/>
  <c r="C6" i="30"/>
  <c r="O13" i="4"/>
  <c r="O9" i="4"/>
  <c r="O6" i="4"/>
  <c r="O3" i="4"/>
  <c r="O12" i="4"/>
  <c r="I2" i="29" l="1"/>
  <c r="G2" i="29"/>
  <c r="B3" i="29" s="1"/>
  <c r="B4" i="30"/>
  <c r="D3" i="11"/>
  <c r="C5" i="11"/>
  <c r="D4" i="11"/>
  <c r="D6" i="11"/>
  <c r="B5" i="30" l="1"/>
  <c r="D4" i="30"/>
  <c r="G2" i="28"/>
  <c r="B3" i="28" s="1"/>
  <c r="I2" i="28"/>
  <c r="B5" i="11"/>
  <c r="C3" i="11"/>
  <c r="C4" i="11"/>
  <c r="C6" i="11"/>
  <c r="C5" i="29"/>
  <c r="C3" i="29"/>
  <c r="C6" i="29"/>
  <c r="C4" i="29"/>
  <c r="C7" i="29"/>
  <c r="O26" i="4"/>
  <c r="O20" i="4"/>
  <c r="O16" i="4"/>
  <c r="O25" i="4"/>
  <c r="O19" i="4"/>
  <c r="O15" i="4"/>
  <c r="O14" i="4"/>
  <c r="O21" i="4"/>
  <c r="O29" i="4"/>
  <c r="O22" i="4"/>
  <c r="O31" i="4"/>
  <c r="O7" i="4"/>
  <c r="O10" i="4"/>
  <c r="O4" i="4"/>
  <c r="O17" i="4"/>
  <c r="O23" i="4"/>
  <c r="O30" i="4"/>
  <c r="O27" i="4"/>
  <c r="O28" i="4"/>
  <c r="O24" i="4"/>
  <c r="O18" i="4"/>
  <c r="B6" i="30" l="1"/>
  <c r="D5" i="30"/>
  <c r="G2" i="27"/>
  <c r="B3" i="27" s="1"/>
  <c r="I2" i="27"/>
  <c r="C5" i="28"/>
  <c r="C7" i="28"/>
  <c r="C6" i="28"/>
  <c r="C3" i="28"/>
  <c r="B4" i="28" s="1"/>
  <c r="D4" i="28" s="1"/>
  <c r="C4" i="28"/>
  <c r="B4" i="29"/>
  <c r="B4" i="11"/>
  <c r="B3" i="11"/>
  <c r="B6" i="11"/>
  <c r="O8" i="4"/>
  <c r="O11" i="4"/>
  <c r="O5" i="4"/>
  <c r="B5" i="29" l="1"/>
  <c r="D4" i="29"/>
  <c r="B7" i="30"/>
  <c r="D7" i="30" s="1"/>
  <c r="D6" i="30"/>
  <c r="B5" i="28"/>
  <c r="I2" i="25"/>
  <c r="G2" i="25"/>
  <c r="B3" i="25" s="1"/>
  <c r="C3" i="27"/>
  <c r="B4" i="27" s="1"/>
  <c r="D4" i="27" s="1"/>
  <c r="C6" i="27"/>
  <c r="C7" i="27"/>
  <c r="C4" i="27"/>
  <c r="C5" i="27"/>
  <c r="B6" i="28" l="1"/>
  <c r="D5" i="28"/>
  <c r="B6" i="29"/>
  <c r="D5" i="29"/>
  <c r="B5" i="27"/>
  <c r="C6" i="25"/>
  <c r="C7" i="25"/>
  <c r="C4" i="25"/>
  <c r="C5" i="25"/>
  <c r="C3" i="25"/>
  <c r="B4" i="25" s="1"/>
  <c r="D4" i="25" s="1"/>
  <c r="B7" i="29" l="1"/>
  <c r="D7" i="29" s="1"/>
  <c r="D6" i="29"/>
  <c r="B6" i="27"/>
  <c r="D5" i="27"/>
  <c r="B7" i="28"/>
  <c r="D7" i="28" s="1"/>
  <c r="D6" i="28"/>
  <c r="B5" i="25"/>
  <c r="B6" i="25" l="1"/>
  <c r="D5" i="25"/>
  <c r="B7" i="27"/>
  <c r="D7" i="27" s="1"/>
  <c r="D6" i="27"/>
  <c r="I4" i="28"/>
  <c r="G4" i="28"/>
  <c r="J4" i="28"/>
  <c r="H4" i="28"/>
  <c r="B7" i="25" l="1"/>
  <c r="D7" i="25" s="1"/>
  <c r="D6" i="25"/>
  <c r="M6" i="28"/>
  <c r="M4" i="28"/>
  <c r="M5" i="28"/>
  <c r="M3" i="28"/>
  <c r="M7" i="28"/>
  <c r="G4" i="30"/>
  <c r="H4" i="30"/>
  <c r="J4" i="30"/>
  <c r="I4" i="30"/>
  <c r="M7" i="30" l="1"/>
  <c r="M3" i="30"/>
  <c r="M4" i="30"/>
  <c r="M5" i="30"/>
  <c r="M6" i="30"/>
  <c r="J4" i="29"/>
  <c r="I4" i="29"/>
  <c r="H4" i="29"/>
  <c r="G4" i="29"/>
  <c r="M7" i="29" l="1"/>
  <c r="M5" i="29"/>
  <c r="M6" i="29"/>
  <c r="M4" i="29"/>
  <c r="M3" i="29"/>
  <c r="I4" i="25"/>
  <c r="G4" i="25"/>
  <c r="H4" i="25"/>
  <c r="J4" i="25"/>
  <c r="H4" i="27"/>
  <c r="G4" i="27"/>
  <c r="J4" i="27"/>
  <c r="I4" i="27"/>
  <c r="M5" i="27" l="1"/>
  <c r="M3" i="27"/>
  <c r="M7" i="27"/>
  <c r="M4" i="27"/>
  <c r="M6" i="27"/>
  <c r="M4" i="25"/>
  <c r="M5" i="25"/>
  <c r="M6" i="25"/>
  <c r="M3" i="25"/>
  <c r="M7" i="25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排列顺序为：生命值，回复值，武力，智力，物防，法防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需要同类卡牌的数量，包括万用卡牌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itemId,num;itemId,num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技能槽数字对应的技能：
0:必杀技技能槽
1:第1个技能槽
2:第2个技能槽
3:第3个技能槽
4:被动技能
5.觉醒技能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 xml:space="preserve">
只需要在领悟技能的阶段填写技能ID，且只填写新技能ID</t>
        </r>
      </text>
    </comment>
    <comment ref="O1" authorId="0" shapeId="0">
      <text>
        <r>
          <rPr>
            <sz val="9"/>
            <rFont val="宋体"/>
            <family val="3"/>
            <charset val="134"/>
          </rPr>
          <t>排列顺序为：生命，回复力，武力，物防，智力，法防</t>
        </r>
      </text>
    </comment>
    <comment ref="C2" authorId="0" shapeId="0">
      <text>
        <r>
          <rPr>
            <sz val="9"/>
            <color indexed="81"/>
            <rFont val="宋体"/>
            <family val="3"/>
            <charset val="134"/>
          </rPr>
          <t>ROUND((VLOOKUP(VALUE(RIGHT(E$1,LEN(E$1)-2)),'6星每级加强属性曲线演算'!$A$2:$C$100,3,FALSE)*VLOOKUP($C2,职业分类属性!$A$3:$I$15,9,FALSE))*INDIRECT(ADDRESS(MATCH($C2,职业分类属性!$A$1:$A$15,0),MATCH("生命值",职业分类属性!$A$2:$G$2,0),1,1,"职业分类属性"))*((星级总属性!$K$3)/(星级总属性!$K$3+星级总属性!$L$3))+(VLOOKUP(VALUE(RIGHT(E$1,LEN(E$1)-2)),'6星每级加强属性曲线演算'!$A$2:$C$100,3,FALSE)*VLOOKUP($C2,职业分类属性!$A$3:$I$15,9,FALSE))*(HLOOKUP(HLOOKUP("生命值",职业属性偏向!$B$3:$G$16,14,FALSE),INDIRECT(TEXT($D$1&amp;$D2&amp;"!$B$2:$G$3","")),2,FALSE)/INDIRECT(TEXT($D$1&amp;$D2&amp;"!$H$3","")))*((星级总属性!$L$3)/(星级总属性!$K$3+星级总属性!$L$3)),0)
公式说明：
主要设计思路
按照职业、等级、属性分配方式，查找相应的属性。每个等级的每一个属性（如生命值）都是由“职业固定分配方式”+“次级分配属性组成”。
1.(VLOOKUP(VALUE(RIGHT(E$1,LEN(E$1)-2)),'6星每级加强属性曲线演算'!$A$2:$C$100,3,FALSE 
根据表头的“等级”查找相应的等级的递增属性。
2.VLOOKUP($C2,职业分类属性!$A$3:$I$15,9,FALSE))
根据职业找到每个职业不同的修正值。
3.INDIRECT(ADDRESS(MATCH($C2,职业分类属性!$A$1:$A$15,0),MATCH("生命值",职业分类属性!$A$2:$G$2,0),1,1,"职业分类属性")
根据职业和"生命值"，两个关键词找到该属职业在当前等级“生命值”的占比。
4.((星级总属性!$K$3)/(星级总属性!$K$3+星级总属性!$L$3))
“职业固定属性”在总加强属性的比例
5.(VLOOKUP(VALUE(RIGHT(E$1,LEN(E$1)-2)),'6星每级加强属性曲线演算'!$A$2:$C$100,3,FALSE 
同1
6.VLOOKUP($C2,职业分类属性!$A$3:$I$15,9,FALSE))
同2
7.HLOOKUP("生命值",职业属性偏向!$B$3:$G$16,14,FALSE)
根据"生命值"等属性名，找到此属性在该职业下，属性优先顺序是多少。
8.(HLOOKUP(HLOOKUP("生命值",职业属性偏向!$B$3:$G$16,14,FALSE),INDIRECT(TEXT($D$1&amp;$D2&amp;"!$B$2:$G$3","")),2,FALSE)
根据上面找到的优先顺序和属性分配的方式，找到该属性在次级属性所占的权重。
9.(HLOOKUP(HLOOKUP("生命值",职业属性偏向!$B$3:$G$16,14,FALSE),INDIRECT(TEXT($D$1&amp;$D2&amp;"!$B$2:$G$3","")),2,FALSE)/INDIRECT(TEXT($D$1&amp;$D2&amp;"!$H$3","")))
根据上面找到的优先顺序和属性分配的方式，找到该属性在次级菜单所占的权重，权重除以总权重，得到该属性次级属性所占百分比。
10.((星级总属性!$L$3)/(星级总属性!$K$3+星级总属性!$L$3))
“次级固定属性”在总加强属性的比例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OUND((VLOOKUP(VALUE(RIGHT(E$1,LEN(E$1)-2)),'6星每级加强属性曲线演算'!$A$2:$C$100,3,FALSE)*VLOOKUP($C2,职业分类属性!$A$3:$I$15,9,FALSE))*INDIRECT(ADDRESS(MATCH($C2,职业分类属性!$A$1:$A$15,0),MATCH("生命值",职业分类属性!$A$2:$G$2,0),1,1,"职业分类属性"))*((星级总属性!$K$3)/(星级总属性!$K$3+星级总属性!$L$3))+(VLOOKUP(VALUE(RIGHT(E$1,LEN(E$1)-2)),'6星每级加强属性曲线演算'!$A$2:$C$100,3,FALSE)*VLOOKUP($C2,职业分类属性!$A$3:$I$15,9,FALSE))*(HLOOKUP(HLOOKUP("生命值",职业属性偏向!$B$3:$G$16,14,FALSE),INDIRECT(TEXT($D$1&amp;$D2&amp;"!$B$2:$G$3","")),2,FALSE)/INDIRECT(TEXT($D$1&amp;$D2&amp;"!$H$3","")))*((星级总属性!$L$3)/(星级总属性!$K$3+星级总属性!$L$3)),0)
公式说明：
主要设计思路
按照职业、等级、属性分配方式，查找相应的属性。每个等级的每一个属性（如生命值）都是由“职业固定分配方式”+“次级分配属性组成”。
1.(VLOOKUP(VALUE(RIGHT(E$1,LEN(E$1)-2)),'6星每级加强属性曲线演算'!$A$2:$C$100,3,FALSE 
根据表头的“等级”查找相应的等级的递增属性。
2.VLOOKUP($C2,职业分类属性!$A$3:$I$15,9,FALSE))
根据职业找到每个职业不同的修正值。
3.INDIRECT(ADDRESS(MATCH($C2,职业分类属性!$A$1:$A$15,0),MATCH("生命值",职业分类属性!$A$2:$G$2,0),1,1,"职业分类属性")
根据职业和"生命值"，两个关键词找到该属职业在当前等级“生命值”的占比。
4.((星级总属性!$K$3)/(星级总属性!$K$3+星级总属性!$L$3))
“职业固定属性”在总加强属性的比例
5.(VLOOKUP(VALUE(RIGHT(E$1,LEN(E$1)-2)),'6星每级加强属性曲线演算'!$A$2:$C$100,3,FALSE 
同1
6.VLOOKUP($C2,职业分类属性!$A$3:$I$15,9,FALSE))
同2
7.HLOOKUP("生命值",职业属性偏向!$B$3:$G$16,14,FALSE)
根据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职业修正：
1.如果该职业是依赖属性，而不依赖技能：则修正值&gt;100%；数值越大，加成越高，表示该职业对数值依赖越严重。
2.相反，如果该职业是依赖技能，而不依赖数值：则修正值&lt;100%；数值越大，削减越高，表示该职业对技能依赖越严重。</t>
        </r>
      </text>
    </comment>
  </commentList>
</comments>
</file>

<file path=xl/sharedStrings.xml><?xml version="1.0" encoding="utf-8"?>
<sst xmlns="http://schemas.openxmlformats.org/spreadsheetml/2006/main" count="303" uniqueCount="110">
  <si>
    <t>等级2</t>
  </si>
  <si>
    <t>战士</t>
  </si>
  <si>
    <t>狂战</t>
  </si>
  <si>
    <t>弓手</t>
  </si>
  <si>
    <t>盗贼</t>
  </si>
  <si>
    <t>法师</t>
  </si>
  <si>
    <t>咒师</t>
  </si>
  <si>
    <t>术士</t>
  </si>
  <si>
    <t>骑士</t>
  </si>
  <si>
    <t>牧师</t>
  </si>
  <si>
    <t>巫师</t>
  </si>
  <si>
    <t>圣骑</t>
    <phoneticPr fontId="6" type="noConversion"/>
  </si>
  <si>
    <t>物坦</t>
    <phoneticPr fontId="6" type="noConversion"/>
  </si>
  <si>
    <t>生命值</t>
    <phoneticPr fontId="5" type="noConversion"/>
  </si>
  <si>
    <t>回复力</t>
    <phoneticPr fontId="5" type="noConversion"/>
  </si>
  <si>
    <t>武力</t>
    <phoneticPr fontId="5" type="noConversion"/>
  </si>
  <si>
    <t>物防</t>
    <phoneticPr fontId="5" type="noConversion"/>
  </si>
  <si>
    <t>法防</t>
    <phoneticPr fontId="5" type="noConversion"/>
  </si>
  <si>
    <t>职业基础评分</t>
    <phoneticPr fontId="5" type="noConversion"/>
  </si>
  <si>
    <t>总值</t>
    <phoneticPr fontId="5" type="noConversion"/>
  </si>
  <si>
    <t>职业属性偏向&amp;修正</t>
    <phoneticPr fontId="5" type="noConversion"/>
  </si>
  <si>
    <t>职业属性修正</t>
    <phoneticPr fontId="5" type="noConversion"/>
  </si>
  <si>
    <t>属性排序</t>
    <phoneticPr fontId="6" type="noConversion"/>
  </si>
  <si>
    <t>星级</t>
    <phoneticPr fontId="6" type="noConversion"/>
  </si>
  <si>
    <t>总属性</t>
    <phoneticPr fontId="12" type="noConversion"/>
  </si>
  <si>
    <t>基础属性</t>
    <phoneticPr fontId="12" type="noConversion"/>
  </si>
  <si>
    <t>属性比例</t>
    <phoneticPr fontId="12" type="noConversion"/>
  </si>
  <si>
    <t>属性分配</t>
    <phoneticPr fontId="5" type="noConversion"/>
  </si>
  <si>
    <t>占比</t>
    <phoneticPr fontId="6" type="noConversion"/>
  </si>
  <si>
    <t>递增比例</t>
    <phoneticPr fontId="12" type="noConversion"/>
  </si>
  <si>
    <t>等级</t>
    <phoneticPr fontId="12" type="noConversion"/>
  </si>
  <si>
    <t>递增量</t>
    <phoneticPr fontId="12" type="noConversion"/>
  </si>
  <si>
    <t>初始数值</t>
    <phoneticPr fontId="12" type="noConversion"/>
  </si>
  <si>
    <t>2阶方程系数     y=a0+a1x+a2x2</t>
  </si>
  <si>
    <t>a1=｛INDEX(LINEST(y变量单元格区域, x变量单元格区域^{1,2},TRUE,TRUE),1,2)｝</t>
  </si>
  <si>
    <t>a2=｛INDEX(LINEST(y变量单元格区域, x变量单元格区域^{1,2},TRUE,TRUE),1,1)｝</t>
  </si>
  <si>
    <t>a0=｛INDEX(LINEST(y变量单元格区域, x变量单元格区域^{1,2},TRUE,TRUE),1,3)｝</t>
    <phoneticPr fontId="12" type="noConversion"/>
  </si>
  <si>
    <t>等级</t>
    <phoneticPr fontId="12" type="noConversion"/>
  </si>
  <si>
    <t>常量</t>
    <phoneticPr fontId="12" type="noConversion"/>
  </si>
  <si>
    <t>每级增加属性</t>
    <phoneticPr fontId="12" type="noConversion"/>
  </si>
  <si>
    <t>查询等级</t>
    <phoneticPr fontId="5" type="noConversion"/>
  </si>
  <si>
    <t>总值</t>
    <phoneticPr fontId="6" type="noConversion"/>
  </si>
  <si>
    <t>原总属性</t>
    <phoneticPr fontId="5" type="noConversion"/>
  </si>
  <si>
    <t>修正后总属性</t>
    <phoneticPr fontId="5" type="noConversion"/>
  </si>
  <si>
    <t>递增间隔</t>
    <phoneticPr fontId="5" type="noConversion"/>
  </si>
  <si>
    <t>步进幅度</t>
    <phoneticPr fontId="5" type="noConversion"/>
  </si>
  <si>
    <t>修正初始间隔</t>
    <phoneticPr fontId="5" type="noConversion"/>
  </si>
  <si>
    <t>三阶系数</t>
    <phoneticPr fontId="5" type="noConversion"/>
  </si>
  <si>
    <t>二阶系数</t>
    <phoneticPr fontId="5" type="noConversion"/>
  </si>
  <si>
    <t>一阶系数</t>
    <phoneticPr fontId="5" type="noConversion"/>
  </si>
  <si>
    <t>属性分配2</t>
    <phoneticPr fontId="5" type="noConversion"/>
  </si>
  <si>
    <t>属性分配方式1</t>
  </si>
  <si>
    <t>属性分配方式2</t>
    <phoneticPr fontId="5" type="noConversion"/>
  </si>
  <si>
    <t>属性分配方式3</t>
    <phoneticPr fontId="5" type="noConversion"/>
  </si>
  <si>
    <t>占百分比</t>
    <phoneticPr fontId="6" type="noConversion"/>
  </si>
  <si>
    <t>次级分配属性</t>
  </si>
  <si>
    <t>次级分配属性</t>
    <phoneticPr fontId="12" type="noConversion"/>
  </si>
  <si>
    <t>基准差</t>
    <phoneticPr fontId="12" type="noConversion"/>
  </si>
  <si>
    <t>星级</t>
    <phoneticPr fontId="12" type="noConversion"/>
  </si>
  <si>
    <t>星级</t>
    <phoneticPr fontId="3" type="noConversion"/>
  </si>
  <si>
    <t>属性分配方式</t>
    <phoneticPr fontId="3" type="noConversion"/>
  </si>
  <si>
    <t>职业</t>
    <phoneticPr fontId="3" type="noConversion"/>
  </si>
  <si>
    <t>战士</t>
    <phoneticPr fontId="3" type="noConversion"/>
  </si>
  <si>
    <t>消耗品</t>
  </si>
  <si>
    <t>属性提升</t>
  </si>
  <si>
    <t>阶数</t>
    <phoneticPr fontId="1" type="noConversion"/>
  </si>
  <si>
    <t>角色ID</t>
    <phoneticPr fontId="1" type="noConversion"/>
  </si>
  <si>
    <t>智力</t>
    <phoneticPr fontId="12" type="noConversion"/>
  </si>
  <si>
    <t>法师</t>
    <phoneticPr fontId="3" type="noConversion"/>
  </si>
  <si>
    <t>要求资源</t>
    <phoneticPr fontId="5" type="noConversion"/>
  </si>
  <si>
    <t>资源1</t>
    <phoneticPr fontId="5" type="noConversion"/>
  </si>
  <si>
    <t>数量1</t>
    <phoneticPr fontId="5" type="noConversion"/>
  </si>
  <si>
    <t>资源2</t>
    <phoneticPr fontId="5" type="noConversion"/>
  </si>
  <si>
    <t>数量2</t>
    <phoneticPr fontId="5" type="noConversion"/>
  </si>
  <si>
    <t>资源3</t>
    <phoneticPr fontId="5" type="noConversion"/>
  </si>
  <si>
    <t>数量3</t>
    <phoneticPr fontId="5" type="noConversion"/>
  </si>
  <si>
    <t>资源4</t>
    <phoneticPr fontId="5" type="noConversion"/>
  </si>
  <si>
    <t>数量4</t>
    <phoneticPr fontId="5" type="noConversion"/>
  </si>
  <si>
    <t>资源5</t>
    <phoneticPr fontId="5" type="noConversion"/>
  </si>
  <si>
    <t>数量5</t>
    <phoneticPr fontId="5" type="noConversion"/>
  </si>
  <si>
    <t>资源6</t>
    <phoneticPr fontId="5" type="noConversion"/>
  </si>
  <si>
    <t>数量6</t>
    <phoneticPr fontId="5" type="noConversion"/>
  </si>
  <si>
    <t>资源7</t>
    <phoneticPr fontId="5" type="noConversion"/>
  </si>
  <si>
    <t>数量7</t>
    <phoneticPr fontId="5" type="noConversion"/>
  </si>
  <si>
    <t>资源8</t>
    <phoneticPr fontId="5" type="noConversion"/>
  </si>
  <si>
    <t>数量8</t>
    <phoneticPr fontId="5" type="noConversion"/>
  </si>
  <si>
    <t>5级基准值</t>
    <phoneticPr fontId="12" type="noConversion"/>
  </si>
  <si>
    <t>圣骑</t>
    <phoneticPr fontId="3" type="noConversion"/>
  </si>
  <si>
    <t>术士</t>
    <phoneticPr fontId="3" type="noConversion"/>
  </si>
  <si>
    <t>觉醒级数</t>
    <phoneticPr fontId="12" type="noConversion"/>
  </si>
  <si>
    <t>总数</t>
    <phoneticPr fontId="6" type="noConversion"/>
  </si>
  <si>
    <t>觉醒需要卡数</t>
  </si>
  <si>
    <t>觉醒需要卡数</t>
    <phoneticPr fontId="3" type="noConversion"/>
  </si>
  <si>
    <t>觉醒加强技能</t>
    <phoneticPr fontId="3" type="noConversion"/>
  </si>
  <si>
    <t>每1级递增量</t>
    <phoneticPr fontId="12" type="noConversion"/>
  </si>
  <si>
    <t>消耗金钱</t>
    <phoneticPr fontId="3" type="noConversion"/>
  </si>
  <si>
    <t>技能槽</t>
    <phoneticPr fontId="1" type="noConversion"/>
  </si>
  <si>
    <t>技能类型</t>
    <phoneticPr fontId="1" type="noConversion"/>
  </si>
  <si>
    <t>连击技能</t>
    <phoneticPr fontId="1" type="noConversion"/>
  </si>
  <si>
    <t>必杀技</t>
    <phoneticPr fontId="1" type="noConversion"/>
  </si>
  <si>
    <t>被动技能</t>
    <phoneticPr fontId="1" type="noConversion"/>
  </si>
  <si>
    <t>觉醒技能</t>
    <phoneticPr fontId="1" type="noConversion"/>
  </si>
  <si>
    <t>必杀技</t>
  </si>
  <si>
    <t>被动技能</t>
  </si>
  <si>
    <t>觉醒技能</t>
  </si>
  <si>
    <t>防御</t>
  </si>
  <si>
    <t>圣骑</t>
  </si>
  <si>
    <t>物坦</t>
  </si>
  <si>
    <t>均衡</t>
  </si>
  <si>
    <t>均衡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</si>
</sst>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54">
    <xf numFmtId="0" fontId="0" fillId="0" borderId="0" xfId="0"/>
    <xf numFmtId="0" fontId="2" fillId="0" borderId="0" xfId="1"/>
    <xf numFmtId="0" fontId="2" fillId="0" borderId="0" xfId="1" applyNumberFormat="1" applyFill="1"/>
    <xf numFmtId="0" fontId="2" fillId="0" borderId="0" xfId="1" applyFont="1"/>
    <xf numFmtId="0" fontId="4" fillId="0" borderId="0" xfId="1" applyFont="1"/>
    <xf numFmtId="0" fontId="9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13" fillId="3" borderId="1" xfId="0" applyFont="1" applyFill="1" applyBorder="1" applyAlignment="1">
      <alignment horizontal="center" vertical="center"/>
    </xf>
    <xf numFmtId="0" fontId="4" fillId="4" borderId="0" xfId="1" applyFont="1" applyFill="1"/>
    <xf numFmtId="0" fontId="2" fillId="0" borderId="0" xfId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1" applyNumberForma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2" fillId="0" borderId="0" xfId="1" applyNumberFormat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left"/>
    </xf>
    <xf numFmtId="0" fontId="9" fillId="2" borderId="4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'6星每级加强属性曲线演算'!$A$3:$A$7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'6星每级加强属性曲线演算'!$B$3:$B$7</c:f>
              <c:numCache>
                <c:formatCode>General</c:formatCode>
                <c:ptCount val="5"/>
                <c:pt idx="0">
                  <c:v>1000</c:v>
                </c:pt>
                <c:pt idx="1">
                  <c:v>1950</c:v>
                </c:pt>
                <c:pt idx="2">
                  <c:v>3850</c:v>
                </c:pt>
                <c:pt idx="3">
                  <c:v>6700</c:v>
                </c:pt>
                <c:pt idx="4">
                  <c:v>10500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85904"/>
        <c:axId val="311784784"/>
      </c:scatterChart>
      <c:valAx>
        <c:axId val="3117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4784"/>
        <c:crosses val="autoZero"/>
        <c:crossBetween val="midCat"/>
      </c:valAx>
      <c:valAx>
        <c:axId val="31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'5星每级加强属性曲线演算'!$A$3:$A$7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'5星每级加强属性曲线演算'!$B$3:$B$7</c:f>
              <c:numCache>
                <c:formatCode>General</c:formatCode>
                <c:ptCount val="5"/>
                <c:pt idx="0">
                  <c:v>771</c:v>
                </c:pt>
                <c:pt idx="1">
                  <c:v>1504</c:v>
                </c:pt>
                <c:pt idx="2">
                  <c:v>2970</c:v>
                </c:pt>
                <c:pt idx="3">
                  <c:v>5169</c:v>
                </c:pt>
                <c:pt idx="4">
                  <c:v>8100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83664"/>
        <c:axId val="311781984"/>
      </c:scatterChart>
      <c:valAx>
        <c:axId val="3117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1984"/>
        <c:crosses val="autoZero"/>
        <c:crossBetween val="midCat"/>
      </c:valAx>
      <c:valAx>
        <c:axId val="311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'4星每级加强属性曲线演算'!$A$3:$A$7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'4星每级加强属性曲线演算'!$B$3:$B$7</c:f>
              <c:numCache>
                <c:formatCode>General</c:formatCode>
                <c:ptCount val="5"/>
                <c:pt idx="0">
                  <c:v>590</c:v>
                </c:pt>
                <c:pt idx="1">
                  <c:v>1151</c:v>
                </c:pt>
                <c:pt idx="2">
                  <c:v>2273</c:v>
                </c:pt>
                <c:pt idx="3">
                  <c:v>3956</c:v>
                </c:pt>
                <c:pt idx="4">
                  <c:v>6200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69984"/>
        <c:axId val="326174464"/>
      </c:scatterChart>
      <c:valAx>
        <c:axId val="3261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174464"/>
        <c:crosses val="autoZero"/>
        <c:crossBetween val="midCat"/>
      </c:valAx>
      <c:valAx>
        <c:axId val="3261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16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'3星每级加强属性曲线演算'!$A$3:$A$7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'3星每级加强属性曲线演算'!$B$3:$B$7</c:f>
              <c:numCache>
                <c:formatCode>General</c:formatCode>
                <c:ptCount val="5"/>
                <c:pt idx="0">
                  <c:v>457</c:v>
                </c:pt>
                <c:pt idx="1">
                  <c:v>891</c:v>
                </c:pt>
                <c:pt idx="2">
                  <c:v>1760</c:v>
                </c:pt>
                <c:pt idx="3">
                  <c:v>3063</c:v>
                </c:pt>
                <c:pt idx="4">
                  <c:v>4800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73904"/>
        <c:axId val="326172224"/>
      </c:scatterChart>
      <c:valAx>
        <c:axId val="3261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172224"/>
        <c:crosses val="autoZero"/>
        <c:crossBetween val="midCat"/>
      </c:valAx>
      <c:valAx>
        <c:axId val="3261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1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'2星每级加强属性曲线演算'!$A$3:$A$7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'2星每级加强属性曲线演算'!$B$3:$B$7</c:f>
              <c:numCache>
                <c:formatCode>General</c:formatCode>
                <c:ptCount val="5"/>
                <c:pt idx="0">
                  <c:v>352</c:v>
                </c:pt>
                <c:pt idx="1">
                  <c:v>687</c:v>
                </c:pt>
                <c:pt idx="2">
                  <c:v>1357</c:v>
                </c:pt>
                <c:pt idx="3">
                  <c:v>2361</c:v>
                </c:pt>
                <c:pt idx="4">
                  <c:v>3700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69424"/>
        <c:axId val="253912560"/>
      </c:scatterChart>
      <c:valAx>
        <c:axId val="3261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912560"/>
        <c:crosses val="autoZero"/>
        <c:crossBetween val="midCat"/>
      </c:valAx>
      <c:valAx>
        <c:axId val="2539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1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'1星每级加强属性曲线演算'!$A$3:$A$7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'1星每级加强属性曲线演算'!$B$3:$B$7</c:f>
              <c:numCache>
                <c:formatCode>General</c:formatCode>
                <c:ptCount val="5"/>
                <c:pt idx="0">
                  <c:v>267</c:v>
                </c:pt>
                <c:pt idx="1">
                  <c:v>520</c:v>
                </c:pt>
                <c:pt idx="2">
                  <c:v>1027</c:v>
                </c:pt>
                <c:pt idx="3">
                  <c:v>1787</c:v>
                </c:pt>
                <c:pt idx="4">
                  <c:v>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13680"/>
        <c:axId val="253910880"/>
      </c:scatterChart>
      <c:valAx>
        <c:axId val="2539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910880"/>
        <c:crosses val="autoZero"/>
        <c:crossBetween val="midCat"/>
      </c:valAx>
      <c:valAx>
        <c:axId val="2539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9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p\&#31574;&#21010;\&#31435;&#39033;\GUN\gun&#27491;&#2433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p\&#31574;&#21010;\&#31435;&#39033;\GUN\ship-lev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p\&#31574;&#21010;\monster3.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032;&#39033;&#30446;\&#25968;&#20540;&#34920;&#26684;\&#21508;&#31995;&#32479;&#25968;&#20540;&#27604;&#20363;\&#21508;&#31995;&#32479;&#25968;&#20540;&#27604;&#2036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summon"/>
      <sheetName val="achevements"/>
      <sheetName val="Role"/>
      <sheetName val="Enemy"/>
      <sheetName val="World"/>
      <sheetName val="battle"/>
      <sheetName val="Arena"/>
      <sheetName val="Arena2"/>
      <sheetName val="item"/>
      <sheetName val="itemgroup"/>
      <sheetName val="effect"/>
      <sheetName val="Refresh"/>
      <sheetName val="pay"/>
      <sheetName val="tips"/>
      <sheetName val="Skill"/>
      <sheetName val="数据"/>
      <sheetName val="Boxer"/>
      <sheetName val="Gunner"/>
      <sheetName val="Barmaid"/>
      <sheetName val="Assassin"/>
      <sheetName val="Tamer"/>
      <sheetName val="Vampire"/>
      <sheetName val="sound"/>
    </sheetNames>
    <sheetDataSet>
      <sheetData sheetId="0" refreshError="1"/>
      <sheetData sheetId="1" refreshError="1"/>
      <sheetData sheetId="2" refreshError="1">
        <row r="2">
          <cell r="AI2" t="str">
            <v>指定角色在指定数量地区获胜</v>
          </cell>
          <cell r="AJ2" t="str">
            <v>拳手</v>
          </cell>
        </row>
        <row r="3">
          <cell r="AI3" t="str">
            <v>学会指定的技能</v>
          </cell>
          <cell r="AJ3" t="str">
            <v>酒吧女</v>
          </cell>
        </row>
        <row r="4">
          <cell r="AI4" t="str">
            <v>学会全技能</v>
          </cell>
          <cell r="AJ4" t="str">
            <v>枪手</v>
          </cell>
        </row>
        <row r="5">
          <cell r="AI5" t="str">
            <v>角色加入队伍</v>
          </cell>
          <cell r="AJ5" t="str">
            <v>刺客</v>
          </cell>
        </row>
        <row r="6">
          <cell r="AI6" t="str">
            <v>同一场战斗暴击指定次数</v>
          </cell>
          <cell r="AJ6" t="str">
            <v>兽王</v>
          </cell>
        </row>
        <row r="7">
          <cell r="AI7" t="str">
            <v>战斗胜利次数</v>
          </cell>
          <cell r="AJ7" t="str">
            <v>吸血鬼</v>
          </cell>
        </row>
        <row r="8">
          <cell r="AI8" t="str">
            <v>指定关卡胜利次数</v>
          </cell>
          <cell r="AJ8" t="str">
            <v>全体</v>
          </cell>
        </row>
        <row r="9">
          <cell r="AI9" t="str">
            <v>指定街区全S</v>
          </cell>
          <cell r="AJ9" t="str">
            <v>敌人</v>
          </cell>
        </row>
        <row r="10">
          <cell r="AI10" t="str">
            <v>技能使用总次数</v>
          </cell>
        </row>
        <row r="11">
          <cell r="AI11" t="str">
            <v>任意角色单独出战胜利次数</v>
          </cell>
        </row>
        <row r="12">
          <cell r="AI12" t="str">
            <v>指定角色组合在不同街区胜利x次</v>
          </cell>
        </row>
        <row r="13">
          <cell r="AI13" t="str">
            <v>复活次数</v>
          </cell>
        </row>
        <row r="14">
          <cell r="AI14" t="str">
            <v>使用不同的技能次数</v>
          </cell>
        </row>
        <row r="15">
          <cell r="AI15" t="str">
            <v>出售金钱数</v>
          </cell>
        </row>
        <row r="16">
          <cell r="AI16" t="str">
            <v>鉴定物品次数</v>
          </cell>
        </row>
        <row r="17">
          <cell r="AI17" t="str">
            <v>购买金钱数</v>
          </cell>
        </row>
        <row r="18">
          <cell r="AI18" t="str">
            <v>购买美金数</v>
          </cell>
        </row>
        <row r="19">
          <cell r="AI19" t="str">
            <v>全角色全cp满</v>
          </cell>
        </row>
        <row r="20">
          <cell r="AI20" t="str">
            <v>竞技场指定完成度</v>
          </cell>
        </row>
        <row r="21">
          <cell r="AI21" t="str">
            <v>全街区</v>
          </cell>
        </row>
      </sheetData>
      <sheetData sheetId="3" refreshError="1"/>
      <sheetData sheetId="4" refreshError="1">
        <row r="2">
          <cell r="AD2" t="str">
            <v>奶妈优先</v>
          </cell>
        </row>
        <row r="3">
          <cell r="AD3" t="str">
            <v>远程输出优先</v>
          </cell>
        </row>
        <row r="4">
          <cell r="AD4" t="str">
            <v>距离近优先</v>
          </cell>
        </row>
        <row r="5">
          <cell r="AD5" t="str">
            <v>剩余生命比例少优先</v>
          </cell>
        </row>
        <row r="6">
          <cell r="AD6" t="str">
            <v>生命值高优先</v>
          </cell>
        </row>
        <row r="7">
          <cell r="AD7" t="str">
            <v>李小梅</v>
          </cell>
        </row>
        <row r="8">
          <cell r="AD8" t="str">
            <v>随机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X2" t="str">
            <v>持续回血</v>
          </cell>
        </row>
        <row r="3">
          <cell r="X3" t="str">
            <v>增加对远程攻击防御</v>
          </cell>
        </row>
        <row r="4">
          <cell r="X4" t="str">
            <v>减少冷却时间</v>
          </cell>
        </row>
        <row r="5">
          <cell r="X5" t="str">
            <v>重生</v>
          </cell>
        </row>
        <row r="6">
          <cell r="X6" t="str">
            <v>AP增加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N2" t="str">
            <v>远程目标攻击</v>
          </cell>
          <cell r="AP2" t="str">
            <v>爆头</v>
          </cell>
          <cell r="AQ2" t="str">
            <v>直线</v>
          </cell>
        </row>
        <row r="3">
          <cell r="AN3" t="str">
            <v>近程目标攻击</v>
          </cell>
          <cell r="AP3" t="str">
            <v>击飞</v>
          </cell>
          <cell r="AQ3" t="str">
            <v>抛物线</v>
          </cell>
        </row>
        <row r="4">
          <cell r="AN4" t="str">
            <v>正中瞬移攻击</v>
          </cell>
          <cell r="AP4" t="str">
            <v>刀割</v>
          </cell>
          <cell r="AQ4" t="str">
            <v>抛物线正中</v>
          </cell>
        </row>
        <row r="5">
          <cell r="AN5" t="str">
            <v>全屏远程攻击</v>
          </cell>
          <cell r="AP5" t="str">
            <v>倒下</v>
          </cell>
          <cell r="AQ5" t="str">
            <v>正中间播放</v>
          </cell>
        </row>
        <row r="6">
          <cell r="AN6" t="str">
            <v>召唤全屏远程攻击</v>
          </cell>
          <cell r="AQ6" t="str">
            <v>直线正中</v>
          </cell>
        </row>
        <row r="7">
          <cell r="AN7" t="str">
            <v>瞬移攻击</v>
          </cell>
        </row>
        <row r="8">
          <cell r="AN8" t="str">
            <v>翻滚攻击</v>
          </cell>
        </row>
        <row r="9">
          <cell r="AN9" t="str">
            <v>非目标攻击</v>
          </cell>
        </row>
        <row r="10">
          <cell r="AN10" t="str">
            <v>队友加成</v>
          </cell>
        </row>
        <row r="11">
          <cell r="AN11" t="str">
            <v>全体加成</v>
          </cell>
        </row>
        <row r="12">
          <cell r="AN12" t="str">
            <v>自身加成</v>
          </cell>
        </row>
        <row r="13">
          <cell r="AN13" t="str">
            <v>光环</v>
          </cell>
        </row>
        <row r="14">
          <cell r="AN14" t="str">
            <v>复活</v>
          </cell>
        </row>
        <row r="15">
          <cell r="AN15" t="str">
            <v>被动技能</v>
          </cell>
        </row>
      </sheetData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"/>
      <sheetName val="npcship"/>
      <sheetName val="expand"/>
      <sheetName val="Garbage"/>
      <sheetName val="world"/>
      <sheetName val="room"/>
      <sheetName val="exp"/>
      <sheetName val="quest"/>
      <sheetName val="Output-M"/>
      <sheetName val="Output-C"/>
      <sheetName val="roomPassenger"/>
      <sheetName val="man"/>
      <sheetName val="daily quest"/>
      <sheetName val="Assistant"/>
      <sheetName val="pay"/>
      <sheetName val="notes"/>
      <sheetName val="achievement"/>
      <sheetName val="Logo"/>
      <sheetName val="setting"/>
      <sheetName val="push"/>
      <sheetName val="version"/>
      <sheetName val="stage"/>
      <sheetName val="Dialogue"/>
      <sheetName val="Engineer"/>
      <sheetName val="skin"/>
      <sheetName val="sound"/>
      <sheetName val="profan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3">
          <cell r="I23" t="str">
            <v>无</v>
          </cell>
        </row>
        <row r="24">
          <cell r="I24" t="str">
            <v>best</v>
          </cell>
        </row>
        <row r="25">
          <cell r="I25" t="str">
            <v>great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y"/>
      <sheetName val="ArenaRankAward"/>
      <sheetName val="fwords"/>
      <sheetName val="activities"/>
      <sheetName val="interaccount"/>
      <sheetName val="personalactivities"/>
      <sheetName val="academy"/>
      <sheetName val="master"/>
      <sheetName val="npc"/>
      <sheetName val="quest"/>
      <sheetName val="sysopen"/>
      <sheetName val="shop"/>
      <sheetName val="runegroup"/>
      <sheetName val="skyarenaconvic"/>
      <sheetName val="skyarenaRankReward"/>
      <sheetName val="skyarenaWeekReward"/>
      <sheetName val="pay"/>
      <sheetName val="masterablity"/>
      <sheetName val="minegroup"/>
      <sheetName val="wanted"/>
      <sheetName val="wantedname"/>
      <sheetName val="battlemap"/>
      <sheetName val="enemygroup"/>
      <sheetName val="exattrib"/>
      <sheetName val="randomgroup"/>
      <sheetName val="dungeons"/>
      <sheetName val="activereward"/>
      <sheetName val="activeinfo"/>
      <sheetName val="extDropItem"/>
      <sheetName val="rune"/>
      <sheetName val="item"/>
      <sheetName val="itemgroup"/>
      <sheetName val="boxgroup"/>
      <sheetName val="broadcast"/>
      <sheetName val="Lotus.Rank"/>
      <sheetName val="Lotus.AccumulatedReward"/>
      <sheetName val="Guardian"/>
      <sheetName val="simbattle"/>
      <sheetName val="dragonquest"/>
      <sheetName val="dragonquest2"/>
      <sheetName val="towerformula"/>
      <sheetName val="bankLV"/>
      <sheetName val="guild"/>
      <sheetName val="guildTavern"/>
      <sheetName val="guildTavernLevel"/>
      <sheetName val="simRankReward"/>
      <sheetName val="GuildAuthority"/>
      <sheetName val="guildactivities"/>
      <sheetName val="GuildWarGradeData"/>
      <sheetName val="GuildWarRankData"/>
      <sheetName val="compose"/>
      <sheetName val="feed"/>
      <sheetName val="dragonRankReward"/>
      <sheetName val="sound"/>
      <sheetName val="公式表"/>
      <sheetName val="post"/>
      <sheetName val="postStage"/>
      <sheetName val="postRecipientsSuffix"/>
      <sheetName val="postBuff"/>
      <sheetName val="postlv"/>
      <sheetName val="postComment"/>
      <sheetName val="slot"/>
      <sheetName val="slotreward"/>
      <sheetName val="blackmarketitem"/>
      <sheetName val="blackmarketname"/>
      <sheetName val="prixbet"/>
      <sheetName val="prixreward"/>
      <sheetName val="prixrule"/>
      <sheetName val="数据"/>
      <sheetName val="card"/>
      <sheetName val="cardexp"/>
      <sheetName val="cardgroup"/>
      <sheetName val="cardtrick"/>
      <sheetName val="cardlevel"/>
      <sheetName val="evolution"/>
      <sheetName val="EBReward"/>
      <sheetName val="cardsplit"/>
    </sheetNames>
    <sheetDataSet>
      <sheetData sheetId="0"/>
      <sheetData sheetId="1"/>
      <sheetData sheetId="2"/>
      <sheetData sheetId="3">
        <row r="2">
          <cell r="T2" t="str">
            <v>首充</v>
          </cell>
        </row>
        <row r="3">
          <cell r="T3" t="str">
            <v>充值折扣</v>
          </cell>
        </row>
        <row r="4">
          <cell r="T4" t="str">
            <v>充值返利</v>
          </cell>
        </row>
        <row r="5">
          <cell r="T5" t="str">
            <v>连续登录</v>
          </cell>
        </row>
        <row r="6">
          <cell r="T6" t="str">
            <v>午餐晚餐</v>
          </cell>
        </row>
        <row r="7">
          <cell r="T7" t="str">
            <v>斗恶龙</v>
          </cell>
        </row>
        <row r="8">
          <cell r="T8" t="str">
            <v>PVP</v>
          </cell>
        </row>
        <row r="9">
          <cell r="T9" t="str">
            <v>升级礼包</v>
          </cell>
        </row>
        <row r="10">
          <cell r="T10" t="str">
            <v>升级VIP送礼</v>
          </cell>
        </row>
        <row r="11">
          <cell r="T11" t="str">
            <v>公会战</v>
          </cell>
        </row>
        <row r="12">
          <cell r="T12" t="str">
            <v>武斗会</v>
          </cell>
        </row>
        <row r="13">
          <cell r="T13" t="str">
            <v>充值每日返利</v>
          </cell>
        </row>
        <row r="14">
          <cell r="T14" t="str">
            <v>节日活动</v>
          </cell>
        </row>
        <row r="15">
          <cell r="T15" t="str">
            <v>消费返利</v>
          </cell>
        </row>
        <row r="16">
          <cell r="T16" t="str">
            <v>幸运转盘</v>
          </cell>
        </row>
        <row r="17">
          <cell r="T17" t="str">
            <v>排行榜展示</v>
          </cell>
        </row>
        <row r="18">
          <cell r="T18" t="str">
            <v>兑换码</v>
          </cell>
        </row>
        <row r="19">
          <cell r="T19" t="str">
            <v>开服冲级大赛</v>
          </cell>
        </row>
        <row r="20">
          <cell r="T20" t="str">
            <v>开服冲级大赛展示</v>
          </cell>
        </row>
        <row r="21">
          <cell r="T21" t="str">
            <v>开服声望大赛</v>
          </cell>
        </row>
        <row r="22">
          <cell r="T22" t="str">
            <v>开服声望大赛展示</v>
          </cell>
        </row>
        <row r="23">
          <cell r="T23" t="str">
            <v>开服竞技场大赛</v>
          </cell>
        </row>
        <row r="24">
          <cell r="T24" t="str">
            <v>开服竞技场大赛展示</v>
          </cell>
        </row>
        <row r="25">
          <cell r="T25" t="str">
            <v>首届驭兽大赛</v>
          </cell>
        </row>
        <row r="26">
          <cell r="T26" t="str">
            <v>首届驭兽大赛展示</v>
          </cell>
        </row>
      </sheetData>
      <sheetData sheetId="4"/>
      <sheetData sheetId="5"/>
      <sheetData sheetId="6"/>
      <sheetData sheetId="7"/>
      <sheetData sheetId="8">
        <row r="2">
          <cell r="S2" t="str">
            <v>神兽合成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M2" t="str">
            <v>HP加成</v>
          </cell>
        </row>
      </sheetData>
      <sheetData sheetId="18"/>
      <sheetData sheetId="19"/>
      <sheetData sheetId="20"/>
      <sheetData sheetId="21"/>
      <sheetData sheetId="22"/>
      <sheetData sheetId="23"/>
      <sheetData sheetId="24">
        <row r="2">
          <cell r="I2" t="str">
            <v>起点</v>
          </cell>
        </row>
      </sheetData>
      <sheetData sheetId="25"/>
      <sheetData sheetId="26"/>
      <sheetData sheetId="27"/>
      <sheetData sheetId="28"/>
      <sheetData sheetId="29">
        <row r="2">
          <cell r="O2" t="str">
            <v>废品</v>
          </cell>
        </row>
      </sheetData>
      <sheetData sheetId="30">
        <row r="2">
          <cell r="AA2" t="str">
            <v>攻击装备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">
          <cell r="P2" t="str">
            <v>公会战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系统占比"/>
    </sheetNames>
    <sheetDataSet>
      <sheetData sheetId="0">
        <row r="1">
          <cell r="O1" t="str">
            <v>星级</v>
          </cell>
          <cell r="W1" t="str">
            <v>初始数值</v>
          </cell>
          <cell r="X1" t="str">
            <v>递增间隔</v>
          </cell>
          <cell r="Y1" t="str">
            <v>步进幅度</v>
          </cell>
        </row>
        <row r="2">
          <cell r="O2">
            <v>6</v>
          </cell>
          <cell r="W2">
            <v>1000</v>
          </cell>
          <cell r="X2">
            <v>1</v>
          </cell>
          <cell r="Y2">
            <v>950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A1:S7" totalsRowShown="0" headerRowDxfId="36" dataDxfId="34" headerRowBorderDxfId="35" tableBorderDxfId="33" totalsRowBorderDxfId="32">
  <autoFilter ref="A1:S7"/>
  <tableColumns count="19">
    <tableColumn id="1" name="觉醒级数" dataDxfId="31"/>
    <tableColumn id="2" name="觉醒需要卡数" dataDxfId="30"/>
    <tableColumn id="3" name="要求资源" dataDxfId="29">
      <calculatedColumnFormula>IF(D2&lt;&gt;"",D2&amp;","&amp;E2,"")&amp;IF(F2&lt;&gt;"",";"&amp;F2&amp;","&amp;G2,"")&amp;IF(H2&lt;&gt;"",";"&amp;H2&amp;","&amp;I2,"")&amp;IF(J2&lt;&gt;"",";"&amp;J2&amp;","&amp;K2,"")&amp;IF(L2&lt;&gt;"",";"&amp;L2&amp;","&amp;M2,"")&amp;IF(N2&lt;&gt;"",";"&amp;N2&amp;","&amp;O2,"")&amp;IF(P2&lt;&gt;"",";"&amp;P2&amp;","&amp;Q2,"")&amp;IF(R2&lt;&gt;"",";"&amp;R2&amp;","&amp;S2,"")</calculatedColumnFormula>
    </tableColumn>
    <tableColumn id="4" name="资源1" dataDxfId="28"/>
    <tableColumn id="5" name="数量1" dataDxfId="27"/>
    <tableColumn id="6" name="资源2" dataDxfId="26"/>
    <tableColumn id="7" name="数量2" dataDxfId="25"/>
    <tableColumn id="8" name="资源3" dataDxfId="24"/>
    <tableColumn id="9" name="数量3" dataDxfId="23"/>
    <tableColumn id="10" name="资源4" dataDxfId="22"/>
    <tableColumn id="11" name="数量4" dataDxfId="21"/>
    <tableColumn id="12" name="资源5" dataDxfId="20"/>
    <tableColumn id="13" name="数量5" dataDxfId="19"/>
    <tableColumn id="14" name="资源6" dataDxfId="18"/>
    <tableColumn id="15" name="数量6" dataDxfId="17"/>
    <tableColumn id="16" name="资源7" dataDxfId="16"/>
    <tableColumn id="17" name="数量7" dataDxfId="15"/>
    <tableColumn id="18" name="资源8" dataDxfId="14"/>
    <tableColumn id="19" name="数量8" dataDxfId="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1"/>
  <sheetViews>
    <sheetView zoomScale="55" zoomScaleNormal="55" workbookViewId="0">
      <pane xSplit="8" ySplit="1" topLeftCell="I2" activePane="bottomRight" state="frozen"/>
      <selection pane="topRight"/>
      <selection pane="bottomLeft"/>
      <selection pane="bottomRight" activeCell="G10" sqref="G10"/>
    </sheetView>
  </sheetViews>
  <sheetFormatPr defaultColWidth="9" defaultRowHeight="15.6" x14ac:dyDescent="0.25"/>
  <cols>
    <col min="1" max="1" width="10.88671875" customWidth="1"/>
    <col min="2" max="2" width="11" style="16" customWidth="1"/>
    <col min="3" max="3" width="42.44140625" style="29" customWidth="1"/>
    <col min="4" max="4" width="15.5546875" style="28" customWidth="1"/>
    <col min="5" max="5" width="10.44140625" style="28" bestFit="1" customWidth="1"/>
    <col min="6" max="6" width="8.44140625" style="29" bestFit="1" customWidth="1"/>
    <col min="7" max="7" width="21.5546875" style="28" bestFit="1" customWidth="1"/>
    <col min="8" max="11" width="16.44140625" style="28" customWidth="1"/>
    <col min="12" max="13" width="13.88671875" style="1" customWidth="1"/>
    <col min="14" max="14" width="15" style="1" bestFit="1" customWidth="1"/>
    <col min="15" max="15" width="21.44140625" style="1" bestFit="1" customWidth="1"/>
    <col min="16" max="16384" width="9" style="1"/>
  </cols>
  <sheetData>
    <row r="1" spans="1:28" s="4" customFormat="1" x14ac:dyDescent="0.25">
      <c r="A1" s="13" t="s">
        <v>66</v>
      </c>
      <c r="B1" s="13" t="s">
        <v>65</v>
      </c>
      <c r="C1" s="35" t="s">
        <v>64</v>
      </c>
      <c r="D1" s="35" t="s">
        <v>92</v>
      </c>
      <c r="E1" s="35" t="s">
        <v>95</v>
      </c>
      <c r="F1" s="35" t="s">
        <v>63</v>
      </c>
      <c r="G1" s="35" t="s">
        <v>96</v>
      </c>
      <c r="H1" s="35" t="s">
        <v>93</v>
      </c>
      <c r="I1" s="35" t="s">
        <v>97</v>
      </c>
      <c r="J1" s="35"/>
      <c r="K1" s="35"/>
      <c r="L1" s="26" t="s">
        <v>59</v>
      </c>
      <c r="M1" s="26" t="s">
        <v>61</v>
      </c>
      <c r="N1" s="26" t="s">
        <v>60</v>
      </c>
      <c r="O1" s="37" t="s">
        <v>0</v>
      </c>
      <c r="AB1" s="35" t="s">
        <v>97</v>
      </c>
    </row>
    <row r="2" spans="1:28" s="3" customFormat="1" x14ac:dyDescent="0.25">
      <c r="A2" s="32">
        <v>120012</v>
      </c>
      <c r="B2" s="31">
        <v>0</v>
      </c>
      <c r="C2" s="27" t="str">
        <f ca="1">ROUND((VLOOKUP($B2,INDIRECT(TEXT("'"&amp;$L2&amp;"星每级加强属性曲线演算'","")&amp;"!$A$2:$C$100"),3,FALSE)*VLOOKUP($M2,职业分类属性!$A$3:$G$15,7,FALSE))*INDIRECT(ADDRESS(MATCH($M2,职业分类属性!$A$1:$A$15,0),MATCH("生命值",职业分类属性!$A$2:$E$2,0),1,1,"职业分类属性"))*((星级总属性!$K$3)/(星级总属性!$K$3+星级总属性!$L$3))+(VLOOKUP($B2,INDIRECT(TEXT("'"&amp;$L2&amp;"星每级加强属性曲线演算'","")&amp;"!$A$2:$C$100"),3,FALSE)*VLOOKUP($M2,职业分类属性!$A$3:$G$15,7,FALSE))*(HLOOKUP(HLOOKUP("生命值",职业属性偏向!$B$3:$E$16,14,FALSE),INDIRECT(TEXT($N$1&amp;$N2&amp;"!$B$2:$G$3","")),2,FALSE)/INDIRECT(TEXT($N$1&amp;$N2&amp;"!$H$3","")))*((星级总属性!$L$3)/(星级总属性!$K$3+星级总属性!$L$3)),0)&amp;","&amp;ROUND((VLOOKUP($B2,INDIRECT(TEXT("'"&amp;$L2&amp;"星每级加强属性曲线演算'","")&amp;"!$A$2:$C$100"),3,FALSE)*VLOOKUP($M2,职业分类属性!$A$3:$G$15,7,FALSE))*INDIRECT(ADDRESS(MATCH($M2,职业分类属性!$A$1:$A$15,0),MATCH("回复力",职业分类属性!$A$2:$E$2,0),1,1,"职业分类属性"))*((星级总属性!$K$3)/(星级总属性!$K$3+星级总属性!$L$3))+(VLOOKUP($B2,INDIRECT(TEXT("'"&amp;$L2&amp;"星每级加强属性曲线演算'","")&amp;"!$A$2:$C$100"),3,FALSE)*VLOOKUP($M2,职业分类属性!$A$3:$G$15,7,FALSE))*(HLOOKUP(HLOOKUP("回复力",职业属性偏向!$B$3:$E$16,14,FALSE),INDIRECT(TEXT($N$1&amp;$N2&amp;"!$B$2:$G$3","")),2,FALSE)/INDIRECT(TEXT($N$1&amp;$N2&amp;"!$H$3","")))*((星级总属性!$L$3)/(星级总属性!$K$3+星级总属性!$L$3)),0)&amp;","&amp;ROUND((VLOOKUP($B2,INDIRECT(TEXT("'"&amp;$L2&amp;"星每级加强属性曲线演算'","")&amp;"!$A$2:$C$100"),3,FALSE)*VLOOKUP($M2,职业分类属性!$A$3:$G$15,7,FALSE))*INDIRECT(ADDRESS(MATCH($M2,职业分类属性!$A$1:$A$15,0),MATCH("武力",职业分类属性!$A$2:$E$2,0),1,1,"职业分类属性"))*((星级总属性!$K$3)/(星级总属性!$K$3+星级总属性!$L$3))+(VLOOKUP($B2,INDIRECT(TEXT("'"&amp;$L2&amp;"星每级加强属性曲线演算'","")&amp;"!$A$2:$C$100"),3,FALSE)*VLOOKUP($M2,职业分类属性!$A$3:$G$15,7,FALSE))*(HLOOKUP(HLOOKUP("武力",职业属性偏向!$B$3:$E$16,14,FALSE),INDIRECT(TEXT($N$1&amp;$N2&amp;"!$B$2:$G$3","")),2,FALSE)/INDIRECT(TEXT($N$1&amp;$N2&amp;"!$H$3","")))*((星级总属性!$L$3)/(星级总属性!$K$3+星级总属性!$L$3)),0)&amp;","&amp;ROUND((VLOOKUP($B2,INDIRECT(TEXT("'"&amp;$L2&amp;"星每级加强属性曲线演算'","")&amp;"!$A$2:$C$100"),3,FALSE)*VLOOKUP($M2,职业分类属性!$A$3:$G$15,7,FALSE))*INDIRECT(ADDRESS(MATCH($M2,职业分类属性!$A$1:$A$15,0),MATCH("防御",职业分类属性!$A$2:$E$2,0),1,1,"职业分类属性"))*((星级总属性!$K$3)/(星级总属性!$K$3+星级总属性!$L$3))+(VLOOKUP($B2,INDIRECT(TEXT("'"&amp;$L2&amp;"星每级加强属性曲线演算'","")&amp;"!$A$2:$C$100"),3,FALSE)*VLOOKUP($M2,职业分类属性!$A$3:$G$15,7,FALSE))*(HLOOKUP(HLOOKUP("防御",职业属性偏向!$B$3:$E$16,14,FALSE),INDIRECT(TEXT($N$1&amp;$N2&amp;"!$B$2:$G$3","")),2,FALSE)/INDIRECT(TEXT($N$1&amp;$N2&amp;"!$H$3","")))*((星级总属性!$L$3)/(星级总属性!$K$3+星级总属性!$L$3)),0)</f>
        <v>0,0,0,0</v>
      </c>
      <c r="D2" s="33" t="str">
        <f>IF(VLOOKUP($B2,觉醒要求!$A$2:$C$7,2,FALSE)=0,"",VLOOKUP($B2,觉醒要求!$A$2:$C$7,2,FALSE))</f>
        <v/>
      </c>
      <c r="E2" s="33">
        <v>1000</v>
      </c>
      <c r="F2" s="42" t="str">
        <f>IF(VLOOKUP($B2,觉醒要求!$A$2:$C$7,3,FALSE)=0,"",VLOOKUP($B2,觉醒要求!$A$2:$C$7,3,FALSE))</f>
        <v/>
      </c>
      <c r="G2" s="34"/>
      <c r="H2" s="33"/>
      <c r="I2" s="33"/>
      <c r="J2" s="33"/>
      <c r="K2" s="33"/>
      <c r="L2" s="2">
        <v>6</v>
      </c>
      <c r="M2" s="2" t="s">
        <v>62</v>
      </c>
      <c r="N2" s="2">
        <v>1</v>
      </c>
      <c r="O2" s="27" t="e">
        <f ca="1">ROUND((VLOOKUP(VALUE(RIGHT(O$1,LEN(O$1)-2)),INDIRECT(TEXT("'"&amp;$L2&amp;"星每级加强属性曲线演算'","")&amp;"!$A$2:$C$100"),3,FALSE)*VLOOKUP($M2,职业分类属性!$A$3:$G$15,9,FALSE))*INDIRECT(ADDRESS(MATCH($M2,职业分类属性!$A$1:$A$15,0),MATCH("生命值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生命值",职业属性偏向!$B$3:$E$16,14,FALSE),INDIRECT(TEXT($N$1&amp;$N2&amp;"!$B$2:$G$3","")),2,FALSE)/INDIRECT(TEXT($N$1&amp;$N2&amp;"!$H$3","")))*((星级总属性!$L$3)/(星级总属性!$K$3+星级总属性!$L$3)),0)&amp;","&amp;ROUND((VLOOKUP(VALUE(RIGHT(O$1,LEN(O$1)-2)),INDIRECT(TEXT("'"&amp;$L2&amp;"星每级加强属性曲线演算'","")&amp;"!$A$2:$C$100"),3,FALSE)*VLOOKUP($M2,职业分类属性!$A$3:$G$15,9,FALSE))*INDIRECT(ADDRESS(MATCH($M2,职业分类属性!$A$1:$A$15,0),MATCH("回复力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回复力",职业属性偏向!$B$3:$E$16,14,FALSE),INDIRECT(TEXT($N$1&amp;$N2&amp;"!$B$2:$G$3","")),2,FALSE)/INDIRECT(TEXT($N$1&amp;$N2&amp;"!$H$3","")))*((星级总属性!$L$3)/(星级总属性!$K$3+星级总属性!$L$3)),0)&amp;","&amp;ROUND((VLOOKUP(VALUE(RIGHT(O$1,LEN(O$1)-2)),INDIRECT(TEXT("'"&amp;$L2&amp;"星每级加强属性曲线演算'","")&amp;"!$A$2:$C$100"),3,FALSE)*VLOOKUP($M2,职业分类属性!$A$3:$G$15,9,FALSE))*INDIRECT(ADDRESS(MATCH($M2,职业分类属性!$A$1:$A$15,0),MATCH("武力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武力",职业属性偏向!$B$3:$E$16,14,FALSE),INDIRECT(TEXT($N$1&amp;$N2&amp;"!$B$2:$G$3","")),2,FALSE)/INDIRECT(TEXT($N$1&amp;$N2&amp;"!$H$3","")))*((星级总属性!$L$3)/(星级总属性!$K$3+星级总属性!$L$3)),0)&amp;","&amp;ROUND((VLOOKUP(VALUE(RIGHT(O$1,LEN(O$1)-2)),INDIRECT(TEXT("'"&amp;$L2&amp;"星每级加强属性曲线演算'","")&amp;"!$A$2:$C$100"),3,FALSE)*VLOOKUP($M2,职业分类属性!$A$3:$G$15,9,FALSE))*INDIRECT(ADDRESS(MATCH($M2,职业分类属性!$A$1:$A$15,0),MATCH("物防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物防",职业属性偏向!$B$3:$E$16,14,FALSE),INDIRECT(TEXT($N$1&amp;$N2&amp;"!$B$2:$G$3","")),2,FALSE)/INDIRECT(TEXT($N$1&amp;$N2&amp;"!$H$3","")))*((星级总属性!$L$3)/(星级总属性!$K$3+星级总属性!$L$3)),0)&amp;","&amp;ROUND((VLOOKUP(VALUE(RIGHT(O$1,LEN(O$1)-2)),INDIRECT(TEXT("'"&amp;$L2&amp;"星每级加强属性曲线演算'","")&amp;"!$A$2:$C$100"),3,FALSE)*VLOOKUP($M2,职业分类属性!$A$3:$G$15,9,FALSE))*INDIRECT(ADDRESS(MATCH($M2,职业分类属性!$A$1:$A$15,0),MATCH("智力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智力",职业属性偏向!$B$3:$E$16,14,FALSE),INDIRECT(TEXT($N$1&amp;$N2&amp;"!$B$2:$G$3","")),2,FALSE)/INDIRECT(TEXT($N$1&amp;$N2&amp;"!$H$3","")))*((星级总属性!$L$3)/(星级总属性!$K$3+星级总属性!$L$3)),0)&amp;","&amp;ROUND((VLOOKUP(VALUE(RIGHT(O$1,LEN(O$1)-2)),INDIRECT(TEXT("'"&amp;$L2&amp;"星每级加强属性曲线演算'","")&amp;"!$A$2:$C$100"),3,FALSE)*VLOOKUP($M2,职业分类属性!$A$3:$G$15,9,FALSE))*INDIRECT(ADDRESS(MATCH($M2,职业分类属性!$A$1:$A$15,0),MATCH("法防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法防",职业属性偏向!$B$3:$E$16,14,FALSE),INDIRECT(TEXT($N$1&amp;$N2&amp;"!$B$2:$G$3","")),2,FALSE)/INDIRECT(TEXT($N$1&amp;$N2&amp;"!$H$3","")))*((星级总属性!$L$3)/(星级总属性!$K$3+星级总属性!$L$3)),0)</f>
        <v>#REF!</v>
      </c>
      <c r="AB2" s="33" t="s">
        <v>98</v>
      </c>
    </row>
    <row r="3" spans="1:28" x14ac:dyDescent="0.25">
      <c r="A3" s="32">
        <v>120012</v>
      </c>
      <c r="B3" s="31">
        <v>1</v>
      </c>
      <c r="C3" s="27" t="str">
        <f ca="1">ROUND((VLOOKUP($B3,INDIRECT(TEXT("'"&amp;$L3&amp;"星每级加强属性曲线演算'","")&amp;"!$A$2:$C$100"),3,FALSE)*VLOOKUP($M3,职业分类属性!$A$3:$G$15,7,FALSE))*INDIRECT(ADDRESS(MATCH($M3,职业分类属性!$A$1:$A$15,0),MATCH("生命值",职业分类属性!$A$2:$E$2,0),1,1,"职业分类属性"))*((星级总属性!$K$3)/(星级总属性!$K$3+星级总属性!$L$3))+(VLOOKUP($B3,INDIRECT(TEXT("'"&amp;$L3&amp;"星每级加强属性曲线演算'","")&amp;"!$A$2:$C$100"),3,FALSE)*VLOOKUP($M3,职业分类属性!$A$3:$G$15,7,FALSE))*(HLOOKUP(HLOOKUP("生命值",职业属性偏向!$B$3:$E$16,14,FALSE),INDIRECT(TEXT($N$1&amp;$N3&amp;"!$B$2:$G$3","")),2,FALSE)/INDIRECT(TEXT($N$1&amp;$N3&amp;"!$H$3","")))*((星级总属性!$L$3)/(星级总属性!$K$3+星级总属性!$L$3)),0)&amp;","&amp;ROUND((VLOOKUP($B3,INDIRECT(TEXT("'"&amp;$L3&amp;"星每级加强属性曲线演算'","")&amp;"!$A$2:$C$100"),3,FALSE)*VLOOKUP($M3,职业分类属性!$A$3:$G$15,7,FALSE))*INDIRECT(ADDRESS(MATCH($M3,职业分类属性!$A$1:$A$15,0),MATCH("回复力",职业分类属性!$A$2:$E$2,0),1,1,"职业分类属性"))*((星级总属性!$K$3)/(星级总属性!$K$3+星级总属性!$L$3))+(VLOOKUP($B3,INDIRECT(TEXT("'"&amp;$L3&amp;"星每级加强属性曲线演算'","")&amp;"!$A$2:$C$100"),3,FALSE)*VLOOKUP($M3,职业分类属性!$A$3:$G$15,7,FALSE))*(HLOOKUP(HLOOKUP("回复力",职业属性偏向!$B$3:$E$16,14,FALSE),INDIRECT(TEXT($N$1&amp;$N3&amp;"!$B$2:$G$3","")),2,FALSE)/INDIRECT(TEXT($N$1&amp;$N3&amp;"!$H$3","")))*((星级总属性!$L$3)/(星级总属性!$K$3+星级总属性!$L$3)),0)&amp;","&amp;ROUND((VLOOKUP($B3,INDIRECT(TEXT("'"&amp;$L3&amp;"星每级加强属性曲线演算'","")&amp;"!$A$2:$C$100"),3,FALSE)*VLOOKUP($M3,职业分类属性!$A$3:$G$15,7,FALSE))*INDIRECT(ADDRESS(MATCH($M3,职业分类属性!$A$1:$A$15,0),MATCH("武力",职业分类属性!$A$2:$E$2,0),1,1,"职业分类属性"))*((星级总属性!$K$3)/(星级总属性!$K$3+星级总属性!$L$3))+(VLOOKUP($B3,INDIRECT(TEXT("'"&amp;$L3&amp;"星每级加强属性曲线演算'","")&amp;"!$A$2:$C$100"),3,FALSE)*VLOOKUP($M3,职业分类属性!$A$3:$G$15,7,FALSE))*(HLOOKUP(HLOOKUP("武力",职业属性偏向!$B$3:$E$16,14,FALSE),INDIRECT(TEXT($N$1&amp;$N3&amp;"!$B$2:$G$3","")),2,FALSE)/INDIRECT(TEXT($N$1&amp;$N3&amp;"!$H$3","")))*((星级总属性!$L$3)/(星级总属性!$K$3+星级总属性!$L$3)),0)&amp;","&amp;ROUND((VLOOKUP($B3,INDIRECT(TEXT("'"&amp;$L3&amp;"星每级加强属性曲线演算'","")&amp;"!$A$2:$C$100"),3,FALSE)*VLOOKUP($M3,职业分类属性!$A$3:$G$15,7,FALSE))*INDIRECT(ADDRESS(MATCH($M3,职业分类属性!$A$1:$A$15,0),MATCH("防御",职业分类属性!$A$2:$E$2,0),1,1,"职业分类属性"))*((星级总属性!$K$3)/(星级总属性!$K$3+星级总属性!$L$3))+(VLOOKUP($B3,INDIRECT(TEXT("'"&amp;$L3&amp;"星每级加强属性曲线演算'","")&amp;"!$A$2:$C$100"),3,FALSE)*VLOOKUP($M3,职业分类属性!$A$3:$G$15,7,FALSE))*(HLOOKUP(HLOOKUP("防御",职业属性偏向!$B$3:$E$16,14,FALSE),INDIRECT(TEXT($N$1&amp;$N3&amp;"!$B$2:$G$3","")),2,FALSE)/INDIRECT(TEXT($N$1&amp;$N3&amp;"!$H$3","")))*((星级总属性!$L$3)/(星级总属性!$K$3+星级总属性!$L$3)),0)</f>
        <v>291,71,578,175</v>
      </c>
      <c r="D3" s="33">
        <f>IF(VLOOKUP($B3,觉醒要求!$A$2:$C$7,2,FALSE)=0,"",VLOOKUP($B3,觉醒要求!$A$2:$C$7,2,FALSE))</f>
        <v>1</v>
      </c>
      <c r="E3" s="33">
        <v>1001</v>
      </c>
      <c r="F3" s="42" t="str">
        <f>IF(VLOOKUP($B3,觉醒要求!$A$2:$C$7,3,FALSE)=0,"",VLOOKUP($B3,觉醒要求!$A$2:$C$7,3,FALSE))</f>
        <v/>
      </c>
      <c r="G3" s="34"/>
      <c r="H3" s="33"/>
      <c r="I3" s="33"/>
      <c r="J3" s="33"/>
      <c r="K3" s="33"/>
      <c r="L3" s="2">
        <v>6</v>
      </c>
      <c r="M3" s="2" t="s">
        <v>1</v>
      </c>
      <c r="N3" s="2">
        <v>1</v>
      </c>
      <c r="O3" s="27" t="e">
        <f ca="1">ROUND((VLOOKUP(VALUE(RIGHT(O$1,LEN(O$1)-2)),INDIRECT(TEXT("'"&amp;$L3&amp;"星每级加强属性曲线演算'","")&amp;"!$A$2:$C$100"),3,FALSE)*VLOOKUP($M3,职业分类属性!$A$3:$G$15,9,FALSE))*INDIRECT(ADDRESS(MATCH($M3,职业分类属性!$A$1:$A$15,0),MATCH("生命值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生命值",职业属性偏向!$B$3:$E$16,14,FALSE),INDIRECT(TEXT($N$1&amp;$N3&amp;"!$B$2:$G$3","")),2,FALSE)/INDIRECT(TEXT($N$1&amp;$N3&amp;"!$H$3","")))*((星级总属性!$L$3)/(星级总属性!$K$3+星级总属性!$L$3)),0)&amp;","&amp;ROUND((VLOOKUP(VALUE(RIGHT(O$1,LEN(O$1)-2)),INDIRECT(TEXT("'"&amp;$L3&amp;"星每级加强属性曲线演算'","")&amp;"!$A$2:$C$100"),3,FALSE)*VLOOKUP($M3,职业分类属性!$A$3:$G$15,9,FALSE))*INDIRECT(ADDRESS(MATCH($M3,职业分类属性!$A$1:$A$15,0),MATCH("回复力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回复力",职业属性偏向!$B$3:$E$16,14,FALSE),INDIRECT(TEXT($N$1&amp;$N3&amp;"!$B$2:$G$3","")),2,FALSE)/INDIRECT(TEXT($N$1&amp;$N3&amp;"!$H$3","")))*((星级总属性!$L$3)/(星级总属性!$K$3+星级总属性!$L$3)),0)&amp;","&amp;ROUND((VLOOKUP(VALUE(RIGHT(O$1,LEN(O$1)-2)),INDIRECT(TEXT("'"&amp;$L3&amp;"星每级加强属性曲线演算'","")&amp;"!$A$2:$C$100"),3,FALSE)*VLOOKUP($M3,职业分类属性!$A$3:$G$15,9,FALSE))*INDIRECT(ADDRESS(MATCH($M3,职业分类属性!$A$1:$A$15,0),MATCH("武力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武力",职业属性偏向!$B$3:$E$16,14,FALSE),INDIRECT(TEXT($N$1&amp;$N3&amp;"!$B$2:$G$3","")),2,FALSE)/INDIRECT(TEXT($N$1&amp;$N3&amp;"!$H$3","")))*((星级总属性!$L$3)/(星级总属性!$K$3+星级总属性!$L$3)),0)&amp;","&amp;ROUND((VLOOKUP(VALUE(RIGHT(O$1,LEN(O$1)-2)),INDIRECT(TEXT("'"&amp;$L3&amp;"星每级加强属性曲线演算'","")&amp;"!$A$2:$C$100"),3,FALSE)*VLOOKUP($M3,职业分类属性!$A$3:$G$15,9,FALSE))*INDIRECT(ADDRESS(MATCH($M3,职业分类属性!$A$1:$A$15,0),MATCH("物防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物防",职业属性偏向!$B$3:$E$16,14,FALSE),INDIRECT(TEXT($N$1&amp;$N3&amp;"!$B$2:$G$3","")),2,FALSE)/INDIRECT(TEXT($N$1&amp;$N3&amp;"!$H$3","")))*((星级总属性!$L$3)/(星级总属性!$K$3+星级总属性!$L$3)),0)&amp;","&amp;ROUND((VLOOKUP(VALUE(RIGHT(O$1,LEN(O$1)-2)),INDIRECT(TEXT("'"&amp;$L3&amp;"星每级加强属性曲线演算'","")&amp;"!$A$2:$C$100"),3,FALSE)*VLOOKUP($M3,职业分类属性!$A$3:$G$15,9,FALSE))*INDIRECT(ADDRESS(MATCH($M3,职业分类属性!$A$1:$A$15,0),MATCH("智力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智力",职业属性偏向!$B$3:$E$16,14,FALSE),INDIRECT(TEXT($N$1&amp;$N3&amp;"!$B$2:$G$3","")),2,FALSE)/INDIRECT(TEXT($N$1&amp;$N3&amp;"!$H$3","")))*((星级总属性!$L$3)/(星级总属性!$K$3+星级总属性!$L$3)),0)&amp;","&amp;ROUND((VLOOKUP(VALUE(RIGHT(O$1,LEN(O$1)-2)),INDIRECT(TEXT("'"&amp;$L3&amp;"星每级加强属性曲线演算'","")&amp;"!$A$2:$C$100"),3,FALSE)*VLOOKUP($M3,职业分类属性!$A$3:$G$15,9,FALSE))*INDIRECT(ADDRESS(MATCH($M3,职业分类属性!$A$1:$A$15,0),MATCH("法防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法防",职业属性偏向!$B$3:$E$16,14,FALSE),INDIRECT(TEXT($N$1&amp;$N3&amp;"!$B$2:$G$3","")),2,FALSE)/INDIRECT(TEXT($N$1&amp;$N3&amp;"!$H$3","")))*((星级总属性!$L$3)/(星级总属性!$K$3+星级总属性!$L$3)),0)</f>
        <v>#REF!</v>
      </c>
      <c r="AB3" s="46" t="s">
        <v>99</v>
      </c>
    </row>
    <row r="4" spans="1:28" x14ac:dyDescent="0.25">
      <c r="A4" s="32">
        <v>120012</v>
      </c>
      <c r="B4" s="31">
        <v>2</v>
      </c>
      <c r="C4" s="27" t="str">
        <f ca="1">ROUND((VLOOKUP($B4,INDIRECT(TEXT("'"&amp;$L4&amp;"星每级加强属性曲线演算'","")&amp;"!$A$2:$C$100"),3,FALSE)*VLOOKUP($M4,职业分类属性!$A$3:$G$15,7,FALSE))*INDIRECT(ADDRESS(MATCH($M4,职业分类属性!$A$1:$A$15,0),MATCH("生命值",职业分类属性!$A$2:$E$2,0),1,1,"职业分类属性"))*((星级总属性!$K$3)/(星级总属性!$K$3+星级总属性!$L$3))+(VLOOKUP($B4,INDIRECT(TEXT("'"&amp;$L4&amp;"星每级加强属性曲线演算'","")&amp;"!$A$2:$C$100"),3,FALSE)*VLOOKUP($M4,职业分类属性!$A$3:$G$15,7,FALSE))*(HLOOKUP(HLOOKUP("生命值",职业属性偏向!$B$3:$E$16,14,FALSE),INDIRECT(TEXT($N$1&amp;$N4&amp;"!$B$2:$G$3","")),2,FALSE)/INDIRECT(TEXT($N$1&amp;$N4&amp;"!$H$3","")))*((星级总属性!$L$3)/(星级总属性!$K$3+星级总属性!$L$3)),0)&amp;","&amp;ROUND((VLOOKUP($B4,INDIRECT(TEXT("'"&amp;$L4&amp;"星每级加强属性曲线演算'","")&amp;"!$A$2:$C$100"),3,FALSE)*VLOOKUP($M4,职业分类属性!$A$3:$G$15,7,FALSE))*INDIRECT(ADDRESS(MATCH($M4,职业分类属性!$A$1:$A$15,0),MATCH("回复力",职业分类属性!$A$2:$E$2,0),1,1,"职业分类属性"))*((星级总属性!$K$3)/(星级总属性!$K$3+星级总属性!$L$3))+(VLOOKUP($B4,INDIRECT(TEXT("'"&amp;$L4&amp;"星每级加强属性曲线演算'","")&amp;"!$A$2:$C$100"),3,FALSE)*VLOOKUP($M4,职业分类属性!$A$3:$G$15,7,FALSE))*(HLOOKUP(HLOOKUP("回复力",职业属性偏向!$B$3:$E$16,14,FALSE),INDIRECT(TEXT($N$1&amp;$N4&amp;"!$B$2:$G$3","")),2,FALSE)/INDIRECT(TEXT($N$1&amp;$N4&amp;"!$H$3","")))*((星级总属性!$L$3)/(星级总属性!$K$3+星级总属性!$L$3)),0)&amp;","&amp;ROUND((VLOOKUP($B4,INDIRECT(TEXT("'"&amp;$L4&amp;"星每级加强属性曲线演算'","")&amp;"!$A$2:$C$100"),3,FALSE)*VLOOKUP($M4,职业分类属性!$A$3:$G$15,7,FALSE))*INDIRECT(ADDRESS(MATCH($M4,职业分类属性!$A$1:$A$15,0),MATCH("武力",职业分类属性!$A$2:$E$2,0),1,1,"职业分类属性"))*((星级总属性!$K$3)/(星级总属性!$K$3+星级总属性!$L$3))+(VLOOKUP($B4,INDIRECT(TEXT("'"&amp;$L4&amp;"星每级加强属性曲线演算'","")&amp;"!$A$2:$C$100"),3,FALSE)*VLOOKUP($M4,职业分类属性!$A$3:$G$15,7,FALSE))*(HLOOKUP(HLOOKUP("武力",职业属性偏向!$B$3:$E$16,14,FALSE),INDIRECT(TEXT($N$1&amp;$N4&amp;"!$B$2:$G$3","")),2,FALSE)/INDIRECT(TEXT($N$1&amp;$N4&amp;"!$H$3","")))*((星级总属性!$L$3)/(星级总属性!$K$3+星级总属性!$L$3)),0)&amp;","&amp;ROUND((VLOOKUP($B4,INDIRECT(TEXT("'"&amp;$L4&amp;"星每级加强属性曲线演算'","")&amp;"!$A$2:$C$100"),3,FALSE)*VLOOKUP($M4,职业分类属性!$A$3:$G$15,7,FALSE))*INDIRECT(ADDRESS(MATCH($M4,职业分类属性!$A$1:$A$15,0),MATCH("防御",职业分类属性!$A$2:$E$2,0),1,1,"职业分类属性"))*((星级总属性!$K$3)/(星级总属性!$K$3+星级总属性!$L$3))+(VLOOKUP($B4,INDIRECT(TEXT("'"&amp;$L4&amp;"星每级加强属性曲线演算'","")&amp;"!$A$2:$C$100"),3,FALSE)*VLOOKUP($M4,职业分类属性!$A$3:$G$15,7,FALSE))*(HLOOKUP(HLOOKUP("防御",职业属性偏向!$B$3:$E$16,14,FALSE),INDIRECT(TEXT($N$1&amp;$N4&amp;"!$B$2:$G$3","")),2,FALSE)/INDIRECT(TEXT($N$1&amp;$N4&amp;"!$H$3","")))*((星级总属性!$L$3)/(星级总属性!$K$3+星级总属性!$L$3)),0)</f>
        <v>583,142,1155,350</v>
      </c>
      <c r="D4" s="33">
        <f>IF(VLOOKUP($B4,觉醒要求!$A$2:$C$7,2,FALSE)=0,"",VLOOKUP($B4,觉醒要求!$A$2:$C$7,2,FALSE))</f>
        <v>1</v>
      </c>
      <c r="E4" s="33">
        <v>1002</v>
      </c>
      <c r="F4" s="42" t="str">
        <f>IF(VLOOKUP($B4,觉醒要求!$A$2:$C$7,3,FALSE)=0,"",VLOOKUP($B4,觉醒要求!$A$2:$C$7,3,FALSE))</f>
        <v/>
      </c>
      <c r="G4" s="34">
        <v>0</v>
      </c>
      <c r="H4" s="33">
        <v>812010</v>
      </c>
      <c r="I4" s="33" t="s">
        <v>102</v>
      </c>
      <c r="J4" s="33"/>
      <c r="K4" s="33"/>
      <c r="L4" s="2">
        <v>6</v>
      </c>
      <c r="M4" s="2" t="s">
        <v>1</v>
      </c>
      <c r="N4" s="2">
        <v>1</v>
      </c>
      <c r="O4" s="27" t="e">
        <f ca="1">ROUND((VLOOKUP(VALUE(RIGHT(O$1,LEN(O$1)-2)),INDIRECT(TEXT("'"&amp;$L4&amp;"星每级加强属性曲线演算'","")&amp;"!$A$2:$C$100"),3,FALSE)*VLOOKUP($M4,职业分类属性!$A$3:$G$15,9,FALSE))*INDIRECT(ADDRESS(MATCH($M4,职业分类属性!$A$1:$A$15,0),MATCH("生命值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生命值",职业属性偏向!$B$3:$E$16,14,FALSE),INDIRECT(TEXT($N$1&amp;$N4&amp;"!$B$2:$G$3","")),2,FALSE)/INDIRECT(TEXT($N$1&amp;$N4&amp;"!$H$3","")))*((星级总属性!$L$3)/(星级总属性!$K$3+星级总属性!$L$3)),0)&amp;","&amp;ROUND((VLOOKUP(VALUE(RIGHT(O$1,LEN(O$1)-2)),INDIRECT(TEXT("'"&amp;$L4&amp;"星每级加强属性曲线演算'","")&amp;"!$A$2:$C$100"),3,FALSE)*VLOOKUP($M4,职业分类属性!$A$3:$G$15,9,FALSE))*INDIRECT(ADDRESS(MATCH($M4,职业分类属性!$A$1:$A$15,0),MATCH("回复力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回复力",职业属性偏向!$B$3:$E$16,14,FALSE),INDIRECT(TEXT($N$1&amp;$N4&amp;"!$B$2:$G$3","")),2,FALSE)/INDIRECT(TEXT($N$1&amp;$N4&amp;"!$H$3","")))*((星级总属性!$L$3)/(星级总属性!$K$3+星级总属性!$L$3)),0)&amp;","&amp;ROUND((VLOOKUP(VALUE(RIGHT(O$1,LEN(O$1)-2)),INDIRECT(TEXT("'"&amp;$L4&amp;"星每级加强属性曲线演算'","")&amp;"!$A$2:$C$100"),3,FALSE)*VLOOKUP($M4,职业分类属性!$A$3:$G$15,9,FALSE))*INDIRECT(ADDRESS(MATCH($M4,职业分类属性!$A$1:$A$15,0),MATCH("武力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武力",职业属性偏向!$B$3:$E$16,14,FALSE),INDIRECT(TEXT($N$1&amp;$N4&amp;"!$B$2:$G$3","")),2,FALSE)/INDIRECT(TEXT($N$1&amp;$N4&amp;"!$H$3","")))*((星级总属性!$L$3)/(星级总属性!$K$3+星级总属性!$L$3)),0)&amp;","&amp;ROUND((VLOOKUP(VALUE(RIGHT(O$1,LEN(O$1)-2)),INDIRECT(TEXT("'"&amp;$L4&amp;"星每级加强属性曲线演算'","")&amp;"!$A$2:$C$100"),3,FALSE)*VLOOKUP($M4,职业分类属性!$A$3:$G$15,9,FALSE))*INDIRECT(ADDRESS(MATCH($M4,职业分类属性!$A$1:$A$15,0),MATCH("物防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物防",职业属性偏向!$B$3:$E$16,14,FALSE),INDIRECT(TEXT($N$1&amp;$N4&amp;"!$B$2:$G$3","")),2,FALSE)/INDIRECT(TEXT($N$1&amp;$N4&amp;"!$H$3","")))*((星级总属性!$L$3)/(星级总属性!$K$3+星级总属性!$L$3)),0)&amp;","&amp;ROUND((VLOOKUP(VALUE(RIGHT(O$1,LEN(O$1)-2)),INDIRECT(TEXT("'"&amp;$L4&amp;"星每级加强属性曲线演算'","")&amp;"!$A$2:$C$100"),3,FALSE)*VLOOKUP($M4,职业分类属性!$A$3:$G$15,9,FALSE))*INDIRECT(ADDRESS(MATCH($M4,职业分类属性!$A$1:$A$15,0),MATCH("智力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智力",职业属性偏向!$B$3:$E$16,14,FALSE),INDIRECT(TEXT($N$1&amp;$N4&amp;"!$B$2:$G$3","")),2,FALSE)/INDIRECT(TEXT($N$1&amp;$N4&amp;"!$H$3","")))*((星级总属性!$L$3)/(星级总属性!$K$3+星级总属性!$L$3)),0)&amp;","&amp;ROUND((VLOOKUP(VALUE(RIGHT(O$1,LEN(O$1)-2)),INDIRECT(TEXT("'"&amp;$L4&amp;"星每级加强属性曲线演算'","")&amp;"!$A$2:$C$100"),3,FALSE)*VLOOKUP($M4,职业分类属性!$A$3:$G$15,9,FALSE))*INDIRECT(ADDRESS(MATCH($M4,职业分类属性!$A$1:$A$15,0),MATCH("法防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法防",职业属性偏向!$B$3:$E$16,14,FALSE),INDIRECT(TEXT($N$1&amp;$N4&amp;"!$B$2:$G$3","")),2,FALSE)/INDIRECT(TEXT($N$1&amp;$N4&amp;"!$H$3","")))*((星级总属性!$L$3)/(星级总属性!$K$3+星级总属性!$L$3)),0)</f>
        <v>#REF!</v>
      </c>
      <c r="AB4" s="47" t="s">
        <v>100</v>
      </c>
    </row>
    <row r="5" spans="1:28" x14ac:dyDescent="0.25">
      <c r="A5" s="32">
        <v>120012</v>
      </c>
      <c r="B5" s="31">
        <v>3</v>
      </c>
      <c r="C5" s="27" t="str">
        <f ca="1">ROUND((VLOOKUP($B5,INDIRECT(TEXT("'"&amp;$L5&amp;"星每级加强属性曲线演算'","")&amp;"!$A$2:$C$100"),3,FALSE)*VLOOKUP($M5,职业分类属性!$A$3:$G$15,7,FALSE))*INDIRECT(ADDRESS(MATCH($M5,职业分类属性!$A$1:$A$15,0),MATCH("生命值",职业分类属性!$A$2:$E$2,0),1,1,"职业分类属性"))*((星级总属性!$K$3)/(星级总属性!$K$3+星级总属性!$L$3))+(VLOOKUP($B5,INDIRECT(TEXT("'"&amp;$L5&amp;"星每级加强属性曲线演算'","")&amp;"!$A$2:$C$100"),3,FALSE)*VLOOKUP($M5,职业分类属性!$A$3:$G$15,7,FALSE))*(HLOOKUP(HLOOKUP("生命值",职业属性偏向!$B$3:$E$16,14,FALSE),INDIRECT(TEXT($N$1&amp;$N5&amp;"!$B$2:$G$3","")),2,FALSE)/INDIRECT(TEXT($N$1&amp;$N5&amp;"!$H$3","")))*((星级总属性!$L$3)/(星级总属性!$K$3+星级总属性!$L$3)),0)&amp;","&amp;ROUND((VLOOKUP($B5,INDIRECT(TEXT("'"&amp;$L5&amp;"星每级加强属性曲线演算'","")&amp;"!$A$2:$C$100"),3,FALSE)*VLOOKUP($M5,职业分类属性!$A$3:$G$15,7,FALSE))*INDIRECT(ADDRESS(MATCH($M5,职业分类属性!$A$1:$A$15,0),MATCH("回复力",职业分类属性!$A$2:$E$2,0),1,1,"职业分类属性"))*((星级总属性!$K$3)/(星级总属性!$K$3+星级总属性!$L$3))+(VLOOKUP($B5,INDIRECT(TEXT("'"&amp;$L5&amp;"星每级加强属性曲线演算'","")&amp;"!$A$2:$C$100"),3,FALSE)*VLOOKUP($M5,职业分类属性!$A$3:$G$15,7,FALSE))*(HLOOKUP(HLOOKUP("回复力",职业属性偏向!$B$3:$E$16,14,FALSE),INDIRECT(TEXT($N$1&amp;$N5&amp;"!$B$2:$G$3","")),2,FALSE)/INDIRECT(TEXT($N$1&amp;$N5&amp;"!$H$3","")))*((星级总属性!$L$3)/(星级总属性!$K$3+星级总属性!$L$3)),0)&amp;","&amp;ROUND((VLOOKUP($B5,INDIRECT(TEXT("'"&amp;$L5&amp;"星每级加强属性曲线演算'","")&amp;"!$A$2:$C$100"),3,FALSE)*VLOOKUP($M5,职业分类属性!$A$3:$G$15,7,FALSE))*INDIRECT(ADDRESS(MATCH($M5,职业分类属性!$A$1:$A$15,0),MATCH("武力",职业分类属性!$A$2:$E$2,0),1,1,"职业分类属性"))*((星级总属性!$K$3)/(星级总属性!$K$3+星级总属性!$L$3))+(VLOOKUP($B5,INDIRECT(TEXT("'"&amp;$L5&amp;"星每级加强属性曲线演算'","")&amp;"!$A$2:$C$100"),3,FALSE)*VLOOKUP($M5,职业分类属性!$A$3:$G$15,7,FALSE))*(HLOOKUP(HLOOKUP("武力",职业属性偏向!$B$3:$E$16,14,FALSE),INDIRECT(TEXT($N$1&amp;$N5&amp;"!$B$2:$G$3","")),2,FALSE)/INDIRECT(TEXT($N$1&amp;$N5&amp;"!$H$3","")))*((星级总属性!$L$3)/(星级总属性!$K$3+星级总属性!$L$3)),0)&amp;","&amp;ROUND((VLOOKUP($B5,INDIRECT(TEXT("'"&amp;$L5&amp;"星每级加强属性曲线演算'","")&amp;"!$A$2:$C$100"),3,FALSE)*VLOOKUP($M5,职业分类属性!$A$3:$G$15,7,FALSE))*INDIRECT(ADDRESS(MATCH($M5,职业分类属性!$A$1:$A$15,0),MATCH("防御",职业分类属性!$A$2:$E$2,0),1,1,"职业分类属性"))*((星级总属性!$K$3)/(星级总属性!$K$3+星级总属性!$L$3))+(VLOOKUP($B5,INDIRECT(TEXT("'"&amp;$L5&amp;"星每级加强属性曲线演算'","")&amp;"!$A$2:$C$100"),3,FALSE)*VLOOKUP($M5,职业分类属性!$A$3:$G$15,7,FALSE))*(HLOOKUP(HLOOKUP("防御",职业属性偏向!$B$3:$E$16,14,FALSE),INDIRECT(TEXT($N$1&amp;$N5&amp;"!$B$2:$G$3","")),2,FALSE)/INDIRECT(TEXT($N$1&amp;$N5&amp;"!$H$3","")))*((星级总属性!$L$3)/(星级总属性!$K$3+星级总属性!$L$3)),0)</f>
        <v>874,213,1733,524</v>
      </c>
      <c r="D5" s="33">
        <f>IF(VLOOKUP($B5,觉醒要求!$A$2:$C$7,2,FALSE)=0,"",VLOOKUP($B5,觉醒要求!$A$2:$C$7,2,FALSE))</f>
        <v>2</v>
      </c>
      <c r="E5" s="33">
        <v>1003</v>
      </c>
      <c r="F5" s="42" t="str">
        <f>IF(VLOOKUP($B5,觉醒要求!$A$2:$C$7,3,FALSE)=0,"",VLOOKUP($B5,觉醒要求!$A$2:$C$7,3,FALSE))</f>
        <v/>
      </c>
      <c r="G5" s="34"/>
      <c r="H5" s="33"/>
      <c r="I5" s="33"/>
      <c r="J5" s="33"/>
      <c r="K5" s="33"/>
      <c r="L5" s="2">
        <v>6</v>
      </c>
      <c r="M5" s="2" t="s">
        <v>1</v>
      </c>
      <c r="N5" s="2">
        <v>1</v>
      </c>
      <c r="O5" s="27" t="e">
        <f ca="1">ROUND((VLOOKUP(VALUE(RIGHT(O$1,LEN(O$1)-2)),INDIRECT(TEXT("'"&amp;$L5&amp;"星每级加强属性曲线演算'","")&amp;"!$A$2:$C$100"),3,FALSE)*VLOOKUP($M5,职业分类属性!$A$3:$G$15,9,FALSE))*INDIRECT(ADDRESS(MATCH($M5,职业分类属性!$A$1:$A$15,0),MATCH("生命值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生命值",职业属性偏向!$B$3:$E$16,14,FALSE),INDIRECT(TEXT($N$1&amp;$N5&amp;"!$B$2:$G$3","")),2,FALSE)/INDIRECT(TEXT($N$1&amp;$N5&amp;"!$H$3","")))*((星级总属性!$L$3)/(星级总属性!$K$3+星级总属性!$L$3)),0)&amp;","&amp;ROUND((VLOOKUP(VALUE(RIGHT(O$1,LEN(O$1)-2)),INDIRECT(TEXT("'"&amp;$L5&amp;"星每级加强属性曲线演算'","")&amp;"!$A$2:$C$100"),3,FALSE)*VLOOKUP($M5,职业分类属性!$A$3:$G$15,9,FALSE))*INDIRECT(ADDRESS(MATCH($M5,职业分类属性!$A$1:$A$15,0),MATCH("回复力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回复力",职业属性偏向!$B$3:$E$16,14,FALSE),INDIRECT(TEXT($N$1&amp;$N5&amp;"!$B$2:$G$3","")),2,FALSE)/INDIRECT(TEXT($N$1&amp;$N5&amp;"!$H$3","")))*((星级总属性!$L$3)/(星级总属性!$K$3+星级总属性!$L$3)),0)&amp;","&amp;ROUND((VLOOKUP(VALUE(RIGHT(O$1,LEN(O$1)-2)),INDIRECT(TEXT("'"&amp;$L5&amp;"星每级加强属性曲线演算'","")&amp;"!$A$2:$C$100"),3,FALSE)*VLOOKUP($M5,职业分类属性!$A$3:$G$15,9,FALSE))*INDIRECT(ADDRESS(MATCH($M5,职业分类属性!$A$1:$A$15,0),MATCH("武力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武力",职业属性偏向!$B$3:$E$16,14,FALSE),INDIRECT(TEXT($N$1&amp;$N5&amp;"!$B$2:$G$3","")),2,FALSE)/INDIRECT(TEXT($N$1&amp;$N5&amp;"!$H$3","")))*((星级总属性!$L$3)/(星级总属性!$K$3+星级总属性!$L$3)),0)&amp;","&amp;ROUND((VLOOKUP(VALUE(RIGHT(O$1,LEN(O$1)-2)),INDIRECT(TEXT("'"&amp;$L5&amp;"星每级加强属性曲线演算'","")&amp;"!$A$2:$C$100"),3,FALSE)*VLOOKUP($M5,职业分类属性!$A$3:$G$15,9,FALSE))*INDIRECT(ADDRESS(MATCH($M5,职业分类属性!$A$1:$A$15,0),MATCH("物防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物防",职业属性偏向!$B$3:$E$16,14,FALSE),INDIRECT(TEXT($N$1&amp;$N5&amp;"!$B$2:$G$3","")),2,FALSE)/INDIRECT(TEXT($N$1&amp;$N5&amp;"!$H$3","")))*((星级总属性!$L$3)/(星级总属性!$K$3+星级总属性!$L$3)),0)&amp;","&amp;ROUND((VLOOKUP(VALUE(RIGHT(O$1,LEN(O$1)-2)),INDIRECT(TEXT("'"&amp;$L5&amp;"星每级加强属性曲线演算'","")&amp;"!$A$2:$C$100"),3,FALSE)*VLOOKUP($M5,职业分类属性!$A$3:$G$15,9,FALSE))*INDIRECT(ADDRESS(MATCH($M5,职业分类属性!$A$1:$A$15,0),MATCH("智力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智力",职业属性偏向!$B$3:$E$16,14,FALSE),INDIRECT(TEXT($N$1&amp;$N5&amp;"!$B$2:$G$3","")),2,FALSE)/INDIRECT(TEXT($N$1&amp;$N5&amp;"!$H$3","")))*((星级总属性!$L$3)/(星级总属性!$K$3+星级总属性!$L$3)),0)&amp;","&amp;ROUND((VLOOKUP(VALUE(RIGHT(O$1,LEN(O$1)-2)),INDIRECT(TEXT("'"&amp;$L5&amp;"星每级加强属性曲线演算'","")&amp;"!$A$2:$C$100"),3,FALSE)*VLOOKUP($M5,职业分类属性!$A$3:$G$15,9,FALSE))*INDIRECT(ADDRESS(MATCH($M5,职业分类属性!$A$1:$A$15,0),MATCH("法防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法防",职业属性偏向!$B$3:$E$16,14,FALSE),INDIRECT(TEXT($N$1&amp;$N5&amp;"!$B$2:$G$3","")),2,FALSE)/INDIRECT(TEXT($N$1&amp;$N5&amp;"!$H$3","")))*((星级总属性!$L$3)/(星级总属性!$K$3+星级总属性!$L$3)),0)</f>
        <v>#REF!</v>
      </c>
      <c r="AB5" s="47" t="s">
        <v>101</v>
      </c>
    </row>
    <row r="6" spans="1:28" x14ac:dyDescent="0.25">
      <c r="A6" s="32">
        <v>120012</v>
      </c>
      <c r="B6" s="31">
        <v>4</v>
      </c>
      <c r="C6" s="27" t="str">
        <f ca="1">ROUND((VLOOKUP($B6,INDIRECT(TEXT("'"&amp;$L6&amp;"星每级加强属性曲线演算'","")&amp;"!$A$2:$C$100"),3,FALSE)*VLOOKUP($M6,职业分类属性!$A$3:$G$15,7,FALSE))*INDIRECT(ADDRESS(MATCH($M6,职业分类属性!$A$1:$A$15,0),MATCH("生命值",职业分类属性!$A$2:$E$2,0),1,1,"职业分类属性"))*((星级总属性!$K$3)/(星级总属性!$K$3+星级总属性!$L$3))+(VLOOKUP($B6,INDIRECT(TEXT("'"&amp;$L6&amp;"星每级加强属性曲线演算'","")&amp;"!$A$2:$C$100"),3,FALSE)*VLOOKUP($M6,职业分类属性!$A$3:$G$15,7,FALSE))*(HLOOKUP(HLOOKUP("生命值",职业属性偏向!$B$3:$E$16,14,FALSE),INDIRECT(TEXT($N$1&amp;$N6&amp;"!$B$2:$G$3","")),2,FALSE)/INDIRECT(TEXT($N$1&amp;$N6&amp;"!$H$3","")))*((星级总属性!$L$3)/(星级总属性!$K$3+星级总属性!$L$3)),0)&amp;","&amp;ROUND((VLOOKUP($B6,INDIRECT(TEXT("'"&amp;$L6&amp;"星每级加强属性曲线演算'","")&amp;"!$A$2:$C$100"),3,FALSE)*VLOOKUP($M6,职业分类属性!$A$3:$G$15,7,FALSE))*INDIRECT(ADDRESS(MATCH($M6,职业分类属性!$A$1:$A$15,0),MATCH("回复力",职业分类属性!$A$2:$E$2,0),1,1,"职业分类属性"))*((星级总属性!$K$3)/(星级总属性!$K$3+星级总属性!$L$3))+(VLOOKUP($B6,INDIRECT(TEXT("'"&amp;$L6&amp;"星每级加强属性曲线演算'","")&amp;"!$A$2:$C$100"),3,FALSE)*VLOOKUP($M6,职业分类属性!$A$3:$G$15,7,FALSE))*(HLOOKUP(HLOOKUP("回复力",职业属性偏向!$B$3:$E$16,14,FALSE),INDIRECT(TEXT($N$1&amp;$N6&amp;"!$B$2:$G$3","")),2,FALSE)/INDIRECT(TEXT($N$1&amp;$N6&amp;"!$H$3","")))*((星级总属性!$L$3)/(星级总属性!$K$3+星级总属性!$L$3)),0)&amp;","&amp;ROUND((VLOOKUP($B6,INDIRECT(TEXT("'"&amp;$L6&amp;"星每级加强属性曲线演算'","")&amp;"!$A$2:$C$100"),3,FALSE)*VLOOKUP($M6,职业分类属性!$A$3:$G$15,7,FALSE))*INDIRECT(ADDRESS(MATCH($M6,职业分类属性!$A$1:$A$15,0),MATCH("武力",职业分类属性!$A$2:$E$2,0),1,1,"职业分类属性"))*((星级总属性!$K$3)/(星级总属性!$K$3+星级总属性!$L$3))+(VLOOKUP($B6,INDIRECT(TEXT("'"&amp;$L6&amp;"星每级加强属性曲线演算'","")&amp;"!$A$2:$C$100"),3,FALSE)*VLOOKUP($M6,职业分类属性!$A$3:$G$15,7,FALSE))*(HLOOKUP(HLOOKUP("武力",职业属性偏向!$B$3:$E$16,14,FALSE),INDIRECT(TEXT($N$1&amp;$N6&amp;"!$B$2:$G$3","")),2,FALSE)/INDIRECT(TEXT($N$1&amp;$N6&amp;"!$H$3","")))*((星级总属性!$L$3)/(星级总属性!$K$3+星级总属性!$L$3)),0)&amp;","&amp;ROUND((VLOOKUP($B6,INDIRECT(TEXT("'"&amp;$L6&amp;"星每级加强属性曲线演算'","")&amp;"!$A$2:$C$100"),3,FALSE)*VLOOKUP($M6,职业分类属性!$A$3:$G$15,7,FALSE))*INDIRECT(ADDRESS(MATCH($M6,职业分类属性!$A$1:$A$15,0),MATCH("防御",职业分类属性!$A$2:$E$2,0),1,1,"职业分类属性"))*((星级总属性!$K$3)/(星级总属性!$K$3+星级总属性!$L$3))+(VLOOKUP($B6,INDIRECT(TEXT("'"&amp;$L6&amp;"星每级加强属性曲线演算'","")&amp;"!$A$2:$C$100"),3,FALSE)*VLOOKUP($M6,职业分类属性!$A$3:$G$15,7,FALSE))*(HLOOKUP(HLOOKUP("防御",职业属性偏向!$B$3:$E$16,14,FALSE),INDIRECT(TEXT($N$1&amp;$N6&amp;"!$B$2:$G$3","")),2,FALSE)/INDIRECT(TEXT($N$1&amp;$N6&amp;"!$H$3","")))*((星级总属性!$L$3)/(星级总属性!$K$3+星级总属性!$L$3)),0)</f>
        <v>1165,284,2310,699</v>
      </c>
      <c r="D6" s="33">
        <f>IF(VLOOKUP($B6,觉醒要求!$A$2:$C$7,2,FALSE)=0,"",VLOOKUP($B6,觉醒要求!$A$2:$C$7,2,FALSE))</f>
        <v>2</v>
      </c>
      <c r="E6" s="33">
        <v>1004</v>
      </c>
      <c r="F6" s="42" t="str">
        <f>IF(VLOOKUP($B6,觉醒要求!$A$2:$C$7,3,FALSE)=0,"",VLOOKUP($B6,觉醒要求!$A$2:$C$7,3,FALSE))</f>
        <v/>
      </c>
      <c r="G6" s="34"/>
      <c r="H6" s="33"/>
      <c r="I6" s="33"/>
      <c r="J6" s="33"/>
      <c r="K6" s="33"/>
      <c r="L6" s="2">
        <v>6</v>
      </c>
      <c r="M6" s="2" t="s">
        <v>1</v>
      </c>
      <c r="N6" s="2">
        <v>1</v>
      </c>
      <c r="O6" s="27" t="e">
        <f ca="1">ROUND((VLOOKUP(VALUE(RIGHT(O$1,LEN(O$1)-2)),INDIRECT(TEXT("'"&amp;$L6&amp;"星每级加强属性曲线演算'","")&amp;"!$A$2:$C$100"),3,FALSE)*VLOOKUP($M6,职业分类属性!$A$3:$G$15,9,FALSE))*INDIRECT(ADDRESS(MATCH($M6,职业分类属性!$A$1:$A$15,0),MATCH("生命值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生命值",职业属性偏向!$B$3:$E$16,14,FALSE),INDIRECT(TEXT($N$1&amp;$N6&amp;"!$B$2:$G$3","")),2,FALSE)/INDIRECT(TEXT($N$1&amp;$N6&amp;"!$H$3","")))*((星级总属性!$L$3)/(星级总属性!$K$3+星级总属性!$L$3)),0)&amp;","&amp;ROUND((VLOOKUP(VALUE(RIGHT(O$1,LEN(O$1)-2)),INDIRECT(TEXT("'"&amp;$L6&amp;"星每级加强属性曲线演算'","")&amp;"!$A$2:$C$100"),3,FALSE)*VLOOKUP($M6,职业分类属性!$A$3:$G$15,9,FALSE))*INDIRECT(ADDRESS(MATCH($M6,职业分类属性!$A$1:$A$15,0),MATCH("回复力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回复力",职业属性偏向!$B$3:$E$16,14,FALSE),INDIRECT(TEXT($N$1&amp;$N6&amp;"!$B$2:$G$3","")),2,FALSE)/INDIRECT(TEXT($N$1&amp;$N6&amp;"!$H$3","")))*((星级总属性!$L$3)/(星级总属性!$K$3+星级总属性!$L$3)),0)&amp;","&amp;ROUND((VLOOKUP(VALUE(RIGHT(O$1,LEN(O$1)-2)),INDIRECT(TEXT("'"&amp;$L6&amp;"星每级加强属性曲线演算'","")&amp;"!$A$2:$C$100"),3,FALSE)*VLOOKUP($M6,职业分类属性!$A$3:$G$15,9,FALSE))*INDIRECT(ADDRESS(MATCH($M6,职业分类属性!$A$1:$A$15,0),MATCH("武力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武力",职业属性偏向!$B$3:$E$16,14,FALSE),INDIRECT(TEXT($N$1&amp;$N6&amp;"!$B$2:$G$3","")),2,FALSE)/INDIRECT(TEXT($N$1&amp;$N6&amp;"!$H$3","")))*((星级总属性!$L$3)/(星级总属性!$K$3+星级总属性!$L$3)),0)&amp;","&amp;ROUND((VLOOKUP(VALUE(RIGHT(O$1,LEN(O$1)-2)),INDIRECT(TEXT("'"&amp;$L6&amp;"星每级加强属性曲线演算'","")&amp;"!$A$2:$C$100"),3,FALSE)*VLOOKUP($M6,职业分类属性!$A$3:$G$15,9,FALSE))*INDIRECT(ADDRESS(MATCH($M6,职业分类属性!$A$1:$A$15,0),MATCH("物防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物防",职业属性偏向!$B$3:$E$16,14,FALSE),INDIRECT(TEXT($N$1&amp;$N6&amp;"!$B$2:$G$3","")),2,FALSE)/INDIRECT(TEXT($N$1&amp;$N6&amp;"!$H$3","")))*((星级总属性!$L$3)/(星级总属性!$K$3+星级总属性!$L$3)),0)&amp;","&amp;ROUND((VLOOKUP(VALUE(RIGHT(O$1,LEN(O$1)-2)),INDIRECT(TEXT("'"&amp;$L6&amp;"星每级加强属性曲线演算'","")&amp;"!$A$2:$C$100"),3,FALSE)*VLOOKUP($M6,职业分类属性!$A$3:$G$15,9,FALSE))*INDIRECT(ADDRESS(MATCH($M6,职业分类属性!$A$1:$A$15,0),MATCH("智力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智力",职业属性偏向!$B$3:$E$16,14,FALSE),INDIRECT(TEXT($N$1&amp;$N6&amp;"!$B$2:$G$3","")),2,FALSE)/INDIRECT(TEXT($N$1&amp;$N6&amp;"!$H$3","")))*((星级总属性!$L$3)/(星级总属性!$K$3+星级总属性!$L$3)),0)&amp;","&amp;ROUND((VLOOKUP(VALUE(RIGHT(O$1,LEN(O$1)-2)),INDIRECT(TEXT("'"&amp;$L6&amp;"星每级加强属性曲线演算'","")&amp;"!$A$2:$C$100"),3,FALSE)*VLOOKUP($M6,职业分类属性!$A$3:$G$15,9,FALSE))*INDIRECT(ADDRESS(MATCH($M6,职业分类属性!$A$1:$A$15,0),MATCH("法防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法防",职业属性偏向!$B$3:$E$16,14,FALSE),INDIRECT(TEXT($N$1&amp;$N6&amp;"!$B$2:$G$3","")),2,FALSE)/INDIRECT(TEXT($N$1&amp;$N6&amp;"!$H$3","")))*((星级总属性!$L$3)/(星级总属性!$K$3+星级总属性!$L$3)),0)</f>
        <v>#REF!</v>
      </c>
    </row>
    <row r="7" spans="1:28" x14ac:dyDescent="0.25">
      <c r="A7" s="32">
        <v>120012</v>
      </c>
      <c r="B7" s="31">
        <v>5</v>
      </c>
      <c r="C7" s="27" t="str">
        <f ca="1">ROUND((VLOOKUP($B7,INDIRECT(TEXT("'"&amp;$L7&amp;"星每级加强属性曲线演算'","")&amp;"!$A$2:$C$100"),3,FALSE)*VLOOKUP($M7,职业分类属性!$A$3:$G$15,7,FALSE))*INDIRECT(ADDRESS(MATCH($M7,职业分类属性!$A$1:$A$15,0),MATCH("生命值",职业分类属性!$A$2:$E$2,0),1,1,"职业分类属性"))*((星级总属性!$K$3)/(星级总属性!$K$3+星级总属性!$L$3))+(VLOOKUP($B7,INDIRECT(TEXT("'"&amp;$L7&amp;"星每级加强属性曲线演算'","")&amp;"!$A$2:$C$100"),3,FALSE)*VLOOKUP($M7,职业分类属性!$A$3:$G$15,7,FALSE))*(HLOOKUP(HLOOKUP("生命值",职业属性偏向!$B$3:$E$16,14,FALSE),INDIRECT(TEXT($N$1&amp;$N7&amp;"!$B$2:$G$3","")),2,FALSE)/INDIRECT(TEXT($N$1&amp;$N7&amp;"!$H$3","")))*((星级总属性!$L$3)/(星级总属性!$K$3+星级总属性!$L$3)),0)&amp;","&amp;ROUND((VLOOKUP($B7,INDIRECT(TEXT("'"&amp;$L7&amp;"星每级加强属性曲线演算'","")&amp;"!$A$2:$C$100"),3,FALSE)*VLOOKUP($M7,职业分类属性!$A$3:$G$15,7,FALSE))*INDIRECT(ADDRESS(MATCH($M7,职业分类属性!$A$1:$A$15,0),MATCH("回复力",职业分类属性!$A$2:$E$2,0),1,1,"职业分类属性"))*((星级总属性!$K$3)/(星级总属性!$K$3+星级总属性!$L$3))+(VLOOKUP($B7,INDIRECT(TEXT("'"&amp;$L7&amp;"星每级加强属性曲线演算'","")&amp;"!$A$2:$C$100"),3,FALSE)*VLOOKUP($M7,职业分类属性!$A$3:$G$15,7,FALSE))*(HLOOKUP(HLOOKUP("回复力",职业属性偏向!$B$3:$E$16,14,FALSE),INDIRECT(TEXT($N$1&amp;$N7&amp;"!$B$2:$G$3","")),2,FALSE)/INDIRECT(TEXT($N$1&amp;$N7&amp;"!$H$3","")))*((星级总属性!$L$3)/(星级总属性!$K$3+星级总属性!$L$3)),0)&amp;","&amp;ROUND((VLOOKUP($B7,INDIRECT(TEXT("'"&amp;$L7&amp;"星每级加强属性曲线演算'","")&amp;"!$A$2:$C$100"),3,FALSE)*VLOOKUP($M7,职业分类属性!$A$3:$G$15,7,FALSE))*INDIRECT(ADDRESS(MATCH($M7,职业分类属性!$A$1:$A$15,0),MATCH("武力",职业分类属性!$A$2:$E$2,0),1,1,"职业分类属性"))*((星级总属性!$K$3)/(星级总属性!$K$3+星级总属性!$L$3))+(VLOOKUP($B7,INDIRECT(TEXT("'"&amp;$L7&amp;"星每级加强属性曲线演算'","")&amp;"!$A$2:$C$100"),3,FALSE)*VLOOKUP($M7,职业分类属性!$A$3:$G$15,7,FALSE))*(HLOOKUP(HLOOKUP("武力",职业属性偏向!$B$3:$E$16,14,FALSE),INDIRECT(TEXT($N$1&amp;$N7&amp;"!$B$2:$G$3","")),2,FALSE)/INDIRECT(TEXT($N$1&amp;$N7&amp;"!$H$3","")))*((星级总属性!$L$3)/(星级总属性!$K$3+星级总属性!$L$3)),0)&amp;","&amp;ROUND((VLOOKUP($B7,INDIRECT(TEXT("'"&amp;$L7&amp;"星每级加强属性曲线演算'","")&amp;"!$A$2:$C$100"),3,FALSE)*VLOOKUP($M7,职业分类属性!$A$3:$G$15,7,FALSE))*INDIRECT(ADDRESS(MATCH($M7,职业分类属性!$A$1:$A$15,0),MATCH("防御",职业分类属性!$A$2:$E$2,0),1,1,"职业分类属性"))*((星级总属性!$K$3)/(星级总属性!$K$3+星级总属性!$L$3))+(VLOOKUP($B7,INDIRECT(TEXT("'"&amp;$L7&amp;"星每级加强属性曲线演算'","")&amp;"!$A$2:$C$100"),3,FALSE)*VLOOKUP($M7,职业分类属性!$A$3:$G$15,7,FALSE))*(HLOOKUP(HLOOKUP("防御",职业属性偏向!$B$3:$E$16,14,FALSE),INDIRECT(TEXT($N$1&amp;$N7&amp;"!$B$2:$G$3","")),2,FALSE)/INDIRECT(TEXT($N$1&amp;$N7&amp;"!$H$3","")))*((星级总属性!$L$3)/(星级总属性!$K$3+星级总属性!$L$3)),0)</f>
        <v>1457,355,2888,874</v>
      </c>
      <c r="D7" s="33">
        <f>IF(VLOOKUP($B7,觉醒要求!$A$2:$C$7,2,FALSE)=0,"",VLOOKUP($B7,觉醒要求!$A$2:$C$7,2,FALSE))</f>
        <v>3</v>
      </c>
      <c r="E7" s="33">
        <v>1005</v>
      </c>
      <c r="F7" s="42" t="str">
        <f>IF(VLOOKUP($B7,觉醒要求!$A$2:$C$7,3,FALSE)=0,"",VLOOKUP($B7,觉醒要求!$A$2:$C$7,3,FALSE))</f>
        <v/>
      </c>
      <c r="G7" s="34"/>
      <c r="H7" s="33"/>
      <c r="I7" s="33"/>
      <c r="J7" s="33"/>
      <c r="K7" s="33"/>
      <c r="L7" s="2">
        <v>6</v>
      </c>
      <c r="M7" s="2" t="s">
        <v>1</v>
      </c>
      <c r="N7" s="2">
        <v>1</v>
      </c>
      <c r="O7" s="27" t="e">
        <f ca="1">ROUND((VLOOKUP(VALUE(RIGHT(O$1,LEN(O$1)-2)),INDIRECT(TEXT("'"&amp;$L7&amp;"星每级加强属性曲线演算'","")&amp;"!$A$2:$C$100"),3,FALSE)*VLOOKUP($M7,职业分类属性!$A$3:$G$15,9,FALSE))*INDIRECT(ADDRESS(MATCH($M7,职业分类属性!$A$1:$A$15,0),MATCH("生命值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生命值",职业属性偏向!$B$3:$E$16,14,FALSE),INDIRECT(TEXT($N$1&amp;$N7&amp;"!$B$2:$G$3","")),2,FALSE)/INDIRECT(TEXT($N$1&amp;$N7&amp;"!$H$3","")))*((星级总属性!$L$3)/(星级总属性!$K$3+星级总属性!$L$3)),0)&amp;","&amp;ROUND((VLOOKUP(VALUE(RIGHT(O$1,LEN(O$1)-2)),INDIRECT(TEXT("'"&amp;$L7&amp;"星每级加强属性曲线演算'","")&amp;"!$A$2:$C$100"),3,FALSE)*VLOOKUP($M7,职业分类属性!$A$3:$G$15,9,FALSE))*INDIRECT(ADDRESS(MATCH($M7,职业分类属性!$A$1:$A$15,0),MATCH("回复力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回复力",职业属性偏向!$B$3:$E$16,14,FALSE),INDIRECT(TEXT($N$1&amp;$N7&amp;"!$B$2:$G$3","")),2,FALSE)/INDIRECT(TEXT($N$1&amp;$N7&amp;"!$H$3","")))*((星级总属性!$L$3)/(星级总属性!$K$3+星级总属性!$L$3)),0)&amp;","&amp;ROUND((VLOOKUP(VALUE(RIGHT(O$1,LEN(O$1)-2)),INDIRECT(TEXT("'"&amp;$L7&amp;"星每级加强属性曲线演算'","")&amp;"!$A$2:$C$100"),3,FALSE)*VLOOKUP($M7,职业分类属性!$A$3:$G$15,9,FALSE))*INDIRECT(ADDRESS(MATCH($M7,职业分类属性!$A$1:$A$15,0),MATCH("武力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武力",职业属性偏向!$B$3:$E$16,14,FALSE),INDIRECT(TEXT($N$1&amp;$N7&amp;"!$B$2:$G$3","")),2,FALSE)/INDIRECT(TEXT($N$1&amp;$N7&amp;"!$H$3","")))*((星级总属性!$L$3)/(星级总属性!$K$3+星级总属性!$L$3)),0)&amp;","&amp;ROUND((VLOOKUP(VALUE(RIGHT(O$1,LEN(O$1)-2)),INDIRECT(TEXT("'"&amp;$L7&amp;"星每级加强属性曲线演算'","")&amp;"!$A$2:$C$100"),3,FALSE)*VLOOKUP($M7,职业分类属性!$A$3:$G$15,9,FALSE))*INDIRECT(ADDRESS(MATCH($M7,职业分类属性!$A$1:$A$15,0),MATCH("物防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物防",职业属性偏向!$B$3:$E$16,14,FALSE),INDIRECT(TEXT($N$1&amp;$N7&amp;"!$B$2:$G$3","")),2,FALSE)/INDIRECT(TEXT($N$1&amp;$N7&amp;"!$H$3","")))*((星级总属性!$L$3)/(星级总属性!$K$3+星级总属性!$L$3)),0)&amp;","&amp;ROUND((VLOOKUP(VALUE(RIGHT(O$1,LEN(O$1)-2)),INDIRECT(TEXT("'"&amp;$L7&amp;"星每级加强属性曲线演算'","")&amp;"!$A$2:$C$100"),3,FALSE)*VLOOKUP($M7,职业分类属性!$A$3:$G$15,9,FALSE))*INDIRECT(ADDRESS(MATCH($M7,职业分类属性!$A$1:$A$15,0),MATCH("智力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智力",职业属性偏向!$B$3:$E$16,14,FALSE),INDIRECT(TEXT($N$1&amp;$N7&amp;"!$B$2:$G$3","")),2,FALSE)/INDIRECT(TEXT($N$1&amp;$N7&amp;"!$H$3","")))*((星级总属性!$L$3)/(星级总属性!$K$3+星级总属性!$L$3)),0)&amp;","&amp;ROUND((VLOOKUP(VALUE(RIGHT(O$1,LEN(O$1)-2)),INDIRECT(TEXT("'"&amp;$L7&amp;"星每级加强属性曲线演算'","")&amp;"!$A$2:$C$100"),3,FALSE)*VLOOKUP($M7,职业分类属性!$A$3:$G$15,9,FALSE))*INDIRECT(ADDRESS(MATCH($M7,职业分类属性!$A$1:$A$15,0),MATCH("法防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法防",职业属性偏向!$B$3:$E$16,14,FALSE),INDIRECT(TEXT($N$1&amp;$N7&amp;"!$B$2:$G$3","")),2,FALSE)/INDIRECT(TEXT($N$1&amp;$N7&amp;"!$H$3","")))*((星级总属性!$L$3)/(星级总属性!$K$3+星级总属性!$L$3)),0)</f>
        <v>#REF!</v>
      </c>
    </row>
    <row r="8" spans="1:28" x14ac:dyDescent="0.25">
      <c r="A8" s="32">
        <v>120012</v>
      </c>
      <c r="B8" s="31">
        <v>0</v>
      </c>
      <c r="C8" s="27" t="str">
        <f ca="1">ROUND((VLOOKUP($B8,INDIRECT(TEXT("'"&amp;$L8&amp;"星每级加强属性曲线演算'","")&amp;"!$A$2:$C$100"),3,FALSE)*VLOOKUP($M8,职业分类属性!$A$3:$G$15,7,FALSE))*INDIRECT(ADDRESS(MATCH($M8,职业分类属性!$A$1:$A$15,0),MATCH("生命值",职业分类属性!$A$2:$E$2,0),1,1,"职业分类属性"))*((星级总属性!$K$3)/(星级总属性!$K$3+星级总属性!$L$3))+(VLOOKUP($B8,INDIRECT(TEXT("'"&amp;$L8&amp;"星每级加强属性曲线演算'","")&amp;"!$A$2:$C$100"),3,FALSE)*VLOOKUP($M8,职业分类属性!$A$3:$G$15,7,FALSE))*(HLOOKUP(HLOOKUP("生命值",职业属性偏向!$B$3:$E$16,14,FALSE),INDIRECT(TEXT($N$1&amp;$N8&amp;"!$B$2:$G$3","")),2,FALSE)/INDIRECT(TEXT($N$1&amp;$N8&amp;"!$H$3","")))*((星级总属性!$L$3)/(星级总属性!$K$3+星级总属性!$L$3)),0)&amp;","&amp;ROUND((VLOOKUP($B8,INDIRECT(TEXT("'"&amp;$L8&amp;"星每级加强属性曲线演算'","")&amp;"!$A$2:$C$100"),3,FALSE)*VLOOKUP($M8,职业分类属性!$A$3:$G$15,7,FALSE))*INDIRECT(ADDRESS(MATCH($M8,职业分类属性!$A$1:$A$15,0),MATCH("回复力",职业分类属性!$A$2:$E$2,0),1,1,"职业分类属性"))*((星级总属性!$K$3)/(星级总属性!$K$3+星级总属性!$L$3))+(VLOOKUP($B8,INDIRECT(TEXT("'"&amp;$L8&amp;"星每级加强属性曲线演算'","")&amp;"!$A$2:$C$100"),3,FALSE)*VLOOKUP($M8,职业分类属性!$A$3:$G$15,7,FALSE))*(HLOOKUP(HLOOKUP("回复力",职业属性偏向!$B$3:$E$16,14,FALSE),INDIRECT(TEXT($N$1&amp;$N8&amp;"!$B$2:$G$3","")),2,FALSE)/INDIRECT(TEXT($N$1&amp;$N8&amp;"!$H$3","")))*((星级总属性!$L$3)/(星级总属性!$K$3+星级总属性!$L$3)),0)&amp;","&amp;ROUND((VLOOKUP($B8,INDIRECT(TEXT("'"&amp;$L8&amp;"星每级加强属性曲线演算'","")&amp;"!$A$2:$C$100"),3,FALSE)*VLOOKUP($M8,职业分类属性!$A$3:$G$15,7,FALSE))*INDIRECT(ADDRESS(MATCH($M8,职业分类属性!$A$1:$A$15,0),MATCH("武力",职业分类属性!$A$2:$E$2,0),1,1,"职业分类属性"))*((星级总属性!$K$3)/(星级总属性!$K$3+星级总属性!$L$3))+(VLOOKUP($B8,INDIRECT(TEXT("'"&amp;$L8&amp;"星每级加强属性曲线演算'","")&amp;"!$A$2:$C$100"),3,FALSE)*VLOOKUP($M8,职业分类属性!$A$3:$G$15,7,FALSE))*(HLOOKUP(HLOOKUP("武力",职业属性偏向!$B$3:$E$16,14,FALSE),INDIRECT(TEXT($N$1&amp;$N8&amp;"!$B$2:$G$3","")),2,FALSE)/INDIRECT(TEXT($N$1&amp;$N8&amp;"!$H$3","")))*((星级总属性!$L$3)/(星级总属性!$K$3+星级总属性!$L$3)),0)&amp;","&amp;ROUND((VLOOKUP($B8,INDIRECT(TEXT("'"&amp;$L8&amp;"星每级加强属性曲线演算'","")&amp;"!$A$2:$C$100"),3,FALSE)*VLOOKUP($M8,职业分类属性!$A$3:$G$15,7,FALSE))*INDIRECT(ADDRESS(MATCH($M8,职业分类属性!$A$1:$A$15,0),MATCH("防御",职业分类属性!$A$2:$E$2,0),1,1,"职业分类属性"))*((星级总属性!$K$3)/(星级总属性!$K$3+星级总属性!$L$3))+(VLOOKUP($B8,INDIRECT(TEXT("'"&amp;$L8&amp;"星每级加强属性曲线演算'","")&amp;"!$A$2:$C$100"),3,FALSE)*VLOOKUP($M8,职业分类属性!$A$3:$G$15,7,FALSE))*(HLOOKUP(HLOOKUP("防御",职业属性偏向!$B$3:$E$16,14,FALSE),INDIRECT(TEXT($N$1&amp;$N8&amp;"!$B$2:$G$3","")),2,FALSE)/INDIRECT(TEXT($N$1&amp;$N8&amp;"!$H$3","")))*((星级总属性!$L$3)/(星级总属性!$K$3+星级总属性!$L$3)),0)</f>
        <v>0,0,0,0</v>
      </c>
      <c r="D8" s="33" t="str">
        <f>IF(VLOOKUP($B8,觉醒要求!$A$2:$C$7,2,FALSE)=0,"",VLOOKUP($B8,觉醒要求!$A$2:$C$7,2,FALSE))</f>
        <v/>
      </c>
      <c r="E8" s="33">
        <v>1006</v>
      </c>
      <c r="F8" s="42" t="str">
        <f>IF(VLOOKUP($B8,觉醒要求!$A$2:$C$7,3,FALSE)=0,"",VLOOKUP($B8,觉醒要求!$A$2:$C$7,3,FALSE))</f>
        <v/>
      </c>
      <c r="G8" s="34">
        <v>0</v>
      </c>
      <c r="H8" s="33">
        <v>812011</v>
      </c>
      <c r="I8" s="33" t="s">
        <v>103</v>
      </c>
      <c r="J8" s="33"/>
      <c r="K8" s="33"/>
      <c r="L8" s="2">
        <v>5</v>
      </c>
      <c r="M8" s="2" t="s">
        <v>4</v>
      </c>
      <c r="N8" s="2">
        <v>1</v>
      </c>
      <c r="O8" s="27" t="e">
        <f ca="1">ROUND((VLOOKUP(VALUE(RIGHT(O$1,LEN(O$1)-2)),INDIRECT(TEXT("'"&amp;$L8&amp;"星每级加强属性曲线演算'","")&amp;"!$A$2:$C$100"),3,FALSE)*VLOOKUP($M8,职业分类属性!$A$3:$G$15,9,FALSE))*INDIRECT(ADDRESS(MATCH($M8,职业分类属性!$A$1:$A$15,0),MATCH("生命值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生命值",职业属性偏向!$B$3:$E$16,14,FALSE),INDIRECT(TEXT($N$1&amp;$N8&amp;"!$B$2:$G$3","")),2,FALSE)/INDIRECT(TEXT($N$1&amp;$N8&amp;"!$H$3","")))*((星级总属性!$L$3)/(星级总属性!$K$3+星级总属性!$L$3)),0)&amp;","&amp;ROUND((VLOOKUP(VALUE(RIGHT(O$1,LEN(O$1)-2)),INDIRECT(TEXT("'"&amp;$L8&amp;"星每级加强属性曲线演算'","")&amp;"!$A$2:$C$100"),3,FALSE)*VLOOKUP($M8,职业分类属性!$A$3:$G$15,9,FALSE))*INDIRECT(ADDRESS(MATCH($M8,职业分类属性!$A$1:$A$15,0),MATCH("回复力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回复力",职业属性偏向!$B$3:$E$16,14,FALSE),INDIRECT(TEXT($N$1&amp;$N8&amp;"!$B$2:$G$3","")),2,FALSE)/INDIRECT(TEXT($N$1&amp;$N8&amp;"!$H$3","")))*((星级总属性!$L$3)/(星级总属性!$K$3+星级总属性!$L$3)),0)&amp;","&amp;ROUND((VLOOKUP(VALUE(RIGHT(O$1,LEN(O$1)-2)),INDIRECT(TEXT("'"&amp;$L8&amp;"星每级加强属性曲线演算'","")&amp;"!$A$2:$C$100"),3,FALSE)*VLOOKUP($M8,职业分类属性!$A$3:$G$15,9,FALSE))*INDIRECT(ADDRESS(MATCH($M8,职业分类属性!$A$1:$A$15,0),MATCH("武力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武力",职业属性偏向!$B$3:$E$16,14,FALSE),INDIRECT(TEXT($N$1&amp;$N8&amp;"!$B$2:$G$3","")),2,FALSE)/INDIRECT(TEXT($N$1&amp;$N8&amp;"!$H$3","")))*((星级总属性!$L$3)/(星级总属性!$K$3+星级总属性!$L$3)),0)&amp;","&amp;ROUND((VLOOKUP(VALUE(RIGHT(O$1,LEN(O$1)-2)),INDIRECT(TEXT("'"&amp;$L8&amp;"星每级加强属性曲线演算'","")&amp;"!$A$2:$C$100"),3,FALSE)*VLOOKUP($M8,职业分类属性!$A$3:$G$15,9,FALSE))*INDIRECT(ADDRESS(MATCH($M8,职业分类属性!$A$1:$A$15,0),MATCH("物防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物防",职业属性偏向!$B$3:$E$16,14,FALSE),INDIRECT(TEXT($N$1&amp;$N8&amp;"!$B$2:$G$3","")),2,FALSE)/INDIRECT(TEXT($N$1&amp;$N8&amp;"!$H$3","")))*((星级总属性!$L$3)/(星级总属性!$K$3+星级总属性!$L$3)),0)&amp;","&amp;ROUND((VLOOKUP(VALUE(RIGHT(O$1,LEN(O$1)-2)),INDIRECT(TEXT("'"&amp;$L8&amp;"星每级加强属性曲线演算'","")&amp;"!$A$2:$C$100"),3,FALSE)*VLOOKUP($M8,职业分类属性!$A$3:$G$15,9,FALSE))*INDIRECT(ADDRESS(MATCH($M8,职业分类属性!$A$1:$A$15,0),MATCH("智力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智力",职业属性偏向!$B$3:$E$16,14,FALSE),INDIRECT(TEXT($N$1&amp;$N8&amp;"!$B$2:$G$3","")),2,FALSE)/INDIRECT(TEXT($N$1&amp;$N8&amp;"!$H$3","")))*((星级总属性!$L$3)/(星级总属性!$K$3+星级总属性!$L$3)),0)&amp;","&amp;ROUND((VLOOKUP(VALUE(RIGHT(O$1,LEN(O$1)-2)),INDIRECT(TEXT("'"&amp;$L8&amp;"星每级加强属性曲线演算'","")&amp;"!$A$2:$C$100"),3,FALSE)*VLOOKUP($M8,职业分类属性!$A$3:$G$15,9,FALSE))*INDIRECT(ADDRESS(MATCH($M8,职业分类属性!$A$1:$A$15,0),MATCH("法防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法防",职业属性偏向!$B$3:$E$16,14,FALSE),INDIRECT(TEXT($N$1&amp;$N8&amp;"!$B$2:$G$3","")),2,FALSE)/INDIRECT(TEXT($N$1&amp;$N8&amp;"!$H$3","")))*((星级总属性!$L$3)/(星级总属性!$K$3+星级总属性!$L$3)),0)</f>
        <v>#REF!</v>
      </c>
    </row>
    <row r="9" spans="1:28" x14ac:dyDescent="0.25">
      <c r="A9">
        <v>550015</v>
      </c>
      <c r="B9" s="13">
        <v>1</v>
      </c>
      <c r="C9" s="27" t="str">
        <f ca="1">ROUND((VLOOKUP($B9,INDIRECT(TEXT("'"&amp;$L9&amp;"星每级加强属性曲线演算'","")&amp;"!$A$2:$C$100"),3,FALSE)*VLOOKUP($M9,职业分类属性!$A$3:$G$15,7,FALSE))*INDIRECT(ADDRESS(MATCH($M9,职业分类属性!$A$1:$A$15,0),MATCH("生命值",职业分类属性!$A$2:$E$2,0),1,1,"职业分类属性"))*((星级总属性!$K$3)/(星级总属性!$K$3+星级总属性!$L$3))+(VLOOKUP($B9,INDIRECT(TEXT("'"&amp;$L9&amp;"星每级加强属性曲线演算'","")&amp;"!$A$2:$C$100"),3,FALSE)*VLOOKUP($M9,职业分类属性!$A$3:$G$15,7,FALSE))*(HLOOKUP(HLOOKUP("生命值",职业属性偏向!$B$3:$E$16,14,FALSE),INDIRECT(TEXT($N$1&amp;$N9&amp;"!$B$2:$G$3","")),2,FALSE)/INDIRECT(TEXT($N$1&amp;$N9&amp;"!$H$3","")))*((星级总属性!$L$3)/(星级总属性!$K$3+星级总属性!$L$3)),0)&amp;","&amp;ROUND((VLOOKUP($B9,INDIRECT(TEXT("'"&amp;$L9&amp;"星每级加强属性曲线演算'","")&amp;"!$A$2:$C$100"),3,FALSE)*VLOOKUP($M9,职业分类属性!$A$3:$G$15,7,FALSE))*INDIRECT(ADDRESS(MATCH($M9,职业分类属性!$A$1:$A$15,0),MATCH("回复力",职业分类属性!$A$2:$E$2,0),1,1,"职业分类属性"))*((星级总属性!$K$3)/(星级总属性!$K$3+星级总属性!$L$3))+(VLOOKUP($B9,INDIRECT(TEXT("'"&amp;$L9&amp;"星每级加强属性曲线演算'","")&amp;"!$A$2:$C$100"),3,FALSE)*VLOOKUP($M9,职业分类属性!$A$3:$G$15,7,FALSE))*(HLOOKUP(HLOOKUP("回复力",职业属性偏向!$B$3:$E$16,14,FALSE),INDIRECT(TEXT($N$1&amp;$N9&amp;"!$B$2:$G$3","")),2,FALSE)/INDIRECT(TEXT($N$1&amp;$N9&amp;"!$H$3","")))*((星级总属性!$L$3)/(星级总属性!$K$3+星级总属性!$L$3)),0)&amp;","&amp;ROUND((VLOOKUP($B9,INDIRECT(TEXT("'"&amp;$L9&amp;"星每级加强属性曲线演算'","")&amp;"!$A$2:$C$100"),3,FALSE)*VLOOKUP($M9,职业分类属性!$A$3:$G$15,7,FALSE))*INDIRECT(ADDRESS(MATCH($M9,职业分类属性!$A$1:$A$15,0),MATCH("武力",职业分类属性!$A$2:$E$2,0),1,1,"职业分类属性"))*((星级总属性!$K$3)/(星级总属性!$K$3+星级总属性!$L$3))+(VLOOKUP($B9,INDIRECT(TEXT("'"&amp;$L9&amp;"星每级加强属性曲线演算'","")&amp;"!$A$2:$C$100"),3,FALSE)*VLOOKUP($M9,职业分类属性!$A$3:$G$15,7,FALSE))*(HLOOKUP(HLOOKUP("武力",职业属性偏向!$B$3:$E$16,14,FALSE),INDIRECT(TEXT($N$1&amp;$N9&amp;"!$B$2:$G$3","")),2,FALSE)/INDIRECT(TEXT($N$1&amp;$N9&amp;"!$H$3","")))*((星级总属性!$L$3)/(星级总属性!$K$3+星级总属性!$L$3)),0)&amp;","&amp;ROUND((VLOOKUP($B9,INDIRECT(TEXT("'"&amp;$L9&amp;"星每级加强属性曲线演算'","")&amp;"!$A$2:$C$100"),3,FALSE)*VLOOKUP($M9,职业分类属性!$A$3:$G$15,7,FALSE))*INDIRECT(ADDRESS(MATCH($M9,职业分类属性!$A$1:$A$15,0),MATCH("防御",职业分类属性!$A$2:$E$2,0),1,1,"职业分类属性"))*((星级总属性!$K$3)/(星级总属性!$K$3+星级总属性!$L$3))+(VLOOKUP($B9,INDIRECT(TEXT("'"&amp;$L9&amp;"星每级加强属性曲线演算'","")&amp;"!$A$2:$C$100"),3,FALSE)*VLOOKUP($M9,职业分类属性!$A$3:$G$15,7,FALSE))*(HLOOKUP(HLOOKUP("防御",职业属性偏向!$B$3:$E$16,14,FALSE),INDIRECT(TEXT($N$1&amp;$N9&amp;"!$B$2:$G$3","")),2,FALSE)/INDIRECT(TEXT($N$1&amp;$N9&amp;"!$H$3","")))*((星级总属性!$L$3)/(星级总属性!$K$3+星级总属性!$L$3)),0)</f>
        <v>99,22,489,107</v>
      </c>
      <c r="D9" s="33">
        <f>IF(VLOOKUP($B9,觉醒要求!$A$2:$C$7,2,FALSE)=0,"",VLOOKUP($B9,觉醒要求!$A$2:$C$7,2,FALSE))</f>
        <v>1</v>
      </c>
      <c r="E9" s="33">
        <v>1007</v>
      </c>
      <c r="F9" s="42" t="str">
        <f>IF(VLOOKUP($B9,觉醒要求!$A$2:$C$7,3,FALSE)=0,"",VLOOKUP($B9,觉醒要求!$A$2:$C$7,3,FALSE))</f>
        <v/>
      </c>
      <c r="L9" s="2">
        <f t="shared" ref="L9:L13" si="0">L8</f>
        <v>5</v>
      </c>
      <c r="M9" s="2" t="str">
        <f t="shared" ref="M9:M13" si="1">M8</f>
        <v>盗贼</v>
      </c>
      <c r="N9" s="2">
        <v>1</v>
      </c>
      <c r="O9" s="27" t="e">
        <f ca="1">ROUND((VLOOKUP(VALUE(RIGHT(O$1,LEN(O$1)-2)),INDIRECT(TEXT("'"&amp;$L9&amp;"星每级加强属性曲线演算'","")&amp;"!$A$2:$C$100"),3,FALSE)*VLOOKUP($M9,职业分类属性!$A$3:$G$15,9,FALSE))*INDIRECT(ADDRESS(MATCH($M9,职业分类属性!$A$1:$A$15,0),MATCH("生命值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生命值",职业属性偏向!$B$3:$E$16,14,FALSE),INDIRECT(TEXT($N$1&amp;$N9&amp;"!$B$2:$G$3","")),2,FALSE)/INDIRECT(TEXT($N$1&amp;$N9&amp;"!$H$3","")))*((星级总属性!$L$3)/(星级总属性!$K$3+星级总属性!$L$3)),0)&amp;","&amp;ROUND((VLOOKUP(VALUE(RIGHT(O$1,LEN(O$1)-2)),INDIRECT(TEXT("'"&amp;$L9&amp;"星每级加强属性曲线演算'","")&amp;"!$A$2:$C$100"),3,FALSE)*VLOOKUP($M9,职业分类属性!$A$3:$G$15,9,FALSE))*INDIRECT(ADDRESS(MATCH($M9,职业分类属性!$A$1:$A$15,0),MATCH("回复力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回复力",职业属性偏向!$B$3:$E$16,14,FALSE),INDIRECT(TEXT($N$1&amp;$N9&amp;"!$B$2:$G$3","")),2,FALSE)/INDIRECT(TEXT($N$1&amp;$N9&amp;"!$H$3","")))*((星级总属性!$L$3)/(星级总属性!$K$3+星级总属性!$L$3)),0)&amp;","&amp;ROUND((VLOOKUP(VALUE(RIGHT(O$1,LEN(O$1)-2)),INDIRECT(TEXT("'"&amp;$L9&amp;"星每级加强属性曲线演算'","")&amp;"!$A$2:$C$100"),3,FALSE)*VLOOKUP($M9,职业分类属性!$A$3:$G$15,9,FALSE))*INDIRECT(ADDRESS(MATCH($M9,职业分类属性!$A$1:$A$15,0),MATCH("武力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武力",职业属性偏向!$B$3:$E$16,14,FALSE),INDIRECT(TEXT($N$1&amp;$N9&amp;"!$B$2:$G$3","")),2,FALSE)/INDIRECT(TEXT($N$1&amp;$N9&amp;"!$H$3","")))*((星级总属性!$L$3)/(星级总属性!$K$3+星级总属性!$L$3)),0)&amp;","&amp;ROUND((VLOOKUP(VALUE(RIGHT(O$1,LEN(O$1)-2)),INDIRECT(TEXT("'"&amp;$L9&amp;"星每级加强属性曲线演算'","")&amp;"!$A$2:$C$100"),3,FALSE)*VLOOKUP($M9,职业分类属性!$A$3:$G$15,9,FALSE))*INDIRECT(ADDRESS(MATCH($M9,职业分类属性!$A$1:$A$15,0),MATCH("物防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物防",职业属性偏向!$B$3:$E$16,14,FALSE),INDIRECT(TEXT($N$1&amp;$N9&amp;"!$B$2:$G$3","")),2,FALSE)/INDIRECT(TEXT($N$1&amp;$N9&amp;"!$H$3","")))*((星级总属性!$L$3)/(星级总属性!$K$3+星级总属性!$L$3)),0)&amp;","&amp;ROUND((VLOOKUP(VALUE(RIGHT(O$1,LEN(O$1)-2)),INDIRECT(TEXT("'"&amp;$L9&amp;"星每级加强属性曲线演算'","")&amp;"!$A$2:$C$100"),3,FALSE)*VLOOKUP($M9,职业分类属性!$A$3:$G$15,9,FALSE))*INDIRECT(ADDRESS(MATCH($M9,职业分类属性!$A$1:$A$15,0),MATCH("智力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智力",职业属性偏向!$B$3:$E$16,14,FALSE),INDIRECT(TEXT($N$1&amp;$N9&amp;"!$B$2:$G$3","")),2,FALSE)/INDIRECT(TEXT($N$1&amp;$N9&amp;"!$H$3","")))*((星级总属性!$L$3)/(星级总属性!$K$3+星级总属性!$L$3)),0)&amp;","&amp;ROUND((VLOOKUP(VALUE(RIGHT(O$1,LEN(O$1)-2)),INDIRECT(TEXT("'"&amp;$L9&amp;"星每级加强属性曲线演算'","")&amp;"!$A$2:$C$100"),3,FALSE)*VLOOKUP($M9,职业分类属性!$A$3:$G$15,9,FALSE))*INDIRECT(ADDRESS(MATCH($M9,职业分类属性!$A$1:$A$15,0),MATCH("法防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法防",职业属性偏向!$B$3:$E$16,14,FALSE),INDIRECT(TEXT($N$1&amp;$N9&amp;"!$B$2:$G$3","")),2,FALSE)/INDIRECT(TEXT($N$1&amp;$N9&amp;"!$H$3","")))*((星级总属性!$L$3)/(星级总属性!$K$3+星级总属性!$L$3)),0)</f>
        <v>#REF!</v>
      </c>
    </row>
    <row r="10" spans="1:28" x14ac:dyDescent="0.25">
      <c r="A10">
        <v>550015</v>
      </c>
      <c r="B10" s="13">
        <v>2</v>
      </c>
      <c r="C10" s="27" t="str">
        <f ca="1">ROUND((VLOOKUP($B10,INDIRECT(TEXT("'"&amp;$L10&amp;"星每级加强属性曲线演算'","")&amp;"!$A$2:$C$100"),3,FALSE)*VLOOKUP($M10,职业分类属性!$A$3:$G$15,7,FALSE))*INDIRECT(ADDRESS(MATCH($M10,职业分类属性!$A$1:$A$15,0),MATCH("生命值",职业分类属性!$A$2:$E$2,0),1,1,"职业分类属性"))*((星级总属性!$K$3)/(星级总属性!$K$3+星级总属性!$L$3))+(VLOOKUP($B10,INDIRECT(TEXT("'"&amp;$L10&amp;"星每级加强属性曲线演算'","")&amp;"!$A$2:$C$100"),3,FALSE)*VLOOKUP($M10,职业分类属性!$A$3:$G$15,7,FALSE))*(HLOOKUP(HLOOKUP("生命值",职业属性偏向!$B$3:$E$16,14,FALSE),INDIRECT(TEXT($N$1&amp;$N10&amp;"!$B$2:$G$3","")),2,FALSE)/INDIRECT(TEXT($N$1&amp;$N10&amp;"!$H$3","")))*((星级总属性!$L$3)/(星级总属性!$K$3+星级总属性!$L$3)),0)&amp;","&amp;ROUND((VLOOKUP($B10,INDIRECT(TEXT("'"&amp;$L10&amp;"星每级加强属性曲线演算'","")&amp;"!$A$2:$C$100"),3,FALSE)*VLOOKUP($M10,职业分类属性!$A$3:$G$15,7,FALSE))*INDIRECT(ADDRESS(MATCH($M10,职业分类属性!$A$1:$A$15,0),MATCH("回复力",职业分类属性!$A$2:$E$2,0),1,1,"职业分类属性"))*((星级总属性!$K$3)/(星级总属性!$K$3+星级总属性!$L$3))+(VLOOKUP($B10,INDIRECT(TEXT("'"&amp;$L10&amp;"星每级加强属性曲线演算'","")&amp;"!$A$2:$C$100"),3,FALSE)*VLOOKUP($M10,职业分类属性!$A$3:$G$15,7,FALSE))*(HLOOKUP(HLOOKUP("回复力",职业属性偏向!$B$3:$E$16,14,FALSE),INDIRECT(TEXT($N$1&amp;$N10&amp;"!$B$2:$G$3","")),2,FALSE)/INDIRECT(TEXT($N$1&amp;$N10&amp;"!$H$3","")))*((星级总属性!$L$3)/(星级总属性!$K$3+星级总属性!$L$3)),0)&amp;","&amp;ROUND((VLOOKUP($B10,INDIRECT(TEXT("'"&amp;$L10&amp;"星每级加强属性曲线演算'","")&amp;"!$A$2:$C$100"),3,FALSE)*VLOOKUP($M10,职业分类属性!$A$3:$G$15,7,FALSE))*INDIRECT(ADDRESS(MATCH($M10,职业分类属性!$A$1:$A$15,0),MATCH("武力",职业分类属性!$A$2:$E$2,0),1,1,"职业分类属性"))*((星级总属性!$K$3)/(星级总属性!$K$3+星级总属性!$L$3))+(VLOOKUP($B10,INDIRECT(TEXT("'"&amp;$L10&amp;"星每级加强属性曲线演算'","")&amp;"!$A$2:$C$100"),3,FALSE)*VLOOKUP($M10,职业分类属性!$A$3:$G$15,7,FALSE))*(HLOOKUP(HLOOKUP("武力",职业属性偏向!$B$3:$E$16,14,FALSE),INDIRECT(TEXT($N$1&amp;$N10&amp;"!$B$2:$G$3","")),2,FALSE)/INDIRECT(TEXT($N$1&amp;$N10&amp;"!$H$3","")))*((星级总属性!$L$3)/(星级总属性!$K$3+星级总属性!$L$3)),0)&amp;","&amp;ROUND((VLOOKUP($B10,INDIRECT(TEXT("'"&amp;$L10&amp;"星每级加强属性曲线演算'","")&amp;"!$A$2:$C$100"),3,FALSE)*VLOOKUP($M10,职业分类属性!$A$3:$G$15,7,FALSE))*INDIRECT(ADDRESS(MATCH($M10,职业分类属性!$A$1:$A$15,0),MATCH("防御",职业分类属性!$A$2:$E$2,0),1,1,"职业分类属性"))*((星级总属性!$K$3)/(星级总属性!$K$3+星级总属性!$L$3))+(VLOOKUP($B10,INDIRECT(TEXT("'"&amp;$L10&amp;"星每级加强属性曲线演算'","")&amp;"!$A$2:$C$100"),3,FALSE)*VLOOKUP($M10,职业分类属性!$A$3:$G$15,7,FALSE))*(HLOOKUP(HLOOKUP("防御",职业属性偏向!$B$3:$E$16,14,FALSE),INDIRECT(TEXT($N$1&amp;$N10&amp;"!$B$2:$G$3","")),2,FALSE)/INDIRECT(TEXT($N$1&amp;$N10&amp;"!$H$3","")))*((星级总属性!$L$3)/(星级总属性!$K$3+星级总属性!$L$3)),0)</f>
        <v>199,44,977,213</v>
      </c>
      <c r="D10" s="33">
        <f>IF(VLOOKUP($B10,觉醒要求!$A$2:$C$7,2,FALSE)=0,"",VLOOKUP($B10,觉醒要求!$A$2:$C$7,2,FALSE))</f>
        <v>1</v>
      </c>
      <c r="E10" s="33">
        <v>1008</v>
      </c>
      <c r="F10" s="42" t="str">
        <f>IF(VLOOKUP($B10,觉醒要求!$A$2:$C$7,3,FALSE)=0,"",VLOOKUP($B10,觉醒要求!$A$2:$C$7,3,FALSE))</f>
        <v/>
      </c>
      <c r="G10" s="30"/>
      <c r="L10" s="2">
        <f t="shared" si="0"/>
        <v>5</v>
      </c>
      <c r="M10" s="2" t="str">
        <f t="shared" si="1"/>
        <v>盗贼</v>
      </c>
      <c r="N10" s="2">
        <f t="shared" ref="N10:N18" si="2">N9</f>
        <v>1</v>
      </c>
      <c r="O10" s="27" t="e">
        <f ca="1">ROUND((VLOOKUP(VALUE(RIGHT(O$1,LEN(O$1)-2)),INDIRECT(TEXT("'"&amp;$L10&amp;"星每级加强属性曲线演算'","")&amp;"!$A$2:$C$100"),3,FALSE)*VLOOKUP($M10,职业分类属性!$A$3:$G$15,9,FALSE))*INDIRECT(ADDRESS(MATCH($M10,职业分类属性!$A$1:$A$15,0),MATCH("生命值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生命值",职业属性偏向!$B$3:$E$16,14,FALSE),INDIRECT(TEXT($N$1&amp;$N10&amp;"!$B$2:$G$3","")),2,FALSE)/INDIRECT(TEXT($N$1&amp;$N10&amp;"!$H$3","")))*((星级总属性!$L$3)/(星级总属性!$K$3+星级总属性!$L$3)),0)&amp;","&amp;ROUND((VLOOKUP(VALUE(RIGHT(O$1,LEN(O$1)-2)),INDIRECT(TEXT("'"&amp;$L10&amp;"星每级加强属性曲线演算'","")&amp;"!$A$2:$C$100"),3,FALSE)*VLOOKUP($M10,职业分类属性!$A$3:$G$15,9,FALSE))*INDIRECT(ADDRESS(MATCH($M10,职业分类属性!$A$1:$A$15,0),MATCH("回复力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回复力",职业属性偏向!$B$3:$E$16,14,FALSE),INDIRECT(TEXT($N$1&amp;$N10&amp;"!$B$2:$G$3","")),2,FALSE)/INDIRECT(TEXT($N$1&amp;$N10&amp;"!$H$3","")))*((星级总属性!$L$3)/(星级总属性!$K$3+星级总属性!$L$3)),0)&amp;","&amp;ROUND((VLOOKUP(VALUE(RIGHT(O$1,LEN(O$1)-2)),INDIRECT(TEXT("'"&amp;$L10&amp;"星每级加强属性曲线演算'","")&amp;"!$A$2:$C$100"),3,FALSE)*VLOOKUP($M10,职业分类属性!$A$3:$G$15,9,FALSE))*INDIRECT(ADDRESS(MATCH($M10,职业分类属性!$A$1:$A$15,0),MATCH("武力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武力",职业属性偏向!$B$3:$E$16,14,FALSE),INDIRECT(TEXT($N$1&amp;$N10&amp;"!$B$2:$G$3","")),2,FALSE)/INDIRECT(TEXT($N$1&amp;$N10&amp;"!$H$3","")))*((星级总属性!$L$3)/(星级总属性!$K$3+星级总属性!$L$3)),0)&amp;","&amp;ROUND((VLOOKUP(VALUE(RIGHT(O$1,LEN(O$1)-2)),INDIRECT(TEXT("'"&amp;$L10&amp;"星每级加强属性曲线演算'","")&amp;"!$A$2:$C$100"),3,FALSE)*VLOOKUP($M10,职业分类属性!$A$3:$G$15,9,FALSE))*INDIRECT(ADDRESS(MATCH($M10,职业分类属性!$A$1:$A$15,0),MATCH("物防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物防",职业属性偏向!$B$3:$E$16,14,FALSE),INDIRECT(TEXT($N$1&amp;$N10&amp;"!$B$2:$G$3","")),2,FALSE)/INDIRECT(TEXT($N$1&amp;$N10&amp;"!$H$3","")))*((星级总属性!$L$3)/(星级总属性!$K$3+星级总属性!$L$3)),0)&amp;","&amp;ROUND((VLOOKUP(VALUE(RIGHT(O$1,LEN(O$1)-2)),INDIRECT(TEXT("'"&amp;$L10&amp;"星每级加强属性曲线演算'","")&amp;"!$A$2:$C$100"),3,FALSE)*VLOOKUP($M10,职业分类属性!$A$3:$G$15,9,FALSE))*INDIRECT(ADDRESS(MATCH($M10,职业分类属性!$A$1:$A$15,0),MATCH("智力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智力",职业属性偏向!$B$3:$E$16,14,FALSE),INDIRECT(TEXT($N$1&amp;$N10&amp;"!$B$2:$G$3","")),2,FALSE)/INDIRECT(TEXT($N$1&amp;$N10&amp;"!$H$3","")))*((星级总属性!$L$3)/(星级总属性!$K$3+星级总属性!$L$3)),0)&amp;","&amp;ROUND((VLOOKUP(VALUE(RIGHT(O$1,LEN(O$1)-2)),INDIRECT(TEXT("'"&amp;$L10&amp;"星每级加强属性曲线演算'","")&amp;"!$A$2:$C$100"),3,FALSE)*VLOOKUP($M10,职业分类属性!$A$3:$G$15,9,FALSE))*INDIRECT(ADDRESS(MATCH($M10,职业分类属性!$A$1:$A$15,0),MATCH("法防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法防",职业属性偏向!$B$3:$E$16,14,FALSE),INDIRECT(TEXT($N$1&amp;$N10&amp;"!$B$2:$G$3","")),2,FALSE)/INDIRECT(TEXT($N$1&amp;$N10&amp;"!$H$3","")))*((星级总属性!$L$3)/(星级总属性!$K$3+星级总属性!$L$3)),0)</f>
        <v>#REF!</v>
      </c>
    </row>
    <row r="11" spans="1:28" x14ac:dyDescent="0.25">
      <c r="A11">
        <v>550015</v>
      </c>
      <c r="B11" s="13">
        <v>3</v>
      </c>
      <c r="C11" s="27" t="str">
        <f ca="1">ROUND((VLOOKUP($B11,INDIRECT(TEXT("'"&amp;$L11&amp;"星每级加强属性曲线演算'","")&amp;"!$A$2:$C$100"),3,FALSE)*VLOOKUP($M11,职业分类属性!$A$3:$G$15,7,FALSE))*INDIRECT(ADDRESS(MATCH($M11,职业分类属性!$A$1:$A$15,0),MATCH("生命值",职业分类属性!$A$2:$E$2,0),1,1,"职业分类属性"))*((星级总属性!$K$3)/(星级总属性!$K$3+星级总属性!$L$3))+(VLOOKUP($B11,INDIRECT(TEXT("'"&amp;$L11&amp;"星每级加强属性曲线演算'","")&amp;"!$A$2:$C$100"),3,FALSE)*VLOOKUP($M11,职业分类属性!$A$3:$G$15,7,FALSE))*(HLOOKUP(HLOOKUP("生命值",职业属性偏向!$B$3:$E$16,14,FALSE),INDIRECT(TEXT($N$1&amp;$N11&amp;"!$B$2:$G$3","")),2,FALSE)/INDIRECT(TEXT($N$1&amp;$N11&amp;"!$H$3","")))*((星级总属性!$L$3)/(星级总属性!$K$3+星级总属性!$L$3)),0)&amp;","&amp;ROUND((VLOOKUP($B11,INDIRECT(TEXT("'"&amp;$L11&amp;"星每级加强属性曲线演算'","")&amp;"!$A$2:$C$100"),3,FALSE)*VLOOKUP($M11,职业分类属性!$A$3:$G$15,7,FALSE))*INDIRECT(ADDRESS(MATCH($M11,职业分类属性!$A$1:$A$15,0),MATCH("回复力",职业分类属性!$A$2:$E$2,0),1,1,"职业分类属性"))*((星级总属性!$K$3)/(星级总属性!$K$3+星级总属性!$L$3))+(VLOOKUP($B11,INDIRECT(TEXT("'"&amp;$L11&amp;"星每级加强属性曲线演算'","")&amp;"!$A$2:$C$100"),3,FALSE)*VLOOKUP($M11,职业分类属性!$A$3:$G$15,7,FALSE))*(HLOOKUP(HLOOKUP("回复力",职业属性偏向!$B$3:$E$16,14,FALSE),INDIRECT(TEXT($N$1&amp;$N11&amp;"!$B$2:$G$3","")),2,FALSE)/INDIRECT(TEXT($N$1&amp;$N11&amp;"!$H$3","")))*((星级总属性!$L$3)/(星级总属性!$K$3+星级总属性!$L$3)),0)&amp;","&amp;ROUND((VLOOKUP($B11,INDIRECT(TEXT("'"&amp;$L11&amp;"星每级加强属性曲线演算'","")&amp;"!$A$2:$C$100"),3,FALSE)*VLOOKUP($M11,职业分类属性!$A$3:$G$15,7,FALSE))*INDIRECT(ADDRESS(MATCH($M11,职业分类属性!$A$1:$A$15,0),MATCH("武力",职业分类属性!$A$2:$E$2,0),1,1,"职业分类属性"))*((星级总属性!$K$3)/(星级总属性!$K$3+星级总属性!$L$3))+(VLOOKUP($B11,INDIRECT(TEXT("'"&amp;$L11&amp;"星每级加强属性曲线演算'","")&amp;"!$A$2:$C$100"),3,FALSE)*VLOOKUP($M11,职业分类属性!$A$3:$G$15,7,FALSE))*(HLOOKUP(HLOOKUP("武力",职业属性偏向!$B$3:$E$16,14,FALSE),INDIRECT(TEXT($N$1&amp;$N11&amp;"!$B$2:$G$3","")),2,FALSE)/INDIRECT(TEXT($N$1&amp;$N11&amp;"!$H$3","")))*((星级总属性!$L$3)/(星级总属性!$K$3+星级总属性!$L$3)),0)&amp;","&amp;ROUND((VLOOKUP($B11,INDIRECT(TEXT("'"&amp;$L11&amp;"星每级加强属性曲线演算'","")&amp;"!$A$2:$C$100"),3,FALSE)*VLOOKUP($M11,职业分类属性!$A$3:$G$15,7,FALSE))*INDIRECT(ADDRESS(MATCH($M11,职业分类属性!$A$1:$A$15,0),MATCH("防御",职业分类属性!$A$2:$E$2,0),1,1,"职业分类属性"))*((星级总属性!$K$3)/(星级总属性!$K$3+星级总属性!$L$3))+(VLOOKUP($B11,INDIRECT(TEXT("'"&amp;$L11&amp;"星每级加强属性曲线演算'","")&amp;"!$A$2:$C$100"),3,FALSE)*VLOOKUP($M11,职业分类属性!$A$3:$G$15,7,FALSE))*(HLOOKUP(HLOOKUP("防御",职业属性偏向!$B$3:$E$16,14,FALSE),INDIRECT(TEXT($N$1&amp;$N11&amp;"!$B$2:$G$3","")),2,FALSE)/INDIRECT(TEXT($N$1&amp;$N11&amp;"!$H$3","")))*((星级总属性!$L$3)/(星级总属性!$K$3+星级总属性!$L$3)),0)</f>
        <v>298,66,1466,320</v>
      </c>
      <c r="D11" s="33">
        <f>IF(VLOOKUP($B11,觉醒要求!$A$2:$C$7,2,FALSE)=0,"",VLOOKUP($B11,觉醒要求!$A$2:$C$7,2,FALSE))</f>
        <v>2</v>
      </c>
      <c r="E11" s="33">
        <v>1009</v>
      </c>
      <c r="F11" s="42" t="str">
        <f>IF(VLOOKUP($B11,觉醒要求!$A$2:$C$7,3,FALSE)=0,"",VLOOKUP($B11,觉醒要求!$A$2:$C$7,3,FALSE))</f>
        <v/>
      </c>
      <c r="G11" s="30">
        <v>0</v>
      </c>
      <c r="H11" s="28">
        <v>855010</v>
      </c>
      <c r="I11" s="33" t="s">
        <v>102</v>
      </c>
      <c r="L11" s="1">
        <f t="shared" si="0"/>
        <v>5</v>
      </c>
      <c r="M11" s="1" t="str">
        <f t="shared" si="1"/>
        <v>盗贼</v>
      </c>
      <c r="N11" s="2">
        <f t="shared" si="2"/>
        <v>1</v>
      </c>
      <c r="O11" s="27" t="e">
        <f ca="1">ROUND((VLOOKUP(VALUE(RIGHT(O$1,LEN(O$1)-2)),INDIRECT(TEXT("'"&amp;$L11&amp;"星每级加强属性曲线演算'","")&amp;"!$A$2:$C$100"),3,FALSE)*VLOOKUP($M11,职业分类属性!$A$3:$G$15,9,FALSE))*INDIRECT(ADDRESS(MATCH($M11,职业分类属性!$A$1:$A$15,0),MATCH("生命值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生命值",职业属性偏向!$B$3:$E$16,14,FALSE),INDIRECT(TEXT($N$1&amp;$N11&amp;"!$B$2:$G$3","")),2,FALSE)/INDIRECT(TEXT($N$1&amp;$N11&amp;"!$H$3","")))*((星级总属性!$L$3)/(星级总属性!$K$3+星级总属性!$L$3)),0)&amp;","&amp;ROUND((VLOOKUP(VALUE(RIGHT(O$1,LEN(O$1)-2)),INDIRECT(TEXT("'"&amp;$L11&amp;"星每级加强属性曲线演算'","")&amp;"!$A$2:$C$100"),3,FALSE)*VLOOKUP($M11,职业分类属性!$A$3:$G$15,9,FALSE))*INDIRECT(ADDRESS(MATCH($M11,职业分类属性!$A$1:$A$15,0),MATCH("回复力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回复力",职业属性偏向!$B$3:$E$16,14,FALSE),INDIRECT(TEXT($N$1&amp;$N11&amp;"!$B$2:$G$3","")),2,FALSE)/INDIRECT(TEXT($N$1&amp;$N11&amp;"!$H$3","")))*((星级总属性!$L$3)/(星级总属性!$K$3+星级总属性!$L$3)),0)&amp;","&amp;ROUND((VLOOKUP(VALUE(RIGHT(O$1,LEN(O$1)-2)),INDIRECT(TEXT("'"&amp;$L11&amp;"星每级加强属性曲线演算'","")&amp;"!$A$2:$C$100"),3,FALSE)*VLOOKUP($M11,职业分类属性!$A$3:$G$15,9,FALSE))*INDIRECT(ADDRESS(MATCH($M11,职业分类属性!$A$1:$A$15,0),MATCH("武力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武力",职业属性偏向!$B$3:$E$16,14,FALSE),INDIRECT(TEXT($N$1&amp;$N11&amp;"!$B$2:$G$3","")),2,FALSE)/INDIRECT(TEXT($N$1&amp;$N11&amp;"!$H$3","")))*((星级总属性!$L$3)/(星级总属性!$K$3+星级总属性!$L$3)),0)&amp;","&amp;ROUND((VLOOKUP(VALUE(RIGHT(O$1,LEN(O$1)-2)),INDIRECT(TEXT("'"&amp;$L11&amp;"星每级加强属性曲线演算'","")&amp;"!$A$2:$C$100"),3,FALSE)*VLOOKUP($M11,职业分类属性!$A$3:$G$15,9,FALSE))*INDIRECT(ADDRESS(MATCH($M11,职业分类属性!$A$1:$A$15,0),MATCH("物防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物防",职业属性偏向!$B$3:$E$16,14,FALSE),INDIRECT(TEXT($N$1&amp;$N11&amp;"!$B$2:$G$3","")),2,FALSE)/INDIRECT(TEXT($N$1&amp;$N11&amp;"!$H$3","")))*((星级总属性!$L$3)/(星级总属性!$K$3+星级总属性!$L$3)),0)&amp;","&amp;ROUND((VLOOKUP(VALUE(RIGHT(O$1,LEN(O$1)-2)),INDIRECT(TEXT("'"&amp;$L11&amp;"星每级加强属性曲线演算'","")&amp;"!$A$2:$C$100"),3,FALSE)*VLOOKUP($M11,职业分类属性!$A$3:$G$15,9,FALSE))*INDIRECT(ADDRESS(MATCH($M11,职业分类属性!$A$1:$A$15,0),MATCH("智力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智力",职业属性偏向!$B$3:$E$16,14,FALSE),INDIRECT(TEXT($N$1&amp;$N11&amp;"!$B$2:$G$3","")),2,FALSE)/INDIRECT(TEXT($N$1&amp;$N11&amp;"!$H$3","")))*((星级总属性!$L$3)/(星级总属性!$K$3+星级总属性!$L$3)),0)&amp;","&amp;ROUND((VLOOKUP(VALUE(RIGHT(O$1,LEN(O$1)-2)),INDIRECT(TEXT("'"&amp;$L11&amp;"星每级加强属性曲线演算'","")&amp;"!$A$2:$C$100"),3,FALSE)*VLOOKUP($M11,职业分类属性!$A$3:$G$15,9,FALSE))*INDIRECT(ADDRESS(MATCH($M11,职业分类属性!$A$1:$A$15,0),MATCH("法防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法防",职业属性偏向!$B$3:$E$16,14,FALSE),INDIRECT(TEXT($N$1&amp;$N11&amp;"!$B$2:$G$3","")),2,FALSE)/INDIRECT(TEXT($N$1&amp;$N11&amp;"!$H$3","")))*((星级总属性!$L$3)/(星级总属性!$K$3+星级总属性!$L$3)),0)</f>
        <v>#REF!</v>
      </c>
    </row>
    <row r="12" spans="1:28" x14ac:dyDescent="0.25">
      <c r="A12">
        <v>550015</v>
      </c>
      <c r="B12" s="13">
        <v>4</v>
      </c>
      <c r="C12" s="27" t="str">
        <f ca="1">ROUND((VLOOKUP($B12,INDIRECT(TEXT("'"&amp;$L12&amp;"星每级加强属性曲线演算'","")&amp;"!$A$2:$C$100"),3,FALSE)*VLOOKUP($M12,职业分类属性!$A$3:$G$15,7,FALSE))*INDIRECT(ADDRESS(MATCH($M12,职业分类属性!$A$1:$A$15,0),MATCH("生命值",职业分类属性!$A$2:$E$2,0),1,1,"职业分类属性"))*((星级总属性!$K$3)/(星级总属性!$K$3+星级总属性!$L$3))+(VLOOKUP($B12,INDIRECT(TEXT("'"&amp;$L12&amp;"星每级加强属性曲线演算'","")&amp;"!$A$2:$C$100"),3,FALSE)*VLOOKUP($M12,职业分类属性!$A$3:$G$15,7,FALSE))*(HLOOKUP(HLOOKUP("生命值",职业属性偏向!$B$3:$E$16,14,FALSE),INDIRECT(TEXT($N$1&amp;$N12&amp;"!$B$2:$G$3","")),2,FALSE)/INDIRECT(TEXT($N$1&amp;$N12&amp;"!$H$3","")))*((星级总属性!$L$3)/(星级总属性!$K$3+星级总属性!$L$3)),0)&amp;","&amp;ROUND((VLOOKUP($B12,INDIRECT(TEXT("'"&amp;$L12&amp;"星每级加强属性曲线演算'","")&amp;"!$A$2:$C$100"),3,FALSE)*VLOOKUP($M12,职业分类属性!$A$3:$G$15,7,FALSE))*INDIRECT(ADDRESS(MATCH($M12,职业分类属性!$A$1:$A$15,0),MATCH("回复力",职业分类属性!$A$2:$E$2,0),1,1,"职业分类属性"))*((星级总属性!$K$3)/(星级总属性!$K$3+星级总属性!$L$3))+(VLOOKUP($B12,INDIRECT(TEXT("'"&amp;$L12&amp;"星每级加强属性曲线演算'","")&amp;"!$A$2:$C$100"),3,FALSE)*VLOOKUP($M12,职业分类属性!$A$3:$G$15,7,FALSE))*(HLOOKUP(HLOOKUP("回复力",职业属性偏向!$B$3:$E$16,14,FALSE),INDIRECT(TEXT($N$1&amp;$N12&amp;"!$B$2:$G$3","")),2,FALSE)/INDIRECT(TEXT($N$1&amp;$N12&amp;"!$H$3","")))*((星级总属性!$L$3)/(星级总属性!$K$3+星级总属性!$L$3)),0)&amp;","&amp;ROUND((VLOOKUP($B12,INDIRECT(TEXT("'"&amp;$L12&amp;"星每级加强属性曲线演算'","")&amp;"!$A$2:$C$100"),3,FALSE)*VLOOKUP($M12,职业分类属性!$A$3:$G$15,7,FALSE))*INDIRECT(ADDRESS(MATCH($M12,职业分类属性!$A$1:$A$15,0),MATCH("武力",职业分类属性!$A$2:$E$2,0),1,1,"职业分类属性"))*((星级总属性!$K$3)/(星级总属性!$K$3+星级总属性!$L$3))+(VLOOKUP($B12,INDIRECT(TEXT("'"&amp;$L12&amp;"星每级加强属性曲线演算'","")&amp;"!$A$2:$C$100"),3,FALSE)*VLOOKUP($M12,职业分类属性!$A$3:$G$15,7,FALSE))*(HLOOKUP(HLOOKUP("武力",职业属性偏向!$B$3:$E$16,14,FALSE),INDIRECT(TEXT($N$1&amp;$N12&amp;"!$B$2:$G$3","")),2,FALSE)/INDIRECT(TEXT($N$1&amp;$N12&amp;"!$H$3","")))*((星级总属性!$L$3)/(星级总属性!$K$3+星级总属性!$L$3)),0)&amp;","&amp;ROUND((VLOOKUP($B12,INDIRECT(TEXT("'"&amp;$L12&amp;"星每级加强属性曲线演算'","")&amp;"!$A$2:$C$100"),3,FALSE)*VLOOKUP($M12,职业分类属性!$A$3:$G$15,7,FALSE))*INDIRECT(ADDRESS(MATCH($M12,职业分类属性!$A$1:$A$15,0),MATCH("防御",职业分类属性!$A$2:$E$2,0),1,1,"职业分类属性"))*((星级总属性!$K$3)/(星级总属性!$K$3+星级总属性!$L$3))+(VLOOKUP($B12,INDIRECT(TEXT("'"&amp;$L12&amp;"星每级加强属性曲线演算'","")&amp;"!$A$2:$C$100"),3,FALSE)*VLOOKUP($M12,职业分类属性!$A$3:$G$15,7,FALSE))*(HLOOKUP(HLOOKUP("防御",职业属性偏向!$B$3:$E$16,14,FALSE),INDIRECT(TEXT($N$1&amp;$N12&amp;"!$B$2:$G$3","")),2,FALSE)/INDIRECT(TEXT($N$1&amp;$N12&amp;"!$H$3","")))*((星级总属性!$L$3)/(星级总属性!$K$3+星级总属性!$L$3)),0)</f>
        <v>397,89,1954,426</v>
      </c>
      <c r="D12" s="33">
        <f>IF(VLOOKUP($B12,觉醒要求!$A$2:$C$7,2,FALSE)=0,"",VLOOKUP($B12,觉醒要求!$A$2:$C$7,2,FALSE))</f>
        <v>2</v>
      </c>
      <c r="E12" s="33">
        <v>1010</v>
      </c>
      <c r="F12" s="42" t="str">
        <f>IF(VLOOKUP($B12,觉醒要求!$A$2:$C$7,3,FALSE)=0,"",VLOOKUP($B12,觉醒要求!$A$2:$C$7,3,FALSE))</f>
        <v/>
      </c>
      <c r="G12" s="30"/>
      <c r="L12" s="1">
        <f t="shared" si="0"/>
        <v>5</v>
      </c>
      <c r="M12" s="1" t="str">
        <f t="shared" si="1"/>
        <v>盗贼</v>
      </c>
      <c r="N12" s="1">
        <f t="shared" si="2"/>
        <v>1</v>
      </c>
      <c r="O12" s="27" t="e">
        <f ca="1">ROUND((VLOOKUP(VALUE(RIGHT(O$1,LEN(O$1)-2)),INDIRECT(TEXT("'"&amp;$L12&amp;"星每级加强属性曲线演算'","")&amp;"!$A$2:$C$100"),3,FALSE)*VLOOKUP($M12,职业分类属性!$A$3:$G$15,9,FALSE))*INDIRECT(ADDRESS(MATCH($M12,职业分类属性!$A$1:$A$15,0),MATCH("生命值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生命值",职业属性偏向!$B$3:$E$16,14,FALSE),INDIRECT(TEXT($N$1&amp;$N12&amp;"!$B$2:$G$3","")),2,FALSE)/INDIRECT(TEXT($N$1&amp;$N12&amp;"!$H$3","")))*((星级总属性!$L$3)/(星级总属性!$K$3+星级总属性!$L$3)),0)&amp;","&amp;ROUND((VLOOKUP(VALUE(RIGHT(O$1,LEN(O$1)-2)),INDIRECT(TEXT("'"&amp;$L12&amp;"星每级加强属性曲线演算'","")&amp;"!$A$2:$C$100"),3,FALSE)*VLOOKUP($M12,职业分类属性!$A$3:$G$15,9,FALSE))*INDIRECT(ADDRESS(MATCH($M12,职业分类属性!$A$1:$A$15,0),MATCH("回复力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回复力",职业属性偏向!$B$3:$E$16,14,FALSE),INDIRECT(TEXT($N$1&amp;$N12&amp;"!$B$2:$G$3","")),2,FALSE)/INDIRECT(TEXT($N$1&amp;$N12&amp;"!$H$3","")))*((星级总属性!$L$3)/(星级总属性!$K$3+星级总属性!$L$3)),0)&amp;","&amp;ROUND((VLOOKUP(VALUE(RIGHT(O$1,LEN(O$1)-2)),INDIRECT(TEXT("'"&amp;$L12&amp;"星每级加强属性曲线演算'","")&amp;"!$A$2:$C$100"),3,FALSE)*VLOOKUP($M12,职业分类属性!$A$3:$G$15,9,FALSE))*INDIRECT(ADDRESS(MATCH($M12,职业分类属性!$A$1:$A$15,0),MATCH("武力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武力",职业属性偏向!$B$3:$E$16,14,FALSE),INDIRECT(TEXT($N$1&amp;$N12&amp;"!$B$2:$G$3","")),2,FALSE)/INDIRECT(TEXT($N$1&amp;$N12&amp;"!$H$3","")))*((星级总属性!$L$3)/(星级总属性!$K$3+星级总属性!$L$3)),0)&amp;","&amp;ROUND((VLOOKUP(VALUE(RIGHT(O$1,LEN(O$1)-2)),INDIRECT(TEXT("'"&amp;$L12&amp;"星每级加强属性曲线演算'","")&amp;"!$A$2:$C$100"),3,FALSE)*VLOOKUP($M12,职业分类属性!$A$3:$G$15,9,FALSE))*INDIRECT(ADDRESS(MATCH($M12,职业分类属性!$A$1:$A$15,0),MATCH("物防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物防",职业属性偏向!$B$3:$E$16,14,FALSE),INDIRECT(TEXT($N$1&amp;$N12&amp;"!$B$2:$G$3","")),2,FALSE)/INDIRECT(TEXT($N$1&amp;$N12&amp;"!$H$3","")))*((星级总属性!$L$3)/(星级总属性!$K$3+星级总属性!$L$3)),0)&amp;","&amp;ROUND((VLOOKUP(VALUE(RIGHT(O$1,LEN(O$1)-2)),INDIRECT(TEXT("'"&amp;$L12&amp;"星每级加强属性曲线演算'","")&amp;"!$A$2:$C$100"),3,FALSE)*VLOOKUP($M12,职业分类属性!$A$3:$G$15,9,FALSE))*INDIRECT(ADDRESS(MATCH($M12,职业分类属性!$A$1:$A$15,0),MATCH("智力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智力",职业属性偏向!$B$3:$E$16,14,FALSE),INDIRECT(TEXT($N$1&amp;$N12&amp;"!$B$2:$G$3","")),2,FALSE)/INDIRECT(TEXT($N$1&amp;$N12&amp;"!$H$3","")))*((星级总属性!$L$3)/(星级总属性!$K$3+星级总属性!$L$3)),0)&amp;","&amp;ROUND((VLOOKUP(VALUE(RIGHT(O$1,LEN(O$1)-2)),INDIRECT(TEXT("'"&amp;$L12&amp;"星每级加强属性曲线演算'","")&amp;"!$A$2:$C$100"),3,FALSE)*VLOOKUP($M12,职业分类属性!$A$3:$G$15,9,FALSE))*INDIRECT(ADDRESS(MATCH($M12,职业分类属性!$A$1:$A$15,0),MATCH("法防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法防",职业属性偏向!$B$3:$E$16,14,FALSE),INDIRECT(TEXT($N$1&amp;$N12&amp;"!$B$2:$G$3","")),2,FALSE)/INDIRECT(TEXT($N$1&amp;$N12&amp;"!$H$3","")))*((星级总属性!$L$3)/(星级总属性!$K$3+星级总属性!$L$3)),0)</f>
        <v>#REF!</v>
      </c>
    </row>
    <row r="13" spans="1:28" x14ac:dyDescent="0.25">
      <c r="A13">
        <v>550015</v>
      </c>
      <c r="B13" s="13">
        <v>5</v>
      </c>
      <c r="C13" s="27" t="str">
        <f ca="1">ROUND((VLOOKUP($B13,INDIRECT(TEXT("'"&amp;$L13&amp;"星每级加强属性曲线演算'","")&amp;"!$A$2:$C$100"),3,FALSE)*VLOOKUP($M13,职业分类属性!$A$3:$G$15,7,FALSE))*INDIRECT(ADDRESS(MATCH($M13,职业分类属性!$A$1:$A$15,0),MATCH("生命值",职业分类属性!$A$2:$E$2,0),1,1,"职业分类属性"))*((星级总属性!$K$3)/(星级总属性!$K$3+星级总属性!$L$3))+(VLOOKUP($B13,INDIRECT(TEXT("'"&amp;$L13&amp;"星每级加强属性曲线演算'","")&amp;"!$A$2:$C$100"),3,FALSE)*VLOOKUP($M13,职业分类属性!$A$3:$G$15,7,FALSE))*(HLOOKUP(HLOOKUP("生命值",职业属性偏向!$B$3:$E$16,14,FALSE),INDIRECT(TEXT($N$1&amp;$N13&amp;"!$B$2:$G$3","")),2,FALSE)/INDIRECT(TEXT($N$1&amp;$N13&amp;"!$H$3","")))*((星级总属性!$L$3)/(星级总属性!$K$3+星级总属性!$L$3)),0)&amp;","&amp;ROUND((VLOOKUP($B13,INDIRECT(TEXT("'"&amp;$L13&amp;"星每级加强属性曲线演算'","")&amp;"!$A$2:$C$100"),3,FALSE)*VLOOKUP($M13,职业分类属性!$A$3:$G$15,7,FALSE))*INDIRECT(ADDRESS(MATCH($M13,职业分类属性!$A$1:$A$15,0),MATCH("回复力",职业分类属性!$A$2:$E$2,0),1,1,"职业分类属性"))*((星级总属性!$K$3)/(星级总属性!$K$3+星级总属性!$L$3))+(VLOOKUP($B13,INDIRECT(TEXT("'"&amp;$L13&amp;"星每级加强属性曲线演算'","")&amp;"!$A$2:$C$100"),3,FALSE)*VLOOKUP($M13,职业分类属性!$A$3:$G$15,7,FALSE))*(HLOOKUP(HLOOKUP("回复力",职业属性偏向!$B$3:$E$16,14,FALSE),INDIRECT(TEXT($N$1&amp;$N13&amp;"!$B$2:$G$3","")),2,FALSE)/INDIRECT(TEXT($N$1&amp;$N13&amp;"!$H$3","")))*((星级总属性!$L$3)/(星级总属性!$K$3+星级总属性!$L$3)),0)&amp;","&amp;ROUND((VLOOKUP($B13,INDIRECT(TEXT("'"&amp;$L13&amp;"星每级加强属性曲线演算'","")&amp;"!$A$2:$C$100"),3,FALSE)*VLOOKUP($M13,职业分类属性!$A$3:$G$15,7,FALSE))*INDIRECT(ADDRESS(MATCH($M13,职业分类属性!$A$1:$A$15,0),MATCH("武力",职业分类属性!$A$2:$E$2,0),1,1,"职业分类属性"))*((星级总属性!$K$3)/(星级总属性!$K$3+星级总属性!$L$3))+(VLOOKUP($B13,INDIRECT(TEXT("'"&amp;$L13&amp;"星每级加强属性曲线演算'","")&amp;"!$A$2:$C$100"),3,FALSE)*VLOOKUP($M13,职业分类属性!$A$3:$G$15,7,FALSE))*(HLOOKUP(HLOOKUP("武力",职业属性偏向!$B$3:$E$16,14,FALSE),INDIRECT(TEXT($N$1&amp;$N13&amp;"!$B$2:$G$3","")),2,FALSE)/INDIRECT(TEXT($N$1&amp;$N13&amp;"!$H$3","")))*((星级总属性!$L$3)/(星级总属性!$K$3+星级总属性!$L$3)),0)&amp;","&amp;ROUND((VLOOKUP($B13,INDIRECT(TEXT("'"&amp;$L13&amp;"星每级加强属性曲线演算'","")&amp;"!$A$2:$C$100"),3,FALSE)*VLOOKUP($M13,职业分类属性!$A$3:$G$15,7,FALSE))*INDIRECT(ADDRESS(MATCH($M13,职业分类属性!$A$1:$A$15,0),MATCH("防御",职业分类属性!$A$2:$E$2,0),1,1,"职业分类属性"))*((星级总属性!$K$3)/(星级总属性!$K$3+星级总属性!$L$3))+(VLOOKUP($B13,INDIRECT(TEXT("'"&amp;$L13&amp;"星每级加强属性曲线演算'","")&amp;"!$A$2:$C$100"),3,FALSE)*VLOOKUP($M13,职业分类属性!$A$3:$G$15,7,FALSE))*(HLOOKUP(HLOOKUP("防御",职业属性偏向!$B$3:$E$16,14,FALSE),INDIRECT(TEXT($N$1&amp;$N13&amp;"!$B$2:$G$3","")),2,FALSE)/INDIRECT(TEXT($N$1&amp;$N13&amp;"!$H$3","")))*((星级总属性!$L$3)/(星级总属性!$K$3+星级总属性!$L$3)),0)</f>
        <v>497,111,2443,533</v>
      </c>
      <c r="D13" s="33">
        <f>IF(VLOOKUP($B13,觉醒要求!$A$2:$C$7,2,FALSE)=0,"",VLOOKUP($B13,觉醒要求!$A$2:$C$7,2,FALSE))</f>
        <v>3</v>
      </c>
      <c r="E13" s="33">
        <v>1011</v>
      </c>
      <c r="F13" s="42" t="str">
        <f>IF(VLOOKUP($B13,觉醒要求!$A$2:$C$7,3,FALSE)=0,"",VLOOKUP($B13,觉醒要求!$A$2:$C$7,3,FALSE))</f>
        <v/>
      </c>
      <c r="G13" s="30">
        <v>0</v>
      </c>
      <c r="H13" s="28">
        <v>855011</v>
      </c>
      <c r="I13" s="33" t="s">
        <v>103</v>
      </c>
      <c r="L13" s="1">
        <f t="shared" si="0"/>
        <v>5</v>
      </c>
      <c r="M13" s="1" t="str">
        <f t="shared" si="1"/>
        <v>盗贼</v>
      </c>
      <c r="N13" s="1">
        <f t="shared" si="2"/>
        <v>1</v>
      </c>
      <c r="O13" s="27" t="e">
        <f ca="1">ROUND((VLOOKUP(VALUE(RIGHT(O$1,LEN(O$1)-2)),INDIRECT(TEXT("'"&amp;$L13&amp;"星每级加强属性曲线演算'","")&amp;"!$A$2:$C$100"),3,FALSE)*VLOOKUP($M13,职业分类属性!$A$3:$G$15,9,FALSE))*INDIRECT(ADDRESS(MATCH($M13,职业分类属性!$A$1:$A$15,0),MATCH("生命值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生命值",职业属性偏向!$B$3:$E$16,14,FALSE),INDIRECT(TEXT($N$1&amp;$N13&amp;"!$B$2:$G$3","")),2,FALSE)/INDIRECT(TEXT($N$1&amp;$N13&amp;"!$H$3","")))*((星级总属性!$L$3)/(星级总属性!$K$3+星级总属性!$L$3)),0)&amp;","&amp;ROUND((VLOOKUP(VALUE(RIGHT(O$1,LEN(O$1)-2)),INDIRECT(TEXT("'"&amp;$L13&amp;"星每级加强属性曲线演算'","")&amp;"!$A$2:$C$100"),3,FALSE)*VLOOKUP($M13,职业分类属性!$A$3:$G$15,9,FALSE))*INDIRECT(ADDRESS(MATCH($M13,职业分类属性!$A$1:$A$15,0),MATCH("回复力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回复力",职业属性偏向!$B$3:$E$16,14,FALSE),INDIRECT(TEXT($N$1&amp;$N13&amp;"!$B$2:$G$3","")),2,FALSE)/INDIRECT(TEXT($N$1&amp;$N13&amp;"!$H$3","")))*((星级总属性!$L$3)/(星级总属性!$K$3+星级总属性!$L$3)),0)&amp;","&amp;ROUND((VLOOKUP(VALUE(RIGHT(O$1,LEN(O$1)-2)),INDIRECT(TEXT("'"&amp;$L13&amp;"星每级加强属性曲线演算'","")&amp;"!$A$2:$C$100"),3,FALSE)*VLOOKUP($M13,职业分类属性!$A$3:$G$15,9,FALSE))*INDIRECT(ADDRESS(MATCH($M13,职业分类属性!$A$1:$A$15,0),MATCH("武力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武力",职业属性偏向!$B$3:$E$16,14,FALSE),INDIRECT(TEXT($N$1&amp;$N13&amp;"!$B$2:$G$3","")),2,FALSE)/INDIRECT(TEXT($N$1&amp;$N13&amp;"!$H$3","")))*((星级总属性!$L$3)/(星级总属性!$K$3+星级总属性!$L$3)),0)&amp;","&amp;ROUND((VLOOKUP(VALUE(RIGHT(O$1,LEN(O$1)-2)),INDIRECT(TEXT("'"&amp;$L13&amp;"星每级加强属性曲线演算'","")&amp;"!$A$2:$C$100"),3,FALSE)*VLOOKUP($M13,职业分类属性!$A$3:$G$15,9,FALSE))*INDIRECT(ADDRESS(MATCH($M13,职业分类属性!$A$1:$A$15,0),MATCH("物防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物防",职业属性偏向!$B$3:$E$16,14,FALSE),INDIRECT(TEXT($N$1&amp;$N13&amp;"!$B$2:$G$3","")),2,FALSE)/INDIRECT(TEXT($N$1&amp;$N13&amp;"!$H$3","")))*((星级总属性!$L$3)/(星级总属性!$K$3+星级总属性!$L$3)),0)&amp;","&amp;ROUND((VLOOKUP(VALUE(RIGHT(O$1,LEN(O$1)-2)),INDIRECT(TEXT("'"&amp;$L13&amp;"星每级加强属性曲线演算'","")&amp;"!$A$2:$C$100"),3,FALSE)*VLOOKUP($M13,职业分类属性!$A$3:$G$15,9,FALSE))*INDIRECT(ADDRESS(MATCH($M13,职业分类属性!$A$1:$A$15,0),MATCH("智力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智力",职业属性偏向!$B$3:$E$16,14,FALSE),INDIRECT(TEXT($N$1&amp;$N13&amp;"!$B$2:$G$3","")),2,FALSE)/INDIRECT(TEXT($N$1&amp;$N13&amp;"!$H$3","")))*((星级总属性!$L$3)/(星级总属性!$K$3+星级总属性!$L$3)),0)&amp;","&amp;ROUND((VLOOKUP(VALUE(RIGHT(O$1,LEN(O$1)-2)),INDIRECT(TEXT("'"&amp;$L13&amp;"星每级加强属性曲线演算'","")&amp;"!$A$2:$C$100"),3,FALSE)*VLOOKUP($M13,职业分类属性!$A$3:$G$15,9,FALSE))*INDIRECT(ADDRESS(MATCH($M13,职业分类属性!$A$1:$A$15,0),MATCH("法防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法防",职业属性偏向!$B$3:$E$16,14,FALSE),INDIRECT(TEXT($N$1&amp;$N13&amp;"!$B$2:$G$3","")),2,FALSE)/INDIRECT(TEXT($N$1&amp;$N13&amp;"!$H$3","")))*((星级总属性!$L$3)/(星级总属性!$K$3+星级总属性!$L$3)),0)</f>
        <v>#REF!</v>
      </c>
    </row>
    <row r="14" spans="1:28" x14ac:dyDescent="0.25">
      <c r="A14">
        <v>550015</v>
      </c>
      <c r="B14" s="13">
        <v>0</v>
      </c>
      <c r="C14" s="27" t="str">
        <f ca="1">ROUND((VLOOKUP($B14,INDIRECT(TEXT("'"&amp;$L14&amp;"星每级加强属性曲线演算'","")&amp;"!$A$2:$C$100"),3,FALSE)*VLOOKUP($M14,职业分类属性!$A$3:$G$15,7,FALSE))*INDIRECT(ADDRESS(MATCH($M14,职业分类属性!$A$1:$A$15,0),MATCH("生命值",职业分类属性!$A$2:$E$2,0),1,1,"职业分类属性"))*((星级总属性!$K$3)/(星级总属性!$K$3+星级总属性!$L$3))+(VLOOKUP($B14,INDIRECT(TEXT("'"&amp;$L14&amp;"星每级加强属性曲线演算'","")&amp;"!$A$2:$C$100"),3,FALSE)*VLOOKUP($M14,职业分类属性!$A$3:$G$15,7,FALSE))*(HLOOKUP(HLOOKUP("生命值",职业属性偏向!$B$3:$E$16,14,FALSE),INDIRECT(TEXT($N$1&amp;$N14&amp;"!$B$2:$G$3","")),2,FALSE)/INDIRECT(TEXT($N$1&amp;$N14&amp;"!$H$3","")))*((星级总属性!$L$3)/(星级总属性!$K$3+星级总属性!$L$3)),0)&amp;","&amp;ROUND((VLOOKUP($B14,INDIRECT(TEXT("'"&amp;$L14&amp;"星每级加强属性曲线演算'","")&amp;"!$A$2:$C$100"),3,FALSE)*VLOOKUP($M14,职业分类属性!$A$3:$G$15,7,FALSE))*INDIRECT(ADDRESS(MATCH($M14,职业分类属性!$A$1:$A$15,0),MATCH("回复力",职业分类属性!$A$2:$E$2,0),1,1,"职业分类属性"))*((星级总属性!$K$3)/(星级总属性!$K$3+星级总属性!$L$3))+(VLOOKUP($B14,INDIRECT(TEXT("'"&amp;$L14&amp;"星每级加强属性曲线演算'","")&amp;"!$A$2:$C$100"),3,FALSE)*VLOOKUP($M14,职业分类属性!$A$3:$G$15,7,FALSE))*(HLOOKUP(HLOOKUP("回复力",职业属性偏向!$B$3:$E$16,14,FALSE),INDIRECT(TEXT($N$1&amp;$N14&amp;"!$B$2:$G$3","")),2,FALSE)/INDIRECT(TEXT($N$1&amp;$N14&amp;"!$H$3","")))*((星级总属性!$L$3)/(星级总属性!$K$3+星级总属性!$L$3)),0)&amp;","&amp;ROUND((VLOOKUP($B14,INDIRECT(TEXT("'"&amp;$L14&amp;"星每级加强属性曲线演算'","")&amp;"!$A$2:$C$100"),3,FALSE)*VLOOKUP($M14,职业分类属性!$A$3:$G$15,7,FALSE))*INDIRECT(ADDRESS(MATCH($M14,职业分类属性!$A$1:$A$15,0),MATCH("武力",职业分类属性!$A$2:$E$2,0),1,1,"职业分类属性"))*((星级总属性!$K$3)/(星级总属性!$K$3+星级总属性!$L$3))+(VLOOKUP($B14,INDIRECT(TEXT("'"&amp;$L14&amp;"星每级加强属性曲线演算'","")&amp;"!$A$2:$C$100"),3,FALSE)*VLOOKUP($M14,职业分类属性!$A$3:$G$15,7,FALSE))*(HLOOKUP(HLOOKUP("武力",职业属性偏向!$B$3:$E$16,14,FALSE),INDIRECT(TEXT($N$1&amp;$N14&amp;"!$B$2:$G$3","")),2,FALSE)/INDIRECT(TEXT($N$1&amp;$N14&amp;"!$H$3","")))*((星级总属性!$L$3)/(星级总属性!$K$3+星级总属性!$L$3)),0)&amp;","&amp;ROUND((VLOOKUP($B14,INDIRECT(TEXT("'"&amp;$L14&amp;"星每级加强属性曲线演算'","")&amp;"!$A$2:$C$100"),3,FALSE)*VLOOKUP($M14,职业分类属性!$A$3:$G$15,7,FALSE))*INDIRECT(ADDRESS(MATCH($M14,职业分类属性!$A$1:$A$15,0),MATCH("防御",职业分类属性!$A$2:$E$2,0),1,1,"职业分类属性"))*((星级总属性!$K$3)/(星级总属性!$K$3+星级总属性!$L$3))+(VLOOKUP($B14,INDIRECT(TEXT("'"&amp;$L14&amp;"星每级加强属性曲线演算'","")&amp;"!$A$2:$C$100"),3,FALSE)*VLOOKUP($M14,职业分类属性!$A$3:$G$15,7,FALSE))*(HLOOKUP(HLOOKUP("防御",职业属性偏向!$B$3:$E$16,14,FALSE),INDIRECT(TEXT($N$1&amp;$N14&amp;"!$B$2:$G$3","")),2,FALSE)/INDIRECT(TEXT($N$1&amp;$N14&amp;"!$H$3","")))*((星级总属性!$L$3)/(星级总属性!$K$3+星级总属性!$L$3)),0)</f>
        <v>0,0,0,0</v>
      </c>
      <c r="D14" s="33" t="str">
        <f>IF(VLOOKUP($B14,觉醒要求!$A$2:$C$7,2,FALSE)=0,"",VLOOKUP($B14,觉醒要求!$A$2:$C$7,2,FALSE))</f>
        <v/>
      </c>
      <c r="E14" s="33">
        <v>1012</v>
      </c>
      <c r="F14" s="42" t="str">
        <f>IF(VLOOKUP($B14,觉醒要求!$A$2:$C$7,3,FALSE)=0,"",VLOOKUP($B14,觉醒要求!$A$2:$C$7,3,FALSE))</f>
        <v/>
      </c>
      <c r="G14" s="30"/>
      <c r="L14" s="2">
        <v>4</v>
      </c>
      <c r="M14" s="2" t="s">
        <v>68</v>
      </c>
      <c r="N14" s="1">
        <f t="shared" si="2"/>
        <v>1</v>
      </c>
      <c r="O14" s="27" t="e">
        <f ca="1">ROUND((VLOOKUP(VALUE(RIGHT(O$1,LEN(O$1)-2)),INDIRECT(TEXT("'"&amp;$L14&amp;"星每级加强属性曲线演算'","")&amp;"!$A$2:$C$100"),3,FALSE)*VLOOKUP($M14,职业分类属性!$A$3:$G$15,9,FALSE))*INDIRECT(ADDRESS(MATCH($M14,职业分类属性!$A$1:$A$15,0),MATCH("生命值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生命值",职业属性偏向!$B$3:$E$16,14,FALSE),INDIRECT(TEXT($N$1&amp;$N14&amp;"!$B$2:$G$3","")),2,FALSE)/INDIRECT(TEXT($N$1&amp;$N14&amp;"!$H$3","")))*((星级总属性!$L$3)/(星级总属性!$K$3+星级总属性!$L$3)),0)&amp;","&amp;ROUND((VLOOKUP(VALUE(RIGHT(O$1,LEN(O$1)-2)),INDIRECT(TEXT("'"&amp;$L14&amp;"星每级加强属性曲线演算'","")&amp;"!$A$2:$C$100"),3,FALSE)*VLOOKUP($M14,职业分类属性!$A$3:$G$15,9,FALSE))*INDIRECT(ADDRESS(MATCH($M14,职业分类属性!$A$1:$A$15,0),MATCH("回复力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回复力",职业属性偏向!$B$3:$E$16,14,FALSE),INDIRECT(TEXT($N$1&amp;$N14&amp;"!$B$2:$G$3","")),2,FALSE)/INDIRECT(TEXT($N$1&amp;$N14&amp;"!$H$3","")))*((星级总属性!$L$3)/(星级总属性!$K$3+星级总属性!$L$3)),0)&amp;","&amp;ROUND((VLOOKUP(VALUE(RIGHT(O$1,LEN(O$1)-2)),INDIRECT(TEXT("'"&amp;$L14&amp;"星每级加强属性曲线演算'","")&amp;"!$A$2:$C$100"),3,FALSE)*VLOOKUP($M14,职业分类属性!$A$3:$G$15,9,FALSE))*INDIRECT(ADDRESS(MATCH($M14,职业分类属性!$A$1:$A$15,0),MATCH("武力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武力",职业属性偏向!$B$3:$E$16,14,FALSE),INDIRECT(TEXT($N$1&amp;$N14&amp;"!$B$2:$G$3","")),2,FALSE)/INDIRECT(TEXT($N$1&amp;$N14&amp;"!$H$3","")))*((星级总属性!$L$3)/(星级总属性!$K$3+星级总属性!$L$3)),0)&amp;","&amp;ROUND((VLOOKUP(VALUE(RIGHT(O$1,LEN(O$1)-2)),INDIRECT(TEXT("'"&amp;$L14&amp;"星每级加强属性曲线演算'","")&amp;"!$A$2:$C$100"),3,FALSE)*VLOOKUP($M14,职业分类属性!$A$3:$G$15,9,FALSE))*INDIRECT(ADDRESS(MATCH($M14,职业分类属性!$A$1:$A$15,0),MATCH("物防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物防",职业属性偏向!$B$3:$E$16,14,FALSE),INDIRECT(TEXT($N$1&amp;$N14&amp;"!$B$2:$G$3","")),2,FALSE)/INDIRECT(TEXT($N$1&amp;$N14&amp;"!$H$3","")))*((星级总属性!$L$3)/(星级总属性!$K$3+星级总属性!$L$3)),0)&amp;","&amp;ROUND((VLOOKUP(VALUE(RIGHT(O$1,LEN(O$1)-2)),INDIRECT(TEXT("'"&amp;$L14&amp;"星每级加强属性曲线演算'","")&amp;"!$A$2:$C$100"),3,FALSE)*VLOOKUP($M14,职业分类属性!$A$3:$G$15,9,FALSE))*INDIRECT(ADDRESS(MATCH($M14,职业分类属性!$A$1:$A$15,0),MATCH("智力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智力",职业属性偏向!$B$3:$E$16,14,FALSE),INDIRECT(TEXT($N$1&amp;$N14&amp;"!$B$2:$G$3","")),2,FALSE)/INDIRECT(TEXT($N$1&amp;$N14&amp;"!$H$3","")))*((星级总属性!$L$3)/(星级总属性!$K$3+星级总属性!$L$3)),0)&amp;","&amp;ROUND((VLOOKUP(VALUE(RIGHT(O$1,LEN(O$1)-2)),INDIRECT(TEXT("'"&amp;$L14&amp;"星每级加强属性曲线演算'","")&amp;"!$A$2:$C$100"),3,FALSE)*VLOOKUP($M14,职业分类属性!$A$3:$G$15,9,FALSE))*INDIRECT(ADDRESS(MATCH($M14,职业分类属性!$A$1:$A$15,0),MATCH("法防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法防",职业属性偏向!$B$3:$E$16,14,FALSE),INDIRECT(TEXT($N$1&amp;$N14&amp;"!$B$2:$G$3","")),2,FALSE)/INDIRECT(TEXT($N$1&amp;$N14&amp;"!$H$3","")))*((星级总属性!$L$3)/(星级总属性!$K$3+星级总属性!$L$3)),0)</f>
        <v>#REF!</v>
      </c>
    </row>
    <row r="15" spans="1:28" x14ac:dyDescent="0.25">
      <c r="A15">
        <v>550015</v>
      </c>
      <c r="B15" s="13">
        <v>1</v>
      </c>
      <c r="C15" s="27" t="str">
        <f ca="1">ROUND((VLOOKUP($B15,INDIRECT(TEXT("'"&amp;$L15&amp;"星每级加强属性曲线演算'","")&amp;"!$A$2:$C$100"),3,FALSE)*VLOOKUP($M15,职业分类属性!$A$3:$G$15,7,FALSE))*INDIRECT(ADDRESS(MATCH($M15,职业分类属性!$A$1:$A$15,0),MATCH("生命值",职业分类属性!$A$2:$E$2,0),1,1,"职业分类属性"))*((星级总属性!$K$3)/(星级总属性!$K$3+星级总属性!$L$3))+(VLOOKUP($B15,INDIRECT(TEXT("'"&amp;$L15&amp;"星每级加强属性曲线演算'","")&amp;"!$A$2:$C$100"),3,FALSE)*VLOOKUP($M15,职业分类属性!$A$3:$G$15,7,FALSE))*(HLOOKUP(HLOOKUP("生命值",职业属性偏向!$B$3:$E$16,14,FALSE),INDIRECT(TEXT($N$1&amp;$N15&amp;"!$B$2:$G$3","")),2,FALSE)/INDIRECT(TEXT($N$1&amp;$N15&amp;"!$H$3","")))*((星级总属性!$L$3)/(星级总属性!$K$3+星级总属性!$L$3)),0)&amp;","&amp;ROUND((VLOOKUP($B15,INDIRECT(TEXT("'"&amp;$L15&amp;"星每级加强属性曲线演算'","")&amp;"!$A$2:$C$100"),3,FALSE)*VLOOKUP($M15,职业分类属性!$A$3:$G$15,7,FALSE))*INDIRECT(ADDRESS(MATCH($M15,职业分类属性!$A$1:$A$15,0),MATCH("回复力",职业分类属性!$A$2:$E$2,0),1,1,"职业分类属性"))*((星级总属性!$K$3)/(星级总属性!$K$3+星级总属性!$L$3))+(VLOOKUP($B15,INDIRECT(TEXT("'"&amp;$L15&amp;"星每级加强属性曲线演算'","")&amp;"!$A$2:$C$100"),3,FALSE)*VLOOKUP($M15,职业分类属性!$A$3:$G$15,7,FALSE))*(HLOOKUP(HLOOKUP("回复力",职业属性偏向!$B$3:$E$16,14,FALSE),INDIRECT(TEXT($N$1&amp;$N15&amp;"!$B$2:$G$3","")),2,FALSE)/INDIRECT(TEXT($N$1&amp;$N15&amp;"!$H$3","")))*((星级总属性!$L$3)/(星级总属性!$K$3+星级总属性!$L$3)),0)&amp;","&amp;ROUND((VLOOKUP($B15,INDIRECT(TEXT("'"&amp;$L15&amp;"星每级加强属性曲线演算'","")&amp;"!$A$2:$C$100"),3,FALSE)*VLOOKUP($M15,职业分类属性!$A$3:$G$15,7,FALSE))*INDIRECT(ADDRESS(MATCH($M15,职业分类属性!$A$1:$A$15,0),MATCH("武力",职业分类属性!$A$2:$E$2,0),1,1,"职业分类属性"))*((星级总属性!$K$3)/(星级总属性!$K$3+星级总属性!$L$3))+(VLOOKUP($B15,INDIRECT(TEXT("'"&amp;$L15&amp;"星每级加强属性曲线演算'","")&amp;"!$A$2:$C$100"),3,FALSE)*VLOOKUP($M15,职业分类属性!$A$3:$G$15,7,FALSE))*(HLOOKUP(HLOOKUP("武力",职业属性偏向!$B$3:$E$16,14,FALSE),INDIRECT(TEXT($N$1&amp;$N15&amp;"!$B$2:$G$3","")),2,FALSE)/INDIRECT(TEXT($N$1&amp;$N15&amp;"!$H$3","")))*((星级总属性!$L$3)/(星级总属性!$K$3+星级总属性!$L$3)),0)&amp;","&amp;ROUND((VLOOKUP($B15,INDIRECT(TEXT("'"&amp;$L15&amp;"星每级加强属性曲线演算'","")&amp;"!$A$2:$C$100"),3,FALSE)*VLOOKUP($M15,职业分类属性!$A$3:$G$15,7,FALSE))*INDIRECT(ADDRESS(MATCH($M15,职业分类属性!$A$1:$A$15,0),MATCH("防御",职业分类属性!$A$2:$E$2,0),1,1,"职业分类属性"))*((星级总属性!$K$3)/(星级总属性!$K$3+星级总属性!$L$3))+(VLOOKUP($B15,INDIRECT(TEXT("'"&amp;$L15&amp;"星每级加强属性曲线演算'","")&amp;"!$A$2:$C$100"),3,FALSE)*VLOOKUP($M15,职业分类属性!$A$3:$G$15,7,FALSE))*(HLOOKUP(HLOOKUP("防御",职业属性偏向!$B$3:$E$16,14,FALSE),INDIRECT(TEXT($N$1&amp;$N15&amp;"!$B$2:$G$3","")),2,FALSE)/INDIRECT(TEXT($N$1&amp;$N15&amp;"!$H$3","")))*((星级总属性!$L$3)/(星级总属性!$K$3+星级总属性!$L$3)),0)</f>
        <v>38,24,293,29</v>
      </c>
      <c r="D15" s="33">
        <f>IF(VLOOKUP($B15,觉醒要求!$A$2:$C$7,2,FALSE)=0,"",VLOOKUP($B15,觉醒要求!$A$2:$C$7,2,FALSE))</f>
        <v>1</v>
      </c>
      <c r="E15" s="33">
        <v>1013</v>
      </c>
      <c r="F15" s="42" t="str">
        <f>IF(VLOOKUP($B15,觉醒要求!$A$2:$C$7,3,FALSE)=0,"",VLOOKUP($B15,觉醒要求!$A$2:$C$7,3,FALSE))</f>
        <v/>
      </c>
      <c r="G15" s="30">
        <v>0</v>
      </c>
      <c r="H15" s="28">
        <v>855012</v>
      </c>
      <c r="I15" s="28" t="s">
        <v>102</v>
      </c>
      <c r="L15" s="2">
        <f t="shared" ref="L15:M20" si="3">L14</f>
        <v>4</v>
      </c>
      <c r="M15" s="2" t="str">
        <f t="shared" si="3"/>
        <v>法师</v>
      </c>
      <c r="N15" s="1">
        <f t="shared" si="2"/>
        <v>1</v>
      </c>
      <c r="O15" s="27" t="e">
        <f ca="1">ROUND((VLOOKUP(VALUE(RIGHT(O$1,LEN(O$1)-2)),INDIRECT(TEXT("'"&amp;$L15&amp;"星每级加强属性曲线演算'","")&amp;"!$A$2:$C$100"),3,FALSE)*VLOOKUP($M15,职业分类属性!$A$3:$G$15,9,FALSE))*INDIRECT(ADDRESS(MATCH($M15,职业分类属性!$A$1:$A$15,0),MATCH("生命值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生命值",职业属性偏向!$B$3:$E$16,14,FALSE),INDIRECT(TEXT($N$1&amp;$N15&amp;"!$B$2:$G$3","")),2,FALSE)/INDIRECT(TEXT($N$1&amp;$N15&amp;"!$H$3","")))*((星级总属性!$L$3)/(星级总属性!$K$3+星级总属性!$L$3)),0)&amp;","&amp;ROUND((VLOOKUP(VALUE(RIGHT(O$1,LEN(O$1)-2)),INDIRECT(TEXT("'"&amp;$L15&amp;"星每级加强属性曲线演算'","")&amp;"!$A$2:$C$100"),3,FALSE)*VLOOKUP($M15,职业分类属性!$A$3:$G$15,9,FALSE))*INDIRECT(ADDRESS(MATCH($M15,职业分类属性!$A$1:$A$15,0),MATCH("回复力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回复力",职业属性偏向!$B$3:$E$16,14,FALSE),INDIRECT(TEXT($N$1&amp;$N15&amp;"!$B$2:$G$3","")),2,FALSE)/INDIRECT(TEXT($N$1&amp;$N15&amp;"!$H$3","")))*((星级总属性!$L$3)/(星级总属性!$K$3+星级总属性!$L$3)),0)&amp;","&amp;ROUND((VLOOKUP(VALUE(RIGHT(O$1,LEN(O$1)-2)),INDIRECT(TEXT("'"&amp;$L15&amp;"星每级加强属性曲线演算'","")&amp;"!$A$2:$C$100"),3,FALSE)*VLOOKUP($M15,职业分类属性!$A$3:$G$15,9,FALSE))*INDIRECT(ADDRESS(MATCH($M15,职业分类属性!$A$1:$A$15,0),MATCH("武力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武力",职业属性偏向!$B$3:$E$16,14,FALSE),INDIRECT(TEXT($N$1&amp;$N15&amp;"!$B$2:$G$3","")),2,FALSE)/INDIRECT(TEXT($N$1&amp;$N15&amp;"!$H$3","")))*((星级总属性!$L$3)/(星级总属性!$K$3+星级总属性!$L$3)),0)&amp;","&amp;ROUND((VLOOKUP(VALUE(RIGHT(O$1,LEN(O$1)-2)),INDIRECT(TEXT("'"&amp;$L15&amp;"星每级加强属性曲线演算'","")&amp;"!$A$2:$C$100"),3,FALSE)*VLOOKUP($M15,职业分类属性!$A$3:$G$15,9,FALSE))*INDIRECT(ADDRESS(MATCH($M15,职业分类属性!$A$1:$A$15,0),MATCH("物防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物防",职业属性偏向!$B$3:$E$16,14,FALSE),INDIRECT(TEXT($N$1&amp;$N15&amp;"!$B$2:$G$3","")),2,FALSE)/INDIRECT(TEXT($N$1&amp;$N15&amp;"!$H$3","")))*((星级总属性!$L$3)/(星级总属性!$K$3+星级总属性!$L$3)),0)&amp;","&amp;ROUND((VLOOKUP(VALUE(RIGHT(O$1,LEN(O$1)-2)),INDIRECT(TEXT("'"&amp;$L15&amp;"星每级加强属性曲线演算'","")&amp;"!$A$2:$C$100"),3,FALSE)*VLOOKUP($M15,职业分类属性!$A$3:$G$15,9,FALSE))*INDIRECT(ADDRESS(MATCH($M15,职业分类属性!$A$1:$A$15,0),MATCH("智力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智力",职业属性偏向!$B$3:$E$16,14,FALSE),INDIRECT(TEXT($N$1&amp;$N15&amp;"!$B$2:$G$3","")),2,FALSE)/INDIRECT(TEXT($N$1&amp;$N15&amp;"!$H$3","")))*((星级总属性!$L$3)/(星级总属性!$K$3+星级总属性!$L$3)),0)&amp;","&amp;ROUND((VLOOKUP(VALUE(RIGHT(O$1,LEN(O$1)-2)),INDIRECT(TEXT("'"&amp;$L15&amp;"星每级加强属性曲线演算'","")&amp;"!$A$2:$C$100"),3,FALSE)*VLOOKUP($M15,职业分类属性!$A$3:$G$15,9,FALSE))*INDIRECT(ADDRESS(MATCH($M15,职业分类属性!$A$1:$A$15,0),MATCH("法防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法防",职业属性偏向!$B$3:$E$16,14,FALSE),INDIRECT(TEXT($N$1&amp;$N15&amp;"!$B$2:$G$3","")),2,FALSE)/INDIRECT(TEXT($N$1&amp;$N15&amp;"!$H$3","")))*((星级总属性!$L$3)/(星级总属性!$K$3+星级总属性!$L$3)),0)</f>
        <v>#REF!</v>
      </c>
    </row>
    <row r="16" spans="1:28" x14ac:dyDescent="0.25">
      <c r="A16">
        <v>550015</v>
      </c>
      <c r="B16" s="13">
        <v>2</v>
      </c>
      <c r="C16" s="27" t="str">
        <f ca="1">ROUND((VLOOKUP($B16,INDIRECT(TEXT("'"&amp;$L16&amp;"星每级加强属性曲线演算'","")&amp;"!$A$2:$C$100"),3,FALSE)*VLOOKUP($M16,职业分类属性!$A$3:$G$15,7,FALSE))*INDIRECT(ADDRESS(MATCH($M16,职业分类属性!$A$1:$A$15,0),MATCH("生命值",职业分类属性!$A$2:$E$2,0),1,1,"职业分类属性"))*((星级总属性!$K$3)/(星级总属性!$K$3+星级总属性!$L$3))+(VLOOKUP($B16,INDIRECT(TEXT("'"&amp;$L16&amp;"星每级加强属性曲线演算'","")&amp;"!$A$2:$C$100"),3,FALSE)*VLOOKUP($M16,职业分类属性!$A$3:$G$15,7,FALSE))*(HLOOKUP(HLOOKUP("生命值",职业属性偏向!$B$3:$E$16,14,FALSE),INDIRECT(TEXT($N$1&amp;$N16&amp;"!$B$2:$G$3","")),2,FALSE)/INDIRECT(TEXT($N$1&amp;$N16&amp;"!$H$3","")))*((星级总属性!$L$3)/(星级总属性!$K$3+星级总属性!$L$3)),0)&amp;","&amp;ROUND((VLOOKUP($B16,INDIRECT(TEXT("'"&amp;$L16&amp;"星每级加强属性曲线演算'","")&amp;"!$A$2:$C$100"),3,FALSE)*VLOOKUP($M16,职业分类属性!$A$3:$G$15,7,FALSE))*INDIRECT(ADDRESS(MATCH($M16,职业分类属性!$A$1:$A$15,0),MATCH("回复力",职业分类属性!$A$2:$E$2,0),1,1,"职业分类属性"))*((星级总属性!$K$3)/(星级总属性!$K$3+星级总属性!$L$3))+(VLOOKUP($B16,INDIRECT(TEXT("'"&amp;$L16&amp;"星每级加强属性曲线演算'","")&amp;"!$A$2:$C$100"),3,FALSE)*VLOOKUP($M16,职业分类属性!$A$3:$G$15,7,FALSE))*(HLOOKUP(HLOOKUP("回复力",职业属性偏向!$B$3:$E$16,14,FALSE),INDIRECT(TEXT($N$1&amp;$N16&amp;"!$B$2:$G$3","")),2,FALSE)/INDIRECT(TEXT($N$1&amp;$N16&amp;"!$H$3","")))*((星级总属性!$L$3)/(星级总属性!$K$3+星级总属性!$L$3)),0)&amp;","&amp;ROUND((VLOOKUP($B16,INDIRECT(TEXT("'"&amp;$L16&amp;"星每级加强属性曲线演算'","")&amp;"!$A$2:$C$100"),3,FALSE)*VLOOKUP($M16,职业分类属性!$A$3:$G$15,7,FALSE))*INDIRECT(ADDRESS(MATCH($M16,职业分类属性!$A$1:$A$15,0),MATCH("武力",职业分类属性!$A$2:$E$2,0),1,1,"职业分类属性"))*((星级总属性!$K$3)/(星级总属性!$K$3+星级总属性!$L$3))+(VLOOKUP($B16,INDIRECT(TEXT("'"&amp;$L16&amp;"星每级加强属性曲线演算'","")&amp;"!$A$2:$C$100"),3,FALSE)*VLOOKUP($M16,职业分类属性!$A$3:$G$15,7,FALSE))*(HLOOKUP(HLOOKUP("武力",职业属性偏向!$B$3:$E$16,14,FALSE),INDIRECT(TEXT($N$1&amp;$N16&amp;"!$B$2:$G$3","")),2,FALSE)/INDIRECT(TEXT($N$1&amp;$N16&amp;"!$H$3","")))*((星级总属性!$L$3)/(星级总属性!$K$3+星级总属性!$L$3)),0)&amp;","&amp;ROUND((VLOOKUP($B16,INDIRECT(TEXT("'"&amp;$L16&amp;"星每级加强属性曲线演算'","")&amp;"!$A$2:$C$100"),3,FALSE)*VLOOKUP($M16,职业分类属性!$A$3:$G$15,7,FALSE))*INDIRECT(ADDRESS(MATCH($M16,职业分类属性!$A$1:$A$15,0),MATCH("防御",职业分类属性!$A$2:$E$2,0),1,1,"职业分类属性"))*((星级总属性!$K$3)/(星级总属性!$K$3+星级总属性!$L$3))+(VLOOKUP($B16,INDIRECT(TEXT("'"&amp;$L16&amp;"星每级加强属性曲线演算'","")&amp;"!$A$2:$C$100"),3,FALSE)*VLOOKUP($M16,职业分类属性!$A$3:$G$15,7,FALSE))*(HLOOKUP(HLOOKUP("防御",职业属性偏向!$B$3:$E$16,14,FALSE),INDIRECT(TEXT($N$1&amp;$N16&amp;"!$B$2:$G$3","")),2,FALSE)/INDIRECT(TEXT($N$1&amp;$N16&amp;"!$H$3","")))*((星级总属性!$L$3)/(星级总属性!$K$3+星级总属性!$L$3)),0)</f>
        <v>75,49,586,58</v>
      </c>
      <c r="D16" s="33">
        <f>IF(VLOOKUP($B16,觉醒要求!$A$2:$C$7,2,FALSE)=0,"",VLOOKUP($B16,觉醒要求!$A$2:$C$7,2,FALSE))</f>
        <v>1</v>
      </c>
      <c r="E16" s="33">
        <v>1014</v>
      </c>
      <c r="F16" s="42" t="str">
        <f>IF(VLOOKUP($B16,觉醒要求!$A$2:$C$7,3,FALSE)=0,"",VLOOKUP($B16,觉醒要求!$A$2:$C$7,3,FALSE))</f>
        <v/>
      </c>
      <c r="G16" s="30"/>
      <c r="L16" s="2">
        <f t="shared" si="3"/>
        <v>4</v>
      </c>
      <c r="M16" s="2" t="str">
        <f t="shared" si="3"/>
        <v>法师</v>
      </c>
      <c r="N16" s="1">
        <f t="shared" si="2"/>
        <v>1</v>
      </c>
      <c r="O16" s="27" t="e">
        <f ca="1">ROUND((VLOOKUP(VALUE(RIGHT(O$1,LEN(O$1)-2)),INDIRECT(TEXT("'"&amp;$L16&amp;"星每级加强属性曲线演算'","")&amp;"!$A$2:$C$100"),3,FALSE)*VLOOKUP($M16,职业分类属性!$A$3:$G$15,9,FALSE))*INDIRECT(ADDRESS(MATCH($M16,职业分类属性!$A$1:$A$15,0),MATCH("生命值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生命值",职业属性偏向!$B$3:$E$16,14,FALSE),INDIRECT(TEXT($N$1&amp;$N16&amp;"!$B$2:$G$3","")),2,FALSE)/INDIRECT(TEXT($N$1&amp;$N16&amp;"!$H$3","")))*((星级总属性!$L$3)/(星级总属性!$K$3+星级总属性!$L$3)),0)&amp;","&amp;ROUND((VLOOKUP(VALUE(RIGHT(O$1,LEN(O$1)-2)),INDIRECT(TEXT("'"&amp;$L16&amp;"星每级加强属性曲线演算'","")&amp;"!$A$2:$C$100"),3,FALSE)*VLOOKUP($M16,职业分类属性!$A$3:$G$15,9,FALSE))*INDIRECT(ADDRESS(MATCH($M16,职业分类属性!$A$1:$A$15,0),MATCH("回复力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回复力",职业属性偏向!$B$3:$E$16,14,FALSE),INDIRECT(TEXT($N$1&amp;$N16&amp;"!$B$2:$G$3","")),2,FALSE)/INDIRECT(TEXT($N$1&amp;$N16&amp;"!$H$3","")))*((星级总属性!$L$3)/(星级总属性!$K$3+星级总属性!$L$3)),0)&amp;","&amp;ROUND((VLOOKUP(VALUE(RIGHT(O$1,LEN(O$1)-2)),INDIRECT(TEXT("'"&amp;$L16&amp;"星每级加强属性曲线演算'","")&amp;"!$A$2:$C$100"),3,FALSE)*VLOOKUP($M16,职业分类属性!$A$3:$G$15,9,FALSE))*INDIRECT(ADDRESS(MATCH($M16,职业分类属性!$A$1:$A$15,0),MATCH("武力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武力",职业属性偏向!$B$3:$E$16,14,FALSE),INDIRECT(TEXT($N$1&amp;$N16&amp;"!$B$2:$G$3","")),2,FALSE)/INDIRECT(TEXT($N$1&amp;$N16&amp;"!$H$3","")))*((星级总属性!$L$3)/(星级总属性!$K$3+星级总属性!$L$3)),0)&amp;","&amp;ROUND((VLOOKUP(VALUE(RIGHT(O$1,LEN(O$1)-2)),INDIRECT(TEXT("'"&amp;$L16&amp;"星每级加强属性曲线演算'","")&amp;"!$A$2:$C$100"),3,FALSE)*VLOOKUP($M16,职业分类属性!$A$3:$G$15,9,FALSE))*INDIRECT(ADDRESS(MATCH($M16,职业分类属性!$A$1:$A$15,0),MATCH("物防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物防",职业属性偏向!$B$3:$E$16,14,FALSE),INDIRECT(TEXT($N$1&amp;$N16&amp;"!$B$2:$G$3","")),2,FALSE)/INDIRECT(TEXT($N$1&amp;$N16&amp;"!$H$3","")))*((星级总属性!$L$3)/(星级总属性!$K$3+星级总属性!$L$3)),0)&amp;","&amp;ROUND((VLOOKUP(VALUE(RIGHT(O$1,LEN(O$1)-2)),INDIRECT(TEXT("'"&amp;$L16&amp;"星每级加强属性曲线演算'","")&amp;"!$A$2:$C$100"),3,FALSE)*VLOOKUP($M16,职业分类属性!$A$3:$G$15,9,FALSE))*INDIRECT(ADDRESS(MATCH($M16,职业分类属性!$A$1:$A$15,0),MATCH("智力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智力",职业属性偏向!$B$3:$E$16,14,FALSE),INDIRECT(TEXT($N$1&amp;$N16&amp;"!$B$2:$G$3","")),2,FALSE)/INDIRECT(TEXT($N$1&amp;$N16&amp;"!$H$3","")))*((星级总属性!$L$3)/(星级总属性!$K$3+星级总属性!$L$3)),0)&amp;","&amp;ROUND((VLOOKUP(VALUE(RIGHT(O$1,LEN(O$1)-2)),INDIRECT(TEXT("'"&amp;$L16&amp;"星每级加强属性曲线演算'","")&amp;"!$A$2:$C$100"),3,FALSE)*VLOOKUP($M16,职业分类属性!$A$3:$G$15,9,FALSE))*INDIRECT(ADDRESS(MATCH($M16,职业分类属性!$A$1:$A$15,0),MATCH("法防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法防",职业属性偏向!$B$3:$E$16,14,FALSE),INDIRECT(TEXT($N$1&amp;$N16&amp;"!$B$2:$G$3","")),2,FALSE)/INDIRECT(TEXT($N$1&amp;$N16&amp;"!$H$3","")))*((星级总属性!$L$3)/(星级总属性!$K$3+星级总属性!$L$3)),0)</f>
        <v>#REF!</v>
      </c>
    </row>
    <row r="17" spans="1:15" x14ac:dyDescent="0.25">
      <c r="A17">
        <v>550015</v>
      </c>
      <c r="B17" s="13">
        <v>3</v>
      </c>
      <c r="C17" s="27" t="str">
        <f ca="1">ROUND((VLOOKUP($B17,INDIRECT(TEXT("'"&amp;$L17&amp;"星每级加强属性曲线演算'","")&amp;"!$A$2:$C$100"),3,FALSE)*VLOOKUP($M17,职业分类属性!$A$3:$G$15,7,FALSE))*INDIRECT(ADDRESS(MATCH($M17,职业分类属性!$A$1:$A$15,0),MATCH("生命值",职业分类属性!$A$2:$E$2,0),1,1,"职业分类属性"))*((星级总属性!$K$3)/(星级总属性!$K$3+星级总属性!$L$3))+(VLOOKUP($B17,INDIRECT(TEXT("'"&amp;$L17&amp;"星每级加强属性曲线演算'","")&amp;"!$A$2:$C$100"),3,FALSE)*VLOOKUP($M17,职业分类属性!$A$3:$G$15,7,FALSE))*(HLOOKUP(HLOOKUP("生命值",职业属性偏向!$B$3:$E$16,14,FALSE),INDIRECT(TEXT($N$1&amp;$N17&amp;"!$B$2:$G$3","")),2,FALSE)/INDIRECT(TEXT($N$1&amp;$N17&amp;"!$H$3","")))*((星级总属性!$L$3)/(星级总属性!$K$3+星级总属性!$L$3)),0)&amp;","&amp;ROUND((VLOOKUP($B17,INDIRECT(TEXT("'"&amp;$L17&amp;"星每级加强属性曲线演算'","")&amp;"!$A$2:$C$100"),3,FALSE)*VLOOKUP($M17,职业分类属性!$A$3:$G$15,7,FALSE))*INDIRECT(ADDRESS(MATCH($M17,职业分类属性!$A$1:$A$15,0),MATCH("回复力",职业分类属性!$A$2:$E$2,0),1,1,"职业分类属性"))*((星级总属性!$K$3)/(星级总属性!$K$3+星级总属性!$L$3))+(VLOOKUP($B17,INDIRECT(TEXT("'"&amp;$L17&amp;"星每级加强属性曲线演算'","")&amp;"!$A$2:$C$100"),3,FALSE)*VLOOKUP($M17,职业分类属性!$A$3:$G$15,7,FALSE))*(HLOOKUP(HLOOKUP("回复力",职业属性偏向!$B$3:$E$16,14,FALSE),INDIRECT(TEXT($N$1&amp;$N17&amp;"!$B$2:$G$3","")),2,FALSE)/INDIRECT(TEXT($N$1&amp;$N17&amp;"!$H$3","")))*((星级总属性!$L$3)/(星级总属性!$K$3+星级总属性!$L$3)),0)&amp;","&amp;ROUND((VLOOKUP($B17,INDIRECT(TEXT("'"&amp;$L17&amp;"星每级加强属性曲线演算'","")&amp;"!$A$2:$C$100"),3,FALSE)*VLOOKUP($M17,职业分类属性!$A$3:$G$15,7,FALSE))*INDIRECT(ADDRESS(MATCH($M17,职业分类属性!$A$1:$A$15,0),MATCH("武力",职业分类属性!$A$2:$E$2,0),1,1,"职业分类属性"))*((星级总属性!$K$3)/(星级总属性!$K$3+星级总属性!$L$3))+(VLOOKUP($B17,INDIRECT(TEXT("'"&amp;$L17&amp;"星每级加强属性曲线演算'","")&amp;"!$A$2:$C$100"),3,FALSE)*VLOOKUP($M17,职业分类属性!$A$3:$G$15,7,FALSE))*(HLOOKUP(HLOOKUP("武力",职业属性偏向!$B$3:$E$16,14,FALSE),INDIRECT(TEXT($N$1&amp;$N17&amp;"!$B$2:$G$3","")),2,FALSE)/INDIRECT(TEXT($N$1&amp;$N17&amp;"!$H$3","")))*((星级总属性!$L$3)/(星级总属性!$K$3+星级总属性!$L$3)),0)&amp;","&amp;ROUND((VLOOKUP($B17,INDIRECT(TEXT("'"&amp;$L17&amp;"星每级加强属性曲线演算'","")&amp;"!$A$2:$C$100"),3,FALSE)*VLOOKUP($M17,职业分类属性!$A$3:$G$15,7,FALSE))*INDIRECT(ADDRESS(MATCH($M17,职业分类属性!$A$1:$A$15,0),MATCH("防御",职业分类属性!$A$2:$E$2,0),1,1,"职业分类属性"))*((星级总属性!$K$3)/(星级总属性!$K$3+星级总属性!$L$3))+(VLOOKUP($B17,INDIRECT(TEXT("'"&amp;$L17&amp;"星每级加强属性曲线演算'","")&amp;"!$A$2:$C$100"),3,FALSE)*VLOOKUP($M17,职业分类属性!$A$3:$G$15,7,FALSE))*(HLOOKUP(HLOOKUP("防御",职业属性偏向!$B$3:$E$16,14,FALSE),INDIRECT(TEXT($N$1&amp;$N17&amp;"!$B$2:$G$3","")),2,FALSE)/INDIRECT(TEXT($N$1&amp;$N17&amp;"!$H$3","")))*((星级总属性!$L$3)/(星级总属性!$K$3+星级总属性!$L$3)),0)</f>
        <v>113,73,880,86</v>
      </c>
      <c r="D17" s="33">
        <f>IF(VLOOKUP($B17,觉醒要求!$A$2:$C$7,2,FALSE)=0,"",VLOOKUP($B17,觉醒要求!$A$2:$C$7,2,FALSE))</f>
        <v>2</v>
      </c>
      <c r="E17" s="33">
        <v>1015</v>
      </c>
      <c r="F17" s="42" t="str">
        <f>IF(VLOOKUP($B17,觉醒要求!$A$2:$C$7,3,FALSE)=0,"",VLOOKUP($B17,觉醒要求!$A$2:$C$7,3,FALSE))</f>
        <v/>
      </c>
      <c r="G17" s="30">
        <v>1</v>
      </c>
      <c r="H17" s="28">
        <v>855015</v>
      </c>
      <c r="I17" s="33" t="s">
        <v>103</v>
      </c>
      <c r="L17" s="1">
        <f t="shared" si="3"/>
        <v>4</v>
      </c>
      <c r="M17" s="1" t="str">
        <f t="shared" si="3"/>
        <v>法师</v>
      </c>
      <c r="N17" s="1">
        <f t="shared" si="2"/>
        <v>1</v>
      </c>
      <c r="O17" s="27" t="e">
        <f ca="1">ROUND((VLOOKUP(VALUE(RIGHT(O$1,LEN(O$1)-2)),INDIRECT(TEXT("'"&amp;$L17&amp;"星每级加强属性曲线演算'","")&amp;"!$A$2:$C$100"),3,FALSE)*VLOOKUP($M17,职业分类属性!$A$3:$G$15,9,FALSE))*INDIRECT(ADDRESS(MATCH($M17,职业分类属性!$A$1:$A$15,0),MATCH("生命值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生命值",职业属性偏向!$B$3:$E$16,14,FALSE),INDIRECT(TEXT($N$1&amp;$N17&amp;"!$B$2:$G$3","")),2,FALSE)/INDIRECT(TEXT($N$1&amp;$N17&amp;"!$H$3","")))*((星级总属性!$L$3)/(星级总属性!$K$3+星级总属性!$L$3)),0)&amp;","&amp;ROUND((VLOOKUP(VALUE(RIGHT(O$1,LEN(O$1)-2)),INDIRECT(TEXT("'"&amp;$L17&amp;"星每级加强属性曲线演算'","")&amp;"!$A$2:$C$100"),3,FALSE)*VLOOKUP($M17,职业分类属性!$A$3:$G$15,9,FALSE))*INDIRECT(ADDRESS(MATCH($M17,职业分类属性!$A$1:$A$15,0),MATCH("回复力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回复力",职业属性偏向!$B$3:$E$16,14,FALSE),INDIRECT(TEXT($N$1&amp;$N17&amp;"!$B$2:$G$3","")),2,FALSE)/INDIRECT(TEXT($N$1&amp;$N17&amp;"!$H$3","")))*((星级总属性!$L$3)/(星级总属性!$K$3+星级总属性!$L$3)),0)&amp;","&amp;ROUND((VLOOKUP(VALUE(RIGHT(O$1,LEN(O$1)-2)),INDIRECT(TEXT("'"&amp;$L17&amp;"星每级加强属性曲线演算'","")&amp;"!$A$2:$C$100"),3,FALSE)*VLOOKUP($M17,职业分类属性!$A$3:$G$15,9,FALSE))*INDIRECT(ADDRESS(MATCH($M17,职业分类属性!$A$1:$A$15,0),MATCH("武力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武力",职业属性偏向!$B$3:$E$16,14,FALSE),INDIRECT(TEXT($N$1&amp;$N17&amp;"!$B$2:$G$3","")),2,FALSE)/INDIRECT(TEXT($N$1&amp;$N17&amp;"!$H$3","")))*((星级总属性!$L$3)/(星级总属性!$K$3+星级总属性!$L$3)),0)&amp;","&amp;ROUND((VLOOKUP(VALUE(RIGHT(O$1,LEN(O$1)-2)),INDIRECT(TEXT("'"&amp;$L17&amp;"星每级加强属性曲线演算'","")&amp;"!$A$2:$C$100"),3,FALSE)*VLOOKUP($M17,职业分类属性!$A$3:$G$15,9,FALSE))*INDIRECT(ADDRESS(MATCH($M17,职业分类属性!$A$1:$A$15,0),MATCH("物防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物防",职业属性偏向!$B$3:$E$16,14,FALSE),INDIRECT(TEXT($N$1&amp;$N17&amp;"!$B$2:$G$3","")),2,FALSE)/INDIRECT(TEXT($N$1&amp;$N17&amp;"!$H$3","")))*((星级总属性!$L$3)/(星级总属性!$K$3+星级总属性!$L$3)),0)&amp;","&amp;ROUND((VLOOKUP(VALUE(RIGHT(O$1,LEN(O$1)-2)),INDIRECT(TEXT("'"&amp;$L17&amp;"星每级加强属性曲线演算'","")&amp;"!$A$2:$C$100"),3,FALSE)*VLOOKUP($M17,职业分类属性!$A$3:$G$15,9,FALSE))*INDIRECT(ADDRESS(MATCH($M17,职业分类属性!$A$1:$A$15,0),MATCH("智力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智力",职业属性偏向!$B$3:$E$16,14,FALSE),INDIRECT(TEXT($N$1&amp;$N17&amp;"!$B$2:$G$3","")),2,FALSE)/INDIRECT(TEXT($N$1&amp;$N17&amp;"!$H$3","")))*((星级总属性!$L$3)/(星级总属性!$K$3+星级总属性!$L$3)),0)&amp;","&amp;ROUND((VLOOKUP(VALUE(RIGHT(O$1,LEN(O$1)-2)),INDIRECT(TEXT("'"&amp;$L17&amp;"星每级加强属性曲线演算'","")&amp;"!$A$2:$C$100"),3,FALSE)*VLOOKUP($M17,职业分类属性!$A$3:$G$15,9,FALSE))*INDIRECT(ADDRESS(MATCH($M17,职业分类属性!$A$1:$A$15,0),MATCH("法防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法防",职业属性偏向!$B$3:$E$16,14,FALSE),INDIRECT(TEXT($N$1&amp;$N17&amp;"!$B$2:$G$3","")),2,FALSE)/INDIRECT(TEXT($N$1&amp;$N17&amp;"!$H$3","")))*((星级总属性!$L$3)/(星级总属性!$K$3+星级总属性!$L$3)),0)</f>
        <v>#REF!</v>
      </c>
    </row>
    <row r="18" spans="1:15" x14ac:dyDescent="0.25">
      <c r="A18">
        <v>550015</v>
      </c>
      <c r="B18" s="13">
        <v>4</v>
      </c>
      <c r="C18" s="27" t="str">
        <f ca="1">ROUND((VLOOKUP($B18,INDIRECT(TEXT("'"&amp;$L18&amp;"星每级加强属性曲线演算'","")&amp;"!$A$2:$C$100"),3,FALSE)*VLOOKUP($M18,职业分类属性!$A$3:$G$15,7,FALSE))*INDIRECT(ADDRESS(MATCH($M18,职业分类属性!$A$1:$A$15,0),MATCH("生命值",职业分类属性!$A$2:$E$2,0),1,1,"职业分类属性"))*((星级总属性!$K$3)/(星级总属性!$K$3+星级总属性!$L$3))+(VLOOKUP($B18,INDIRECT(TEXT("'"&amp;$L18&amp;"星每级加强属性曲线演算'","")&amp;"!$A$2:$C$100"),3,FALSE)*VLOOKUP($M18,职业分类属性!$A$3:$G$15,7,FALSE))*(HLOOKUP(HLOOKUP("生命值",职业属性偏向!$B$3:$E$16,14,FALSE),INDIRECT(TEXT($N$1&amp;$N18&amp;"!$B$2:$G$3","")),2,FALSE)/INDIRECT(TEXT($N$1&amp;$N18&amp;"!$H$3","")))*((星级总属性!$L$3)/(星级总属性!$K$3+星级总属性!$L$3)),0)&amp;","&amp;ROUND((VLOOKUP($B18,INDIRECT(TEXT("'"&amp;$L18&amp;"星每级加强属性曲线演算'","")&amp;"!$A$2:$C$100"),3,FALSE)*VLOOKUP($M18,职业分类属性!$A$3:$G$15,7,FALSE))*INDIRECT(ADDRESS(MATCH($M18,职业分类属性!$A$1:$A$15,0),MATCH("回复力",职业分类属性!$A$2:$E$2,0),1,1,"职业分类属性"))*((星级总属性!$K$3)/(星级总属性!$K$3+星级总属性!$L$3))+(VLOOKUP($B18,INDIRECT(TEXT("'"&amp;$L18&amp;"星每级加强属性曲线演算'","")&amp;"!$A$2:$C$100"),3,FALSE)*VLOOKUP($M18,职业分类属性!$A$3:$G$15,7,FALSE))*(HLOOKUP(HLOOKUP("回复力",职业属性偏向!$B$3:$E$16,14,FALSE),INDIRECT(TEXT($N$1&amp;$N18&amp;"!$B$2:$G$3","")),2,FALSE)/INDIRECT(TEXT($N$1&amp;$N18&amp;"!$H$3","")))*((星级总属性!$L$3)/(星级总属性!$K$3+星级总属性!$L$3)),0)&amp;","&amp;ROUND((VLOOKUP($B18,INDIRECT(TEXT("'"&amp;$L18&amp;"星每级加强属性曲线演算'","")&amp;"!$A$2:$C$100"),3,FALSE)*VLOOKUP($M18,职业分类属性!$A$3:$G$15,7,FALSE))*INDIRECT(ADDRESS(MATCH($M18,职业分类属性!$A$1:$A$15,0),MATCH("武力",职业分类属性!$A$2:$E$2,0),1,1,"职业分类属性"))*((星级总属性!$K$3)/(星级总属性!$K$3+星级总属性!$L$3))+(VLOOKUP($B18,INDIRECT(TEXT("'"&amp;$L18&amp;"星每级加强属性曲线演算'","")&amp;"!$A$2:$C$100"),3,FALSE)*VLOOKUP($M18,职业分类属性!$A$3:$G$15,7,FALSE))*(HLOOKUP(HLOOKUP("武力",职业属性偏向!$B$3:$E$16,14,FALSE),INDIRECT(TEXT($N$1&amp;$N18&amp;"!$B$2:$G$3","")),2,FALSE)/INDIRECT(TEXT($N$1&amp;$N18&amp;"!$H$3","")))*((星级总属性!$L$3)/(星级总属性!$K$3+星级总属性!$L$3)),0)&amp;","&amp;ROUND((VLOOKUP($B18,INDIRECT(TEXT("'"&amp;$L18&amp;"星每级加强属性曲线演算'","")&amp;"!$A$2:$C$100"),3,FALSE)*VLOOKUP($M18,职业分类属性!$A$3:$G$15,7,FALSE))*INDIRECT(ADDRESS(MATCH($M18,职业分类属性!$A$1:$A$15,0),MATCH("防御",职业分类属性!$A$2:$E$2,0),1,1,"职业分类属性"))*((星级总属性!$K$3)/(星级总属性!$K$3+星级总属性!$L$3))+(VLOOKUP($B18,INDIRECT(TEXT("'"&amp;$L18&amp;"星每级加强属性曲线演算'","")&amp;"!$A$2:$C$100"),3,FALSE)*VLOOKUP($M18,职业分类属性!$A$3:$G$15,7,FALSE))*(HLOOKUP(HLOOKUP("防御",职业属性偏向!$B$3:$E$16,14,FALSE),INDIRECT(TEXT($N$1&amp;$N18&amp;"!$B$2:$G$3","")),2,FALSE)/INDIRECT(TEXT($N$1&amp;$N18&amp;"!$H$3","")))*((星级总属性!$L$3)/(星级总属性!$K$3+星级总属性!$L$3)),0)</f>
        <v>150,98,1173,115</v>
      </c>
      <c r="D18" s="33">
        <f>IF(VLOOKUP($B18,觉醒要求!$A$2:$C$7,2,FALSE)=0,"",VLOOKUP($B18,觉醒要求!$A$2:$C$7,2,FALSE))</f>
        <v>2</v>
      </c>
      <c r="E18" s="33">
        <v>1016</v>
      </c>
      <c r="F18" s="42" t="str">
        <f>IF(VLOOKUP($B18,觉醒要求!$A$2:$C$7,3,FALSE)=0,"",VLOOKUP($B18,觉醒要求!$A$2:$C$7,3,FALSE))</f>
        <v/>
      </c>
      <c r="G18" s="30"/>
      <c r="L18" s="1">
        <f t="shared" si="3"/>
        <v>4</v>
      </c>
      <c r="M18" s="1" t="str">
        <f t="shared" si="3"/>
        <v>法师</v>
      </c>
      <c r="N18" s="1">
        <f t="shared" si="2"/>
        <v>1</v>
      </c>
      <c r="O18" s="27" t="e">
        <f ca="1">ROUND((VLOOKUP(VALUE(RIGHT(O$1,LEN(O$1)-2)),INDIRECT(TEXT("'"&amp;$L18&amp;"星每级加强属性曲线演算'","")&amp;"!$A$2:$C$100"),3,FALSE)*VLOOKUP($M18,职业分类属性!$A$3:$G$15,9,FALSE))*INDIRECT(ADDRESS(MATCH($M18,职业分类属性!$A$1:$A$15,0),MATCH("生命值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生命值",职业属性偏向!$B$3:$E$16,14,FALSE),INDIRECT(TEXT($N$1&amp;$N18&amp;"!$B$2:$G$3","")),2,FALSE)/INDIRECT(TEXT($N$1&amp;$N18&amp;"!$H$3","")))*((星级总属性!$L$3)/(星级总属性!$K$3+星级总属性!$L$3)),0)&amp;","&amp;ROUND((VLOOKUP(VALUE(RIGHT(O$1,LEN(O$1)-2)),INDIRECT(TEXT("'"&amp;$L18&amp;"星每级加强属性曲线演算'","")&amp;"!$A$2:$C$100"),3,FALSE)*VLOOKUP($M18,职业分类属性!$A$3:$G$15,9,FALSE))*INDIRECT(ADDRESS(MATCH($M18,职业分类属性!$A$1:$A$15,0),MATCH("回复力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回复力",职业属性偏向!$B$3:$E$16,14,FALSE),INDIRECT(TEXT($N$1&amp;$N18&amp;"!$B$2:$G$3","")),2,FALSE)/INDIRECT(TEXT($N$1&amp;$N18&amp;"!$H$3","")))*((星级总属性!$L$3)/(星级总属性!$K$3+星级总属性!$L$3)),0)&amp;","&amp;ROUND((VLOOKUP(VALUE(RIGHT(O$1,LEN(O$1)-2)),INDIRECT(TEXT("'"&amp;$L18&amp;"星每级加强属性曲线演算'","")&amp;"!$A$2:$C$100"),3,FALSE)*VLOOKUP($M18,职业分类属性!$A$3:$G$15,9,FALSE))*INDIRECT(ADDRESS(MATCH($M18,职业分类属性!$A$1:$A$15,0),MATCH("武力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武力",职业属性偏向!$B$3:$E$16,14,FALSE),INDIRECT(TEXT($N$1&amp;$N18&amp;"!$B$2:$G$3","")),2,FALSE)/INDIRECT(TEXT($N$1&amp;$N18&amp;"!$H$3","")))*((星级总属性!$L$3)/(星级总属性!$K$3+星级总属性!$L$3)),0)&amp;","&amp;ROUND((VLOOKUP(VALUE(RIGHT(O$1,LEN(O$1)-2)),INDIRECT(TEXT("'"&amp;$L18&amp;"星每级加强属性曲线演算'","")&amp;"!$A$2:$C$100"),3,FALSE)*VLOOKUP($M18,职业分类属性!$A$3:$G$15,9,FALSE))*INDIRECT(ADDRESS(MATCH($M18,职业分类属性!$A$1:$A$15,0),MATCH("物防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物防",职业属性偏向!$B$3:$E$16,14,FALSE),INDIRECT(TEXT($N$1&amp;$N18&amp;"!$B$2:$G$3","")),2,FALSE)/INDIRECT(TEXT($N$1&amp;$N18&amp;"!$H$3","")))*((星级总属性!$L$3)/(星级总属性!$K$3+星级总属性!$L$3)),0)&amp;","&amp;ROUND((VLOOKUP(VALUE(RIGHT(O$1,LEN(O$1)-2)),INDIRECT(TEXT("'"&amp;$L18&amp;"星每级加强属性曲线演算'","")&amp;"!$A$2:$C$100"),3,FALSE)*VLOOKUP($M18,职业分类属性!$A$3:$G$15,9,FALSE))*INDIRECT(ADDRESS(MATCH($M18,职业分类属性!$A$1:$A$15,0),MATCH("智力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智力",职业属性偏向!$B$3:$E$16,14,FALSE),INDIRECT(TEXT($N$1&amp;$N18&amp;"!$B$2:$G$3","")),2,FALSE)/INDIRECT(TEXT($N$1&amp;$N18&amp;"!$H$3","")))*((星级总属性!$L$3)/(星级总属性!$K$3+星级总属性!$L$3)),0)&amp;","&amp;ROUND((VLOOKUP(VALUE(RIGHT(O$1,LEN(O$1)-2)),INDIRECT(TEXT("'"&amp;$L18&amp;"星每级加强属性曲线演算'","")&amp;"!$A$2:$C$100"),3,FALSE)*VLOOKUP($M18,职业分类属性!$A$3:$G$15,9,FALSE))*INDIRECT(ADDRESS(MATCH($M18,职业分类属性!$A$1:$A$15,0),MATCH("法防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法防",职业属性偏向!$B$3:$E$16,14,FALSE),INDIRECT(TEXT($N$1&amp;$N18&amp;"!$B$2:$G$3","")),2,FALSE)/INDIRECT(TEXT($N$1&amp;$N18&amp;"!$H$3","")))*((星级总属性!$L$3)/(星级总属性!$K$3+星级总属性!$L$3)),0)</f>
        <v>#REF!</v>
      </c>
    </row>
    <row r="19" spans="1:15" x14ac:dyDescent="0.25">
      <c r="A19">
        <v>550015</v>
      </c>
      <c r="B19" s="13">
        <v>5</v>
      </c>
      <c r="C19" s="27" t="str">
        <f ca="1">ROUND((VLOOKUP($B19,INDIRECT(TEXT("'"&amp;$L19&amp;"星每级加强属性曲线演算'","")&amp;"!$A$2:$C$100"),3,FALSE)*VLOOKUP($M19,职业分类属性!$A$3:$G$15,7,FALSE))*INDIRECT(ADDRESS(MATCH($M19,职业分类属性!$A$1:$A$15,0),MATCH("生命值",职业分类属性!$A$2:$E$2,0),1,1,"职业分类属性"))*((星级总属性!$K$3)/(星级总属性!$K$3+星级总属性!$L$3))+(VLOOKUP($B19,INDIRECT(TEXT("'"&amp;$L19&amp;"星每级加强属性曲线演算'","")&amp;"!$A$2:$C$100"),3,FALSE)*VLOOKUP($M19,职业分类属性!$A$3:$G$15,7,FALSE))*(HLOOKUP(HLOOKUP("生命值",职业属性偏向!$B$3:$E$16,14,FALSE),INDIRECT(TEXT($N$1&amp;$N19&amp;"!$B$2:$G$3","")),2,FALSE)/INDIRECT(TEXT($N$1&amp;$N19&amp;"!$H$3","")))*((星级总属性!$L$3)/(星级总属性!$K$3+星级总属性!$L$3)),0)&amp;","&amp;ROUND((VLOOKUP($B19,INDIRECT(TEXT("'"&amp;$L19&amp;"星每级加强属性曲线演算'","")&amp;"!$A$2:$C$100"),3,FALSE)*VLOOKUP($M19,职业分类属性!$A$3:$G$15,7,FALSE))*INDIRECT(ADDRESS(MATCH($M19,职业分类属性!$A$1:$A$15,0),MATCH("回复力",职业分类属性!$A$2:$E$2,0),1,1,"职业分类属性"))*((星级总属性!$K$3)/(星级总属性!$K$3+星级总属性!$L$3))+(VLOOKUP($B19,INDIRECT(TEXT("'"&amp;$L19&amp;"星每级加强属性曲线演算'","")&amp;"!$A$2:$C$100"),3,FALSE)*VLOOKUP($M19,职业分类属性!$A$3:$G$15,7,FALSE))*(HLOOKUP(HLOOKUP("回复力",职业属性偏向!$B$3:$E$16,14,FALSE),INDIRECT(TEXT($N$1&amp;$N19&amp;"!$B$2:$G$3","")),2,FALSE)/INDIRECT(TEXT($N$1&amp;$N19&amp;"!$H$3","")))*((星级总属性!$L$3)/(星级总属性!$K$3+星级总属性!$L$3)),0)&amp;","&amp;ROUND((VLOOKUP($B19,INDIRECT(TEXT("'"&amp;$L19&amp;"星每级加强属性曲线演算'","")&amp;"!$A$2:$C$100"),3,FALSE)*VLOOKUP($M19,职业分类属性!$A$3:$G$15,7,FALSE))*INDIRECT(ADDRESS(MATCH($M19,职业分类属性!$A$1:$A$15,0),MATCH("武力",职业分类属性!$A$2:$E$2,0),1,1,"职业分类属性"))*((星级总属性!$K$3)/(星级总属性!$K$3+星级总属性!$L$3))+(VLOOKUP($B19,INDIRECT(TEXT("'"&amp;$L19&amp;"星每级加强属性曲线演算'","")&amp;"!$A$2:$C$100"),3,FALSE)*VLOOKUP($M19,职业分类属性!$A$3:$G$15,7,FALSE))*(HLOOKUP(HLOOKUP("武力",职业属性偏向!$B$3:$E$16,14,FALSE),INDIRECT(TEXT($N$1&amp;$N19&amp;"!$B$2:$G$3","")),2,FALSE)/INDIRECT(TEXT($N$1&amp;$N19&amp;"!$H$3","")))*((星级总属性!$L$3)/(星级总属性!$K$3+星级总属性!$L$3)),0)&amp;","&amp;ROUND((VLOOKUP($B19,INDIRECT(TEXT("'"&amp;$L19&amp;"星每级加强属性曲线演算'","")&amp;"!$A$2:$C$100"),3,FALSE)*VLOOKUP($M19,职业分类属性!$A$3:$G$15,7,FALSE))*INDIRECT(ADDRESS(MATCH($M19,职业分类属性!$A$1:$A$15,0),MATCH("防御",职业分类属性!$A$2:$E$2,0),1,1,"职业分类属性"))*((星级总属性!$K$3)/(星级总属性!$K$3+星级总属性!$L$3))+(VLOOKUP($B19,INDIRECT(TEXT("'"&amp;$L19&amp;"星每级加强属性曲线演算'","")&amp;"!$A$2:$C$100"),3,FALSE)*VLOOKUP($M19,职业分类属性!$A$3:$G$15,7,FALSE))*(HLOOKUP(HLOOKUP("防御",职业属性偏向!$B$3:$E$16,14,FALSE),INDIRECT(TEXT($N$1&amp;$N19&amp;"!$B$2:$G$3","")),2,FALSE)/INDIRECT(TEXT($N$1&amp;$N19&amp;"!$H$3","")))*((星级总属性!$L$3)/(星级总属性!$K$3+星级总属性!$L$3)),0)</f>
        <v>188,122,1466,144</v>
      </c>
      <c r="D19" s="33">
        <f>IF(VLOOKUP($B19,觉醒要求!$A$2:$C$7,2,FALSE)=0,"",VLOOKUP($B19,觉醒要求!$A$2:$C$7,2,FALSE))</f>
        <v>3</v>
      </c>
      <c r="E19" s="33">
        <v>1017</v>
      </c>
      <c r="F19" s="42" t="str">
        <f>IF(VLOOKUP($B19,觉醒要求!$A$2:$C$7,3,FALSE)=0,"",VLOOKUP($B19,觉醒要求!$A$2:$C$7,3,FALSE))</f>
        <v/>
      </c>
      <c r="G19" s="30">
        <v>0</v>
      </c>
      <c r="H19" s="28">
        <v>855013</v>
      </c>
      <c r="I19" s="28" t="s">
        <v>102</v>
      </c>
      <c r="L19" s="1">
        <f t="shared" si="3"/>
        <v>4</v>
      </c>
      <c r="M19" s="1" t="str">
        <f t="shared" si="3"/>
        <v>法师</v>
      </c>
      <c r="N19" s="2">
        <v>1</v>
      </c>
      <c r="O19" s="27" t="e">
        <f ca="1">ROUND((VLOOKUP(VALUE(RIGHT(O$1,LEN(O$1)-2)),INDIRECT(TEXT("'"&amp;$L19&amp;"星每级加强属性曲线演算'","")&amp;"!$A$2:$C$100"),3,FALSE)*VLOOKUP($M19,职业分类属性!$A$3:$G$15,9,FALSE))*INDIRECT(ADDRESS(MATCH($M19,职业分类属性!$A$1:$A$15,0),MATCH("生命值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生命值",职业属性偏向!$B$3:$E$16,14,FALSE),INDIRECT(TEXT($N$1&amp;$N19&amp;"!$B$2:$G$3","")),2,FALSE)/INDIRECT(TEXT($N$1&amp;$N19&amp;"!$H$3","")))*((星级总属性!$L$3)/(星级总属性!$K$3+星级总属性!$L$3)),0)&amp;","&amp;ROUND((VLOOKUP(VALUE(RIGHT(O$1,LEN(O$1)-2)),INDIRECT(TEXT("'"&amp;$L19&amp;"星每级加强属性曲线演算'","")&amp;"!$A$2:$C$100"),3,FALSE)*VLOOKUP($M19,职业分类属性!$A$3:$G$15,9,FALSE))*INDIRECT(ADDRESS(MATCH($M19,职业分类属性!$A$1:$A$15,0),MATCH("回复力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回复力",职业属性偏向!$B$3:$E$16,14,FALSE),INDIRECT(TEXT($N$1&amp;$N19&amp;"!$B$2:$G$3","")),2,FALSE)/INDIRECT(TEXT($N$1&amp;$N19&amp;"!$H$3","")))*((星级总属性!$L$3)/(星级总属性!$K$3+星级总属性!$L$3)),0)&amp;","&amp;ROUND((VLOOKUP(VALUE(RIGHT(O$1,LEN(O$1)-2)),INDIRECT(TEXT("'"&amp;$L19&amp;"星每级加强属性曲线演算'","")&amp;"!$A$2:$C$100"),3,FALSE)*VLOOKUP($M19,职业分类属性!$A$3:$G$15,9,FALSE))*INDIRECT(ADDRESS(MATCH($M19,职业分类属性!$A$1:$A$15,0),MATCH("武力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武力",职业属性偏向!$B$3:$E$16,14,FALSE),INDIRECT(TEXT($N$1&amp;$N19&amp;"!$B$2:$G$3","")),2,FALSE)/INDIRECT(TEXT($N$1&amp;$N19&amp;"!$H$3","")))*((星级总属性!$L$3)/(星级总属性!$K$3+星级总属性!$L$3)),0)&amp;","&amp;ROUND((VLOOKUP(VALUE(RIGHT(O$1,LEN(O$1)-2)),INDIRECT(TEXT("'"&amp;$L19&amp;"星每级加强属性曲线演算'","")&amp;"!$A$2:$C$100"),3,FALSE)*VLOOKUP($M19,职业分类属性!$A$3:$G$15,9,FALSE))*INDIRECT(ADDRESS(MATCH($M19,职业分类属性!$A$1:$A$15,0),MATCH("物防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物防",职业属性偏向!$B$3:$E$16,14,FALSE),INDIRECT(TEXT($N$1&amp;$N19&amp;"!$B$2:$G$3","")),2,FALSE)/INDIRECT(TEXT($N$1&amp;$N19&amp;"!$H$3","")))*((星级总属性!$L$3)/(星级总属性!$K$3+星级总属性!$L$3)),0)&amp;","&amp;ROUND((VLOOKUP(VALUE(RIGHT(O$1,LEN(O$1)-2)),INDIRECT(TEXT("'"&amp;$L19&amp;"星每级加强属性曲线演算'","")&amp;"!$A$2:$C$100"),3,FALSE)*VLOOKUP($M19,职业分类属性!$A$3:$G$15,9,FALSE))*INDIRECT(ADDRESS(MATCH($M19,职业分类属性!$A$1:$A$15,0),MATCH("智力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智力",职业属性偏向!$B$3:$E$16,14,FALSE),INDIRECT(TEXT($N$1&amp;$N19&amp;"!$B$2:$G$3","")),2,FALSE)/INDIRECT(TEXT($N$1&amp;$N19&amp;"!$H$3","")))*((星级总属性!$L$3)/(星级总属性!$K$3+星级总属性!$L$3)),0)&amp;","&amp;ROUND((VLOOKUP(VALUE(RIGHT(O$1,LEN(O$1)-2)),INDIRECT(TEXT("'"&amp;$L19&amp;"星每级加强属性曲线演算'","")&amp;"!$A$2:$C$100"),3,FALSE)*VLOOKUP($M19,职业分类属性!$A$3:$G$15,9,FALSE))*INDIRECT(ADDRESS(MATCH($M19,职业分类属性!$A$1:$A$15,0),MATCH("法防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法防",职业属性偏向!$B$3:$E$16,14,FALSE),INDIRECT(TEXT($N$1&amp;$N19&amp;"!$B$2:$G$3","")),2,FALSE)/INDIRECT(TEXT($N$1&amp;$N19&amp;"!$H$3","")))*((星级总属性!$L$3)/(星级总属性!$K$3+星级总属性!$L$3)),0)</f>
        <v>#REF!</v>
      </c>
    </row>
    <row r="20" spans="1:15" x14ac:dyDescent="0.25">
      <c r="A20">
        <v>550015</v>
      </c>
      <c r="B20" s="13">
        <v>0</v>
      </c>
      <c r="C20" s="27" t="str">
        <f ca="1">ROUND((VLOOKUP($B20,INDIRECT(TEXT("'"&amp;$L20&amp;"星每级加强属性曲线演算'","")&amp;"!$A$2:$C$100"),3,FALSE)*VLOOKUP($M20,职业分类属性!$A$3:$G$15,7,FALSE))*INDIRECT(ADDRESS(MATCH($M20,职业分类属性!$A$1:$A$15,0),MATCH("生命值",职业分类属性!$A$2:$E$2,0),1,1,"职业分类属性"))*((星级总属性!$K$3)/(星级总属性!$K$3+星级总属性!$L$3))+(VLOOKUP($B20,INDIRECT(TEXT("'"&amp;$L20&amp;"星每级加强属性曲线演算'","")&amp;"!$A$2:$C$100"),3,FALSE)*VLOOKUP($M20,职业分类属性!$A$3:$G$15,7,FALSE))*(HLOOKUP(HLOOKUP("生命值",职业属性偏向!$B$3:$E$16,14,FALSE),INDIRECT(TEXT($N$1&amp;$N20&amp;"!$B$2:$G$3","")),2,FALSE)/INDIRECT(TEXT($N$1&amp;$N20&amp;"!$H$3","")))*((星级总属性!$L$3)/(星级总属性!$K$3+星级总属性!$L$3)),0)&amp;","&amp;ROUND((VLOOKUP($B20,INDIRECT(TEXT("'"&amp;$L20&amp;"星每级加强属性曲线演算'","")&amp;"!$A$2:$C$100"),3,FALSE)*VLOOKUP($M20,职业分类属性!$A$3:$G$15,7,FALSE))*INDIRECT(ADDRESS(MATCH($M20,职业分类属性!$A$1:$A$15,0),MATCH("回复力",职业分类属性!$A$2:$E$2,0),1,1,"职业分类属性"))*((星级总属性!$K$3)/(星级总属性!$K$3+星级总属性!$L$3))+(VLOOKUP($B20,INDIRECT(TEXT("'"&amp;$L20&amp;"星每级加强属性曲线演算'","")&amp;"!$A$2:$C$100"),3,FALSE)*VLOOKUP($M20,职业分类属性!$A$3:$G$15,7,FALSE))*(HLOOKUP(HLOOKUP("回复力",职业属性偏向!$B$3:$E$16,14,FALSE),INDIRECT(TEXT($N$1&amp;$N20&amp;"!$B$2:$G$3","")),2,FALSE)/INDIRECT(TEXT($N$1&amp;$N20&amp;"!$H$3","")))*((星级总属性!$L$3)/(星级总属性!$K$3+星级总属性!$L$3)),0)&amp;","&amp;ROUND((VLOOKUP($B20,INDIRECT(TEXT("'"&amp;$L20&amp;"星每级加强属性曲线演算'","")&amp;"!$A$2:$C$100"),3,FALSE)*VLOOKUP($M20,职业分类属性!$A$3:$G$15,7,FALSE))*INDIRECT(ADDRESS(MATCH($M20,职业分类属性!$A$1:$A$15,0),MATCH("武力",职业分类属性!$A$2:$E$2,0),1,1,"职业分类属性"))*((星级总属性!$K$3)/(星级总属性!$K$3+星级总属性!$L$3))+(VLOOKUP($B20,INDIRECT(TEXT("'"&amp;$L20&amp;"星每级加强属性曲线演算'","")&amp;"!$A$2:$C$100"),3,FALSE)*VLOOKUP($M20,职业分类属性!$A$3:$G$15,7,FALSE))*(HLOOKUP(HLOOKUP("武力",职业属性偏向!$B$3:$E$16,14,FALSE),INDIRECT(TEXT($N$1&amp;$N20&amp;"!$B$2:$G$3","")),2,FALSE)/INDIRECT(TEXT($N$1&amp;$N20&amp;"!$H$3","")))*((星级总属性!$L$3)/(星级总属性!$K$3+星级总属性!$L$3)),0)&amp;","&amp;ROUND((VLOOKUP($B20,INDIRECT(TEXT("'"&amp;$L20&amp;"星每级加强属性曲线演算'","")&amp;"!$A$2:$C$100"),3,FALSE)*VLOOKUP($M20,职业分类属性!$A$3:$G$15,7,FALSE))*INDIRECT(ADDRESS(MATCH($M20,职业分类属性!$A$1:$A$15,0),MATCH("防御",职业分类属性!$A$2:$E$2,0),1,1,"职业分类属性"))*((星级总属性!$K$3)/(星级总属性!$K$3+星级总属性!$L$3))+(VLOOKUP($B20,INDIRECT(TEXT("'"&amp;$L20&amp;"星每级加强属性曲线演算'","")&amp;"!$A$2:$C$100"),3,FALSE)*VLOOKUP($M20,职业分类属性!$A$3:$G$15,7,FALSE))*(HLOOKUP(HLOOKUP("防御",职业属性偏向!$B$3:$E$16,14,FALSE),INDIRECT(TEXT($N$1&amp;$N20&amp;"!$B$2:$G$3","")),2,FALSE)/INDIRECT(TEXT($N$1&amp;$N20&amp;"!$H$3","")))*((星级总属性!$L$3)/(星级总属性!$K$3+星级总属性!$L$3)),0)</f>
        <v>0,0,0,0</v>
      </c>
      <c r="D20" s="33" t="str">
        <f>IF(VLOOKUP($B20,觉醒要求!$A$2:$C$7,2,FALSE)=0,"",VLOOKUP($B20,觉醒要求!$A$2:$C$7,2,FALSE))</f>
        <v/>
      </c>
      <c r="E20" s="33">
        <v>1018</v>
      </c>
      <c r="F20" s="42" t="str">
        <f>IF(VLOOKUP($B20,觉醒要求!$A$2:$C$7,3,FALSE)=0,"",VLOOKUP($B20,觉醒要求!$A$2:$C$7,3,FALSE))</f>
        <v/>
      </c>
      <c r="G20" s="30"/>
      <c r="L20" s="1">
        <f t="shared" si="3"/>
        <v>4</v>
      </c>
      <c r="M20" s="1" t="str">
        <f t="shared" si="3"/>
        <v>法师</v>
      </c>
      <c r="N20" s="2">
        <f t="shared" ref="N20:N28" si="4">N19</f>
        <v>1</v>
      </c>
      <c r="O20" s="27" t="e">
        <f ca="1">ROUND((VLOOKUP(VALUE(RIGHT(O$1,LEN(O$1)-2)),INDIRECT(TEXT("'"&amp;$L20&amp;"星每级加强属性曲线演算'","")&amp;"!$A$2:$C$100"),3,FALSE)*VLOOKUP($M20,职业分类属性!$A$3:$G$15,9,FALSE))*INDIRECT(ADDRESS(MATCH($M20,职业分类属性!$A$1:$A$15,0),MATCH("生命值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生命值",职业属性偏向!$B$3:$E$16,14,FALSE),INDIRECT(TEXT($N$1&amp;$N20&amp;"!$B$2:$G$3","")),2,FALSE)/INDIRECT(TEXT($N$1&amp;$N20&amp;"!$H$3","")))*((星级总属性!$L$3)/(星级总属性!$K$3+星级总属性!$L$3)),0)&amp;","&amp;ROUND((VLOOKUP(VALUE(RIGHT(O$1,LEN(O$1)-2)),INDIRECT(TEXT("'"&amp;$L20&amp;"星每级加强属性曲线演算'","")&amp;"!$A$2:$C$100"),3,FALSE)*VLOOKUP($M20,职业分类属性!$A$3:$G$15,9,FALSE))*INDIRECT(ADDRESS(MATCH($M20,职业分类属性!$A$1:$A$15,0),MATCH("回复力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回复力",职业属性偏向!$B$3:$E$16,14,FALSE),INDIRECT(TEXT($N$1&amp;$N20&amp;"!$B$2:$G$3","")),2,FALSE)/INDIRECT(TEXT($N$1&amp;$N20&amp;"!$H$3","")))*((星级总属性!$L$3)/(星级总属性!$K$3+星级总属性!$L$3)),0)&amp;","&amp;ROUND((VLOOKUP(VALUE(RIGHT(O$1,LEN(O$1)-2)),INDIRECT(TEXT("'"&amp;$L20&amp;"星每级加强属性曲线演算'","")&amp;"!$A$2:$C$100"),3,FALSE)*VLOOKUP($M20,职业分类属性!$A$3:$G$15,9,FALSE))*INDIRECT(ADDRESS(MATCH($M20,职业分类属性!$A$1:$A$15,0),MATCH("武力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武力",职业属性偏向!$B$3:$E$16,14,FALSE),INDIRECT(TEXT($N$1&amp;$N20&amp;"!$B$2:$G$3","")),2,FALSE)/INDIRECT(TEXT($N$1&amp;$N20&amp;"!$H$3","")))*((星级总属性!$L$3)/(星级总属性!$K$3+星级总属性!$L$3)),0)&amp;","&amp;ROUND((VLOOKUP(VALUE(RIGHT(O$1,LEN(O$1)-2)),INDIRECT(TEXT("'"&amp;$L20&amp;"星每级加强属性曲线演算'","")&amp;"!$A$2:$C$100"),3,FALSE)*VLOOKUP($M20,职业分类属性!$A$3:$G$15,9,FALSE))*INDIRECT(ADDRESS(MATCH($M20,职业分类属性!$A$1:$A$15,0),MATCH("物防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物防",职业属性偏向!$B$3:$E$16,14,FALSE),INDIRECT(TEXT($N$1&amp;$N20&amp;"!$B$2:$G$3","")),2,FALSE)/INDIRECT(TEXT($N$1&amp;$N20&amp;"!$H$3","")))*((星级总属性!$L$3)/(星级总属性!$K$3+星级总属性!$L$3)),0)&amp;","&amp;ROUND((VLOOKUP(VALUE(RIGHT(O$1,LEN(O$1)-2)),INDIRECT(TEXT("'"&amp;$L20&amp;"星每级加强属性曲线演算'","")&amp;"!$A$2:$C$100"),3,FALSE)*VLOOKUP($M20,职业分类属性!$A$3:$G$15,9,FALSE))*INDIRECT(ADDRESS(MATCH($M20,职业分类属性!$A$1:$A$15,0),MATCH("智力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智力",职业属性偏向!$B$3:$E$16,14,FALSE),INDIRECT(TEXT($N$1&amp;$N20&amp;"!$B$2:$G$3","")),2,FALSE)/INDIRECT(TEXT($N$1&amp;$N20&amp;"!$H$3","")))*((星级总属性!$L$3)/(星级总属性!$K$3+星级总属性!$L$3)),0)&amp;","&amp;ROUND((VLOOKUP(VALUE(RIGHT(O$1,LEN(O$1)-2)),INDIRECT(TEXT("'"&amp;$L20&amp;"星每级加强属性曲线演算'","")&amp;"!$A$2:$C$100"),3,FALSE)*VLOOKUP($M20,职业分类属性!$A$3:$G$15,9,FALSE))*INDIRECT(ADDRESS(MATCH($M20,职业分类属性!$A$1:$A$15,0),MATCH("法防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法防",职业属性偏向!$B$3:$E$16,14,FALSE),INDIRECT(TEXT($N$1&amp;$N20&amp;"!$B$2:$G$3","")),2,FALSE)/INDIRECT(TEXT($N$1&amp;$N20&amp;"!$H$3","")))*((星级总属性!$L$3)/(星级总属性!$K$3+星级总属性!$L$3)),0)</f>
        <v>#REF!</v>
      </c>
    </row>
    <row r="21" spans="1:15" x14ac:dyDescent="0.25">
      <c r="A21">
        <v>550015</v>
      </c>
      <c r="B21" s="13">
        <v>1</v>
      </c>
      <c r="C21" s="27" t="str">
        <f ca="1">ROUND((VLOOKUP($B21,INDIRECT(TEXT("'"&amp;$L21&amp;"星每级加强属性曲线演算'","")&amp;"!$A$2:$C$100"),3,FALSE)*VLOOKUP($M21,职业分类属性!$A$3:$G$15,7,FALSE))*INDIRECT(ADDRESS(MATCH($M21,职业分类属性!$A$1:$A$15,0),MATCH("生命值",职业分类属性!$A$2:$E$2,0),1,1,"职业分类属性"))*((星级总属性!$K$3)/(星级总属性!$K$3+星级总属性!$L$3))+(VLOOKUP($B21,INDIRECT(TEXT("'"&amp;$L21&amp;"星每级加强属性曲线演算'","")&amp;"!$A$2:$C$100"),3,FALSE)*VLOOKUP($M21,职业分类属性!$A$3:$G$15,7,FALSE))*(HLOOKUP(HLOOKUP("生命值",职业属性偏向!$B$3:$E$16,14,FALSE),INDIRECT(TEXT($N$1&amp;$N21&amp;"!$B$2:$G$3","")),2,FALSE)/INDIRECT(TEXT($N$1&amp;$N21&amp;"!$H$3","")))*((星级总属性!$L$3)/(星级总属性!$K$3+星级总属性!$L$3)),0)&amp;","&amp;ROUND((VLOOKUP($B21,INDIRECT(TEXT("'"&amp;$L21&amp;"星每级加强属性曲线演算'","")&amp;"!$A$2:$C$100"),3,FALSE)*VLOOKUP($M21,职业分类属性!$A$3:$G$15,7,FALSE))*INDIRECT(ADDRESS(MATCH($M21,职业分类属性!$A$1:$A$15,0),MATCH("回复力",职业分类属性!$A$2:$E$2,0),1,1,"职业分类属性"))*((星级总属性!$K$3)/(星级总属性!$K$3+星级总属性!$L$3))+(VLOOKUP($B21,INDIRECT(TEXT("'"&amp;$L21&amp;"星每级加强属性曲线演算'","")&amp;"!$A$2:$C$100"),3,FALSE)*VLOOKUP($M21,职业分类属性!$A$3:$G$15,7,FALSE))*(HLOOKUP(HLOOKUP("回复力",职业属性偏向!$B$3:$E$16,14,FALSE),INDIRECT(TEXT($N$1&amp;$N21&amp;"!$B$2:$G$3","")),2,FALSE)/INDIRECT(TEXT($N$1&amp;$N21&amp;"!$H$3","")))*((星级总属性!$L$3)/(星级总属性!$K$3+星级总属性!$L$3)),0)&amp;","&amp;ROUND((VLOOKUP($B21,INDIRECT(TEXT("'"&amp;$L21&amp;"星每级加强属性曲线演算'","")&amp;"!$A$2:$C$100"),3,FALSE)*VLOOKUP($M21,职业分类属性!$A$3:$G$15,7,FALSE))*INDIRECT(ADDRESS(MATCH($M21,职业分类属性!$A$1:$A$15,0),MATCH("武力",职业分类属性!$A$2:$E$2,0),1,1,"职业分类属性"))*((星级总属性!$K$3)/(星级总属性!$K$3+星级总属性!$L$3))+(VLOOKUP($B21,INDIRECT(TEXT("'"&amp;$L21&amp;"星每级加强属性曲线演算'","")&amp;"!$A$2:$C$100"),3,FALSE)*VLOOKUP($M21,职业分类属性!$A$3:$G$15,7,FALSE))*(HLOOKUP(HLOOKUP("武力",职业属性偏向!$B$3:$E$16,14,FALSE),INDIRECT(TEXT($N$1&amp;$N21&amp;"!$B$2:$G$3","")),2,FALSE)/INDIRECT(TEXT($N$1&amp;$N21&amp;"!$H$3","")))*((星级总属性!$L$3)/(星级总属性!$K$3+星级总属性!$L$3)),0)&amp;","&amp;ROUND((VLOOKUP($B21,INDIRECT(TEXT("'"&amp;$L21&amp;"星每级加强属性曲线演算'","")&amp;"!$A$2:$C$100"),3,FALSE)*VLOOKUP($M21,职业分类属性!$A$3:$G$15,7,FALSE))*INDIRECT(ADDRESS(MATCH($M21,职业分类属性!$A$1:$A$15,0),MATCH("防御",职业分类属性!$A$2:$E$2,0),1,1,"职业分类属性"))*((星级总属性!$K$3)/(星级总属性!$K$3+星级总属性!$L$3))+(VLOOKUP($B21,INDIRECT(TEXT("'"&amp;$L21&amp;"星每级加强属性曲线演算'","")&amp;"!$A$2:$C$100"),3,FALSE)*VLOOKUP($M21,职业分类属性!$A$3:$G$15,7,FALSE))*(HLOOKUP(HLOOKUP("防御",职业属性偏向!$B$3:$E$16,14,FALSE),INDIRECT(TEXT($N$1&amp;$N21&amp;"!$B$2:$G$3","")),2,FALSE)/INDIRECT(TEXT($N$1&amp;$N21&amp;"!$H$3","")))*((星级总属性!$L$3)/(星级总属性!$K$3+星级总属性!$L$3)),0)</f>
        <v>89,153,74,178</v>
      </c>
      <c r="D21" s="33">
        <f>IF(VLOOKUP($B21,觉醒要求!$A$2:$C$7,2,FALSE)=0,"",VLOOKUP($B21,觉醒要求!$A$2:$C$7,2,FALSE))</f>
        <v>1</v>
      </c>
      <c r="E21" s="33">
        <v>1019</v>
      </c>
      <c r="F21" s="42" t="str">
        <f>IF(VLOOKUP($B21,觉醒要求!$A$2:$C$7,3,FALSE)=0,"",VLOOKUP($B21,觉醒要求!$A$2:$C$7,3,FALSE))</f>
        <v/>
      </c>
      <c r="G21" s="30">
        <v>1</v>
      </c>
      <c r="H21" s="28">
        <v>855016</v>
      </c>
      <c r="I21" s="33" t="s">
        <v>103</v>
      </c>
      <c r="L21" s="2">
        <f t="shared" ref="L21:L28" si="5">L20</f>
        <v>4</v>
      </c>
      <c r="M21" s="2" t="s">
        <v>87</v>
      </c>
      <c r="N21" s="2">
        <f t="shared" si="4"/>
        <v>1</v>
      </c>
      <c r="O21" s="27" t="e">
        <f ca="1">ROUND((VLOOKUP(VALUE(RIGHT(O$1,LEN(O$1)-2)),INDIRECT(TEXT("'"&amp;$L21&amp;"星每级加强属性曲线演算'","")&amp;"!$A$2:$C$100"),3,FALSE)*VLOOKUP($M21,职业分类属性!$A$3:$G$15,9,FALSE))*INDIRECT(ADDRESS(MATCH($M21,职业分类属性!$A$1:$A$15,0),MATCH("生命值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生命值",职业属性偏向!$B$3:$E$16,14,FALSE),INDIRECT(TEXT($N$1&amp;$N21&amp;"!$B$2:$G$3","")),2,FALSE)/INDIRECT(TEXT($N$1&amp;$N21&amp;"!$H$3","")))*((星级总属性!$L$3)/(星级总属性!$K$3+星级总属性!$L$3)),0)&amp;","&amp;ROUND((VLOOKUP(VALUE(RIGHT(O$1,LEN(O$1)-2)),INDIRECT(TEXT("'"&amp;$L21&amp;"星每级加强属性曲线演算'","")&amp;"!$A$2:$C$100"),3,FALSE)*VLOOKUP($M21,职业分类属性!$A$3:$G$15,9,FALSE))*INDIRECT(ADDRESS(MATCH($M21,职业分类属性!$A$1:$A$15,0),MATCH("回复力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回复力",职业属性偏向!$B$3:$E$16,14,FALSE),INDIRECT(TEXT($N$1&amp;$N21&amp;"!$B$2:$G$3","")),2,FALSE)/INDIRECT(TEXT($N$1&amp;$N21&amp;"!$H$3","")))*((星级总属性!$L$3)/(星级总属性!$K$3+星级总属性!$L$3)),0)&amp;","&amp;ROUND((VLOOKUP(VALUE(RIGHT(O$1,LEN(O$1)-2)),INDIRECT(TEXT("'"&amp;$L21&amp;"星每级加强属性曲线演算'","")&amp;"!$A$2:$C$100"),3,FALSE)*VLOOKUP($M21,职业分类属性!$A$3:$G$15,9,FALSE))*INDIRECT(ADDRESS(MATCH($M21,职业分类属性!$A$1:$A$15,0),MATCH("武力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武力",职业属性偏向!$B$3:$E$16,14,FALSE),INDIRECT(TEXT($N$1&amp;$N21&amp;"!$B$2:$G$3","")),2,FALSE)/INDIRECT(TEXT($N$1&amp;$N21&amp;"!$H$3","")))*((星级总属性!$L$3)/(星级总属性!$K$3+星级总属性!$L$3)),0)&amp;","&amp;ROUND((VLOOKUP(VALUE(RIGHT(O$1,LEN(O$1)-2)),INDIRECT(TEXT("'"&amp;$L21&amp;"星每级加强属性曲线演算'","")&amp;"!$A$2:$C$100"),3,FALSE)*VLOOKUP($M21,职业分类属性!$A$3:$G$15,9,FALSE))*INDIRECT(ADDRESS(MATCH($M21,职业分类属性!$A$1:$A$15,0),MATCH("物防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物防",职业属性偏向!$B$3:$E$16,14,FALSE),INDIRECT(TEXT($N$1&amp;$N21&amp;"!$B$2:$G$3","")),2,FALSE)/INDIRECT(TEXT($N$1&amp;$N21&amp;"!$H$3","")))*((星级总属性!$L$3)/(星级总属性!$K$3+星级总属性!$L$3)),0)&amp;","&amp;ROUND((VLOOKUP(VALUE(RIGHT(O$1,LEN(O$1)-2)),INDIRECT(TEXT("'"&amp;$L21&amp;"星每级加强属性曲线演算'","")&amp;"!$A$2:$C$100"),3,FALSE)*VLOOKUP($M21,职业分类属性!$A$3:$G$15,9,FALSE))*INDIRECT(ADDRESS(MATCH($M21,职业分类属性!$A$1:$A$15,0),MATCH("智力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智力",职业属性偏向!$B$3:$E$16,14,FALSE),INDIRECT(TEXT($N$1&amp;$N21&amp;"!$B$2:$G$3","")),2,FALSE)/INDIRECT(TEXT($N$1&amp;$N21&amp;"!$H$3","")))*((星级总属性!$L$3)/(星级总属性!$K$3+星级总属性!$L$3)),0)&amp;","&amp;ROUND((VLOOKUP(VALUE(RIGHT(O$1,LEN(O$1)-2)),INDIRECT(TEXT("'"&amp;$L21&amp;"星每级加强属性曲线演算'","")&amp;"!$A$2:$C$100"),3,FALSE)*VLOOKUP($M21,职业分类属性!$A$3:$G$15,9,FALSE))*INDIRECT(ADDRESS(MATCH($M21,职业分类属性!$A$1:$A$15,0),MATCH("法防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法防",职业属性偏向!$B$3:$E$16,14,FALSE),INDIRECT(TEXT($N$1&amp;$N21&amp;"!$B$2:$G$3","")),2,FALSE)/INDIRECT(TEXT($N$1&amp;$N21&amp;"!$H$3","")))*((星级总属性!$L$3)/(星级总属性!$K$3+星级总属性!$L$3)),0)</f>
        <v>#REF!</v>
      </c>
    </row>
    <row r="22" spans="1:15" x14ac:dyDescent="0.25">
      <c r="A22">
        <v>550015</v>
      </c>
      <c r="B22" s="13">
        <v>2</v>
      </c>
      <c r="C22" s="27" t="str">
        <f ca="1">ROUND((VLOOKUP($B22,INDIRECT(TEXT("'"&amp;$L22&amp;"星每级加强属性曲线演算'","")&amp;"!$A$2:$C$100"),3,FALSE)*VLOOKUP($M22,职业分类属性!$A$3:$G$15,7,FALSE))*INDIRECT(ADDRESS(MATCH($M22,职业分类属性!$A$1:$A$15,0),MATCH("生命值",职业分类属性!$A$2:$E$2,0),1,1,"职业分类属性"))*((星级总属性!$K$3)/(星级总属性!$K$3+星级总属性!$L$3))+(VLOOKUP($B22,INDIRECT(TEXT("'"&amp;$L22&amp;"星每级加强属性曲线演算'","")&amp;"!$A$2:$C$100"),3,FALSE)*VLOOKUP($M22,职业分类属性!$A$3:$G$15,7,FALSE))*(HLOOKUP(HLOOKUP("生命值",职业属性偏向!$B$3:$E$16,14,FALSE),INDIRECT(TEXT($N$1&amp;$N22&amp;"!$B$2:$G$3","")),2,FALSE)/INDIRECT(TEXT($N$1&amp;$N22&amp;"!$H$3","")))*((星级总属性!$L$3)/(星级总属性!$K$3+星级总属性!$L$3)),0)&amp;","&amp;ROUND((VLOOKUP($B22,INDIRECT(TEXT("'"&amp;$L22&amp;"星每级加强属性曲线演算'","")&amp;"!$A$2:$C$100"),3,FALSE)*VLOOKUP($M22,职业分类属性!$A$3:$G$15,7,FALSE))*INDIRECT(ADDRESS(MATCH($M22,职业分类属性!$A$1:$A$15,0),MATCH("回复力",职业分类属性!$A$2:$E$2,0),1,1,"职业分类属性"))*((星级总属性!$K$3)/(星级总属性!$K$3+星级总属性!$L$3))+(VLOOKUP($B22,INDIRECT(TEXT("'"&amp;$L22&amp;"星每级加强属性曲线演算'","")&amp;"!$A$2:$C$100"),3,FALSE)*VLOOKUP($M22,职业分类属性!$A$3:$G$15,7,FALSE))*(HLOOKUP(HLOOKUP("回复力",职业属性偏向!$B$3:$E$16,14,FALSE),INDIRECT(TEXT($N$1&amp;$N22&amp;"!$B$2:$G$3","")),2,FALSE)/INDIRECT(TEXT($N$1&amp;$N22&amp;"!$H$3","")))*((星级总属性!$L$3)/(星级总属性!$K$3+星级总属性!$L$3)),0)&amp;","&amp;ROUND((VLOOKUP($B22,INDIRECT(TEXT("'"&amp;$L22&amp;"星每级加强属性曲线演算'","")&amp;"!$A$2:$C$100"),3,FALSE)*VLOOKUP($M22,职业分类属性!$A$3:$G$15,7,FALSE))*INDIRECT(ADDRESS(MATCH($M22,职业分类属性!$A$1:$A$15,0),MATCH("武力",职业分类属性!$A$2:$E$2,0),1,1,"职业分类属性"))*((星级总属性!$K$3)/(星级总属性!$K$3+星级总属性!$L$3))+(VLOOKUP($B22,INDIRECT(TEXT("'"&amp;$L22&amp;"星每级加强属性曲线演算'","")&amp;"!$A$2:$C$100"),3,FALSE)*VLOOKUP($M22,职业分类属性!$A$3:$G$15,7,FALSE))*(HLOOKUP(HLOOKUP("武力",职业属性偏向!$B$3:$E$16,14,FALSE),INDIRECT(TEXT($N$1&amp;$N22&amp;"!$B$2:$G$3","")),2,FALSE)/INDIRECT(TEXT($N$1&amp;$N22&amp;"!$H$3","")))*((星级总属性!$L$3)/(星级总属性!$K$3+星级总属性!$L$3)),0)&amp;","&amp;ROUND((VLOOKUP($B22,INDIRECT(TEXT("'"&amp;$L22&amp;"星每级加强属性曲线演算'","")&amp;"!$A$2:$C$100"),3,FALSE)*VLOOKUP($M22,职业分类属性!$A$3:$G$15,7,FALSE))*INDIRECT(ADDRESS(MATCH($M22,职业分类属性!$A$1:$A$15,0),MATCH("防御",职业分类属性!$A$2:$E$2,0),1,1,"职业分类属性"))*((星级总属性!$K$3)/(星级总属性!$K$3+星级总属性!$L$3))+(VLOOKUP($B22,INDIRECT(TEXT("'"&amp;$L22&amp;"星每级加强属性曲线演算'","")&amp;"!$A$2:$C$100"),3,FALSE)*VLOOKUP($M22,职业分类属性!$A$3:$G$15,7,FALSE))*(HLOOKUP(HLOOKUP("防御",职业属性偏向!$B$3:$E$16,14,FALSE),INDIRECT(TEXT($N$1&amp;$N22&amp;"!$B$2:$G$3","")),2,FALSE)/INDIRECT(TEXT($N$1&amp;$N22&amp;"!$H$3","")))*((星级总属性!$L$3)/(星级总属性!$K$3+星级总属性!$L$3)),0)</f>
        <v>177,305,148,357</v>
      </c>
      <c r="D22" s="33">
        <f>IF(VLOOKUP($B22,觉醒要求!$A$2:$C$7,2,FALSE)=0,"",VLOOKUP($B22,觉醒要求!$A$2:$C$7,2,FALSE))</f>
        <v>1</v>
      </c>
      <c r="E22" s="33">
        <v>1020</v>
      </c>
      <c r="F22" s="42" t="str">
        <f>IF(VLOOKUP($B22,觉醒要求!$A$2:$C$7,3,FALSE)=0,"",VLOOKUP($B22,觉醒要求!$A$2:$C$7,3,FALSE))</f>
        <v/>
      </c>
      <c r="G22" s="30"/>
      <c r="L22" s="1">
        <f t="shared" si="5"/>
        <v>4</v>
      </c>
      <c r="M22" s="1" t="str">
        <f t="shared" ref="M22:M28" si="6">M21</f>
        <v>圣骑</v>
      </c>
      <c r="N22" s="1">
        <f t="shared" si="4"/>
        <v>1</v>
      </c>
      <c r="O22" s="27" t="e">
        <f ca="1">ROUND((VLOOKUP(VALUE(RIGHT(O$1,LEN(O$1)-2)),INDIRECT(TEXT("'"&amp;$L22&amp;"星每级加强属性曲线演算'","")&amp;"!$A$2:$C$100"),3,FALSE)*VLOOKUP($M22,职业分类属性!$A$3:$G$15,9,FALSE))*INDIRECT(ADDRESS(MATCH($M22,职业分类属性!$A$1:$A$15,0),MATCH("生命值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生命值",职业属性偏向!$B$3:$E$16,14,FALSE),INDIRECT(TEXT($N$1&amp;$N22&amp;"!$B$2:$G$3","")),2,FALSE)/INDIRECT(TEXT($N$1&amp;$N22&amp;"!$H$3","")))*((星级总属性!$L$3)/(星级总属性!$K$3+星级总属性!$L$3)),0)&amp;","&amp;ROUND((VLOOKUP(VALUE(RIGHT(O$1,LEN(O$1)-2)),INDIRECT(TEXT("'"&amp;$L22&amp;"星每级加强属性曲线演算'","")&amp;"!$A$2:$C$100"),3,FALSE)*VLOOKUP($M22,职业分类属性!$A$3:$G$15,9,FALSE))*INDIRECT(ADDRESS(MATCH($M22,职业分类属性!$A$1:$A$15,0),MATCH("回复力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回复力",职业属性偏向!$B$3:$E$16,14,FALSE),INDIRECT(TEXT($N$1&amp;$N22&amp;"!$B$2:$G$3","")),2,FALSE)/INDIRECT(TEXT($N$1&amp;$N22&amp;"!$H$3","")))*((星级总属性!$L$3)/(星级总属性!$K$3+星级总属性!$L$3)),0)&amp;","&amp;ROUND((VLOOKUP(VALUE(RIGHT(O$1,LEN(O$1)-2)),INDIRECT(TEXT("'"&amp;$L22&amp;"星每级加强属性曲线演算'","")&amp;"!$A$2:$C$100"),3,FALSE)*VLOOKUP($M22,职业分类属性!$A$3:$G$15,9,FALSE))*INDIRECT(ADDRESS(MATCH($M22,职业分类属性!$A$1:$A$15,0),MATCH("武力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武力",职业属性偏向!$B$3:$E$16,14,FALSE),INDIRECT(TEXT($N$1&amp;$N22&amp;"!$B$2:$G$3","")),2,FALSE)/INDIRECT(TEXT($N$1&amp;$N22&amp;"!$H$3","")))*((星级总属性!$L$3)/(星级总属性!$K$3+星级总属性!$L$3)),0)&amp;","&amp;ROUND((VLOOKUP(VALUE(RIGHT(O$1,LEN(O$1)-2)),INDIRECT(TEXT("'"&amp;$L22&amp;"星每级加强属性曲线演算'","")&amp;"!$A$2:$C$100"),3,FALSE)*VLOOKUP($M22,职业分类属性!$A$3:$G$15,9,FALSE))*INDIRECT(ADDRESS(MATCH($M22,职业分类属性!$A$1:$A$15,0),MATCH("物防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物防",职业属性偏向!$B$3:$E$16,14,FALSE),INDIRECT(TEXT($N$1&amp;$N22&amp;"!$B$2:$G$3","")),2,FALSE)/INDIRECT(TEXT($N$1&amp;$N22&amp;"!$H$3","")))*((星级总属性!$L$3)/(星级总属性!$K$3+星级总属性!$L$3)),0)&amp;","&amp;ROUND((VLOOKUP(VALUE(RIGHT(O$1,LEN(O$1)-2)),INDIRECT(TEXT("'"&amp;$L22&amp;"星每级加强属性曲线演算'","")&amp;"!$A$2:$C$100"),3,FALSE)*VLOOKUP($M22,职业分类属性!$A$3:$G$15,9,FALSE))*INDIRECT(ADDRESS(MATCH($M22,职业分类属性!$A$1:$A$15,0),MATCH("智力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智力",职业属性偏向!$B$3:$E$16,14,FALSE),INDIRECT(TEXT($N$1&amp;$N22&amp;"!$B$2:$G$3","")),2,FALSE)/INDIRECT(TEXT($N$1&amp;$N22&amp;"!$H$3","")))*((星级总属性!$L$3)/(星级总属性!$K$3+星级总属性!$L$3)),0)&amp;","&amp;ROUND((VLOOKUP(VALUE(RIGHT(O$1,LEN(O$1)-2)),INDIRECT(TEXT("'"&amp;$L22&amp;"星每级加强属性曲线演算'","")&amp;"!$A$2:$C$100"),3,FALSE)*VLOOKUP($M22,职业分类属性!$A$3:$G$15,9,FALSE))*INDIRECT(ADDRESS(MATCH($M22,职业分类属性!$A$1:$A$15,0),MATCH("法防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法防",职业属性偏向!$B$3:$E$16,14,FALSE),INDIRECT(TEXT($N$1&amp;$N22&amp;"!$B$2:$G$3","")),2,FALSE)/INDIRECT(TEXT($N$1&amp;$N22&amp;"!$H$3","")))*((星级总属性!$L$3)/(星级总属性!$K$3+星级总属性!$L$3)),0)</f>
        <v>#REF!</v>
      </c>
    </row>
    <row r="23" spans="1:15" x14ac:dyDescent="0.25">
      <c r="A23">
        <v>550015</v>
      </c>
      <c r="B23" s="13">
        <v>3</v>
      </c>
      <c r="C23" s="27" t="str">
        <f ca="1">ROUND((VLOOKUP($B23,INDIRECT(TEXT("'"&amp;$L23&amp;"星每级加强属性曲线演算'","")&amp;"!$A$2:$C$100"),3,FALSE)*VLOOKUP($M23,职业分类属性!$A$3:$G$15,7,FALSE))*INDIRECT(ADDRESS(MATCH($M23,职业分类属性!$A$1:$A$15,0),MATCH("生命值",职业分类属性!$A$2:$E$2,0),1,1,"职业分类属性"))*((星级总属性!$K$3)/(星级总属性!$K$3+星级总属性!$L$3))+(VLOOKUP($B23,INDIRECT(TEXT("'"&amp;$L23&amp;"星每级加强属性曲线演算'","")&amp;"!$A$2:$C$100"),3,FALSE)*VLOOKUP($M23,职业分类属性!$A$3:$G$15,7,FALSE))*(HLOOKUP(HLOOKUP("生命值",职业属性偏向!$B$3:$E$16,14,FALSE),INDIRECT(TEXT($N$1&amp;$N23&amp;"!$B$2:$G$3","")),2,FALSE)/INDIRECT(TEXT($N$1&amp;$N23&amp;"!$H$3","")))*((星级总属性!$L$3)/(星级总属性!$K$3+星级总属性!$L$3)),0)&amp;","&amp;ROUND((VLOOKUP($B23,INDIRECT(TEXT("'"&amp;$L23&amp;"星每级加强属性曲线演算'","")&amp;"!$A$2:$C$100"),3,FALSE)*VLOOKUP($M23,职业分类属性!$A$3:$G$15,7,FALSE))*INDIRECT(ADDRESS(MATCH($M23,职业分类属性!$A$1:$A$15,0),MATCH("回复力",职业分类属性!$A$2:$E$2,0),1,1,"职业分类属性"))*((星级总属性!$K$3)/(星级总属性!$K$3+星级总属性!$L$3))+(VLOOKUP($B23,INDIRECT(TEXT("'"&amp;$L23&amp;"星每级加强属性曲线演算'","")&amp;"!$A$2:$C$100"),3,FALSE)*VLOOKUP($M23,职业分类属性!$A$3:$G$15,7,FALSE))*(HLOOKUP(HLOOKUP("回复力",职业属性偏向!$B$3:$E$16,14,FALSE),INDIRECT(TEXT($N$1&amp;$N23&amp;"!$B$2:$G$3","")),2,FALSE)/INDIRECT(TEXT($N$1&amp;$N23&amp;"!$H$3","")))*((星级总属性!$L$3)/(星级总属性!$K$3+星级总属性!$L$3)),0)&amp;","&amp;ROUND((VLOOKUP($B23,INDIRECT(TEXT("'"&amp;$L23&amp;"星每级加强属性曲线演算'","")&amp;"!$A$2:$C$100"),3,FALSE)*VLOOKUP($M23,职业分类属性!$A$3:$G$15,7,FALSE))*INDIRECT(ADDRESS(MATCH($M23,职业分类属性!$A$1:$A$15,0),MATCH("武力",职业分类属性!$A$2:$E$2,0),1,1,"职业分类属性"))*((星级总属性!$K$3)/(星级总属性!$K$3+星级总属性!$L$3))+(VLOOKUP($B23,INDIRECT(TEXT("'"&amp;$L23&amp;"星每级加强属性曲线演算'","")&amp;"!$A$2:$C$100"),3,FALSE)*VLOOKUP($M23,职业分类属性!$A$3:$G$15,7,FALSE))*(HLOOKUP(HLOOKUP("武力",职业属性偏向!$B$3:$E$16,14,FALSE),INDIRECT(TEXT($N$1&amp;$N23&amp;"!$B$2:$G$3","")),2,FALSE)/INDIRECT(TEXT($N$1&amp;$N23&amp;"!$H$3","")))*((星级总属性!$L$3)/(星级总属性!$K$3+星级总属性!$L$3)),0)&amp;","&amp;ROUND((VLOOKUP($B23,INDIRECT(TEXT("'"&amp;$L23&amp;"星每级加强属性曲线演算'","")&amp;"!$A$2:$C$100"),3,FALSE)*VLOOKUP($M23,职业分类属性!$A$3:$G$15,7,FALSE))*INDIRECT(ADDRESS(MATCH($M23,职业分类属性!$A$1:$A$15,0),MATCH("防御",职业分类属性!$A$2:$E$2,0),1,1,"职业分类属性"))*((星级总属性!$K$3)/(星级总属性!$K$3+星级总属性!$L$3))+(VLOOKUP($B23,INDIRECT(TEXT("'"&amp;$L23&amp;"星每级加强属性曲线演算'","")&amp;"!$A$2:$C$100"),3,FALSE)*VLOOKUP($M23,职业分类属性!$A$3:$G$15,7,FALSE))*(HLOOKUP(HLOOKUP("防御",职业属性偏向!$B$3:$E$16,14,FALSE),INDIRECT(TEXT($N$1&amp;$N23&amp;"!$B$2:$G$3","")),2,FALSE)/INDIRECT(TEXT($N$1&amp;$N23&amp;"!$H$3","")))*((星级总属性!$L$3)/(星级总属性!$K$3+星级总属性!$L$3)),0)</f>
        <v>266,458,222,535</v>
      </c>
      <c r="D23" s="33">
        <f>IF(VLOOKUP($B23,觉醒要求!$A$2:$C$7,2,FALSE)=0,"",VLOOKUP($B23,觉醒要求!$A$2:$C$7,2,FALSE))</f>
        <v>2</v>
      </c>
      <c r="E23" s="33">
        <v>1021</v>
      </c>
      <c r="F23" s="42" t="str">
        <f>IF(VLOOKUP($B23,觉醒要求!$A$2:$C$7,3,FALSE)=0,"",VLOOKUP($B23,觉醒要求!$A$2:$C$7,3,FALSE))</f>
        <v/>
      </c>
      <c r="G23" s="30">
        <v>0</v>
      </c>
      <c r="H23" s="28">
        <v>855014</v>
      </c>
      <c r="I23" s="28" t="s">
        <v>102</v>
      </c>
      <c r="L23" s="1">
        <f t="shared" si="5"/>
        <v>4</v>
      </c>
      <c r="M23" s="1" t="str">
        <f t="shared" si="6"/>
        <v>圣骑</v>
      </c>
      <c r="N23" s="1">
        <f t="shared" si="4"/>
        <v>1</v>
      </c>
      <c r="O23" s="27" t="e">
        <f ca="1">ROUND((VLOOKUP(VALUE(RIGHT(O$1,LEN(O$1)-2)),INDIRECT(TEXT("'"&amp;$L23&amp;"星每级加强属性曲线演算'","")&amp;"!$A$2:$C$100"),3,FALSE)*VLOOKUP($M23,职业分类属性!$A$3:$G$15,9,FALSE))*INDIRECT(ADDRESS(MATCH($M23,职业分类属性!$A$1:$A$15,0),MATCH("生命值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生命值",职业属性偏向!$B$3:$E$16,14,FALSE),INDIRECT(TEXT($N$1&amp;$N23&amp;"!$B$2:$G$3","")),2,FALSE)/INDIRECT(TEXT($N$1&amp;$N23&amp;"!$H$3","")))*((星级总属性!$L$3)/(星级总属性!$K$3+星级总属性!$L$3)),0)&amp;","&amp;ROUND((VLOOKUP(VALUE(RIGHT(O$1,LEN(O$1)-2)),INDIRECT(TEXT("'"&amp;$L23&amp;"星每级加强属性曲线演算'","")&amp;"!$A$2:$C$100"),3,FALSE)*VLOOKUP($M23,职业分类属性!$A$3:$G$15,9,FALSE))*INDIRECT(ADDRESS(MATCH($M23,职业分类属性!$A$1:$A$15,0),MATCH("回复力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回复力",职业属性偏向!$B$3:$E$16,14,FALSE),INDIRECT(TEXT($N$1&amp;$N23&amp;"!$B$2:$G$3","")),2,FALSE)/INDIRECT(TEXT($N$1&amp;$N23&amp;"!$H$3","")))*((星级总属性!$L$3)/(星级总属性!$K$3+星级总属性!$L$3)),0)&amp;","&amp;ROUND((VLOOKUP(VALUE(RIGHT(O$1,LEN(O$1)-2)),INDIRECT(TEXT("'"&amp;$L23&amp;"星每级加强属性曲线演算'","")&amp;"!$A$2:$C$100"),3,FALSE)*VLOOKUP($M23,职业分类属性!$A$3:$G$15,9,FALSE))*INDIRECT(ADDRESS(MATCH($M23,职业分类属性!$A$1:$A$15,0),MATCH("武力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武力",职业属性偏向!$B$3:$E$16,14,FALSE),INDIRECT(TEXT($N$1&amp;$N23&amp;"!$B$2:$G$3","")),2,FALSE)/INDIRECT(TEXT($N$1&amp;$N23&amp;"!$H$3","")))*((星级总属性!$L$3)/(星级总属性!$K$3+星级总属性!$L$3)),0)&amp;","&amp;ROUND((VLOOKUP(VALUE(RIGHT(O$1,LEN(O$1)-2)),INDIRECT(TEXT("'"&amp;$L23&amp;"星每级加强属性曲线演算'","")&amp;"!$A$2:$C$100"),3,FALSE)*VLOOKUP($M23,职业分类属性!$A$3:$G$15,9,FALSE))*INDIRECT(ADDRESS(MATCH($M23,职业分类属性!$A$1:$A$15,0),MATCH("物防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物防",职业属性偏向!$B$3:$E$16,14,FALSE),INDIRECT(TEXT($N$1&amp;$N23&amp;"!$B$2:$G$3","")),2,FALSE)/INDIRECT(TEXT($N$1&amp;$N23&amp;"!$H$3","")))*((星级总属性!$L$3)/(星级总属性!$K$3+星级总属性!$L$3)),0)&amp;","&amp;ROUND((VLOOKUP(VALUE(RIGHT(O$1,LEN(O$1)-2)),INDIRECT(TEXT("'"&amp;$L23&amp;"星每级加强属性曲线演算'","")&amp;"!$A$2:$C$100"),3,FALSE)*VLOOKUP($M23,职业分类属性!$A$3:$G$15,9,FALSE))*INDIRECT(ADDRESS(MATCH($M23,职业分类属性!$A$1:$A$15,0),MATCH("智力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智力",职业属性偏向!$B$3:$E$16,14,FALSE),INDIRECT(TEXT($N$1&amp;$N23&amp;"!$B$2:$G$3","")),2,FALSE)/INDIRECT(TEXT($N$1&amp;$N23&amp;"!$H$3","")))*((星级总属性!$L$3)/(星级总属性!$K$3+星级总属性!$L$3)),0)&amp;","&amp;ROUND((VLOOKUP(VALUE(RIGHT(O$1,LEN(O$1)-2)),INDIRECT(TEXT("'"&amp;$L23&amp;"星每级加强属性曲线演算'","")&amp;"!$A$2:$C$100"),3,FALSE)*VLOOKUP($M23,职业分类属性!$A$3:$G$15,9,FALSE))*INDIRECT(ADDRESS(MATCH($M23,职业分类属性!$A$1:$A$15,0),MATCH("法防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法防",职业属性偏向!$B$3:$E$16,14,FALSE),INDIRECT(TEXT($N$1&amp;$N23&amp;"!$B$2:$G$3","")),2,FALSE)/INDIRECT(TEXT($N$1&amp;$N23&amp;"!$H$3","")))*((星级总属性!$L$3)/(星级总属性!$K$3+星级总属性!$L$3)),0)</f>
        <v>#REF!</v>
      </c>
    </row>
    <row r="24" spans="1:15" x14ac:dyDescent="0.25">
      <c r="A24">
        <v>550015</v>
      </c>
      <c r="B24" s="13">
        <v>4</v>
      </c>
      <c r="C24" s="27" t="str">
        <f ca="1">ROUND((VLOOKUP($B24,INDIRECT(TEXT("'"&amp;$L24&amp;"星每级加强属性曲线演算'","")&amp;"!$A$2:$C$100"),3,FALSE)*VLOOKUP($M24,职业分类属性!$A$3:$G$15,7,FALSE))*INDIRECT(ADDRESS(MATCH($M24,职业分类属性!$A$1:$A$15,0),MATCH("生命值",职业分类属性!$A$2:$E$2,0),1,1,"职业分类属性"))*((星级总属性!$K$3)/(星级总属性!$K$3+星级总属性!$L$3))+(VLOOKUP($B24,INDIRECT(TEXT("'"&amp;$L24&amp;"星每级加强属性曲线演算'","")&amp;"!$A$2:$C$100"),3,FALSE)*VLOOKUP($M24,职业分类属性!$A$3:$G$15,7,FALSE))*(HLOOKUP(HLOOKUP("生命值",职业属性偏向!$B$3:$E$16,14,FALSE),INDIRECT(TEXT($N$1&amp;$N24&amp;"!$B$2:$G$3","")),2,FALSE)/INDIRECT(TEXT($N$1&amp;$N24&amp;"!$H$3","")))*((星级总属性!$L$3)/(星级总属性!$K$3+星级总属性!$L$3)),0)&amp;","&amp;ROUND((VLOOKUP($B24,INDIRECT(TEXT("'"&amp;$L24&amp;"星每级加强属性曲线演算'","")&amp;"!$A$2:$C$100"),3,FALSE)*VLOOKUP($M24,职业分类属性!$A$3:$G$15,7,FALSE))*INDIRECT(ADDRESS(MATCH($M24,职业分类属性!$A$1:$A$15,0),MATCH("回复力",职业分类属性!$A$2:$E$2,0),1,1,"职业分类属性"))*((星级总属性!$K$3)/(星级总属性!$K$3+星级总属性!$L$3))+(VLOOKUP($B24,INDIRECT(TEXT("'"&amp;$L24&amp;"星每级加强属性曲线演算'","")&amp;"!$A$2:$C$100"),3,FALSE)*VLOOKUP($M24,职业分类属性!$A$3:$G$15,7,FALSE))*(HLOOKUP(HLOOKUP("回复力",职业属性偏向!$B$3:$E$16,14,FALSE),INDIRECT(TEXT($N$1&amp;$N24&amp;"!$B$2:$G$3","")),2,FALSE)/INDIRECT(TEXT($N$1&amp;$N24&amp;"!$H$3","")))*((星级总属性!$L$3)/(星级总属性!$K$3+星级总属性!$L$3)),0)&amp;","&amp;ROUND((VLOOKUP($B24,INDIRECT(TEXT("'"&amp;$L24&amp;"星每级加强属性曲线演算'","")&amp;"!$A$2:$C$100"),3,FALSE)*VLOOKUP($M24,职业分类属性!$A$3:$G$15,7,FALSE))*INDIRECT(ADDRESS(MATCH($M24,职业分类属性!$A$1:$A$15,0),MATCH("武力",职业分类属性!$A$2:$E$2,0),1,1,"职业分类属性"))*((星级总属性!$K$3)/(星级总属性!$K$3+星级总属性!$L$3))+(VLOOKUP($B24,INDIRECT(TEXT("'"&amp;$L24&amp;"星每级加强属性曲线演算'","")&amp;"!$A$2:$C$100"),3,FALSE)*VLOOKUP($M24,职业分类属性!$A$3:$G$15,7,FALSE))*(HLOOKUP(HLOOKUP("武力",职业属性偏向!$B$3:$E$16,14,FALSE),INDIRECT(TEXT($N$1&amp;$N24&amp;"!$B$2:$G$3","")),2,FALSE)/INDIRECT(TEXT($N$1&amp;$N24&amp;"!$H$3","")))*((星级总属性!$L$3)/(星级总属性!$K$3+星级总属性!$L$3)),0)&amp;","&amp;ROUND((VLOOKUP($B24,INDIRECT(TEXT("'"&amp;$L24&amp;"星每级加强属性曲线演算'","")&amp;"!$A$2:$C$100"),3,FALSE)*VLOOKUP($M24,职业分类属性!$A$3:$G$15,7,FALSE))*INDIRECT(ADDRESS(MATCH($M24,职业分类属性!$A$1:$A$15,0),MATCH("防御",职业分类属性!$A$2:$E$2,0),1,1,"职业分类属性"))*((星级总属性!$K$3)/(星级总属性!$K$3+星级总属性!$L$3))+(VLOOKUP($B24,INDIRECT(TEXT("'"&amp;$L24&amp;"星每级加强属性曲线演算'","")&amp;"!$A$2:$C$100"),3,FALSE)*VLOOKUP($M24,职业分类属性!$A$3:$G$15,7,FALSE))*(HLOOKUP(HLOOKUP("防御",职业属性偏向!$B$3:$E$16,14,FALSE),INDIRECT(TEXT($N$1&amp;$N24&amp;"!$B$2:$G$3","")),2,FALSE)/INDIRECT(TEXT($N$1&amp;$N24&amp;"!$H$3","")))*((星级总属性!$L$3)/(星级总属性!$K$3+星级总属性!$L$3)),0)</f>
        <v>355,610,296,714</v>
      </c>
      <c r="D24" s="33">
        <f>IF(VLOOKUP($B24,觉醒要求!$A$2:$C$7,2,FALSE)=0,"",VLOOKUP($B24,觉醒要求!$A$2:$C$7,2,FALSE))</f>
        <v>2</v>
      </c>
      <c r="E24" s="33">
        <v>1022</v>
      </c>
      <c r="F24" s="42" t="str">
        <f>IF(VLOOKUP($B24,觉醒要求!$A$2:$C$7,3,FALSE)=0,"",VLOOKUP($B24,觉醒要求!$A$2:$C$7,3,FALSE))</f>
        <v/>
      </c>
      <c r="G24" s="30"/>
      <c r="L24" s="1">
        <f t="shared" si="5"/>
        <v>4</v>
      </c>
      <c r="M24" s="1" t="str">
        <f t="shared" si="6"/>
        <v>圣骑</v>
      </c>
      <c r="N24" s="1">
        <f t="shared" si="4"/>
        <v>1</v>
      </c>
      <c r="O24" s="27" t="e">
        <f ca="1">ROUND((VLOOKUP(VALUE(RIGHT(O$1,LEN(O$1)-2)),INDIRECT(TEXT("'"&amp;$L24&amp;"星每级加强属性曲线演算'","")&amp;"!$A$2:$C$100"),3,FALSE)*VLOOKUP($M24,职业分类属性!$A$3:$G$15,9,FALSE))*INDIRECT(ADDRESS(MATCH($M24,职业分类属性!$A$1:$A$15,0),MATCH("生命值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生命值",职业属性偏向!$B$3:$E$16,14,FALSE),INDIRECT(TEXT($N$1&amp;$N24&amp;"!$B$2:$G$3","")),2,FALSE)/INDIRECT(TEXT($N$1&amp;$N24&amp;"!$H$3","")))*((星级总属性!$L$3)/(星级总属性!$K$3+星级总属性!$L$3)),0)&amp;","&amp;ROUND((VLOOKUP(VALUE(RIGHT(O$1,LEN(O$1)-2)),INDIRECT(TEXT("'"&amp;$L24&amp;"星每级加强属性曲线演算'","")&amp;"!$A$2:$C$100"),3,FALSE)*VLOOKUP($M24,职业分类属性!$A$3:$G$15,9,FALSE))*INDIRECT(ADDRESS(MATCH($M24,职业分类属性!$A$1:$A$15,0),MATCH("回复力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回复力",职业属性偏向!$B$3:$E$16,14,FALSE),INDIRECT(TEXT($N$1&amp;$N24&amp;"!$B$2:$G$3","")),2,FALSE)/INDIRECT(TEXT($N$1&amp;$N24&amp;"!$H$3","")))*((星级总属性!$L$3)/(星级总属性!$K$3+星级总属性!$L$3)),0)&amp;","&amp;ROUND((VLOOKUP(VALUE(RIGHT(O$1,LEN(O$1)-2)),INDIRECT(TEXT("'"&amp;$L24&amp;"星每级加强属性曲线演算'","")&amp;"!$A$2:$C$100"),3,FALSE)*VLOOKUP($M24,职业分类属性!$A$3:$G$15,9,FALSE))*INDIRECT(ADDRESS(MATCH($M24,职业分类属性!$A$1:$A$15,0),MATCH("武力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武力",职业属性偏向!$B$3:$E$16,14,FALSE),INDIRECT(TEXT($N$1&amp;$N24&amp;"!$B$2:$G$3","")),2,FALSE)/INDIRECT(TEXT($N$1&amp;$N24&amp;"!$H$3","")))*((星级总属性!$L$3)/(星级总属性!$K$3+星级总属性!$L$3)),0)&amp;","&amp;ROUND((VLOOKUP(VALUE(RIGHT(O$1,LEN(O$1)-2)),INDIRECT(TEXT("'"&amp;$L24&amp;"星每级加强属性曲线演算'","")&amp;"!$A$2:$C$100"),3,FALSE)*VLOOKUP($M24,职业分类属性!$A$3:$G$15,9,FALSE))*INDIRECT(ADDRESS(MATCH($M24,职业分类属性!$A$1:$A$15,0),MATCH("物防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物防",职业属性偏向!$B$3:$E$16,14,FALSE),INDIRECT(TEXT($N$1&amp;$N24&amp;"!$B$2:$G$3","")),2,FALSE)/INDIRECT(TEXT($N$1&amp;$N24&amp;"!$H$3","")))*((星级总属性!$L$3)/(星级总属性!$K$3+星级总属性!$L$3)),0)&amp;","&amp;ROUND((VLOOKUP(VALUE(RIGHT(O$1,LEN(O$1)-2)),INDIRECT(TEXT("'"&amp;$L24&amp;"星每级加强属性曲线演算'","")&amp;"!$A$2:$C$100"),3,FALSE)*VLOOKUP($M24,职业分类属性!$A$3:$G$15,9,FALSE))*INDIRECT(ADDRESS(MATCH($M24,职业分类属性!$A$1:$A$15,0),MATCH("智力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智力",职业属性偏向!$B$3:$E$16,14,FALSE),INDIRECT(TEXT($N$1&amp;$N24&amp;"!$B$2:$G$3","")),2,FALSE)/INDIRECT(TEXT($N$1&amp;$N24&amp;"!$H$3","")))*((星级总属性!$L$3)/(星级总属性!$K$3+星级总属性!$L$3)),0)&amp;","&amp;ROUND((VLOOKUP(VALUE(RIGHT(O$1,LEN(O$1)-2)),INDIRECT(TEXT("'"&amp;$L24&amp;"星每级加强属性曲线演算'","")&amp;"!$A$2:$C$100"),3,FALSE)*VLOOKUP($M24,职业分类属性!$A$3:$G$15,9,FALSE))*INDIRECT(ADDRESS(MATCH($M24,职业分类属性!$A$1:$A$15,0),MATCH("法防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法防",职业属性偏向!$B$3:$E$16,14,FALSE),INDIRECT(TEXT($N$1&amp;$N24&amp;"!$B$2:$G$3","")),2,FALSE)/INDIRECT(TEXT($N$1&amp;$N24&amp;"!$H$3","")))*((星级总属性!$L$3)/(星级总属性!$K$3+星级总属性!$L$3)),0)</f>
        <v>#REF!</v>
      </c>
    </row>
    <row r="25" spans="1:15" x14ac:dyDescent="0.25">
      <c r="A25">
        <v>550015</v>
      </c>
      <c r="B25" s="13">
        <v>5</v>
      </c>
      <c r="C25" s="27" t="str">
        <f ca="1">ROUND((VLOOKUP($B25,INDIRECT(TEXT("'"&amp;$L25&amp;"星每级加强属性曲线演算'","")&amp;"!$A$2:$C$100"),3,FALSE)*VLOOKUP($M25,职业分类属性!$A$3:$G$15,7,FALSE))*INDIRECT(ADDRESS(MATCH($M25,职业分类属性!$A$1:$A$15,0),MATCH("生命值",职业分类属性!$A$2:$E$2,0),1,1,"职业分类属性"))*((星级总属性!$K$3)/(星级总属性!$K$3+星级总属性!$L$3))+(VLOOKUP($B25,INDIRECT(TEXT("'"&amp;$L25&amp;"星每级加强属性曲线演算'","")&amp;"!$A$2:$C$100"),3,FALSE)*VLOOKUP($M25,职业分类属性!$A$3:$G$15,7,FALSE))*(HLOOKUP(HLOOKUP("生命值",职业属性偏向!$B$3:$E$16,14,FALSE),INDIRECT(TEXT($N$1&amp;$N25&amp;"!$B$2:$G$3","")),2,FALSE)/INDIRECT(TEXT($N$1&amp;$N25&amp;"!$H$3","")))*((星级总属性!$L$3)/(星级总属性!$K$3+星级总属性!$L$3)),0)&amp;","&amp;ROUND((VLOOKUP($B25,INDIRECT(TEXT("'"&amp;$L25&amp;"星每级加强属性曲线演算'","")&amp;"!$A$2:$C$100"),3,FALSE)*VLOOKUP($M25,职业分类属性!$A$3:$G$15,7,FALSE))*INDIRECT(ADDRESS(MATCH($M25,职业分类属性!$A$1:$A$15,0),MATCH("回复力",职业分类属性!$A$2:$E$2,0),1,1,"职业分类属性"))*((星级总属性!$K$3)/(星级总属性!$K$3+星级总属性!$L$3))+(VLOOKUP($B25,INDIRECT(TEXT("'"&amp;$L25&amp;"星每级加强属性曲线演算'","")&amp;"!$A$2:$C$100"),3,FALSE)*VLOOKUP($M25,职业分类属性!$A$3:$G$15,7,FALSE))*(HLOOKUP(HLOOKUP("回复力",职业属性偏向!$B$3:$E$16,14,FALSE),INDIRECT(TEXT($N$1&amp;$N25&amp;"!$B$2:$G$3","")),2,FALSE)/INDIRECT(TEXT($N$1&amp;$N25&amp;"!$H$3","")))*((星级总属性!$L$3)/(星级总属性!$K$3+星级总属性!$L$3)),0)&amp;","&amp;ROUND((VLOOKUP($B25,INDIRECT(TEXT("'"&amp;$L25&amp;"星每级加强属性曲线演算'","")&amp;"!$A$2:$C$100"),3,FALSE)*VLOOKUP($M25,职业分类属性!$A$3:$G$15,7,FALSE))*INDIRECT(ADDRESS(MATCH($M25,职业分类属性!$A$1:$A$15,0),MATCH("武力",职业分类属性!$A$2:$E$2,0),1,1,"职业分类属性"))*((星级总属性!$K$3)/(星级总属性!$K$3+星级总属性!$L$3))+(VLOOKUP($B25,INDIRECT(TEXT("'"&amp;$L25&amp;"星每级加强属性曲线演算'","")&amp;"!$A$2:$C$100"),3,FALSE)*VLOOKUP($M25,职业分类属性!$A$3:$G$15,7,FALSE))*(HLOOKUP(HLOOKUP("武力",职业属性偏向!$B$3:$E$16,14,FALSE),INDIRECT(TEXT($N$1&amp;$N25&amp;"!$B$2:$G$3","")),2,FALSE)/INDIRECT(TEXT($N$1&amp;$N25&amp;"!$H$3","")))*((星级总属性!$L$3)/(星级总属性!$K$3+星级总属性!$L$3)),0)&amp;","&amp;ROUND((VLOOKUP($B25,INDIRECT(TEXT("'"&amp;$L25&amp;"星每级加强属性曲线演算'","")&amp;"!$A$2:$C$100"),3,FALSE)*VLOOKUP($M25,职业分类属性!$A$3:$G$15,7,FALSE))*INDIRECT(ADDRESS(MATCH($M25,职业分类属性!$A$1:$A$15,0),MATCH("防御",职业分类属性!$A$2:$E$2,0),1,1,"职业分类属性"))*((星级总属性!$K$3)/(星级总属性!$K$3+星级总属性!$L$3))+(VLOOKUP($B25,INDIRECT(TEXT("'"&amp;$L25&amp;"星每级加强属性曲线演算'","")&amp;"!$A$2:$C$100"),3,FALSE)*VLOOKUP($M25,职业分类属性!$A$3:$G$15,7,FALSE))*(HLOOKUP(HLOOKUP("防御",职业属性偏向!$B$3:$E$16,14,FALSE),INDIRECT(TEXT($N$1&amp;$N25&amp;"!$B$2:$G$3","")),2,FALSE)/INDIRECT(TEXT($N$1&amp;$N25&amp;"!$H$3","")))*((星级总属性!$L$3)/(星级总属性!$K$3+星级总属性!$L$3)),0)</f>
        <v>443,763,370,892</v>
      </c>
      <c r="D25" s="33">
        <f>IF(VLOOKUP($B25,觉醒要求!$A$2:$C$7,2,FALSE)=0,"",VLOOKUP($B25,觉醒要求!$A$2:$C$7,2,FALSE))</f>
        <v>3</v>
      </c>
      <c r="E25" s="33">
        <v>1023</v>
      </c>
      <c r="F25" s="42" t="str">
        <f>IF(VLOOKUP($B25,觉醒要求!$A$2:$C$7,3,FALSE)=0,"",VLOOKUP($B25,觉醒要求!$A$2:$C$7,3,FALSE))</f>
        <v/>
      </c>
      <c r="G25" s="30">
        <v>1</v>
      </c>
      <c r="H25" s="28">
        <v>855017</v>
      </c>
      <c r="I25" s="28" t="s">
        <v>102</v>
      </c>
      <c r="L25" s="1">
        <f t="shared" si="5"/>
        <v>4</v>
      </c>
      <c r="M25" s="1" t="str">
        <f t="shared" si="6"/>
        <v>圣骑</v>
      </c>
      <c r="N25" s="1">
        <f t="shared" si="4"/>
        <v>1</v>
      </c>
      <c r="O25" s="27" t="e">
        <f ca="1">ROUND((VLOOKUP(VALUE(RIGHT(O$1,LEN(O$1)-2)),INDIRECT(TEXT("'"&amp;$L25&amp;"星每级加强属性曲线演算'","")&amp;"!$A$2:$C$100"),3,FALSE)*VLOOKUP($M25,职业分类属性!$A$3:$G$15,9,FALSE))*INDIRECT(ADDRESS(MATCH($M25,职业分类属性!$A$1:$A$15,0),MATCH("生命值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生命值",职业属性偏向!$B$3:$E$16,14,FALSE),INDIRECT(TEXT($N$1&amp;$N25&amp;"!$B$2:$G$3","")),2,FALSE)/INDIRECT(TEXT($N$1&amp;$N25&amp;"!$H$3","")))*((星级总属性!$L$3)/(星级总属性!$K$3+星级总属性!$L$3)),0)&amp;","&amp;ROUND((VLOOKUP(VALUE(RIGHT(O$1,LEN(O$1)-2)),INDIRECT(TEXT("'"&amp;$L25&amp;"星每级加强属性曲线演算'","")&amp;"!$A$2:$C$100"),3,FALSE)*VLOOKUP($M25,职业分类属性!$A$3:$G$15,9,FALSE))*INDIRECT(ADDRESS(MATCH($M25,职业分类属性!$A$1:$A$15,0),MATCH("回复力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回复力",职业属性偏向!$B$3:$E$16,14,FALSE),INDIRECT(TEXT($N$1&amp;$N25&amp;"!$B$2:$G$3","")),2,FALSE)/INDIRECT(TEXT($N$1&amp;$N25&amp;"!$H$3","")))*((星级总属性!$L$3)/(星级总属性!$K$3+星级总属性!$L$3)),0)&amp;","&amp;ROUND((VLOOKUP(VALUE(RIGHT(O$1,LEN(O$1)-2)),INDIRECT(TEXT("'"&amp;$L25&amp;"星每级加强属性曲线演算'","")&amp;"!$A$2:$C$100"),3,FALSE)*VLOOKUP($M25,职业分类属性!$A$3:$G$15,9,FALSE))*INDIRECT(ADDRESS(MATCH($M25,职业分类属性!$A$1:$A$15,0),MATCH("武力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武力",职业属性偏向!$B$3:$E$16,14,FALSE),INDIRECT(TEXT($N$1&amp;$N25&amp;"!$B$2:$G$3","")),2,FALSE)/INDIRECT(TEXT($N$1&amp;$N25&amp;"!$H$3","")))*((星级总属性!$L$3)/(星级总属性!$K$3+星级总属性!$L$3)),0)&amp;","&amp;ROUND((VLOOKUP(VALUE(RIGHT(O$1,LEN(O$1)-2)),INDIRECT(TEXT("'"&amp;$L25&amp;"星每级加强属性曲线演算'","")&amp;"!$A$2:$C$100"),3,FALSE)*VLOOKUP($M25,职业分类属性!$A$3:$G$15,9,FALSE))*INDIRECT(ADDRESS(MATCH($M25,职业分类属性!$A$1:$A$15,0),MATCH("物防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物防",职业属性偏向!$B$3:$E$16,14,FALSE),INDIRECT(TEXT($N$1&amp;$N25&amp;"!$B$2:$G$3","")),2,FALSE)/INDIRECT(TEXT($N$1&amp;$N25&amp;"!$H$3","")))*((星级总属性!$L$3)/(星级总属性!$K$3+星级总属性!$L$3)),0)&amp;","&amp;ROUND((VLOOKUP(VALUE(RIGHT(O$1,LEN(O$1)-2)),INDIRECT(TEXT("'"&amp;$L25&amp;"星每级加强属性曲线演算'","")&amp;"!$A$2:$C$100"),3,FALSE)*VLOOKUP($M25,职业分类属性!$A$3:$G$15,9,FALSE))*INDIRECT(ADDRESS(MATCH($M25,职业分类属性!$A$1:$A$15,0),MATCH("智力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智力",职业属性偏向!$B$3:$E$16,14,FALSE),INDIRECT(TEXT($N$1&amp;$N25&amp;"!$B$2:$G$3","")),2,FALSE)/INDIRECT(TEXT($N$1&amp;$N25&amp;"!$H$3","")))*((星级总属性!$L$3)/(星级总属性!$K$3+星级总属性!$L$3)),0)&amp;","&amp;ROUND((VLOOKUP(VALUE(RIGHT(O$1,LEN(O$1)-2)),INDIRECT(TEXT("'"&amp;$L25&amp;"星每级加强属性曲线演算'","")&amp;"!$A$2:$C$100"),3,FALSE)*VLOOKUP($M25,职业分类属性!$A$3:$G$15,9,FALSE))*INDIRECT(ADDRESS(MATCH($M25,职业分类属性!$A$1:$A$15,0),MATCH("法防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法防",职业属性偏向!$B$3:$E$16,14,FALSE),INDIRECT(TEXT($N$1&amp;$N25&amp;"!$B$2:$G$3","")),2,FALSE)/INDIRECT(TEXT($N$1&amp;$N25&amp;"!$H$3","")))*((星级总属性!$L$3)/(星级总属性!$K$3+星级总属性!$L$3)),0)</f>
        <v>#REF!</v>
      </c>
    </row>
    <row r="26" spans="1:15" x14ac:dyDescent="0.25">
      <c r="A26">
        <v>550015</v>
      </c>
      <c r="B26" s="13">
        <v>0</v>
      </c>
      <c r="C26" s="27" t="str">
        <f ca="1">ROUND((VLOOKUP($B26,INDIRECT(TEXT("'"&amp;$L26&amp;"星每级加强属性曲线演算'","")&amp;"!$A$2:$C$100"),3,FALSE)*VLOOKUP($M26,职业分类属性!$A$3:$G$15,7,FALSE))*INDIRECT(ADDRESS(MATCH($M26,职业分类属性!$A$1:$A$15,0),MATCH("生命值",职业分类属性!$A$2:$E$2,0),1,1,"职业分类属性"))*((星级总属性!$K$3)/(星级总属性!$K$3+星级总属性!$L$3))+(VLOOKUP($B26,INDIRECT(TEXT("'"&amp;$L26&amp;"星每级加强属性曲线演算'","")&amp;"!$A$2:$C$100"),3,FALSE)*VLOOKUP($M26,职业分类属性!$A$3:$G$15,7,FALSE))*(HLOOKUP(HLOOKUP("生命值",职业属性偏向!$B$3:$E$16,14,FALSE),INDIRECT(TEXT($N$1&amp;$N26&amp;"!$B$2:$G$3","")),2,FALSE)/INDIRECT(TEXT($N$1&amp;$N26&amp;"!$H$3","")))*((星级总属性!$L$3)/(星级总属性!$K$3+星级总属性!$L$3)),0)&amp;","&amp;ROUND((VLOOKUP($B26,INDIRECT(TEXT("'"&amp;$L26&amp;"星每级加强属性曲线演算'","")&amp;"!$A$2:$C$100"),3,FALSE)*VLOOKUP($M26,职业分类属性!$A$3:$G$15,7,FALSE))*INDIRECT(ADDRESS(MATCH($M26,职业分类属性!$A$1:$A$15,0),MATCH("回复力",职业分类属性!$A$2:$E$2,0),1,1,"职业分类属性"))*((星级总属性!$K$3)/(星级总属性!$K$3+星级总属性!$L$3))+(VLOOKUP($B26,INDIRECT(TEXT("'"&amp;$L26&amp;"星每级加强属性曲线演算'","")&amp;"!$A$2:$C$100"),3,FALSE)*VLOOKUP($M26,职业分类属性!$A$3:$G$15,7,FALSE))*(HLOOKUP(HLOOKUP("回复力",职业属性偏向!$B$3:$E$16,14,FALSE),INDIRECT(TEXT($N$1&amp;$N26&amp;"!$B$2:$G$3","")),2,FALSE)/INDIRECT(TEXT($N$1&amp;$N26&amp;"!$H$3","")))*((星级总属性!$L$3)/(星级总属性!$K$3+星级总属性!$L$3)),0)&amp;","&amp;ROUND((VLOOKUP($B26,INDIRECT(TEXT("'"&amp;$L26&amp;"星每级加强属性曲线演算'","")&amp;"!$A$2:$C$100"),3,FALSE)*VLOOKUP($M26,职业分类属性!$A$3:$G$15,7,FALSE))*INDIRECT(ADDRESS(MATCH($M26,职业分类属性!$A$1:$A$15,0),MATCH("武力",职业分类属性!$A$2:$E$2,0),1,1,"职业分类属性"))*((星级总属性!$K$3)/(星级总属性!$K$3+星级总属性!$L$3))+(VLOOKUP($B26,INDIRECT(TEXT("'"&amp;$L26&amp;"星每级加强属性曲线演算'","")&amp;"!$A$2:$C$100"),3,FALSE)*VLOOKUP($M26,职业分类属性!$A$3:$G$15,7,FALSE))*(HLOOKUP(HLOOKUP("武力",职业属性偏向!$B$3:$E$16,14,FALSE),INDIRECT(TEXT($N$1&amp;$N26&amp;"!$B$2:$G$3","")),2,FALSE)/INDIRECT(TEXT($N$1&amp;$N26&amp;"!$H$3","")))*((星级总属性!$L$3)/(星级总属性!$K$3+星级总属性!$L$3)),0)&amp;","&amp;ROUND((VLOOKUP($B26,INDIRECT(TEXT("'"&amp;$L26&amp;"星每级加强属性曲线演算'","")&amp;"!$A$2:$C$100"),3,FALSE)*VLOOKUP($M26,职业分类属性!$A$3:$G$15,7,FALSE))*INDIRECT(ADDRESS(MATCH($M26,职业分类属性!$A$1:$A$15,0),MATCH("防御",职业分类属性!$A$2:$E$2,0),1,1,"职业分类属性"))*((星级总属性!$K$3)/(星级总属性!$K$3+星级总属性!$L$3))+(VLOOKUP($B26,INDIRECT(TEXT("'"&amp;$L26&amp;"星每级加强属性曲线演算'","")&amp;"!$A$2:$C$100"),3,FALSE)*VLOOKUP($M26,职业分类属性!$A$3:$G$15,7,FALSE))*(HLOOKUP(HLOOKUP("防御",职业属性偏向!$B$3:$E$16,14,FALSE),INDIRECT(TEXT($N$1&amp;$N26&amp;"!$B$2:$G$3","")),2,FALSE)/INDIRECT(TEXT($N$1&amp;$N26&amp;"!$H$3","")))*((星级总属性!$L$3)/(星级总属性!$K$3+星级总属性!$L$3)),0)</f>
        <v>0,0,0,0</v>
      </c>
      <c r="D26" s="33" t="str">
        <f>IF(VLOOKUP($B26,觉醒要求!$A$2:$C$7,2,FALSE)=0,"",VLOOKUP($B26,觉醒要求!$A$2:$C$7,2,FALSE))</f>
        <v/>
      </c>
      <c r="E26" s="33">
        <v>1024</v>
      </c>
      <c r="F26" s="42" t="str">
        <f>IF(VLOOKUP($B26,觉醒要求!$A$2:$C$7,3,FALSE)=0,"",VLOOKUP($B26,觉醒要求!$A$2:$C$7,3,FALSE))</f>
        <v/>
      </c>
      <c r="G26" s="30"/>
      <c r="L26" s="1">
        <f t="shared" si="5"/>
        <v>4</v>
      </c>
      <c r="M26" s="1" t="str">
        <f t="shared" si="6"/>
        <v>圣骑</v>
      </c>
      <c r="N26" s="1">
        <f t="shared" si="4"/>
        <v>1</v>
      </c>
      <c r="O26" s="27" t="e">
        <f ca="1">ROUND((VLOOKUP(VALUE(RIGHT(O$1,LEN(O$1)-2)),INDIRECT(TEXT("'"&amp;$L26&amp;"星每级加强属性曲线演算'","")&amp;"!$A$2:$C$100"),3,FALSE)*VLOOKUP($M26,职业分类属性!$A$3:$G$15,9,FALSE))*INDIRECT(ADDRESS(MATCH($M26,职业分类属性!$A$1:$A$15,0),MATCH("生命值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生命值",职业属性偏向!$B$3:$E$16,14,FALSE),INDIRECT(TEXT($N$1&amp;$N26&amp;"!$B$2:$G$3","")),2,FALSE)/INDIRECT(TEXT($N$1&amp;$N26&amp;"!$H$3","")))*((星级总属性!$L$3)/(星级总属性!$K$3+星级总属性!$L$3)),0)&amp;","&amp;ROUND((VLOOKUP(VALUE(RIGHT(O$1,LEN(O$1)-2)),INDIRECT(TEXT("'"&amp;$L26&amp;"星每级加强属性曲线演算'","")&amp;"!$A$2:$C$100"),3,FALSE)*VLOOKUP($M26,职业分类属性!$A$3:$G$15,9,FALSE))*INDIRECT(ADDRESS(MATCH($M26,职业分类属性!$A$1:$A$15,0),MATCH("回复力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回复力",职业属性偏向!$B$3:$E$16,14,FALSE),INDIRECT(TEXT($N$1&amp;$N26&amp;"!$B$2:$G$3","")),2,FALSE)/INDIRECT(TEXT($N$1&amp;$N26&amp;"!$H$3","")))*((星级总属性!$L$3)/(星级总属性!$K$3+星级总属性!$L$3)),0)&amp;","&amp;ROUND((VLOOKUP(VALUE(RIGHT(O$1,LEN(O$1)-2)),INDIRECT(TEXT("'"&amp;$L26&amp;"星每级加强属性曲线演算'","")&amp;"!$A$2:$C$100"),3,FALSE)*VLOOKUP($M26,职业分类属性!$A$3:$G$15,9,FALSE))*INDIRECT(ADDRESS(MATCH($M26,职业分类属性!$A$1:$A$15,0),MATCH("武力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武力",职业属性偏向!$B$3:$E$16,14,FALSE),INDIRECT(TEXT($N$1&amp;$N26&amp;"!$B$2:$G$3","")),2,FALSE)/INDIRECT(TEXT($N$1&amp;$N26&amp;"!$H$3","")))*((星级总属性!$L$3)/(星级总属性!$K$3+星级总属性!$L$3)),0)&amp;","&amp;ROUND((VLOOKUP(VALUE(RIGHT(O$1,LEN(O$1)-2)),INDIRECT(TEXT("'"&amp;$L26&amp;"星每级加强属性曲线演算'","")&amp;"!$A$2:$C$100"),3,FALSE)*VLOOKUP($M26,职业分类属性!$A$3:$G$15,9,FALSE))*INDIRECT(ADDRESS(MATCH($M26,职业分类属性!$A$1:$A$15,0),MATCH("物防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物防",职业属性偏向!$B$3:$E$16,14,FALSE),INDIRECT(TEXT($N$1&amp;$N26&amp;"!$B$2:$G$3","")),2,FALSE)/INDIRECT(TEXT($N$1&amp;$N26&amp;"!$H$3","")))*((星级总属性!$L$3)/(星级总属性!$K$3+星级总属性!$L$3)),0)&amp;","&amp;ROUND((VLOOKUP(VALUE(RIGHT(O$1,LEN(O$1)-2)),INDIRECT(TEXT("'"&amp;$L26&amp;"星每级加强属性曲线演算'","")&amp;"!$A$2:$C$100"),3,FALSE)*VLOOKUP($M26,职业分类属性!$A$3:$G$15,9,FALSE))*INDIRECT(ADDRESS(MATCH($M26,职业分类属性!$A$1:$A$15,0),MATCH("智力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智力",职业属性偏向!$B$3:$E$16,14,FALSE),INDIRECT(TEXT($N$1&amp;$N26&amp;"!$B$2:$G$3","")),2,FALSE)/INDIRECT(TEXT($N$1&amp;$N26&amp;"!$H$3","")))*((星级总属性!$L$3)/(星级总属性!$K$3+星级总属性!$L$3)),0)&amp;","&amp;ROUND((VLOOKUP(VALUE(RIGHT(O$1,LEN(O$1)-2)),INDIRECT(TEXT("'"&amp;$L26&amp;"星每级加强属性曲线演算'","")&amp;"!$A$2:$C$100"),3,FALSE)*VLOOKUP($M26,职业分类属性!$A$3:$G$15,9,FALSE))*INDIRECT(ADDRESS(MATCH($M26,职业分类属性!$A$1:$A$15,0),MATCH("法防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法防",职业属性偏向!$B$3:$E$16,14,FALSE),INDIRECT(TEXT($N$1&amp;$N26&amp;"!$B$2:$G$3","")),2,FALSE)/INDIRECT(TEXT($N$1&amp;$N26&amp;"!$H$3","")))*((星级总属性!$L$3)/(星级总属性!$K$3+星级总属性!$L$3)),0)</f>
        <v>#REF!</v>
      </c>
    </row>
    <row r="27" spans="1:15" x14ac:dyDescent="0.25">
      <c r="A27">
        <v>550015</v>
      </c>
      <c r="B27" s="31">
        <v>1</v>
      </c>
      <c r="C27" s="27" t="str">
        <f ca="1">ROUND((VLOOKUP($B27,INDIRECT(TEXT("'"&amp;$L27&amp;"星每级加强属性曲线演算'","")&amp;"!$A$2:$C$100"),3,FALSE)*VLOOKUP($M27,职业分类属性!$A$3:$G$15,7,FALSE))*INDIRECT(ADDRESS(MATCH($M27,职业分类属性!$A$1:$A$15,0),MATCH("生命值",职业分类属性!$A$2:$E$2,0),1,1,"职业分类属性"))*((星级总属性!$K$3)/(星级总属性!$K$3+星级总属性!$L$3))+(VLOOKUP($B27,INDIRECT(TEXT("'"&amp;$L27&amp;"星每级加强属性曲线演算'","")&amp;"!$A$2:$C$100"),3,FALSE)*VLOOKUP($M27,职业分类属性!$A$3:$G$15,7,FALSE))*(HLOOKUP(HLOOKUP("生命值",职业属性偏向!$B$3:$E$16,14,FALSE),INDIRECT(TEXT($N$1&amp;$N27&amp;"!$B$2:$G$3","")),2,FALSE)/INDIRECT(TEXT($N$1&amp;$N27&amp;"!$H$3","")))*((星级总属性!$L$3)/(星级总属性!$K$3+星级总属性!$L$3)),0)&amp;","&amp;ROUND((VLOOKUP($B27,INDIRECT(TEXT("'"&amp;$L27&amp;"星每级加强属性曲线演算'","")&amp;"!$A$2:$C$100"),3,FALSE)*VLOOKUP($M27,职业分类属性!$A$3:$G$15,7,FALSE))*INDIRECT(ADDRESS(MATCH($M27,职业分类属性!$A$1:$A$15,0),MATCH("回复力",职业分类属性!$A$2:$E$2,0),1,1,"职业分类属性"))*((星级总属性!$K$3)/(星级总属性!$K$3+星级总属性!$L$3))+(VLOOKUP($B27,INDIRECT(TEXT("'"&amp;$L27&amp;"星每级加强属性曲线演算'","")&amp;"!$A$2:$C$100"),3,FALSE)*VLOOKUP($M27,职业分类属性!$A$3:$G$15,7,FALSE))*(HLOOKUP(HLOOKUP("回复力",职业属性偏向!$B$3:$E$16,14,FALSE),INDIRECT(TEXT($N$1&amp;$N27&amp;"!$B$2:$G$3","")),2,FALSE)/INDIRECT(TEXT($N$1&amp;$N27&amp;"!$H$3","")))*((星级总属性!$L$3)/(星级总属性!$K$3+星级总属性!$L$3)),0)&amp;","&amp;ROUND((VLOOKUP($B27,INDIRECT(TEXT("'"&amp;$L27&amp;"星每级加强属性曲线演算'","")&amp;"!$A$2:$C$100"),3,FALSE)*VLOOKUP($M27,职业分类属性!$A$3:$G$15,7,FALSE))*INDIRECT(ADDRESS(MATCH($M27,职业分类属性!$A$1:$A$15,0),MATCH("武力",职业分类属性!$A$2:$E$2,0),1,1,"职业分类属性"))*((星级总属性!$K$3)/(星级总属性!$K$3+星级总属性!$L$3))+(VLOOKUP($B27,INDIRECT(TEXT("'"&amp;$L27&amp;"星每级加强属性曲线演算'","")&amp;"!$A$2:$C$100"),3,FALSE)*VLOOKUP($M27,职业分类属性!$A$3:$G$15,7,FALSE))*(HLOOKUP(HLOOKUP("武力",职业属性偏向!$B$3:$E$16,14,FALSE),INDIRECT(TEXT($N$1&amp;$N27&amp;"!$B$2:$G$3","")),2,FALSE)/INDIRECT(TEXT($N$1&amp;$N27&amp;"!$H$3","")))*((星级总属性!$L$3)/(星级总属性!$K$3+星级总属性!$L$3)),0)&amp;","&amp;ROUND((VLOOKUP($B27,INDIRECT(TEXT("'"&amp;$L27&amp;"星每级加强属性曲线演算'","")&amp;"!$A$2:$C$100"),3,FALSE)*VLOOKUP($M27,职业分类属性!$A$3:$G$15,7,FALSE))*INDIRECT(ADDRESS(MATCH($M27,职业分类属性!$A$1:$A$15,0),MATCH("防御",职业分类属性!$A$2:$E$2,0),1,1,"职业分类属性"))*((星级总属性!$K$3)/(星级总属性!$K$3+星级总属性!$L$3))+(VLOOKUP($B27,INDIRECT(TEXT("'"&amp;$L27&amp;"星每级加强属性曲线演算'","")&amp;"!$A$2:$C$100"),3,FALSE)*VLOOKUP($M27,职业分类属性!$A$3:$G$15,7,FALSE))*(HLOOKUP(HLOOKUP("防御",职业属性偏向!$B$3:$E$16,14,FALSE),INDIRECT(TEXT($N$1&amp;$N27&amp;"!$B$2:$G$3","")),2,FALSE)/INDIRECT(TEXT($N$1&amp;$N27&amp;"!$H$3","")))*((星级总属性!$L$3)/(星级总属性!$K$3+星级总属性!$L$3)),0)</f>
        <v>89,153,74,178</v>
      </c>
      <c r="D27" s="33">
        <f>IF(VLOOKUP($B27,觉醒要求!$A$2:$C$7,2,FALSE)=0,"",VLOOKUP($B27,觉醒要求!$A$2:$C$7,2,FALSE))</f>
        <v>1</v>
      </c>
      <c r="E27" s="33">
        <v>1025</v>
      </c>
      <c r="F27" s="42" t="str">
        <f>IF(VLOOKUP($B27,觉醒要求!$A$2:$C$7,3,FALSE)=0,"",VLOOKUP($B27,觉醒要求!$A$2:$C$7,3,FALSE))</f>
        <v/>
      </c>
      <c r="G27" s="30">
        <v>1</v>
      </c>
      <c r="H27" s="28">
        <v>855018</v>
      </c>
      <c r="I27" s="28" t="s">
        <v>104</v>
      </c>
      <c r="L27" s="1">
        <f t="shared" si="5"/>
        <v>4</v>
      </c>
      <c r="M27" s="1" t="str">
        <f t="shared" si="6"/>
        <v>圣骑</v>
      </c>
      <c r="N27" s="1">
        <f t="shared" si="4"/>
        <v>1</v>
      </c>
      <c r="O27" s="27" t="e">
        <f ca="1">ROUND((VLOOKUP(VALUE(RIGHT(O$1,LEN(O$1)-2)),INDIRECT(TEXT("'"&amp;$L27&amp;"星每级加强属性曲线演算'","")&amp;"!$A$2:$C$100"),3,FALSE)*VLOOKUP($M27,职业分类属性!$A$3:$G$15,9,FALSE))*INDIRECT(ADDRESS(MATCH($M27,职业分类属性!$A$1:$A$15,0),MATCH("生命值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生命值",职业属性偏向!$B$3:$E$16,14,FALSE),INDIRECT(TEXT($N$1&amp;$N27&amp;"!$B$2:$G$3","")),2,FALSE)/INDIRECT(TEXT($N$1&amp;$N27&amp;"!$H$3","")))*((星级总属性!$L$3)/(星级总属性!$K$3+星级总属性!$L$3)),0)&amp;","&amp;ROUND((VLOOKUP(VALUE(RIGHT(O$1,LEN(O$1)-2)),INDIRECT(TEXT("'"&amp;$L27&amp;"星每级加强属性曲线演算'","")&amp;"!$A$2:$C$100"),3,FALSE)*VLOOKUP($M27,职业分类属性!$A$3:$G$15,9,FALSE))*INDIRECT(ADDRESS(MATCH($M27,职业分类属性!$A$1:$A$15,0),MATCH("回复力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回复力",职业属性偏向!$B$3:$E$16,14,FALSE),INDIRECT(TEXT($N$1&amp;$N27&amp;"!$B$2:$G$3","")),2,FALSE)/INDIRECT(TEXT($N$1&amp;$N27&amp;"!$H$3","")))*((星级总属性!$L$3)/(星级总属性!$K$3+星级总属性!$L$3)),0)&amp;","&amp;ROUND((VLOOKUP(VALUE(RIGHT(O$1,LEN(O$1)-2)),INDIRECT(TEXT("'"&amp;$L27&amp;"星每级加强属性曲线演算'","")&amp;"!$A$2:$C$100"),3,FALSE)*VLOOKUP($M27,职业分类属性!$A$3:$G$15,9,FALSE))*INDIRECT(ADDRESS(MATCH($M27,职业分类属性!$A$1:$A$15,0),MATCH("武力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武力",职业属性偏向!$B$3:$E$16,14,FALSE),INDIRECT(TEXT($N$1&amp;$N27&amp;"!$B$2:$G$3","")),2,FALSE)/INDIRECT(TEXT($N$1&amp;$N27&amp;"!$H$3","")))*((星级总属性!$L$3)/(星级总属性!$K$3+星级总属性!$L$3)),0)&amp;","&amp;ROUND((VLOOKUP(VALUE(RIGHT(O$1,LEN(O$1)-2)),INDIRECT(TEXT("'"&amp;$L27&amp;"星每级加强属性曲线演算'","")&amp;"!$A$2:$C$100"),3,FALSE)*VLOOKUP($M27,职业分类属性!$A$3:$G$15,9,FALSE))*INDIRECT(ADDRESS(MATCH($M27,职业分类属性!$A$1:$A$15,0),MATCH("物防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物防",职业属性偏向!$B$3:$E$16,14,FALSE),INDIRECT(TEXT($N$1&amp;$N27&amp;"!$B$2:$G$3","")),2,FALSE)/INDIRECT(TEXT($N$1&amp;$N27&amp;"!$H$3","")))*((星级总属性!$L$3)/(星级总属性!$K$3+星级总属性!$L$3)),0)&amp;","&amp;ROUND((VLOOKUP(VALUE(RIGHT(O$1,LEN(O$1)-2)),INDIRECT(TEXT("'"&amp;$L27&amp;"星每级加强属性曲线演算'","")&amp;"!$A$2:$C$100"),3,FALSE)*VLOOKUP($M27,职业分类属性!$A$3:$G$15,9,FALSE))*INDIRECT(ADDRESS(MATCH($M27,职业分类属性!$A$1:$A$15,0),MATCH("智力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智力",职业属性偏向!$B$3:$E$16,14,FALSE),INDIRECT(TEXT($N$1&amp;$N27&amp;"!$B$2:$G$3","")),2,FALSE)/INDIRECT(TEXT($N$1&amp;$N27&amp;"!$H$3","")))*((星级总属性!$L$3)/(星级总属性!$K$3+星级总属性!$L$3)),0)&amp;","&amp;ROUND((VLOOKUP(VALUE(RIGHT(O$1,LEN(O$1)-2)),INDIRECT(TEXT("'"&amp;$L27&amp;"星每级加强属性曲线演算'","")&amp;"!$A$2:$C$100"),3,FALSE)*VLOOKUP($M27,职业分类属性!$A$3:$G$15,9,FALSE))*INDIRECT(ADDRESS(MATCH($M27,职业分类属性!$A$1:$A$15,0),MATCH("法防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法防",职业属性偏向!$B$3:$E$16,14,FALSE),INDIRECT(TEXT($N$1&amp;$N27&amp;"!$B$2:$G$3","")),2,FALSE)/INDIRECT(TEXT($N$1&amp;$N27&amp;"!$H$3","")))*((星级总属性!$L$3)/(星级总属性!$K$3+星级总属性!$L$3)),0)</f>
        <v>#REF!</v>
      </c>
    </row>
    <row r="28" spans="1:15" x14ac:dyDescent="0.25">
      <c r="A28">
        <v>550015</v>
      </c>
      <c r="B28" s="31">
        <v>2</v>
      </c>
      <c r="C28" s="27" t="str">
        <f ca="1">ROUND((VLOOKUP($B28,INDIRECT(TEXT("'"&amp;$L28&amp;"星每级加强属性曲线演算'","")&amp;"!$A$2:$C$100"),3,FALSE)*VLOOKUP($M28,职业分类属性!$A$3:$G$15,7,FALSE))*INDIRECT(ADDRESS(MATCH($M28,职业分类属性!$A$1:$A$15,0),MATCH("生命值",职业分类属性!$A$2:$E$2,0),1,1,"职业分类属性"))*((星级总属性!$K$3)/(星级总属性!$K$3+星级总属性!$L$3))+(VLOOKUP($B28,INDIRECT(TEXT("'"&amp;$L28&amp;"星每级加强属性曲线演算'","")&amp;"!$A$2:$C$100"),3,FALSE)*VLOOKUP($M28,职业分类属性!$A$3:$G$15,7,FALSE))*(HLOOKUP(HLOOKUP("生命值",职业属性偏向!$B$3:$E$16,14,FALSE),INDIRECT(TEXT($N$1&amp;$N28&amp;"!$B$2:$G$3","")),2,FALSE)/INDIRECT(TEXT($N$1&amp;$N28&amp;"!$H$3","")))*((星级总属性!$L$3)/(星级总属性!$K$3+星级总属性!$L$3)),0)&amp;","&amp;ROUND((VLOOKUP($B28,INDIRECT(TEXT("'"&amp;$L28&amp;"星每级加强属性曲线演算'","")&amp;"!$A$2:$C$100"),3,FALSE)*VLOOKUP($M28,职业分类属性!$A$3:$G$15,7,FALSE))*INDIRECT(ADDRESS(MATCH($M28,职业分类属性!$A$1:$A$15,0),MATCH("回复力",职业分类属性!$A$2:$E$2,0),1,1,"职业分类属性"))*((星级总属性!$K$3)/(星级总属性!$K$3+星级总属性!$L$3))+(VLOOKUP($B28,INDIRECT(TEXT("'"&amp;$L28&amp;"星每级加强属性曲线演算'","")&amp;"!$A$2:$C$100"),3,FALSE)*VLOOKUP($M28,职业分类属性!$A$3:$G$15,7,FALSE))*(HLOOKUP(HLOOKUP("回复力",职业属性偏向!$B$3:$E$16,14,FALSE),INDIRECT(TEXT($N$1&amp;$N28&amp;"!$B$2:$G$3","")),2,FALSE)/INDIRECT(TEXT($N$1&amp;$N28&amp;"!$H$3","")))*((星级总属性!$L$3)/(星级总属性!$K$3+星级总属性!$L$3)),0)&amp;","&amp;ROUND((VLOOKUP($B28,INDIRECT(TEXT("'"&amp;$L28&amp;"星每级加强属性曲线演算'","")&amp;"!$A$2:$C$100"),3,FALSE)*VLOOKUP($M28,职业分类属性!$A$3:$G$15,7,FALSE))*INDIRECT(ADDRESS(MATCH($M28,职业分类属性!$A$1:$A$15,0),MATCH("武力",职业分类属性!$A$2:$E$2,0),1,1,"职业分类属性"))*((星级总属性!$K$3)/(星级总属性!$K$3+星级总属性!$L$3))+(VLOOKUP($B28,INDIRECT(TEXT("'"&amp;$L28&amp;"星每级加强属性曲线演算'","")&amp;"!$A$2:$C$100"),3,FALSE)*VLOOKUP($M28,职业分类属性!$A$3:$G$15,7,FALSE))*(HLOOKUP(HLOOKUP("武力",职业属性偏向!$B$3:$E$16,14,FALSE),INDIRECT(TEXT($N$1&amp;$N28&amp;"!$B$2:$G$3","")),2,FALSE)/INDIRECT(TEXT($N$1&amp;$N28&amp;"!$H$3","")))*((星级总属性!$L$3)/(星级总属性!$K$3+星级总属性!$L$3)),0)&amp;","&amp;ROUND((VLOOKUP($B28,INDIRECT(TEXT("'"&amp;$L28&amp;"星每级加强属性曲线演算'","")&amp;"!$A$2:$C$100"),3,FALSE)*VLOOKUP($M28,职业分类属性!$A$3:$G$15,7,FALSE))*INDIRECT(ADDRESS(MATCH($M28,职业分类属性!$A$1:$A$15,0),MATCH("防御",职业分类属性!$A$2:$E$2,0),1,1,"职业分类属性"))*((星级总属性!$K$3)/(星级总属性!$K$3+星级总属性!$L$3))+(VLOOKUP($B28,INDIRECT(TEXT("'"&amp;$L28&amp;"星每级加强属性曲线演算'","")&amp;"!$A$2:$C$100"),3,FALSE)*VLOOKUP($M28,职业分类属性!$A$3:$G$15,7,FALSE))*(HLOOKUP(HLOOKUP("防御",职业属性偏向!$B$3:$E$16,14,FALSE),INDIRECT(TEXT($N$1&amp;$N28&amp;"!$B$2:$G$3","")),2,FALSE)/INDIRECT(TEXT($N$1&amp;$N28&amp;"!$H$3","")))*((星级总属性!$L$3)/(星级总属性!$K$3+星级总属性!$L$3)),0)</f>
        <v>177,305,148,357</v>
      </c>
      <c r="D28" s="33">
        <f>IF(VLOOKUP($B28,觉醒要求!$A$2:$C$7,2,FALSE)=0,"",VLOOKUP($B28,觉醒要求!$A$2:$C$7,2,FALSE))</f>
        <v>1</v>
      </c>
      <c r="E28" s="33">
        <v>1026</v>
      </c>
      <c r="F28" s="42" t="str">
        <f>IF(VLOOKUP($B28,觉醒要求!$A$2:$C$7,3,FALSE)=0,"",VLOOKUP($B28,觉醒要求!$A$2:$C$7,3,FALSE))</f>
        <v/>
      </c>
      <c r="G28" s="30"/>
      <c r="L28" s="1">
        <f t="shared" si="5"/>
        <v>4</v>
      </c>
      <c r="M28" s="1" t="str">
        <f t="shared" si="6"/>
        <v>圣骑</v>
      </c>
      <c r="N28" s="1">
        <f t="shared" si="4"/>
        <v>1</v>
      </c>
      <c r="O28" s="27" t="e">
        <f ca="1">ROUND((VLOOKUP(VALUE(RIGHT(O$1,LEN(O$1)-2)),INDIRECT(TEXT("'"&amp;$L28&amp;"星每级加强属性曲线演算'","")&amp;"!$A$2:$C$100"),3,FALSE)*VLOOKUP($M28,职业分类属性!$A$3:$G$15,9,FALSE))*INDIRECT(ADDRESS(MATCH($M28,职业分类属性!$A$1:$A$15,0),MATCH("生命值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生命值",职业属性偏向!$B$3:$E$16,14,FALSE),INDIRECT(TEXT($N$1&amp;$N28&amp;"!$B$2:$G$3","")),2,FALSE)/INDIRECT(TEXT($N$1&amp;$N28&amp;"!$H$3","")))*((星级总属性!$L$3)/(星级总属性!$K$3+星级总属性!$L$3)),0)&amp;","&amp;ROUND((VLOOKUP(VALUE(RIGHT(O$1,LEN(O$1)-2)),INDIRECT(TEXT("'"&amp;$L28&amp;"星每级加强属性曲线演算'","")&amp;"!$A$2:$C$100"),3,FALSE)*VLOOKUP($M28,职业分类属性!$A$3:$G$15,9,FALSE))*INDIRECT(ADDRESS(MATCH($M28,职业分类属性!$A$1:$A$15,0),MATCH("回复力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回复力",职业属性偏向!$B$3:$E$16,14,FALSE),INDIRECT(TEXT($N$1&amp;$N28&amp;"!$B$2:$G$3","")),2,FALSE)/INDIRECT(TEXT($N$1&amp;$N28&amp;"!$H$3","")))*((星级总属性!$L$3)/(星级总属性!$K$3+星级总属性!$L$3)),0)&amp;","&amp;ROUND((VLOOKUP(VALUE(RIGHT(O$1,LEN(O$1)-2)),INDIRECT(TEXT("'"&amp;$L28&amp;"星每级加强属性曲线演算'","")&amp;"!$A$2:$C$100"),3,FALSE)*VLOOKUP($M28,职业分类属性!$A$3:$G$15,9,FALSE))*INDIRECT(ADDRESS(MATCH($M28,职业分类属性!$A$1:$A$15,0),MATCH("武力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武力",职业属性偏向!$B$3:$E$16,14,FALSE),INDIRECT(TEXT($N$1&amp;$N28&amp;"!$B$2:$G$3","")),2,FALSE)/INDIRECT(TEXT($N$1&amp;$N28&amp;"!$H$3","")))*((星级总属性!$L$3)/(星级总属性!$K$3+星级总属性!$L$3)),0)&amp;","&amp;ROUND((VLOOKUP(VALUE(RIGHT(O$1,LEN(O$1)-2)),INDIRECT(TEXT("'"&amp;$L28&amp;"星每级加强属性曲线演算'","")&amp;"!$A$2:$C$100"),3,FALSE)*VLOOKUP($M28,职业分类属性!$A$3:$G$15,9,FALSE))*INDIRECT(ADDRESS(MATCH($M28,职业分类属性!$A$1:$A$15,0),MATCH("物防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物防",职业属性偏向!$B$3:$E$16,14,FALSE),INDIRECT(TEXT($N$1&amp;$N28&amp;"!$B$2:$G$3","")),2,FALSE)/INDIRECT(TEXT($N$1&amp;$N28&amp;"!$H$3","")))*((星级总属性!$L$3)/(星级总属性!$K$3+星级总属性!$L$3)),0)&amp;","&amp;ROUND((VLOOKUP(VALUE(RIGHT(O$1,LEN(O$1)-2)),INDIRECT(TEXT("'"&amp;$L28&amp;"星每级加强属性曲线演算'","")&amp;"!$A$2:$C$100"),3,FALSE)*VLOOKUP($M28,职业分类属性!$A$3:$G$15,9,FALSE))*INDIRECT(ADDRESS(MATCH($M28,职业分类属性!$A$1:$A$15,0),MATCH("智力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智力",职业属性偏向!$B$3:$E$16,14,FALSE),INDIRECT(TEXT($N$1&amp;$N28&amp;"!$B$2:$G$3","")),2,FALSE)/INDIRECT(TEXT($N$1&amp;$N28&amp;"!$H$3","")))*((星级总属性!$L$3)/(星级总属性!$K$3+星级总属性!$L$3)),0)&amp;","&amp;ROUND((VLOOKUP(VALUE(RIGHT(O$1,LEN(O$1)-2)),INDIRECT(TEXT("'"&amp;$L28&amp;"星每级加强属性曲线演算'","")&amp;"!$A$2:$C$100"),3,FALSE)*VLOOKUP($M28,职业分类属性!$A$3:$G$15,9,FALSE))*INDIRECT(ADDRESS(MATCH($M28,职业分类属性!$A$1:$A$15,0),MATCH("法防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法防",职业属性偏向!$B$3:$E$16,14,FALSE),INDIRECT(TEXT($N$1&amp;$N28&amp;"!$B$2:$G$3","")),2,FALSE)/INDIRECT(TEXT($N$1&amp;$N28&amp;"!$H$3","")))*((星级总属性!$L$3)/(星级总属性!$K$3+星级总属性!$L$3)),0)</f>
        <v>#REF!</v>
      </c>
    </row>
    <row r="29" spans="1:15" x14ac:dyDescent="0.25">
      <c r="A29">
        <v>550015</v>
      </c>
      <c r="B29" s="31">
        <v>3</v>
      </c>
      <c r="C29" s="27" t="str">
        <f ca="1">ROUND((VLOOKUP($B29,INDIRECT(TEXT("'"&amp;$L29&amp;"星每级加强属性曲线演算'","")&amp;"!$A$2:$C$100"),3,FALSE)*VLOOKUP($M29,职业分类属性!$A$3:$G$15,7,FALSE))*INDIRECT(ADDRESS(MATCH($M29,职业分类属性!$A$1:$A$15,0),MATCH("生命值",职业分类属性!$A$2:$E$2,0),1,1,"职业分类属性"))*((星级总属性!$K$3)/(星级总属性!$K$3+星级总属性!$L$3))+(VLOOKUP($B29,INDIRECT(TEXT("'"&amp;$L29&amp;"星每级加强属性曲线演算'","")&amp;"!$A$2:$C$100"),3,FALSE)*VLOOKUP($M29,职业分类属性!$A$3:$G$15,7,FALSE))*(HLOOKUP(HLOOKUP("生命值",职业属性偏向!$B$3:$E$16,14,FALSE),INDIRECT(TEXT($N$1&amp;$N29&amp;"!$B$2:$G$3","")),2,FALSE)/INDIRECT(TEXT($N$1&amp;$N29&amp;"!$H$3","")))*((星级总属性!$L$3)/(星级总属性!$K$3+星级总属性!$L$3)),0)&amp;","&amp;ROUND((VLOOKUP($B29,INDIRECT(TEXT("'"&amp;$L29&amp;"星每级加强属性曲线演算'","")&amp;"!$A$2:$C$100"),3,FALSE)*VLOOKUP($M29,职业分类属性!$A$3:$G$15,7,FALSE))*INDIRECT(ADDRESS(MATCH($M29,职业分类属性!$A$1:$A$15,0),MATCH("回复力",职业分类属性!$A$2:$E$2,0),1,1,"职业分类属性"))*((星级总属性!$K$3)/(星级总属性!$K$3+星级总属性!$L$3))+(VLOOKUP($B29,INDIRECT(TEXT("'"&amp;$L29&amp;"星每级加强属性曲线演算'","")&amp;"!$A$2:$C$100"),3,FALSE)*VLOOKUP($M29,职业分类属性!$A$3:$G$15,7,FALSE))*(HLOOKUP(HLOOKUP("回复力",职业属性偏向!$B$3:$E$16,14,FALSE),INDIRECT(TEXT($N$1&amp;$N29&amp;"!$B$2:$G$3","")),2,FALSE)/INDIRECT(TEXT($N$1&amp;$N29&amp;"!$H$3","")))*((星级总属性!$L$3)/(星级总属性!$K$3+星级总属性!$L$3)),0)&amp;","&amp;ROUND((VLOOKUP($B29,INDIRECT(TEXT("'"&amp;$L29&amp;"星每级加强属性曲线演算'","")&amp;"!$A$2:$C$100"),3,FALSE)*VLOOKUP($M29,职业分类属性!$A$3:$G$15,7,FALSE))*INDIRECT(ADDRESS(MATCH($M29,职业分类属性!$A$1:$A$15,0),MATCH("武力",职业分类属性!$A$2:$E$2,0),1,1,"职业分类属性"))*((星级总属性!$K$3)/(星级总属性!$K$3+星级总属性!$L$3))+(VLOOKUP($B29,INDIRECT(TEXT("'"&amp;$L29&amp;"星每级加强属性曲线演算'","")&amp;"!$A$2:$C$100"),3,FALSE)*VLOOKUP($M29,职业分类属性!$A$3:$G$15,7,FALSE))*(HLOOKUP(HLOOKUP("武力",职业属性偏向!$B$3:$E$16,14,FALSE),INDIRECT(TEXT($N$1&amp;$N29&amp;"!$B$2:$G$3","")),2,FALSE)/INDIRECT(TEXT($N$1&amp;$N29&amp;"!$H$3","")))*((星级总属性!$L$3)/(星级总属性!$K$3+星级总属性!$L$3)),0)&amp;","&amp;ROUND((VLOOKUP($B29,INDIRECT(TEXT("'"&amp;$L29&amp;"星每级加强属性曲线演算'","")&amp;"!$A$2:$C$100"),3,FALSE)*VLOOKUP($M29,职业分类属性!$A$3:$G$15,7,FALSE))*INDIRECT(ADDRESS(MATCH($M29,职业分类属性!$A$1:$A$15,0),MATCH("防御",职业分类属性!$A$2:$E$2,0),1,1,"职业分类属性"))*((星级总属性!$K$3)/(星级总属性!$K$3+星级总属性!$L$3))+(VLOOKUP($B29,INDIRECT(TEXT("'"&amp;$L29&amp;"星每级加强属性曲线演算'","")&amp;"!$A$2:$C$100"),3,FALSE)*VLOOKUP($M29,职业分类属性!$A$3:$G$15,7,FALSE))*(HLOOKUP(HLOOKUP("防御",职业属性偏向!$B$3:$E$16,14,FALSE),INDIRECT(TEXT($N$1&amp;$N29&amp;"!$B$2:$G$3","")),2,FALSE)/INDIRECT(TEXT($N$1&amp;$N29&amp;"!$H$3","")))*((星级总属性!$L$3)/(星级总属性!$K$3+星级总属性!$L$3)),0)</f>
        <v>236,84,790,206</v>
      </c>
      <c r="D29" s="33">
        <f>IF(VLOOKUP($B29,觉醒要求!$A$2:$C$7,2,FALSE)=0,"",VLOOKUP($B29,觉醒要求!$A$2:$C$7,2,FALSE))</f>
        <v>2</v>
      </c>
      <c r="E29" s="33">
        <v>1027</v>
      </c>
      <c r="F29" s="42" t="str">
        <f>IF(VLOOKUP($B29,觉醒要求!$A$2:$C$7,3,FALSE)=0,"",VLOOKUP($B29,觉醒要求!$A$2:$C$7,3,FALSE))</f>
        <v/>
      </c>
      <c r="G29" s="30">
        <v>1</v>
      </c>
      <c r="H29" s="28">
        <v>855019</v>
      </c>
      <c r="I29" s="28" t="s">
        <v>104</v>
      </c>
      <c r="L29" s="1">
        <v>4</v>
      </c>
      <c r="M29" s="1" t="s">
        <v>88</v>
      </c>
      <c r="N29" s="1">
        <v>1</v>
      </c>
      <c r="O29" s="27" t="e">
        <f ca="1">ROUND((VLOOKUP(VALUE(RIGHT(O$1,LEN(O$1)-2)),INDIRECT(TEXT("'"&amp;$L29&amp;"星每级加强属性曲线演算'","")&amp;"!$A$2:$C$100"),3,FALSE)*VLOOKUP($M29,职业分类属性!$A$3:$G$15,9,FALSE))*INDIRECT(ADDRESS(MATCH($M29,职业分类属性!$A$1:$A$15,0),MATCH("生命值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生命值",职业属性偏向!$B$3:$E$16,14,FALSE),INDIRECT(TEXT($N$1&amp;$N29&amp;"!$B$2:$G$3","")),2,FALSE)/INDIRECT(TEXT($N$1&amp;$N29&amp;"!$H$3","")))*((星级总属性!$L$3)/(星级总属性!$K$3+星级总属性!$L$3)),0)&amp;","&amp;ROUND((VLOOKUP(VALUE(RIGHT(O$1,LEN(O$1)-2)),INDIRECT(TEXT("'"&amp;$L29&amp;"星每级加强属性曲线演算'","")&amp;"!$A$2:$C$100"),3,FALSE)*VLOOKUP($M29,职业分类属性!$A$3:$G$15,9,FALSE))*INDIRECT(ADDRESS(MATCH($M29,职业分类属性!$A$1:$A$15,0),MATCH("回复力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回复力",职业属性偏向!$B$3:$E$16,14,FALSE),INDIRECT(TEXT($N$1&amp;$N29&amp;"!$B$2:$G$3","")),2,FALSE)/INDIRECT(TEXT($N$1&amp;$N29&amp;"!$H$3","")))*((星级总属性!$L$3)/(星级总属性!$K$3+星级总属性!$L$3)),0)&amp;","&amp;ROUND((VLOOKUP(VALUE(RIGHT(O$1,LEN(O$1)-2)),INDIRECT(TEXT("'"&amp;$L29&amp;"星每级加强属性曲线演算'","")&amp;"!$A$2:$C$100"),3,FALSE)*VLOOKUP($M29,职业分类属性!$A$3:$G$15,9,FALSE))*INDIRECT(ADDRESS(MATCH($M29,职业分类属性!$A$1:$A$15,0),MATCH("武力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武力",职业属性偏向!$B$3:$E$16,14,FALSE),INDIRECT(TEXT($N$1&amp;$N29&amp;"!$B$2:$G$3","")),2,FALSE)/INDIRECT(TEXT($N$1&amp;$N29&amp;"!$H$3","")))*((星级总属性!$L$3)/(星级总属性!$K$3+星级总属性!$L$3)),0)&amp;","&amp;ROUND((VLOOKUP(VALUE(RIGHT(O$1,LEN(O$1)-2)),INDIRECT(TEXT("'"&amp;$L29&amp;"星每级加强属性曲线演算'","")&amp;"!$A$2:$C$100"),3,FALSE)*VLOOKUP($M29,职业分类属性!$A$3:$G$15,9,FALSE))*INDIRECT(ADDRESS(MATCH($M29,职业分类属性!$A$1:$A$15,0),MATCH("物防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物防",职业属性偏向!$B$3:$E$16,14,FALSE),INDIRECT(TEXT($N$1&amp;$N29&amp;"!$B$2:$G$3","")),2,FALSE)/INDIRECT(TEXT($N$1&amp;$N29&amp;"!$H$3","")))*((星级总属性!$L$3)/(星级总属性!$K$3+星级总属性!$L$3)),0)&amp;","&amp;ROUND((VLOOKUP(VALUE(RIGHT(O$1,LEN(O$1)-2)),INDIRECT(TEXT("'"&amp;$L29&amp;"星每级加强属性曲线演算'","")&amp;"!$A$2:$C$100"),3,FALSE)*VLOOKUP($M29,职业分类属性!$A$3:$G$15,9,FALSE))*INDIRECT(ADDRESS(MATCH($M29,职业分类属性!$A$1:$A$15,0),MATCH("智力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智力",职业属性偏向!$B$3:$E$16,14,FALSE),INDIRECT(TEXT($N$1&amp;$N29&amp;"!$B$2:$G$3","")),2,FALSE)/INDIRECT(TEXT($N$1&amp;$N29&amp;"!$H$3","")))*((星级总属性!$L$3)/(星级总属性!$K$3+星级总属性!$L$3)),0)&amp;","&amp;ROUND((VLOOKUP(VALUE(RIGHT(O$1,LEN(O$1)-2)),INDIRECT(TEXT("'"&amp;$L29&amp;"星每级加强属性曲线演算'","")&amp;"!$A$2:$C$100"),3,FALSE)*VLOOKUP($M29,职业分类属性!$A$3:$G$15,9,FALSE))*INDIRECT(ADDRESS(MATCH($M29,职业分类属性!$A$1:$A$15,0),MATCH("法防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法防",职业属性偏向!$B$3:$E$16,14,FALSE),INDIRECT(TEXT($N$1&amp;$N29&amp;"!$B$2:$G$3","")),2,FALSE)/INDIRECT(TEXT($N$1&amp;$N29&amp;"!$H$3","")))*((星级总属性!$L$3)/(星级总属性!$K$3+星级总属性!$L$3)),0)</f>
        <v>#REF!</v>
      </c>
    </row>
    <row r="30" spans="1:15" x14ac:dyDescent="0.25">
      <c r="A30">
        <v>550015</v>
      </c>
      <c r="B30" s="31">
        <v>4</v>
      </c>
      <c r="C30" s="27" t="str">
        <f ca="1">ROUND((VLOOKUP($B30,INDIRECT(TEXT("'"&amp;$L30&amp;"星每级加强属性曲线演算'","")&amp;"!$A$2:$C$100"),3,FALSE)*VLOOKUP($M30,职业分类属性!$A$3:$G$15,7,FALSE))*INDIRECT(ADDRESS(MATCH($M30,职业分类属性!$A$1:$A$15,0),MATCH("生命值",职业分类属性!$A$2:$E$2,0),1,1,"职业分类属性"))*((星级总属性!$K$3)/(星级总属性!$K$3+星级总属性!$L$3))+(VLOOKUP($B30,INDIRECT(TEXT("'"&amp;$L30&amp;"星每级加强属性曲线演算'","")&amp;"!$A$2:$C$100"),3,FALSE)*VLOOKUP($M30,职业分类属性!$A$3:$G$15,7,FALSE))*(HLOOKUP(HLOOKUP("生命值",职业属性偏向!$B$3:$E$16,14,FALSE),INDIRECT(TEXT($N$1&amp;$N30&amp;"!$B$2:$G$3","")),2,FALSE)/INDIRECT(TEXT($N$1&amp;$N30&amp;"!$H$3","")))*((星级总属性!$L$3)/(星级总属性!$K$3+星级总属性!$L$3)),0)&amp;","&amp;ROUND((VLOOKUP($B30,INDIRECT(TEXT("'"&amp;$L30&amp;"星每级加强属性曲线演算'","")&amp;"!$A$2:$C$100"),3,FALSE)*VLOOKUP($M30,职业分类属性!$A$3:$G$15,7,FALSE))*INDIRECT(ADDRESS(MATCH($M30,职业分类属性!$A$1:$A$15,0),MATCH("回复力",职业分类属性!$A$2:$E$2,0),1,1,"职业分类属性"))*((星级总属性!$K$3)/(星级总属性!$K$3+星级总属性!$L$3))+(VLOOKUP($B30,INDIRECT(TEXT("'"&amp;$L30&amp;"星每级加强属性曲线演算'","")&amp;"!$A$2:$C$100"),3,FALSE)*VLOOKUP($M30,职业分类属性!$A$3:$G$15,7,FALSE))*(HLOOKUP(HLOOKUP("回复力",职业属性偏向!$B$3:$E$16,14,FALSE),INDIRECT(TEXT($N$1&amp;$N30&amp;"!$B$2:$G$3","")),2,FALSE)/INDIRECT(TEXT($N$1&amp;$N30&amp;"!$H$3","")))*((星级总属性!$L$3)/(星级总属性!$K$3+星级总属性!$L$3)),0)&amp;","&amp;ROUND((VLOOKUP($B30,INDIRECT(TEXT("'"&amp;$L30&amp;"星每级加强属性曲线演算'","")&amp;"!$A$2:$C$100"),3,FALSE)*VLOOKUP($M30,职业分类属性!$A$3:$G$15,7,FALSE))*INDIRECT(ADDRESS(MATCH($M30,职业分类属性!$A$1:$A$15,0),MATCH("武力",职业分类属性!$A$2:$E$2,0),1,1,"职业分类属性"))*((星级总属性!$K$3)/(星级总属性!$K$3+星级总属性!$L$3))+(VLOOKUP($B30,INDIRECT(TEXT("'"&amp;$L30&amp;"星每级加强属性曲线演算'","")&amp;"!$A$2:$C$100"),3,FALSE)*VLOOKUP($M30,职业分类属性!$A$3:$G$15,7,FALSE))*(HLOOKUP(HLOOKUP("武力",职业属性偏向!$B$3:$E$16,14,FALSE),INDIRECT(TEXT($N$1&amp;$N30&amp;"!$B$2:$G$3","")),2,FALSE)/INDIRECT(TEXT($N$1&amp;$N30&amp;"!$H$3","")))*((星级总属性!$L$3)/(星级总属性!$K$3+星级总属性!$L$3)),0)&amp;","&amp;ROUND((VLOOKUP($B30,INDIRECT(TEXT("'"&amp;$L30&amp;"星每级加强属性曲线演算'","")&amp;"!$A$2:$C$100"),3,FALSE)*VLOOKUP($M30,职业分类属性!$A$3:$G$15,7,FALSE))*INDIRECT(ADDRESS(MATCH($M30,职业分类属性!$A$1:$A$15,0),MATCH("防御",职业分类属性!$A$2:$E$2,0),1,1,"职业分类属性"))*((星级总属性!$K$3)/(星级总属性!$K$3+星级总属性!$L$3))+(VLOOKUP($B30,INDIRECT(TEXT("'"&amp;$L30&amp;"星每级加强属性曲线演算'","")&amp;"!$A$2:$C$100"),3,FALSE)*VLOOKUP($M30,职业分类属性!$A$3:$G$15,7,FALSE))*(HLOOKUP(HLOOKUP("防御",职业属性偏向!$B$3:$E$16,14,FALSE),INDIRECT(TEXT($N$1&amp;$N30&amp;"!$B$2:$G$3","")),2,FALSE)/INDIRECT(TEXT($N$1&amp;$N30&amp;"!$H$3","")))*((星级总属性!$L$3)/(星级总属性!$K$3+星级总属性!$L$3)),0)</f>
        <v>315,112,1053,275</v>
      </c>
      <c r="D30" s="33">
        <f>IF(VLOOKUP($B30,觉醒要求!$A$2:$C$7,2,FALSE)=0,"",VLOOKUP($B30,觉醒要求!$A$2:$C$7,2,FALSE))</f>
        <v>2</v>
      </c>
      <c r="E30" s="33">
        <v>1028</v>
      </c>
      <c r="F30" s="42" t="str">
        <f>IF(VLOOKUP($B30,觉醒要求!$A$2:$C$7,3,FALSE)=0,"",VLOOKUP($B30,觉醒要求!$A$2:$C$7,3,FALSE))</f>
        <v/>
      </c>
      <c r="G30" s="30"/>
      <c r="L30" s="1">
        <v>4</v>
      </c>
      <c r="M30" s="1" t="s">
        <v>7</v>
      </c>
      <c r="N30" s="1">
        <v>1</v>
      </c>
      <c r="O30" s="27" t="e">
        <f ca="1">ROUND((VLOOKUP(VALUE(RIGHT(O$1,LEN(O$1)-2)),INDIRECT(TEXT("'"&amp;$L30&amp;"星每级加强属性曲线演算'","")&amp;"!$A$2:$C$100"),3,FALSE)*VLOOKUP($M30,职业分类属性!$A$3:$G$15,9,FALSE))*INDIRECT(ADDRESS(MATCH($M30,职业分类属性!$A$1:$A$15,0),MATCH("生命值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生命值",职业属性偏向!$B$3:$E$16,14,FALSE),INDIRECT(TEXT($N$1&amp;$N30&amp;"!$B$2:$G$3","")),2,FALSE)/INDIRECT(TEXT($N$1&amp;$N30&amp;"!$H$3","")))*((星级总属性!$L$3)/(星级总属性!$K$3+星级总属性!$L$3)),0)&amp;","&amp;ROUND((VLOOKUP(VALUE(RIGHT(O$1,LEN(O$1)-2)),INDIRECT(TEXT("'"&amp;$L30&amp;"星每级加强属性曲线演算'","")&amp;"!$A$2:$C$100"),3,FALSE)*VLOOKUP($M30,职业分类属性!$A$3:$G$15,9,FALSE))*INDIRECT(ADDRESS(MATCH($M30,职业分类属性!$A$1:$A$15,0),MATCH("回复力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回复力",职业属性偏向!$B$3:$E$16,14,FALSE),INDIRECT(TEXT($N$1&amp;$N30&amp;"!$B$2:$G$3","")),2,FALSE)/INDIRECT(TEXT($N$1&amp;$N30&amp;"!$H$3","")))*((星级总属性!$L$3)/(星级总属性!$K$3+星级总属性!$L$3)),0)&amp;","&amp;ROUND((VLOOKUP(VALUE(RIGHT(O$1,LEN(O$1)-2)),INDIRECT(TEXT("'"&amp;$L30&amp;"星每级加强属性曲线演算'","")&amp;"!$A$2:$C$100"),3,FALSE)*VLOOKUP($M30,职业分类属性!$A$3:$G$15,9,FALSE))*INDIRECT(ADDRESS(MATCH($M30,职业分类属性!$A$1:$A$15,0),MATCH("武力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武力",职业属性偏向!$B$3:$E$16,14,FALSE),INDIRECT(TEXT($N$1&amp;$N30&amp;"!$B$2:$G$3","")),2,FALSE)/INDIRECT(TEXT($N$1&amp;$N30&amp;"!$H$3","")))*((星级总属性!$L$3)/(星级总属性!$K$3+星级总属性!$L$3)),0)&amp;","&amp;ROUND((VLOOKUP(VALUE(RIGHT(O$1,LEN(O$1)-2)),INDIRECT(TEXT("'"&amp;$L30&amp;"星每级加强属性曲线演算'","")&amp;"!$A$2:$C$100"),3,FALSE)*VLOOKUP($M30,职业分类属性!$A$3:$G$15,9,FALSE))*INDIRECT(ADDRESS(MATCH($M30,职业分类属性!$A$1:$A$15,0),MATCH("物防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物防",职业属性偏向!$B$3:$E$16,14,FALSE),INDIRECT(TEXT($N$1&amp;$N30&amp;"!$B$2:$G$3","")),2,FALSE)/INDIRECT(TEXT($N$1&amp;$N30&amp;"!$H$3","")))*((星级总属性!$L$3)/(星级总属性!$K$3+星级总属性!$L$3)),0)&amp;","&amp;ROUND((VLOOKUP(VALUE(RIGHT(O$1,LEN(O$1)-2)),INDIRECT(TEXT("'"&amp;$L30&amp;"星每级加强属性曲线演算'","")&amp;"!$A$2:$C$100"),3,FALSE)*VLOOKUP($M30,职业分类属性!$A$3:$G$15,9,FALSE))*INDIRECT(ADDRESS(MATCH($M30,职业分类属性!$A$1:$A$15,0),MATCH("智力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智力",职业属性偏向!$B$3:$E$16,14,FALSE),INDIRECT(TEXT($N$1&amp;$N30&amp;"!$B$2:$G$3","")),2,FALSE)/INDIRECT(TEXT($N$1&amp;$N30&amp;"!$H$3","")))*((星级总属性!$L$3)/(星级总属性!$K$3+星级总属性!$L$3)),0)&amp;","&amp;ROUND((VLOOKUP(VALUE(RIGHT(O$1,LEN(O$1)-2)),INDIRECT(TEXT("'"&amp;$L30&amp;"星每级加强属性曲线演算'","")&amp;"!$A$2:$C$100"),3,FALSE)*VLOOKUP($M30,职业分类属性!$A$3:$G$15,9,FALSE))*INDIRECT(ADDRESS(MATCH($M30,职业分类属性!$A$1:$A$15,0),MATCH("法防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法防",职业属性偏向!$B$3:$E$16,14,FALSE),INDIRECT(TEXT($N$1&amp;$N30&amp;"!$B$2:$G$3","")),2,FALSE)/INDIRECT(TEXT($N$1&amp;$N30&amp;"!$H$3","")))*((星级总属性!$L$3)/(星级总属性!$K$3+星级总属性!$L$3)),0)</f>
        <v>#REF!</v>
      </c>
    </row>
    <row r="31" spans="1:15" x14ac:dyDescent="0.25">
      <c r="A31">
        <v>550015</v>
      </c>
      <c r="B31" s="31">
        <v>5</v>
      </c>
      <c r="C31" s="27" t="str">
        <f ca="1">ROUND((VLOOKUP($B31,INDIRECT(TEXT("'"&amp;$L31&amp;"星每级加强属性曲线演算'","")&amp;"!$A$2:$C$100"),3,FALSE)*VLOOKUP($M31,职业分类属性!$A$3:$G$15,7,FALSE))*INDIRECT(ADDRESS(MATCH($M31,职业分类属性!$A$1:$A$15,0),MATCH("生命值",职业分类属性!$A$2:$E$2,0),1,1,"职业分类属性"))*((星级总属性!$K$3)/(星级总属性!$K$3+星级总属性!$L$3))+(VLOOKUP($B31,INDIRECT(TEXT("'"&amp;$L31&amp;"星每级加强属性曲线演算'","")&amp;"!$A$2:$C$100"),3,FALSE)*VLOOKUP($M31,职业分类属性!$A$3:$G$15,7,FALSE))*(HLOOKUP(HLOOKUP("生命值",职业属性偏向!$B$3:$E$16,14,FALSE),INDIRECT(TEXT($N$1&amp;$N31&amp;"!$B$2:$G$3","")),2,FALSE)/INDIRECT(TEXT($N$1&amp;$N31&amp;"!$H$3","")))*((星级总属性!$L$3)/(星级总属性!$K$3+星级总属性!$L$3)),0)&amp;","&amp;ROUND((VLOOKUP($B31,INDIRECT(TEXT("'"&amp;$L31&amp;"星每级加强属性曲线演算'","")&amp;"!$A$2:$C$100"),3,FALSE)*VLOOKUP($M31,职业分类属性!$A$3:$G$15,7,FALSE))*INDIRECT(ADDRESS(MATCH($M31,职业分类属性!$A$1:$A$15,0),MATCH("回复力",职业分类属性!$A$2:$E$2,0),1,1,"职业分类属性"))*((星级总属性!$K$3)/(星级总属性!$K$3+星级总属性!$L$3))+(VLOOKUP($B31,INDIRECT(TEXT("'"&amp;$L31&amp;"星每级加强属性曲线演算'","")&amp;"!$A$2:$C$100"),3,FALSE)*VLOOKUP($M31,职业分类属性!$A$3:$G$15,7,FALSE))*(HLOOKUP(HLOOKUP("回复力",职业属性偏向!$B$3:$E$16,14,FALSE),INDIRECT(TEXT($N$1&amp;$N31&amp;"!$B$2:$G$3","")),2,FALSE)/INDIRECT(TEXT($N$1&amp;$N31&amp;"!$H$3","")))*((星级总属性!$L$3)/(星级总属性!$K$3+星级总属性!$L$3)),0)&amp;","&amp;ROUND((VLOOKUP($B31,INDIRECT(TEXT("'"&amp;$L31&amp;"星每级加强属性曲线演算'","")&amp;"!$A$2:$C$100"),3,FALSE)*VLOOKUP($M31,职业分类属性!$A$3:$G$15,7,FALSE))*INDIRECT(ADDRESS(MATCH($M31,职业分类属性!$A$1:$A$15,0),MATCH("武力",职业分类属性!$A$2:$E$2,0),1,1,"职业分类属性"))*((星级总属性!$K$3)/(星级总属性!$K$3+星级总属性!$L$3))+(VLOOKUP($B31,INDIRECT(TEXT("'"&amp;$L31&amp;"星每级加强属性曲线演算'","")&amp;"!$A$2:$C$100"),3,FALSE)*VLOOKUP($M31,职业分类属性!$A$3:$G$15,7,FALSE))*(HLOOKUP(HLOOKUP("武力",职业属性偏向!$B$3:$E$16,14,FALSE),INDIRECT(TEXT($N$1&amp;$N31&amp;"!$B$2:$G$3","")),2,FALSE)/INDIRECT(TEXT($N$1&amp;$N31&amp;"!$H$3","")))*((星级总属性!$L$3)/(星级总属性!$K$3+星级总属性!$L$3)),0)&amp;","&amp;ROUND((VLOOKUP($B31,INDIRECT(TEXT("'"&amp;$L31&amp;"星每级加强属性曲线演算'","")&amp;"!$A$2:$C$100"),3,FALSE)*VLOOKUP($M31,职业分类属性!$A$3:$G$15,7,FALSE))*INDIRECT(ADDRESS(MATCH($M31,职业分类属性!$A$1:$A$15,0),MATCH("防御",职业分类属性!$A$2:$E$2,0),1,1,"职业分类属性"))*((星级总属性!$K$3)/(星级总属性!$K$3+星级总属性!$L$3))+(VLOOKUP($B31,INDIRECT(TEXT("'"&amp;$L31&amp;"星每级加强属性曲线演算'","")&amp;"!$A$2:$C$100"),3,FALSE)*VLOOKUP($M31,职业分类属性!$A$3:$G$15,7,FALSE))*(HLOOKUP(HLOOKUP("防御",职业属性偏向!$B$3:$E$16,14,FALSE),INDIRECT(TEXT($N$1&amp;$N31&amp;"!$B$2:$G$3","")),2,FALSE)/INDIRECT(TEXT($N$1&amp;$N31&amp;"!$H$3","")))*((星级总属性!$L$3)/(星级总属性!$K$3+星级总属性!$L$3)),0)</f>
        <v>394,140,1316,344</v>
      </c>
      <c r="D31" s="33">
        <f>IF(VLOOKUP($B31,觉醒要求!$A$2:$C$7,2,FALSE)=0,"",VLOOKUP($B31,觉醒要求!$A$2:$C$7,2,FALSE))</f>
        <v>3</v>
      </c>
      <c r="E31" s="33">
        <v>1029</v>
      </c>
      <c r="F31" s="42" t="str">
        <f>IF(VLOOKUP($B31,觉醒要求!$A$2:$C$7,3,FALSE)=0,"",VLOOKUP($B31,觉醒要求!$A$2:$C$7,3,FALSE))</f>
        <v/>
      </c>
      <c r="G31" s="30"/>
      <c r="L31" s="1">
        <v>4</v>
      </c>
      <c r="M31" s="1" t="s">
        <v>7</v>
      </c>
      <c r="N31" s="1">
        <v>1</v>
      </c>
      <c r="O31" s="27" t="e">
        <f ca="1">ROUND((VLOOKUP(VALUE(RIGHT(O$1,LEN(O$1)-2)),INDIRECT(TEXT("'"&amp;$L31&amp;"星每级加强属性曲线演算'","")&amp;"!$A$2:$C$100"),3,FALSE)*VLOOKUP($M31,职业分类属性!$A$3:$G$15,9,FALSE))*INDIRECT(ADDRESS(MATCH($M31,职业分类属性!$A$1:$A$15,0),MATCH("生命值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生命值",职业属性偏向!$B$3:$E$16,14,FALSE),INDIRECT(TEXT($N$1&amp;$N31&amp;"!$B$2:$G$3","")),2,FALSE)/INDIRECT(TEXT($N$1&amp;$N31&amp;"!$H$3","")))*((星级总属性!$L$3)/(星级总属性!$K$3+星级总属性!$L$3)),0)&amp;","&amp;ROUND((VLOOKUP(VALUE(RIGHT(O$1,LEN(O$1)-2)),INDIRECT(TEXT("'"&amp;$L31&amp;"星每级加强属性曲线演算'","")&amp;"!$A$2:$C$100"),3,FALSE)*VLOOKUP($M31,职业分类属性!$A$3:$G$15,9,FALSE))*INDIRECT(ADDRESS(MATCH($M31,职业分类属性!$A$1:$A$15,0),MATCH("回复力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回复力",职业属性偏向!$B$3:$E$16,14,FALSE),INDIRECT(TEXT($N$1&amp;$N31&amp;"!$B$2:$G$3","")),2,FALSE)/INDIRECT(TEXT($N$1&amp;$N31&amp;"!$H$3","")))*((星级总属性!$L$3)/(星级总属性!$K$3+星级总属性!$L$3)),0)&amp;","&amp;ROUND((VLOOKUP(VALUE(RIGHT(O$1,LEN(O$1)-2)),INDIRECT(TEXT("'"&amp;$L31&amp;"星每级加强属性曲线演算'","")&amp;"!$A$2:$C$100"),3,FALSE)*VLOOKUP($M31,职业分类属性!$A$3:$G$15,9,FALSE))*INDIRECT(ADDRESS(MATCH($M31,职业分类属性!$A$1:$A$15,0),MATCH("武力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武力",职业属性偏向!$B$3:$E$16,14,FALSE),INDIRECT(TEXT($N$1&amp;$N31&amp;"!$B$2:$G$3","")),2,FALSE)/INDIRECT(TEXT($N$1&amp;$N31&amp;"!$H$3","")))*((星级总属性!$L$3)/(星级总属性!$K$3+星级总属性!$L$3)),0)&amp;","&amp;ROUND((VLOOKUP(VALUE(RIGHT(O$1,LEN(O$1)-2)),INDIRECT(TEXT("'"&amp;$L31&amp;"星每级加强属性曲线演算'","")&amp;"!$A$2:$C$100"),3,FALSE)*VLOOKUP($M31,职业分类属性!$A$3:$G$15,9,FALSE))*INDIRECT(ADDRESS(MATCH($M31,职业分类属性!$A$1:$A$15,0),MATCH("物防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物防",职业属性偏向!$B$3:$E$16,14,FALSE),INDIRECT(TEXT($N$1&amp;$N31&amp;"!$B$2:$G$3","")),2,FALSE)/INDIRECT(TEXT($N$1&amp;$N31&amp;"!$H$3","")))*((星级总属性!$L$3)/(星级总属性!$K$3+星级总属性!$L$3)),0)&amp;","&amp;ROUND((VLOOKUP(VALUE(RIGHT(O$1,LEN(O$1)-2)),INDIRECT(TEXT("'"&amp;$L31&amp;"星每级加强属性曲线演算'","")&amp;"!$A$2:$C$100"),3,FALSE)*VLOOKUP($M31,职业分类属性!$A$3:$G$15,9,FALSE))*INDIRECT(ADDRESS(MATCH($M31,职业分类属性!$A$1:$A$15,0),MATCH("智力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智力",职业属性偏向!$B$3:$E$16,14,FALSE),INDIRECT(TEXT($N$1&amp;$N31&amp;"!$B$2:$G$3","")),2,FALSE)/INDIRECT(TEXT($N$1&amp;$N31&amp;"!$H$3","")))*((星级总属性!$L$3)/(星级总属性!$K$3+星级总属性!$L$3)),0)&amp;","&amp;ROUND((VLOOKUP(VALUE(RIGHT(O$1,LEN(O$1)-2)),INDIRECT(TEXT("'"&amp;$L31&amp;"星每级加强属性曲线演算'","")&amp;"!$A$2:$C$100"),3,FALSE)*VLOOKUP($M31,职业分类属性!$A$3:$G$15,9,FALSE))*INDIRECT(ADDRESS(MATCH($M31,职业分类属性!$A$1:$A$15,0),MATCH("法防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法防",职业属性偏向!$B$3:$E$16,14,FALSE),INDIRECT(TEXT($N$1&amp;$N31&amp;"!$B$2:$G$3","")),2,FALSE)/INDIRECT(TEXT($N$1&amp;$N31&amp;"!$H$3","")))*((星级总属性!$L$3)/(星级总属性!$K$3+星级总属性!$L$3)),0)</f>
        <v>#REF!</v>
      </c>
    </row>
  </sheetData>
  <phoneticPr fontId="3" type="noConversion"/>
  <dataValidations count="1">
    <dataValidation type="list" allowBlank="1" showInputMessage="1" showErrorMessage="1" sqref="I2:I31">
      <formula1>$AB$2:$AB$5</formula1>
    </dataValidation>
  </dataValidations>
  <pageMargins left="0.75" right="0.75" top="1" bottom="1" header="0.5" footer="0.5"/>
  <pageSetup paperSize="9" orientation="portrait" horizontalDpi="200" verticalDpi="200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selection activeCell="A3" sqref="A3:A15"/>
    </sheetView>
  </sheetViews>
  <sheetFormatPr defaultRowHeight="14.4" x14ac:dyDescent="0.25"/>
  <cols>
    <col min="7" max="7" width="14.6640625" bestFit="1" customWidth="1"/>
  </cols>
  <sheetData>
    <row r="1" spans="1:7" x14ac:dyDescent="0.25">
      <c r="A1" s="48" t="s">
        <v>18</v>
      </c>
      <c r="B1" s="49"/>
      <c r="C1" s="49"/>
      <c r="D1" s="49"/>
      <c r="E1" s="49"/>
      <c r="F1" s="9"/>
    </row>
    <row r="2" spans="1:7" x14ac:dyDescent="0.25">
      <c r="A2" s="20"/>
      <c r="B2" s="21" t="s">
        <v>13</v>
      </c>
      <c r="C2" s="21" t="s">
        <v>14</v>
      </c>
      <c r="D2" s="21" t="s">
        <v>15</v>
      </c>
      <c r="E2" s="21" t="s">
        <v>105</v>
      </c>
      <c r="F2" s="9" t="s">
        <v>19</v>
      </c>
      <c r="G2" s="22" t="s">
        <v>21</v>
      </c>
    </row>
    <row r="3" spans="1:7" x14ac:dyDescent="0.25">
      <c r="A3" s="8" t="s">
        <v>1</v>
      </c>
      <c r="B3" s="9">
        <v>0.25</v>
      </c>
      <c r="C3" s="9">
        <v>0.05</v>
      </c>
      <c r="D3" s="9">
        <v>0.55000000000000004</v>
      </c>
      <c r="E3" s="9">
        <v>0.15</v>
      </c>
      <c r="F3" s="9">
        <f>SUM(B3:E3)</f>
        <v>1</v>
      </c>
      <c r="G3" s="11">
        <v>1.2</v>
      </c>
    </row>
    <row r="4" spans="1:7" x14ac:dyDescent="0.25">
      <c r="A4" s="8" t="s">
        <v>2</v>
      </c>
      <c r="B4" s="9">
        <v>0.14000000000000001</v>
      </c>
      <c r="C4" s="9">
        <v>0.01</v>
      </c>
      <c r="D4" s="10">
        <v>0.8</v>
      </c>
      <c r="E4" s="9">
        <v>0.05</v>
      </c>
      <c r="F4" s="9">
        <f>SUM(B4:E4)</f>
        <v>1</v>
      </c>
      <c r="G4" s="11">
        <v>1.3</v>
      </c>
    </row>
    <row r="5" spans="1:7" x14ac:dyDescent="0.25">
      <c r="A5" s="8" t="s">
        <v>3</v>
      </c>
      <c r="B5" s="9">
        <v>0.08</v>
      </c>
      <c r="C5" s="9">
        <v>0.08</v>
      </c>
      <c r="D5" s="10">
        <v>0.75</v>
      </c>
      <c r="E5" s="9">
        <v>0.09</v>
      </c>
      <c r="F5" s="9">
        <f>SUM(B5:E5)</f>
        <v>1</v>
      </c>
      <c r="G5" s="11">
        <v>0.9</v>
      </c>
    </row>
    <row r="6" spans="1:7" x14ac:dyDescent="0.25">
      <c r="A6" s="8" t="s">
        <v>4</v>
      </c>
      <c r="B6" s="9">
        <v>0.1</v>
      </c>
      <c r="C6" s="9">
        <v>0.01</v>
      </c>
      <c r="D6" s="10">
        <v>0.75</v>
      </c>
      <c r="E6" s="9">
        <v>0.14000000000000001</v>
      </c>
      <c r="F6" s="9">
        <f>SUM(B6:E6)</f>
        <v>1</v>
      </c>
      <c r="G6" s="11">
        <v>1</v>
      </c>
    </row>
    <row r="7" spans="1:7" x14ac:dyDescent="0.25">
      <c r="A7" s="8" t="s">
        <v>5</v>
      </c>
      <c r="B7" s="9">
        <v>0.05</v>
      </c>
      <c r="C7" s="9">
        <v>0.05</v>
      </c>
      <c r="D7" s="10">
        <v>0.85</v>
      </c>
      <c r="E7" s="9">
        <v>0.05</v>
      </c>
      <c r="F7" s="9">
        <f>SUM(B7:E7)</f>
        <v>1</v>
      </c>
      <c r="G7" s="11">
        <v>0.7</v>
      </c>
    </row>
    <row r="8" spans="1:7" x14ac:dyDescent="0.25">
      <c r="A8" s="8" t="s">
        <v>6</v>
      </c>
      <c r="B8" s="9">
        <v>0.05</v>
      </c>
      <c r="C8" s="9">
        <v>0.15</v>
      </c>
      <c r="D8" s="10">
        <v>0.65</v>
      </c>
      <c r="E8" s="9">
        <v>0.15</v>
      </c>
      <c r="F8" s="9">
        <f>SUM(B8:E8)</f>
        <v>1</v>
      </c>
      <c r="G8" s="11">
        <v>0.8</v>
      </c>
    </row>
    <row r="9" spans="1:7" x14ac:dyDescent="0.25">
      <c r="A9" s="8" t="s">
        <v>7</v>
      </c>
      <c r="B9" s="9">
        <v>0.15</v>
      </c>
      <c r="C9" s="9">
        <v>0.05</v>
      </c>
      <c r="D9" s="10">
        <v>0.65</v>
      </c>
      <c r="E9" s="9">
        <v>0.15</v>
      </c>
      <c r="F9" s="9">
        <f>SUM(B9:E9)</f>
        <v>1</v>
      </c>
      <c r="G9" s="11">
        <v>0.8</v>
      </c>
    </row>
    <row r="10" spans="1:7" x14ac:dyDescent="0.25">
      <c r="A10" s="8" t="s">
        <v>8</v>
      </c>
      <c r="B10" s="9">
        <v>0.4</v>
      </c>
      <c r="C10" s="9">
        <v>0.08</v>
      </c>
      <c r="D10" s="9">
        <v>0.32</v>
      </c>
      <c r="E10" s="9">
        <v>0.2</v>
      </c>
      <c r="F10" s="9">
        <f>SUM(B10:E10)</f>
        <v>1</v>
      </c>
      <c r="G10" s="11">
        <v>1.1000000000000001</v>
      </c>
    </row>
    <row r="11" spans="1:7" x14ac:dyDescent="0.25">
      <c r="A11" s="8" t="s">
        <v>106</v>
      </c>
      <c r="B11" s="9">
        <v>0.15</v>
      </c>
      <c r="C11" s="9">
        <v>0.35</v>
      </c>
      <c r="D11" s="9">
        <v>0.1</v>
      </c>
      <c r="E11" s="9">
        <v>0.4</v>
      </c>
      <c r="F11" s="9">
        <f>SUM(B11:E11)</f>
        <v>1</v>
      </c>
      <c r="G11" s="11">
        <v>0.9</v>
      </c>
    </row>
    <row r="12" spans="1:7" x14ac:dyDescent="0.25">
      <c r="A12" s="8" t="s">
        <v>107</v>
      </c>
      <c r="B12" s="9">
        <v>0.2</v>
      </c>
      <c r="C12" s="9">
        <v>0.05</v>
      </c>
      <c r="D12" s="9">
        <v>0.05</v>
      </c>
      <c r="E12" s="9">
        <v>0.7</v>
      </c>
      <c r="F12" s="9">
        <f>SUM(B12:E12)</f>
        <v>1</v>
      </c>
      <c r="G12" s="11">
        <v>1.1000000000000001</v>
      </c>
    </row>
    <row r="13" spans="1:7" x14ac:dyDescent="0.25">
      <c r="A13" s="8" t="s">
        <v>108</v>
      </c>
      <c r="B13" s="9">
        <v>0.25</v>
      </c>
      <c r="C13" s="9">
        <v>0.25</v>
      </c>
      <c r="D13" s="9">
        <v>0.25</v>
      </c>
      <c r="E13" s="9">
        <v>0.25</v>
      </c>
      <c r="F13" s="9">
        <f>SUM(B13:E13)</f>
        <v>1</v>
      </c>
      <c r="G13" s="11">
        <v>1.1000000000000001</v>
      </c>
    </row>
    <row r="14" spans="1:7" x14ac:dyDescent="0.25">
      <c r="A14" s="8" t="s">
        <v>9</v>
      </c>
      <c r="B14" s="9">
        <v>0.11</v>
      </c>
      <c r="C14" s="9">
        <v>0.65</v>
      </c>
      <c r="D14" s="9">
        <v>0.09</v>
      </c>
      <c r="E14" s="9">
        <v>0.15</v>
      </c>
      <c r="F14" s="9">
        <f>SUM(B14:E14)</f>
        <v>1</v>
      </c>
      <c r="G14" s="11">
        <v>0.8</v>
      </c>
    </row>
    <row r="15" spans="1:7" x14ac:dyDescent="0.25">
      <c r="A15" s="8" t="s">
        <v>10</v>
      </c>
      <c r="B15" s="9">
        <v>0.1</v>
      </c>
      <c r="C15" s="9">
        <v>0.05</v>
      </c>
      <c r="D15" s="10">
        <v>0.65</v>
      </c>
      <c r="E15" s="9">
        <v>0.2</v>
      </c>
      <c r="F15" s="9">
        <f>SUM(B15:E15)</f>
        <v>1</v>
      </c>
      <c r="G15" s="11">
        <v>0.8</v>
      </c>
    </row>
    <row r="16" spans="1:7" x14ac:dyDescent="0.25">
      <c r="B16" s="8" t="str">
        <f>B2</f>
        <v>生命值</v>
      </c>
      <c r="C16" s="8" t="str">
        <f t="shared" ref="C16:E16" si="0">C2</f>
        <v>回复力</v>
      </c>
      <c r="D16" s="8" t="str">
        <f t="shared" si="0"/>
        <v>武力</v>
      </c>
      <c r="E16" s="8" t="str">
        <f t="shared" si="0"/>
        <v>防御</v>
      </c>
    </row>
  </sheetData>
  <mergeCells count="1">
    <mergeCell ref="A1:E1"/>
  </mergeCells>
  <phoneticPr fontId="5" type="noConversion"/>
  <conditionalFormatting sqref="B3:E3">
    <cfRule type="top10" dxfId="12" priority="15" stopIfTrue="1" rank="2"/>
  </conditionalFormatting>
  <conditionalFormatting sqref="B4:E4">
    <cfRule type="top10" dxfId="11" priority="16" stopIfTrue="1" rank="2"/>
  </conditionalFormatting>
  <conditionalFormatting sqref="B5:E5">
    <cfRule type="top10" dxfId="10" priority="17" stopIfTrue="1" rank="2"/>
  </conditionalFormatting>
  <conditionalFormatting sqref="B6:E6">
    <cfRule type="top10" dxfId="9" priority="18" stopIfTrue="1" rank="2"/>
  </conditionalFormatting>
  <conditionalFormatting sqref="B7:E7">
    <cfRule type="top10" dxfId="8" priority="19" stopIfTrue="1" rank="2"/>
  </conditionalFormatting>
  <conditionalFormatting sqref="B8:E8">
    <cfRule type="top10" dxfId="7" priority="20" stopIfTrue="1" rank="2"/>
  </conditionalFormatting>
  <conditionalFormatting sqref="B9:E9">
    <cfRule type="top10" dxfId="6" priority="21" stopIfTrue="1" rank="2"/>
  </conditionalFormatting>
  <conditionalFormatting sqref="B10:E10">
    <cfRule type="top10" dxfId="5" priority="22" stopIfTrue="1" rank="2"/>
  </conditionalFormatting>
  <conditionalFormatting sqref="B11:E11">
    <cfRule type="top10" dxfId="4" priority="23" stopIfTrue="1" rank="2"/>
  </conditionalFormatting>
  <conditionalFormatting sqref="B12:E12">
    <cfRule type="top10" dxfId="3" priority="24" stopIfTrue="1" rank="2"/>
  </conditionalFormatting>
  <conditionalFormatting sqref="B13:E13">
    <cfRule type="top10" dxfId="2" priority="25" stopIfTrue="1" rank="2"/>
  </conditionalFormatting>
  <conditionalFormatting sqref="B14:E14">
    <cfRule type="top10" dxfId="1" priority="26" stopIfTrue="1" rank="2"/>
  </conditionalFormatting>
  <conditionalFormatting sqref="B15:E15">
    <cfRule type="top10" dxfId="0" priority="27" stopIfTrue="1" rank="2"/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7" sqref="J7"/>
    </sheetView>
  </sheetViews>
  <sheetFormatPr defaultRowHeight="14.4" x14ac:dyDescent="0.25"/>
  <cols>
    <col min="2" max="5" width="9" bestFit="1" customWidth="1"/>
    <col min="6" max="6" width="9.44140625" bestFit="1" customWidth="1"/>
  </cols>
  <sheetData>
    <row r="1" spans="1:6" x14ac:dyDescent="0.25">
      <c r="A1" s="51" t="s">
        <v>20</v>
      </c>
      <c r="B1" s="52"/>
      <c r="C1" s="52"/>
      <c r="D1" s="52"/>
      <c r="E1" s="52"/>
      <c r="F1" s="6"/>
    </row>
    <row r="2" spans="1:6" x14ac:dyDescent="0.25">
      <c r="A2" s="7" t="s">
        <v>22</v>
      </c>
      <c r="B2" s="8">
        <v>1</v>
      </c>
      <c r="C2" s="8">
        <v>2</v>
      </c>
      <c r="D2" s="8">
        <v>3</v>
      </c>
      <c r="E2" s="8">
        <v>4</v>
      </c>
    </row>
    <row r="3" spans="1:6" x14ac:dyDescent="0.25">
      <c r="A3" s="5" t="s">
        <v>1</v>
      </c>
      <c r="B3" s="12" t="str">
        <f>HLOOKUP(LARGE(职业分类属性!$B3:$E3,COLUMN()-1),职业分类属性!$B3:$E$16,17-ROW(),FALSE)</f>
        <v>武力</v>
      </c>
      <c r="C3" s="12" t="str">
        <f>HLOOKUP(LARGE(职业分类属性!$B3:$E3,COLUMN()-1),职业分类属性!$B3:$E$16,17-ROW(),FALSE)</f>
        <v>生命值</v>
      </c>
      <c r="D3" s="12" t="str">
        <f>HLOOKUP(LARGE(职业分类属性!$B3:$E3,COLUMN()-1),职业分类属性!$B3:$E$16,17-ROW(),FALSE)</f>
        <v>防御</v>
      </c>
      <c r="E3" s="12" t="str">
        <f>HLOOKUP(LARGE(职业分类属性!$B3:$E3,COLUMN()-1),职业分类属性!$B3:$E$16,17-ROW(),FALSE)</f>
        <v>回复力</v>
      </c>
    </row>
    <row r="4" spans="1:6" x14ac:dyDescent="0.25">
      <c r="A4" s="5" t="s">
        <v>2</v>
      </c>
      <c r="B4" s="12" t="str">
        <f>HLOOKUP(LARGE(职业分类属性!$B4:$E4,COLUMN()-1),职业分类属性!$B4:$E$16,17-ROW(),FALSE)</f>
        <v>武力</v>
      </c>
      <c r="C4" s="12" t="str">
        <f>HLOOKUP(LARGE(职业分类属性!$B4:$E4,COLUMN()-1),职业分类属性!$B4:$E$16,17-ROW(),FALSE)</f>
        <v>生命值</v>
      </c>
      <c r="D4" s="12" t="str">
        <f>HLOOKUP(LARGE(职业分类属性!$B4:$E4,COLUMN()-1),职业分类属性!$B4:$E$16,17-ROW(),FALSE)</f>
        <v>防御</v>
      </c>
      <c r="E4" s="12" t="str">
        <f>HLOOKUP(LARGE(职业分类属性!$B4:$E4,COLUMN()-1),职业分类属性!$B4:$E$16,17-ROW(),FALSE)</f>
        <v>回复力</v>
      </c>
    </row>
    <row r="5" spans="1:6" x14ac:dyDescent="0.25">
      <c r="A5" s="5" t="s">
        <v>3</v>
      </c>
      <c r="B5" s="12" t="str">
        <f>HLOOKUP(LARGE(职业分类属性!$B5:$E5,COLUMN()-1),职业分类属性!$B5:$E$16,17-ROW(),FALSE)</f>
        <v>武力</v>
      </c>
      <c r="C5" s="12" t="str">
        <f>HLOOKUP(LARGE(职业分类属性!$B5:$E5,COLUMN()-1),职业分类属性!$B5:$E$16,17-ROW(),FALSE)</f>
        <v>防御</v>
      </c>
      <c r="D5" s="12" t="str">
        <f>HLOOKUP(LARGE(职业分类属性!$B5:$E5,COLUMN()-1),职业分类属性!$B5:$E$16,17-ROW(),FALSE)</f>
        <v>生命值</v>
      </c>
      <c r="E5" s="12" t="str">
        <f>HLOOKUP(LARGE(职业分类属性!$B5:$E5,COLUMN()-1),职业分类属性!$B5:$E$16,17-ROW(),FALSE)</f>
        <v>生命值</v>
      </c>
    </row>
    <row r="6" spans="1:6" x14ac:dyDescent="0.25">
      <c r="A6" s="5" t="s">
        <v>4</v>
      </c>
      <c r="B6" s="12" t="str">
        <f>HLOOKUP(LARGE(职业分类属性!$B6:$E6,COLUMN()-1),职业分类属性!$B6:$E$16,17-ROW(),FALSE)</f>
        <v>武力</v>
      </c>
      <c r="C6" s="12" t="str">
        <f>HLOOKUP(LARGE(职业分类属性!$B6:$E6,COLUMN()-1),职业分类属性!$B6:$E$16,17-ROW(),FALSE)</f>
        <v>防御</v>
      </c>
      <c r="D6" s="12" t="str">
        <f>HLOOKUP(LARGE(职业分类属性!$B6:$E6,COLUMN()-1),职业分类属性!$B6:$E$16,17-ROW(),FALSE)</f>
        <v>生命值</v>
      </c>
      <c r="E6" s="12" t="str">
        <f>HLOOKUP(LARGE(职业分类属性!$B6:$E6,COLUMN()-1),职业分类属性!$B6:$E$16,17-ROW(),FALSE)</f>
        <v>回复力</v>
      </c>
    </row>
    <row r="7" spans="1:6" x14ac:dyDescent="0.25">
      <c r="A7" s="5" t="s">
        <v>5</v>
      </c>
      <c r="B7" s="12" t="str">
        <f>HLOOKUP(LARGE(职业分类属性!$B7:$E7,COLUMN()-1),职业分类属性!$B7:$E$16,17-ROW(),FALSE)</f>
        <v>武力</v>
      </c>
      <c r="C7" s="12" t="str">
        <f>HLOOKUP(LARGE(职业分类属性!$B7:$E7,COLUMN()-1),职业分类属性!$B7:$E$16,17-ROW(),FALSE)</f>
        <v>生命值</v>
      </c>
      <c r="D7" s="12" t="str">
        <f>HLOOKUP(LARGE(职业分类属性!$B7:$E7,COLUMN()-1),职业分类属性!$B7:$E$16,17-ROW(),FALSE)</f>
        <v>生命值</v>
      </c>
      <c r="E7" s="12" t="str">
        <f>HLOOKUP(LARGE(职业分类属性!$B7:$E7,COLUMN()-1),职业分类属性!$B7:$E$16,17-ROW(),FALSE)</f>
        <v>生命值</v>
      </c>
    </row>
    <row r="8" spans="1:6" x14ac:dyDescent="0.25">
      <c r="A8" s="5" t="s">
        <v>6</v>
      </c>
      <c r="B8" s="12" t="str">
        <f>HLOOKUP(LARGE(职业分类属性!$B8:$E8,COLUMN()-1),职业分类属性!$B8:$E$16,17-ROW(),FALSE)</f>
        <v>武力</v>
      </c>
      <c r="C8" s="12" t="str">
        <f>HLOOKUP(LARGE(职业分类属性!$B8:$E8,COLUMN()-1),职业分类属性!$B8:$E$16,17-ROW(),FALSE)</f>
        <v>回复力</v>
      </c>
      <c r="D8" s="12" t="str">
        <f>HLOOKUP(LARGE(职业分类属性!$B8:$E8,COLUMN()-1),职业分类属性!$B8:$E$16,17-ROW(),FALSE)</f>
        <v>回复力</v>
      </c>
      <c r="E8" s="12" t="str">
        <f>HLOOKUP(LARGE(职业分类属性!$B8:$E8,COLUMN()-1),职业分类属性!$B8:$E$16,17-ROW(),FALSE)</f>
        <v>生命值</v>
      </c>
    </row>
    <row r="9" spans="1:6" x14ac:dyDescent="0.25">
      <c r="A9" s="5" t="s">
        <v>7</v>
      </c>
      <c r="B9" s="12" t="str">
        <f>HLOOKUP(LARGE(职业分类属性!$B9:$E9,COLUMN()-1),职业分类属性!$B9:$E$16,17-ROW(),FALSE)</f>
        <v>武力</v>
      </c>
      <c r="C9" s="12" t="str">
        <f>HLOOKUP(LARGE(职业分类属性!$B9:$E9,COLUMN()-1),职业分类属性!$B9:$E$16,17-ROW(),FALSE)</f>
        <v>生命值</v>
      </c>
      <c r="D9" s="12" t="str">
        <f>HLOOKUP(LARGE(职业分类属性!$B9:$E9,COLUMN()-1),职业分类属性!$B9:$E$16,17-ROW(),FALSE)</f>
        <v>生命值</v>
      </c>
      <c r="E9" s="12" t="str">
        <f>HLOOKUP(LARGE(职业分类属性!$B9:$E9,COLUMN()-1),职业分类属性!$B9:$E$16,17-ROW(),FALSE)</f>
        <v>回复力</v>
      </c>
    </row>
    <row r="10" spans="1:6" x14ac:dyDescent="0.25">
      <c r="A10" s="5" t="s">
        <v>8</v>
      </c>
      <c r="B10" s="12" t="str">
        <f>HLOOKUP(LARGE(职业分类属性!$B10:$E10,COLUMN()-1),职业分类属性!$B10:$E$16,17-ROW(),FALSE)</f>
        <v>生命值</v>
      </c>
      <c r="C10" s="12" t="str">
        <f>HLOOKUP(LARGE(职业分类属性!$B10:$E10,COLUMN()-1),职业分类属性!$B10:$E$16,17-ROW(),FALSE)</f>
        <v>武力</v>
      </c>
      <c r="D10" s="12" t="str">
        <f>HLOOKUP(LARGE(职业分类属性!$B10:$E10,COLUMN()-1),职业分类属性!$B10:$E$16,17-ROW(),FALSE)</f>
        <v>防御</v>
      </c>
      <c r="E10" s="12" t="str">
        <f>HLOOKUP(LARGE(职业分类属性!$B10:$E10,COLUMN()-1),职业分类属性!$B10:$E$16,17-ROW(),FALSE)</f>
        <v>回复力</v>
      </c>
    </row>
    <row r="11" spans="1:6" x14ac:dyDescent="0.25">
      <c r="A11" s="5" t="s">
        <v>11</v>
      </c>
      <c r="B11" s="12" t="str">
        <f>HLOOKUP(LARGE(职业分类属性!$B11:$E11,COLUMN()-1),职业分类属性!$B11:$E$16,17-ROW(),FALSE)</f>
        <v>防御</v>
      </c>
      <c r="C11" s="12" t="str">
        <f>HLOOKUP(LARGE(职业分类属性!$B11:$E11,COLUMN()-1),职业分类属性!$B11:$E$16,17-ROW(),FALSE)</f>
        <v>回复力</v>
      </c>
      <c r="D11" s="12" t="str">
        <f>HLOOKUP(LARGE(职业分类属性!$B11:$E11,COLUMN()-1),职业分类属性!$B11:$E$16,17-ROW(),FALSE)</f>
        <v>生命值</v>
      </c>
      <c r="E11" s="12" t="str">
        <f>HLOOKUP(LARGE(职业分类属性!$B11:$E11,COLUMN()-1),职业分类属性!$B11:$E$16,17-ROW(),FALSE)</f>
        <v>武力</v>
      </c>
    </row>
    <row r="12" spans="1:6" x14ac:dyDescent="0.25">
      <c r="A12" s="5" t="s">
        <v>12</v>
      </c>
      <c r="B12" s="12" t="str">
        <f>HLOOKUP(LARGE(职业分类属性!$B12:$E12,COLUMN()-1),职业分类属性!$B12:$E$16,17-ROW(),FALSE)</f>
        <v>防御</v>
      </c>
      <c r="C12" s="12" t="str">
        <f>HLOOKUP(LARGE(职业分类属性!$B12:$E12,COLUMN()-1),职业分类属性!$B12:$E$16,17-ROW(),FALSE)</f>
        <v>生命值</v>
      </c>
      <c r="D12" s="12" t="str">
        <f>HLOOKUP(LARGE(职业分类属性!$B12:$E12,COLUMN()-1),职业分类属性!$B12:$E$16,17-ROW(),FALSE)</f>
        <v>回复力</v>
      </c>
      <c r="E12" s="12" t="str">
        <f>HLOOKUP(LARGE(职业分类属性!$B12:$E12,COLUMN()-1),职业分类属性!$B12:$E$16,17-ROW(),FALSE)</f>
        <v>回复力</v>
      </c>
    </row>
    <row r="13" spans="1:6" x14ac:dyDescent="0.25">
      <c r="A13" s="5" t="s">
        <v>109</v>
      </c>
      <c r="B13" s="12" t="str">
        <f>HLOOKUP(LARGE(职业分类属性!$B13:$E13,COLUMN()-1),职业分类属性!$B13:$E$16,17-ROW(),FALSE)</f>
        <v>生命值</v>
      </c>
      <c r="C13" s="12" t="str">
        <f>HLOOKUP(LARGE(职业分类属性!$B13:$E13,COLUMN()-1),职业分类属性!$B13:$E$16,17-ROW(),FALSE)</f>
        <v>生命值</v>
      </c>
      <c r="D13" s="12" t="str">
        <f>HLOOKUP(LARGE(职业分类属性!$B13:$E13,COLUMN()-1),职业分类属性!$B13:$E$16,17-ROW(),FALSE)</f>
        <v>生命值</v>
      </c>
      <c r="E13" s="12" t="str">
        <f>HLOOKUP(LARGE(职业分类属性!$B13:$E13,COLUMN()-1),职业分类属性!$B13:$E$16,17-ROW(),FALSE)</f>
        <v>生命值</v>
      </c>
    </row>
    <row r="14" spans="1:6" x14ac:dyDescent="0.25">
      <c r="A14" s="5" t="s">
        <v>9</v>
      </c>
      <c r="B14" s="12" t="str">
        <f>HLOOKUP(LARGE(职业分类属性!$B14:$E14,COLUMN()-1),职业分类属性!$B14:$E$16,17-ROW(),FALSE)</f>
        <v>回复力</v>
      </c>
      <c r="C14" s="12" t="str">
        <f>HLOOKUP(LARGE(职业分类属性!$B14:$E14,COLUMN()-1),职业分类属性!$B14:$E$16,17-ROW(),FALSE)</f>
        <v>防御</v>
      </c>
      <c r="D14" s="12" t="str">
        <f>HLOOKUP(LARGE(职业分类属性!$B14:$E14,COLUMN()-1),职业分类属性!$B14:$E$16,17-ROW(),FALSE)</f>
        <v>生命值</v>
      </c>
      <c r="E14" s="12" t="str">
        <f>HLOOKUP(LARGE(职业分类属性!$B14:$E14,COLUMN()-1),职业分类属性!$B14:$E$16,17-ROW(),FALSE)</f>
        <v>武力</v>
      </c>
    </row>
    <row r="15" spans="1:6" x14ac:dyDescent="0.25">
      <c r="A15" s="5" t="s">
        <v>10</v>
      </c>
      <c r="B15" s="12" t="str">
        <f>HLOOKUP(LARGE(职业分类属性!$B15:$E15,COLUMN()-1),职业分类属性!$B15:$E$16,17-ROW(),FALSE)</f>
        <v>武力</v>
      </c>
      <c r="C15" s="12" t="str">
        <f>HLOOKUP(LARGE(职业分类属性!$B15:$E15,COLUMN()-1),职业分类属性!$B15:$E$16,17-ROW(),FALSE)</f>
        <v>防御</v>
      </c>
      <c r="D15" s="12" t="str">
        <f>HLOOKUP(LARGE(职业分类属性!$B15:$E15,COLUMN()-1),职业分类属性!$B15:$E$16,17-ROW(),FALSE)</f>
        <v>生命值</v>
      </c>
      <c r="E15" s="12" t="str">
        <f>HLOOKUP(LARGE(职业分类属性!$B15:$E15,COLUMN()-1),职业分类属性!$B15:$E$16,17-ROW(),FALSE)</f>
        <v>回复力</v>
      </c>
    </row>
    <row r="16" spans="1:6" x14ac:dyDescent="0.25">
      <c r="A16" s="7" t="s">
        <v>22</v>
      </c>
      <c r="B16" s="8">
        <f>B2</f>
        <v>1</v>
      </c>
      <c r="C16" s="8">
        <f t="shared" ref="C16:E16" si="0">C2</f>
        <v>2</v>
      </c>
      <c r="D16" s="8">
        <f t="shared" si="0"/>
        <v>3</v>
      </c>
      <c r="E16" s="8">
        <f t="shared" si="0"/>
        <v>4</v>
      </c>
    </row>
  </sheetData>
  <mergeCells count="1">
    <mergeCell ref="A1:E1"/>
  </mergeCells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G24" sqref="G24"/>
    </sheetView>
  </sheetViews>
  <sheetFormatPr defaultRowHeight="14.4" x14ac:dyDescent="0.25"/>
  <cols>
    <col min="1" max="1" width="14.109375" bestFit="1" customWidth="1"/>
    <col min="7" max="7" width="11.6640625" bestFit="1" customWidth="1"/>
    <col min="11" max="11" width="9.77734375" bestFit="1" customWidth="1"/>
    <col min="12" max="12" width="14.109375" bestFit="1" customWidth="1"/>
  </cols>
  <sheetData>
    <row r="1" spans="1:14" x14ac:dyDescent="0.25">
      <c r="A1" s="51" t="s">
        <v>20</v>
      </c>
      <c r="B1" s="52"/>
      <c r="C1" s="52"/>
      <c r="D1" s="52"/>
      <c r="E1" s="52"/>
      <c r="F1" s="52"/>
      <c r="G1" s="53"/>
      <c r="K1" s="48" t="s">
        <v>26</v>
      </c>
      <c r="L1" s="50"/>
    </row>
    <row r="2" spans="1:14" x14ac:dyDescent="0.25">
      <c r="A2" s="7" t="s">
        <v>23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K2" s="21" t="s">
        <v>25</v>
      </c>
      <c r="L2" s="21" t="s">
        <v>55</v>
      </c>
      <c r="N2" s="21" t="s">
        <v>29</v>
      </c>
    </row>
    <row r="3" spans="1:14" x14ac:dyDescent="0.25">
      <c r="A3" s="5" t="s">
        <v>25</v>
      </c>
      <c r="B3" s="14">
        <f>B$5*($K$3/($K$3+$L$3))</f>
        <v>2240</v>
      </c>
      <c r="C3" s="14">
        <f t="shared" ref="C3:G3" si="0">C$5*($K$3/($K$3+$L$3))</f>
        <v>2960</v>
      </c>
      <c r="D3" s="14">
        <f t="shared" si="0"/>
        <v>3840</v>
      </c>
      <c r="E3" s="14">
        <f t="shared" si="0"/>
        <v>4960</v>
      </c>
      <c r="F3" s="14">
        <f t="shared" si="0"/>
        <v>6480</v>
      </c>
      <c r="G3" s="14">
        <f t="shared" si="0"/>
        <v>8400</v>
      </c>
      <c r="K3" s="13">
        <v>4</v>
      </c>
      <c r="L3" s="13">
        <v>1</v>
      </c>
      <c r="N3" s="15">
        <v>0.3</v>
      </c>
    </row>
    <row r="4" spans="1:14" x14ac:dyDescent="0.25">
      <c r="A4" s="5" t="s">
        <v>56</v>
      </c>
      <c r="B4" s="14">
        <f>B$5*($L$3/($K$3+$L$3))</f>
        <v>560</v>
      </c>
      <c r="C4" s="14">
        <f t="shared" ref="C4:G4" si="1">C$5*($L$3/($K$3+$L$3))</f>
        <v>740</v>
      </c>
      <c r="D4" s="14">
        <f t="shared" si="1"/>
        <v>960</v>
      </c>
      <c r="E4" s="14">
        <f t="shared" si="1"/>
        <v>1240</v>
      </c>
      <c r="F4" s="14">
        <f t="shared" si="1"/>
        <v>1620</v>
      </c>
      <c r="G4" s="14">
        <f t="shared" si="1"/>
        <v>2100</v>
      </c>
    </row>
    <row r="5" spans="1:14" x14ac:dyDescent="0.25">
      <c r="A5" s="5" t="s">
        <v>24</v>
      </c>
      <c r="B5" s="14">
        <f>ROUND(C5/(1+$N$3),-2)</f>
        <v>2800</v>
      </c>
      <c r="C5" s="14">
        <f>ROUND(D5/(1+$N$3),-2)</f>
        <v>3700</v>
      </c>
      <c r="D5" s="14">
        <f>ROUND(E5/(1+$N$3),-2)</f>
        <v>4800</v>
      </c>
      <c r="E5" s="14">
        <f>ROUND(F5/(1+$N$3),-2)</f>
        <v>6200</v>
      </c>
      <c r="F5" s="14">
        <f>ROUND(G5/(1+$N$3),-2)</f>
        <v>8100</v>
      </c>
      <c r="G5" s="14">
        <f>'6星每级加强属性曲线演算'!B7</f>
        <v>10500</v>
      </c>
    </row>
    <row r="6" spans="1:14" x14ac:dyDescent="0.25">
      <c r="A6" s="5" t="s">
        <v>57</v>
      </c>
      <c r="B6" s="14">
        <f>$G$5/B5</f>
        <v>3.75</v>
      </c>
      <c r="C6" s="14">
        <f t="shared" ref="C6:F6" si="2">$G$5/C5</f>
        <v>2.8378378378378377</v>
      </c>
      <c r="D6" s="14">
        <f t="shared" si="2"/>
        <v>2.1875</v>
      </c>
      <c r="E6" s="14">
        <f t="shared" si="2"/>
        <v>1.6935483870967742</v>
      </c>
      <c r="F6" s="14">
        <f t="shared" si="2"/>
        <v>1.2962962962962963</v>
      </c>
      <c r="G6" s="14" t="s">
        <v>86</v>
      </c>
    </row>
  </sheetData>
  <mergeCells count="2">
    <mergeCell ref="A1:G1"/>
    <mergeCell ref="K1:L1"/>
  </mergeCells>
  <phoneticPr fontId="1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H4"/>
    </sheetView>
  </sheetViews>
  <sheetFormatPr defaultRowHeight="14.4" x14ac:dyDescent="0.25"/>
  <sheetData>
    <row r="1" spans="1:8" x14ac:dyDescent="0.25">
      <c r="A1" s="48" t="s">
        <v>27</v>
      </c>
      <c r="B1" s="49"/>
      <c r="C1" s="49"/>
      <c r="D1" s="49"/>
      <c r="E1" s="49"/>
      <c r="F1" s="49"/>
      <c r="G1" s="50"/>
      <c r="H1" s="23"/>
    </row>
    <row r="2" spans="1:8" x14ac:dyDescent="0.25">
      <c r="A2" s="20" t="s">
        <v>22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 t="s">
        <v>41</v>
      </c>
    </row>
    <row r="3" spans="1:8" x14ac:dyDescent="0.25">
      <c r="A3" s="5" t="s">
        <v>28</v>
      </c>
      <c r="B3" s="14">
        <v>6</v>
      </c>
      <c r="C3" s="14">
        <v>5</v>
      </c>
      <c r="D3" s="14">
        <v>3</v>
      </c>
      <c r="E3" s="14">
        <v>2</v>
      </c>
      <c r="F3" s="14">
        <v>1</v>
      </c>
      <c r="G3" s="14">
        <v>1</v>
      </c>
      <c r="H3" s="14">
        <f>SUM(B3:G3)</f>
        <v>18</v>
      </c>
    </row>
    <row r="4" spans="1:8" x14ac:dyDescent="0.25">
      <c r="A4" s="5" t="s">
        <v>54</v>
      </c>
      <c r="B4" s="12">
        <f>B3/$H$3</f>
        <v>0.33333333333333331</v>
      </c>
      <c r="C4" s="12">
        <f t="shared" ref="C4:G4" si="0">C3/$H$3</f>
        <v>0.27777777777777779</v>
      </c>
      <c r="D4" s="12">
        <f t="shared" si="0"/>
        <v>0.16666666666666666</v>
      </c>
      <c r="E4" s="12">
        <f t="shared" si="0"/>
        <v>0.1111111111111111</v>
      </c>
      <c r="F4" s="12">
        <f t="shared" si="0"/>
        <v>5.5555555555555552E-2</v>
      </c>
      <c r="G4" s="12">
        <f t="shared" si="0"/>
        <v>5.5555555555555552E-2</v>
      </c>
      <c r="H4" s="12">
        <f>H3/$H$3</f>
        <v>1</v>
      </c>
    </row>
  </sheetData>
  <mergeCells count="1">
    <mergeCell ref="A1:G1"/>
  </mergeCells>
  <phoneticPr fontId="1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9" sqref="E9"/>
    </sheetView>
  </sheetViews>
  <sheetFormatPr defaultRowHeight="14.4" x14ac:dyDescent="0.25"/>
  <sheetData>
    <row r="1" spans="1:8" x14ac:dyDescent="0.25">
      <c r="A1" s="48" t="s">
        <v>50</v>
      </c>
      <c r="B1" s="49"/>
      <c r="C1" s="49"/>
      <c r="D1" s="49"/>
      <c r="E1" s="49"/>
      <c r="F1" s="49"/>
      <c r="G1" s="50"/>
      <c r="H1" s="23"/>
    </row>
    <row r="2" spans="1:8" x14ac:dyDescent="0.25">
      <c r="A2" s="20" t="s">
        <v>22</v>
      </c>
      <c r="B2" s="25">
        <v>1</v>
      </c>
      <c r="C2" s="25">
        <v>2</v>
      </c>
      <c r="D2" s="21">
        <v>3</v>
      </c>
      <c r="E2" s="21">
        <v>4</v>
      </c>
      <c r="F2" s="21">
        <v>5</v>
      </c>
      <c r="G2" s="21">
        <v>6</v>
      </c>
      <c r="H2" s="21" t="s">
        <v>41</v>
      </c>
    </row>
    <row r="3" spans="1:8" x14ac:dyDescent="0.25">
      <c r="A3" s="5" t="s">
        <v>28</v>
      </c>
      <c r="B3" s="14">
        <v>5</v>
      </c>
      <c r="C3" s="14">
        <v>8</v>
      </c>
      <c r="D3" s="14">
        <v>2</v>
      </c>
      <c r="E3" s="14">
        <v>1</v>
      </c>
      <c r="F3" s="14">
        <v>1</v>
      </c>
      <c r="G3" s="14">
        <v>1</v>
      </c>
      <c r="H3" s="14">
        <f>SUM(B3:G3)</f>
        <v>18</v>
      </c>
    </row>
    <row r="4" spans="1:8" x14ac:dyDescent="0.25">
      <c r="A4" s="5" t="s">
        <v>54</v>
      </c>
      <c r="B4" s="12">
        <f>B3/$H$3</f>
        <v>0.27777777777777779</v>
      </c>
      <c r="C4" s="12">
        <f t="shared" ref="C4:G4" si="0">C3/$H$3</f>
        <v>0.44444444444444442</v>
      </c>
      <c r="D4" s="12">
        <f t="shared" si="0"/>
        <v>0.1111111111111111</v>
      </c>
      <c r="E4" s="12">
        <f t="shared" si="0"/>
        <v>5.5555555555555552E-2</v>
      </c>
      <c r="F4" s="12">
        <f t="shared" si="0"/>
        <v>5.5555555555555552E-2</v>
      </c>
      <c r="G4" s="12">
        <f t="shared" si="0"/>
        <v>5.5555555555555552E-2</v>
      </c>
      <c r="H4" s="12">
        <f>H3/$H$3</f>
        <v>1</v>
      </c>
    </row>
  </sheetData>
  <mergeCells count="1">
    <mergeCell ref="A1:G1"/>
  </mergeCells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14" sqref="J14"/>
    </sheetView>
  </sheetViews>
  <sheetFormatPr defaultRowHeight="14.4" x14ac:dyDescent="0.25"/>
  <sheetData>
    <row r="1" spans="1:8" x14ac:dyDescent="0.25">
      <c r="A1" s="48" t="s">
        <v>50</v>
      </c>
      <c r="B1" s="49"/>
      <c r="C1" s="49"/>
      <c r="D1" s="49"/>
      <c r="E1" s="49"/>
      <c r="F1" s="49"/>
      <c r="G1" s="50"/>
      <c r="H1" s="23"/>
    </row>
    <row r="2" spans="1:8" x14ac:dyDescent="0.25">
      <c r="A2" s="20" t="s">
        <v>22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 t="s">
        <v>41</v>
      </c>
    </row>
    <row r="3" spans="1:8" x14ac:dyDescent="0.25">
      <c r="A3" s="5" t="s">
        <v>28</v>
      </c>
      <c r="B3" s="14">
        <v>3</v>
      </c>
      <c r="C3" s="14">
        <v>3</v>
      </c>
      <c r="D3" s="14">
        <v>3</v>
      </c>
      <c r="E3" s="14">
        <v>3</v>
      </c>
      <c r="F3" s="14">
        <v>3</v>
      </c>
      <c r="G3" s="14">
        <v>3</v>
      </c>
      <c r="H3" s="14">
        <f>SUM(B3:G3)</f>
        <v>18</v>
      </c>
    </row>
    <row r="4" spans="1:8" x14ac:dyDescent="0.25">
      <c r="A4" s="5" t="s">
        <v>54</v>
      </c>
      <c r="B4" s="12">
        <f>B3/$H$3</f>
        <v>0.16666666666666666</v>
      </c>
      <c r="C4" s="12">
        <f t="shared" ref="C4:G4" si="0">C3/$H$3</f>
        <v>0.16666666666666666</v>
      </c>
      <c r="D4" s="12">
        <f t="shared" si="0"/>
        <v>0.16666666666666666</v>
      </c>
      <c r="E4" s="12">
        <f t="shared" si="0"/>
        <v>0.16666666666666666</v>
      </c>
      <c r="F4" s="12">
        <f t="shared" si="0"/>
        <v>0.16666666666666666</v>
      </c>
      <c r="G4" s="12">
        <f t="shared" si="0"/>
        <v>0.16666666666666666</v>
      </c>
      <c r="H4" s="12">
        <f>H3/$H$3</f>
        <v>1</v>
      </c>
    </row>
  </sheetData>
  <mergeCells count="1">
    <mergeCell ref="A1:G1"/>
  </mergeCells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4.4" x14ac:dyDescent="0.25"/>
  <cols>
    <col min="5" max="5" width="9.33203125" bestFit="1" customWidth="1"/>
  </cols>
  <sheetData>
    <row r="1" spans="1:6" x14ac:dyDescent="0.25">
      <c r="A1" s="13">
        <v>1</v>
      </c>
      <c r="B1" s="13">
        <v>2</v>
      </c>
      <c r="C1" s="13">
        <v>3</v>
      </c>
      <c r="D1" s="13">
        <v>4</v>
      </c>
      <c r="E1" s="13">
        <v>5</v>
      </c>
      <c r="F1" s="13">
        <v>6</v>
      </c>
    </row>
    <row r="2" spans="1:6" x14ac:dyDescent="0.25">
      <c r="A2" s="21" t="s">
        <v>13</v>
      </c>
      <c r="B2" s="21" t="s">
        <v>14</v>
      </c>
      <c r="C2" s="21" t="s">
        <v>15</v>
      </c>
      <c r="D2" s="21" t="s">
        <v>16</v>
      </c>
      <c r="E2" s="21" t="s">
        <v>67</v>
      </c>
      <c r="F2" s="21" t="s">
        <v>17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70" zoomScaleNormal="70" workbookViewId="0">
      <selection activeCell="D2" sqref="D2"/>
    </sheetView>
  </sheetViews>
  <sheetFormatPr defaultRowHeight="14.4" x14ac:dyDescent="0.25"/>
  <cols>
    <col min="1" max="1" width="14.44140625" style="13" bestFit="1" customWidth="1"/>
    <col min="2" max="2" width="22" style="13" bestFit="1" customWidth="1"/>
    <col min="3" max="3" width="17.109375" style="45" bestFit="1" customWidth="1"/>
    <col min="4" max="19" width="11.33203125" bestFit="1" customWidth="1"/>
  </cols>
  <sheetData>
    <row r="1" spans="1:19" x14ac:dyDescent="0.25">
      <c r="A1" s="39" t="s">
        <v>89</v>
      </c>
      <c r="B1" s="40" t="s">
        <v>91</v>
      </c>
      <c r="C1" s="40" t="s">
        <v>69</v>
      </c>
      <c r="D1" s="40" t="s">
        <v>70</v>
      </c>
      <c r="E1" s="40" t="s">
        <v>71</v>
      </c>
      <c r="F1" s="40" t="s">
        <v>72</v>
      </c>
      <c r="G1" s="40" t="s">
        <v>73</v>
      </c>
      <c r="H1" s="40" t="s">
        <v>74</v>
      </c>
      <c r="I1" s="40" t="s">
        <v>75</v>
      </c>
      <c r="J1" s="40" t="s">
        <v>76</v>
      </c>
      <c r="K1" s="40" t="s">
        <v>77</v>
      </c>
      <c r="L1" s="40" t="s">
        <v>78</v>
      </c>
      <c r="M1" s="40" t="s">
        <v>79</v>
      </c>
      <c r="N1" s="40" t="s">
        <v>80</v>
      </c>
      <c r="O1" s="40" t="s">
        <v>81</v>
      </c>
      <c r="P1" s="40" t="s">
        <v>82</v>
      </c>
      <c r="Q1" s="40" t="s">
        <v>83</v>
      </c>
      <c r="R1" s="40" t="s">
        <v>84</v>
      </c>
      <c r="S1" s="41" t="s">
        <v>85</v>
      </c>
    </row>
    <row r="2" spans="1:19" x14ac:dyDescent="0.25">
      <c r="A2" s="36">
        <v>0</v>
      </c>
      <c r="B2" s="6">
        <v>0</v>
      </c>
      <c r="C2" s="44" t="str">
        <f>IF(D2&lt;&gt;"",D2&amp;","&amp;E2,"")&amp;IF(F2&lt;&gt;"",";"&amp;F2&amp;","&amp;G2,"")&amp;IF(H2&lt;&gt;"",";"&amp;H2&amp;","&amp;I2,"")&amp;IF(J2&lt;&gt;"",";"&amp;J2&amp;","&amp;K2,"")&amp;IF(L2&lt;&gt;"",";"&amp;L2&amp;","&amp;M2,"")&amp;IF(N2&lt;&gt;"",";"&amp;N2&amp;","&amp;O2,"")&amp;IF(P2&lt;&gt;"",";"&amp;P2&amp;","&amp;Q2,"")&amp;IF(R2&lt;&gt;"",";"&amp;R2&amp;","&amp;S2,"")</f>
        <v/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38"/>
    </row>
    <row r="3" spans="1:19" x14ac:dyDescent="0.25">
      <c r="A3" s="36">
        <v>1</v>
      </c>
      <c r="B3" s="6">
        <v>1</v>
      </c>
      <c r="C3" s="44" t="str">
        <f t="shared" ref="C3:C7" si="0">IF(D3&lt;&gt;"",D3&amp;","&amp;E3,"")&amp;IF(F3&lt;&gt;"",";"&amp;F3&amp;","&amp;G3,"")&amp;IF(H3&lt;&gt;"",";"&amp;H3&amp;","&amp;I3,"")&amp;IF(J3&lt;&gt;"",";"&amp;J3&amp;","&amp;K3,"")&amp;IF(L3&lt;&gt;"",";"&amp;L3&amp;","&amp;M3,"")&amp;IF(N3&lt;&gt;"",";"&amp;N3&amp;","&amp;O3,"")&amp;IF(P3&lt;&gt;"",";"&amp;P3&amp;","&amp;Q3,"")&amp;IF(R3&lt;&gt;"",";"&amp;R3&amp;","&amp;S3,"")</f>
        <v/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38"/>
    </row>
    <row r="4" spans="1:19" x14ac:dyDescent="0.25">
      <c r="A4" s="36">
        <v>2</v>
      </c>
      <c r="B4" s="6">
        <v>1</v>
      </c>
      <c r="C4" s="44" t="str">
        <f t="shared" si="0"/>
        <v/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38"/>
    </row>
    <row r="5" spans="1:19" x14ac:dyDescent="0.25">
      <c r="A5" s="36">
        <v>3</v>
      </c>
      <c r="B5" s="6">
        <v>2</v>
      </c>
      <c r="C5" s="44" t="str">
        <f t="shared" si="0"/>
        <v/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38"/>
    </row>
    <row r="6" spans="1:19" x14ac:dyDescent="0.25">
      <c r="A6" s="36">
        <v>4</v>
      </c>
      <c r="B6" s="6">
        <v>2</v>
      </c>
      <c r="C6" s="44" t="str">
        <f t="shared" si="0"/>
        <v/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38"/>
    </row>
    <row r="7" spans="1:19" x14ac:dyDescent="0.25">
      <c r="A7" s="36">
        <v>5</v>
      </c>
      <c r="B7" s="6">
        <v>3</v>
      </c>
      <c r="C7" s="44" t="str">
        <f t="shared" si="0"/>
        <v/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38"/>
    </row>
    <row r="8" spans="1:19" x14ac:dyDescent="0.25">
      <c r="A8" s="43" t="s">
        <v>90</v>
      </c>
      <c r="B8" s="6">
        <f>SUM(表1[觉醒需要卡数])</f>
        <v>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43" workbookViewId="0">
      <selection activeCell="A39" sqref="A39:A51"/>
    </sheetView>
  </sheetViews>
  <sheetFormatPr defaultRowHeight="14.4" x14ac:dyDescent="0.25"/>
  <cols>
    <col min="1" max="1" width="16.109375" bestFit="1" customWidth="1"/>
    <col min="2" max="2" width="9.44140625" bestFit="1" customWidth="1"/>
    <col min="7" max="7" width="14.109375" bestFit="1" customWidth="1"/>
  </cols>
  <sheetData>
    <row r="2" spans="1:8" x14ac:dyDescent="0.25">
      <c r="A2" s="24" t="s">
        <v>51</v>
      </c>
      <c r="E2" s="8" t="s">
        <v>40</v>
      </c>
      <c r="F2" s="6">
        <v>5</v>
      </c>
    </row>
    <row r="3" spans="1:8" x14ac:dyDescent="0.25">
      <c r="A3" s="7"/>
      <c r="B3" s="8" t="s">
        <v>13</v>
      </c>
      <c r="C3" s="8" t="s">
        <v>14</v>
      </c>
      <c r="D3" s="8" t="s">
        <v>15</v>
      </c>
      <c r="E3" s="8" t="s">
        <v>105</v>
      </c>
      <c r="F3" s="8" t="s">
        <v>42</v>
      </c>
      <c r="G3" s="8" t="s">
        <v>43</v>
      </c>
    </row>
    <row r="4" spans="1:8" x14ac:dyDescent="0.25">
      <c r="A4" s="8" t="s">
        <v>1</v>
      </c>
      <c r="B4" s="6">
        <f ca="1">ROUND($G4*职业分类属性!B3*((星级总属性!$K$3)/(星级总属性!$K$3+星级总属性!$L$3))+$G4*(HLOOKUP(HLOOKUP(武将总属性分配!B$3,职业属性偏向!$B$3:$E$16,14,FALSE),INDIRECT(TEXT($A$2&amp;"!$B$2:$G$3","")),2,FALSE)/INDIRECT(TEXT($A$2&amp;"!$H$3","")))*((星级总属性!$L$3)/(星级总属性!$K$3+星级总属性!$L$3)),0)</f>
        <v>3220</v>
      </c>
      <c r="C4" s="6">
        <f ca="1">ROUND($G4*职业分类属性!C3*((星级总属性!$K$3)/(星级总属性!$K$3+星级总属性!$L$3))+$G4*(HLOOKUP(HLOOKUP(武将总属性分配!C$3,职业属性偏向!$B$3:$E$16,14,FALSE),INDIRECT(TEXT($A$2&amp;"!$B$2:$G$3","")),2,FALSE)/INDIRECT(TEXT($A$2&amp;"!$H$3","")))*((星级总属性!$L$3)/(星级总属性!$K$3+星级总属性!$L$3)),0)</f>
        <v>784</v>
      </c>
      <c r="D4" s="6">
        <f ca="1">ROUND($G4*职业分类属性!D3*((星级总属性!$K$3)/(星级总属性!$K$3+星级总属性!$L$3))+$G4*(HLOOKUP(HLOOKUP(武将总属性分配!D$3,职业属性偏向!$B$3:$E$16,14,FALSE),INDIRECT(TEXT($A$2&amp;"!$B$2:$G$3","")),2,FALSE)/INDIRECT(TEXT($A$2&amp;"!$H$3","")))*((星级总属性!$L$3)/(星级总属性!$K$3+星级总属性!$L$3)),0)</f>
        <v>6384</v>
      </c>
      <c r="E4" s="6">
        <f ca="1">ROUND($G4*职业分类属性!E3*((星级总属性!$K$3)/(星级总属性!$K$3+星级总属性!$L$3))+$G4*(HLOOKUP(HLOOKUP(武将总属性分配!E$3,职业属性偏向!$B$3:$E$16,14,FALSE),INDIRECT(TEXT($A$2&amp;"!$B$2:$G$3","")),2,FALSE)/INDIRECT(TEXT($A$2&amp;"!$H$3","")))*((星级总属性!$L$3)/(星级总属性!$K$3+星级总属性!$L$3)),0)</f>
        <v>1932</v>
      </c>
      <c r="F4" s="6">
        <f>VLOOKUP($F$2,'6星每级加强属性曲线演算'!$A$3:$B$7,2,FALSE)</f>
        <v>10500</v>
      </c>
      <c r="G4" s="6">
        <f>F4*职业分类属性!G3</f>
        <v>12600</v>
      </c>
      <c r="H4" t="str">
        <f>TEXT(A2&amp;"!$B$2:$G$3","")</f>
        <v>属性分配方式1!$B$2:$G$3</v>
      </c>
    </row>
    <row r="5" spans="1:8" x14ac:dyDescent="0.25">
      <c r="A5" s="8" t="s">
        <v>2</v>
      </c>
      <c r="B5" s="6">
        <f ca="1">ROUND($G5*职业分类属性!B4*((星级总属性!$K$3)/(星级总属性!$K$3+星级总属性!$L$3))+$G5*(HLOOKUP(HLOOKUP(武将总属性分配!B$3,职业属性偏向!$B$3:$E$16,14,FALSE),INDIRECT(TEXT($A$2&amp;"!$B$2:$G$3","")),2,FALSE)/INDIRECT(TEXT($A$2&amp;"!$H$3","")))*((星级总属性!$L$3)/(星级总属性!$K$3+星级总属性!$L$3)),0)</f>
        <v>2287</v>
      </c>
      <c r="C5" s="6">
        <f ca="1">ROUND($G5*职业分类属性!C4*((星级总属性!$K$3)/(星级总属性!$K$3+星级总属性!$L$3))+$G5*(HLOOKUP(HLOOKUP(武将总属性分配!C$3,职业属性偏向!$B$3:$E$16,14,FALSE),INDIRECT(TEXT($A$2&amp;"!$B$2:$G$3","")),2,FALSE)/INDIRECT(TEXT($A$2&amp;"!$H$3","")))*((星级总属性!$L$3)/(星级总属性!$K$3+星级总属性!$L$3)),0)</f>
        <v>413</v>
      </c>
      <c r="D5" s="6">
        <f ca="1">ROUND($G5*职业分类属性!D4*((星级总属性!$K$3)/(星级总属性!$K$3+星级总属性!$L$3))+$G5*(HLOOKUP(HLOOKUP(武将总属性分配!D$3,职业属性偏向!$B$3:$E$16,14,FALSE),INDIRECT(TEXT($A$2&amp;"!$B$2:$G$3","")),2,FALSE)/INDIRECT(TEXT($A$2&amp;"!$H$3","")))*((星级总属性!$L$3)/(星级总属性!$K$3+星级总属性!$L$3)),0)</f>
        <v>9646</v>
      </c>
      <c r="E5" s="6">
        <f ca="1">ROUND($G5*职业分类属性!E4*((星级总属性!$K$3)/(星级总属性!$K$3+星级总属性!$L$3))+$G5*(HLOOKUP(HLOOKUP(武将总属性分配!E$3,职业属性偏向!$B$3:$E$16,14,FALSE),INDIRECT(TEXT($A$2&amp;"!$B$2:$G$3","")),2,FALSE)/INDIRECT(TEXT($A$2&amp;"!$H$3","")))*((星级总属性!$L$3)/(星级总属性!$K$3+星级总属性!$L$3)),0)</f>
        <v>1001</v>
      </c>
      <c r="F5" s="6">
        <f>VLOOKUP($F$2,'6星每级加强属性曲线演算'!$A$3:$B$7,2,FALSE)</f>
        <v>10500</v>
      </c>
      <c r="G5" s="6">
        <f>F5*职业分类属性!G4</f>
        <v>13650</v>
      </c>
    </row>
    <row r="6" spans="1:8" x14ac:dyDescent="0.25">
      <c r="A6" s="8" t="s">
        <v>3</v>
      </c>
      <c r="B6" s="6">
        <f ca="1">ROUND($G6*职业分类属性!B5*((星级总属性!$K$3)/(星级总属性!$K$3+星级总属性!$L$3))+$G6*(HLOOKUP(HLOOKUP(武将总属性分配!B$3,职业属性偏向!$B$3:$E$16,14,FALSE),INDIRECT(TEXT($A$2&amp;"!$B$2:$G$3","")),2,FALSE)/INDIRECT(TEXT($A$2&amp;"!$H$3","")))*((星级总属性!$L$3)/(星级总属性!$K$3+星级总属性!$L$3)),0)</f>
        <v>1130</v>
      </c>
      <c r="C6" s="6">
        <f ca="1">ROUND($G6*职业分类属性!C5*((星级总属性!$K$3)/(星级总属性!$K$3+星级总属性!$L$3))+$G6*(HLOOKUP(HLOOKUP(武将总属性分配!C$3,职业属性偏向!$B$3:$E$16,14,FALSE),INDIRECT(TEXT($A$2&amp;"!$B$2:$G$3","")),2,FALSE)/INDIRECT(TEXT($A$2&amp;"!$H$3","")))*((星级总属性!$L$3)/(星级总属性!$K$3+星级总属性!$L$3)),0)</f>
        <v>815</v>
      </c>
      <c r="D6" s="6">
        <f ca="1">ROUND($G6*职业分类属性!D5*((星级总属性!$K$3)/(星级总属性!$K$3+星级总属性!$L$3))+$G6*(HLOOKUP(HLOOKUP(武将总属性分配!D$3,职业属性偏向!$B$3:$E$16,14,FALSE),INDIRECT(TEXT($A$2&amp;"!$B$2:$G$3","")),2,FALSE)/INDIRECT(TEXT($A$2&amp;"!$H$3","")))*((星级总属性!$L$3)/(星级总属性!$K$3+星级总属性!$L$3)),0)</f>
        <v>6300</v>
      </c>
      <c r="E6" s="6">
        <f ca="1">ROUND($G6*职业分类属性!E5*((星级总属性!$K$3)/(星级总属性!$K$3+星级总属性!$L$3))+$G6*(HLOOKUP(HLOOKUP(武将总属性分配!E$3,职业属性偏向!$B$3:$E$16,14,FALSE),INDIRECT(TEXT($A$2&amp;"!$B$2:$G$3","")),2,FALSE)/INDIRECT(TEXT($A$2&amp;"!$H$3","")))*((星级总属性!$L$3)/(星级总属性!$K$3+星级总属性!$L$3)),0)</f>
        <v>995</v>
      </c>
      <c r="F6" s="6">
        <f>VLOOKUP($F$2,'6星每级加强属性曲线演算'!$A$3:$B$7,2,FALSE)</f>
        <v>10500</v>
      </c>
      <c r="G6" s="6">
        <f>F6*职业分类属性!G5</f>
        <v>9450</v>
      </c>
    </row>
    <row r="7" spans="1:8" x14ac:dyDescent="0.25">
      <c r="A7" s="8" t="s">
        <v>4</v>
      </c>
      <c r="B7" s="6">
        <f ca="1">ROUND($G7*职业分类属性!B6*((星级总属性!$K$3)/(星级总属性!$K$3+星级总属性!$L$3))+$G7*(HLOOKUP(HLOOKUP(武将总属性分配!B$3,职业属性偏向!$B$3:$E$16,14,FALSE),INDIRECT(TEXT($A$2&amp;"!$B$2:$G$3","")),2,FALSE)/INDIRECT(TEXT($A$2&amp;"!$H$3","")))*((星级总属性!$L$3)/(星级总属性!$K$3+星级总属性!$L$3)),0)</f>
        <v>1423</v>
      </c>
      <c r="C7" s="6">
        <f ca="1">ROUND($G7*职业分类属性!C6*((星级总属性!$K$3)/(星级总属性!$K$3+星级总属性!$L$3))+$G7*(HLOOKUP(HLOOKUP(武将总属性分配!C$3,职业属性偏向!$B$3:$E$16,14,FALSE),INDIRECT(TEXT($A$2&amp;"!$B$2:$G$3","")),2,FALSE)/INDIRECT(TEXT($A$2&amp;"!$H$3","")))*((星级总属性!$L$3)/(星级总属性!$K$3+星级总属性!$L$3)),0)</f>
        <v>317</v>
      </c>
      <c r="D7" s="6">
        <f ca="1">ROUND($G7*职业分类属性!D6*((星级总属性!$K$3)/(星级总属性!$K$3+星级总属性!$L$3))+$G7*(HLOOKUP(HLOOKUP(武将总属性分配!D$3,职业属性偏向!$B$3:$E$16,14,FALSE),INDIRECT(TEXT($A$2&amp;"!$B$2:$G$3","")),2,FALSE)/INDIRECT(TEXT($A$2&amp;"!$H$3","")))*((星级总属性!$L$3)/(星级总属性!$K$3+星级总属性!$L$3)),0)</f>
        <v>7000</v>
      </c>
      <c r="E7" s="6">
        <f ca="1">ROUND($G7*职业分类属性!E6*((星级总属性!$K$3)/(星级总属性!$K$3+星级总属性!$L$3))+$G7*(HLOOKUP(HLOOKUP(武将总属性分配!E$3,职业属性偏向!$B$3:$E$16,14,FALSE),INDIRECT(TEXT($A$2&amp;"!$B$2:$G$3","")),2,FALSE)/INDIRECT(TEXT($A$2&amp;"!$H$3","")))*((星级总属性!$L$3)/(星级总属性!$K$3+星级总属性!$L$3)),0)</f>
        <v>1526</v>
      </c>
      <c r="F7" s="6">
        <f>VLOOKUP($F$2,'6星每级加强属性曲线演算'!$A$3:$B$7,2,FALSE)</f>
        <v>10500</v>
      </c>
      <c r="G7" s="6">
        <f>F7*职业分类属性!G6</f>
        <v>10500</v>
      </c>
    </row>
    <row r="8" spans="1:8" x14ac:dyDescent="0.25">
      <c r="A8" s="8" t="s">
        <v>5</v>
      </c>
      <c r="B8" s="6">
        <f ca="1">ROUND($G8*职业分类属性!B7*((星级总属性!$K$3)/(星级总属性!$K$3+星级总属性!$L$3))+$G8*(HLOOKUP(HLOOKUP(武将总属性分配!B$3,职业属性偏向!$B$3:$E$16,14,FALSE),INDIRECT(TEXT($A$2&amp;"!$B$2:$G$3","")),2,FALSE)/INDIRECT(TEXT($A$2&amp;"!$H$3","")))*((星级总属性!$L$3)/(星级总属性!$K$3+星级总属性!$L$3)),0)</f>
        <v>702</v>
      </c>
      <c r="C8" s="6">
        <f ca="1">ROUND($G8*职业分类属性!C7*((星级总属性!$K$3)/(星级总属性!$K$3+星级总属性!$L$3))+$G8*(HLOOKUP(HLOOKUP(武将总属性分配!C$3,职业属性偏向!$B$3:$E$16,14,FALSE),INDIRECT(TEXT($A$2&amp;"!$B$2:$G$3","")),2,FALSE)/INDIRECT(TEXT($A$2&amp;"!$H$3","")))*((星级总属性!$L$3)/(星级总属性!$K$3+星级总属性!$L$3)),0)</f>
        <v>457</v>
      </c>
      <c r="D8" s="6">
        <f ca="1">ROUND($G8*职业分类属性!D7*((星级总属性!$K$3)/(星级总属性!$K$3+星级总属性!$L$3))+$G8*(HLOOKUP(HLOOKUP(武将总属性分配!D$3,职业属性偏向!$B$3:$E$16,14,FALSE),INDIRECT(TEXT($A$2&amp;"!$B$2:$G$3","")),2,FALSE)/INDIRECT(TEXT($A$2&amp;"!$H$3","")))*((星级总属性!$L$3)/(星级总属性!$K$3+星级总属性!$L$3)),0)</f>
        <v>5488</v>
      </c>
      <c r="E8" s="6">
        <f ca="1">ROUND($G8*职业分类属性!E7*((星级总属性!$K$3)/(星级总属性!$K$3+星级总属性!$L$3))+$G8*(HLOOKUP(HLOOKUP(武将总属性分配!E$3,职业属性偏向!$B$3:$E$16,14,FALSE),INDIRECT(TEXT($A$2&amp;"!$B$2:$G$3","")),2,FALSE)/INDIRECT(TEXT($A$2&amp;"!$H$3","")))*((星级总属性!$L$3)/(星级总属性!$K$3+星级总属性!$L$3)),0)</f>
        <v>539</v>
      </c>
      <c r="F8" s="6">
        <f>VLOOKUP($F$2,'6星每级加强属性曲线演算'!$A$3:$B$7,2,FALSE)</f>
        <v>10500</v>
      </c>
      <c r="G8" s="6">
        <f>F8*职业分类属性!G7</f>
        <v>7349.9999999999991</v>
      </c>
    </row>
    <row r="9" spans="1:8" x14ac:dyDescent="0.25">
      <c r="A9" s="8" t="s">
        <v>6</v>
      </c>
      <c r="B9" s="6">
        <f ca="1">ROUND($G9*职业分类属性!B8*((星级总属性!$K$3)/(星级总属性!$K$3+星级总属性!$L$3))+$G9*(HLOOKUP(HLOOKUP(武将总属性分配!B$3,职业属性偏向!$B$3:$E$16,14,FALSE),INDIRECT(TEXT($A$2&amp;"!$B$2:$G$3","")),2,FALSE)/INDIRECT(TEXT($A$2&amp;"!$H$3","")))*((星级总属性!$L$3)/(星级总属性!$K$3+星级总属性!$L$3)),0)</f>
        <v>803</v>
      </c>
      <c r="C9" s="6">
        <f ca="1">ROUND($G9*职业分类属性!C8*((星级总属性!$K$3)/(星级总属性!$K$3+星级总属性!$L$3))+$G9*(HLOOKUP(HLOOKUP(武将总属性分配!C$3,职业属性偏向!$B$3:$E$16,14,FALSE),INDIRECT(TEXT($A$2&amp;"!$B$2:$G$3","")),2,FALSE)/INDIRECT(TEXT($A$2&amp;"!$H$3","")))*((星级总属性!$L$3)/(星级总属性!$K$3+星级总属性!$L$3)),0)</f>
        <v>1195</v>
      </c>
      <c r="D9" s="6">
        <f ca="1">ROUND($G9*职业分类属性!D8*((星级总属性!$K$3)/(星级总属性!$K$3+星级总属性!$L$3))+$G9*(HLOOKUP(HLOOKUP(武将总属性分配!D$3,职业属性偏向!$B$3:$E$16,14,FALSE),INDIRECT(TEXT($A$2&amp;"!$B$2:$G$3","")),2,FALSE)/INDIRECT(TEXT($A$2&amp;"!$H$3","")))*((星级总属性!$L$3)/(星级总属性!$K$3+星级总属性!$L$3)),0)</f>
        <v>4928</v>
      </c>
      <c r="E9" s="6">
        <f ca="1">ROUND($G9*职业分类属性!E8*((星级总属性!$K$3)/(星级总属性!$K$3+星级总属性!$L$3))+$G9*(HLOOKUP(HLOOKUP(武将总属性分配!E$3,职业属性偏向!$B$3:$E$16,14,FALSE),INDIRECT(TEXT($A$2&amp;"!$B$2:$G$3","")),2,FALSE)/INDIRECT(TEXT($A$2&amp;"!$H$3","")))*((星级总属性!$L$3)/(星级总属性!$K$3+星级总属性!$L$3)),0)</f>
        <v>1288</v>
      </c>
      <c r="F9" s="6">
        <f>VLOOKUP($F$2,'6星每级加强属性曲线演算'!$A$3:$B$7,2,FALSE)</f>
        <v>10500</v>
      </c>
      <c r="G9" s="6">
        <f>F9*职业分类属性!G8</f>
        <v>8400</v>
      </c>
    </row>
    <row r="10" spans="1:8" x14ac:dyDescent="0.25">
      <c r="A10" s="8" t="s">
        <v>7</v>
      </c>
      <c r="B10" s="6">
        <f ca="1">ROUND($G10*职业分类属性!B9*((星级总属性!$K$3)/(星级总属性!$K$3+星级总属性!$L$3))+$G10*(HLOOKUP(HLOOKUP(武将总属性分配!B$3,职业属性偏向!$B$3:$E$16,14,FALSE),INDIRECT(TEXT($A$2&amp;"!$B$2:$G$3","")),2,FALSE)/INDIRECT(TEXT($A$2&amp;"!$H$3","")))*((星级总属性!$L$3)/(星级总属性!$K$3+星级总属性!$L$3)),0)</f>
        <v>1475</v>
      </c>
      <c r="C10" s="6">
        <f ca="1">ROUND($G10*职业分类属性!C9*((星级总属性!$K$3)/(星级总属性!$K$3+星级总属性!$L$3))+$G10*(HLOOKUP(HLOOKUP(武将总属性分配!C$3,职业属性偏向!$B$3:$E$16,14,FALSE),INDIRECT(TEXT($A$2&amp;"!$B$2:$G$3","")),2,FALSE)/INDIRECT(TEXT($A$2&amp;"!$H$3","")))*((星级总属性!$L$3)/(星级总属性!$K$3+星级总属性!$L$3)),0)</f>
        <v>523</v>
      </c>
      <c r="D10" s="6">
        <f ca="1">ROUND($G10*职业分类属性!D9*((星级总属性!$K$3)/(星级总属性!$K$3+星级总属性!$L$3))+$G10*(HLOOKUP(HLOOKUP(武将总属性分配!D$3,职业属性偏向!$B$3:$E$16,14,FALSE),INDIRECT(TEXT($A$2&amp;"!$B$2:$G$3","")),2,FALSE)/INDIRECT(TEXT($A$2&amp;"!$H$3","")))*((星级总属性!$L$3)/(星级总属性!$K$3+星级总属性!$L$3)),0)</f>
        <v>4928</v>
      </c>
      <c r="E10" s="6">
        <f ca="1">ROUND($G10*职业分类属性!E9*((星级总属性!$K$3)/(星级总属性!$K$3+星级总属性!$L$3))+$G10*(HLOOKUP(HLOOKUP(武将总属性分配!E$3,职业属性偏向!$B$3:$E$16,14,FALSE),INDIRECT(TEXT($A$2&amp;"!$B$2:$G$3","")),2,FALSE)/INDIRECT(TEXT($A$2&amp;"!$H$3","")))*((星级总属性!$L$3)/(星级总属性!$K$3+星级总属性!$L$3)),0)</f>
        <v>1288</v>
      </c>
      <c r="F10" s="6">
        <f>VLOOKUP($F$2,'6星每级加强属性曲线演算'!$A$3:$B$7,2,FALSE)</f>
        <v>10500</v>
      </c>
      <c r="G10" s="6">
        <f>F10*职业分类属性!G9</f>
        <v>8400</v>
      </c>
    </row>
    <row r="11" spans="1:8" x14ac:dyDescent="0.25">
      <c r="A11" s="8" t="s">
        <v>8</v>
      </c>
      <c r="B11" s="6">
        <f ca="1">ROUND($G11*职业分类属性!B10*((星级总属性!$K$3)/(星级总属性!$K$3+星级总属性!$L$3))+$G11*(HLOOKUP(HLOOKUP(武将总属性分配!B$3,职业属性偏向!$B$3:$E$16,14,FALSE),INDIRECT(TEXT($A$2&amp;"!$B$2:$G$3","")),2,FALSE)/INDIRECT(TEXT($A$2&amp;"!$H$3","")))*((星级总属性!$L$3)/(星级总属性!$K$3+星级总属性!$L$3)),0)</f>
        <v>4338</v>
      </c>
      <c r="C11" s="6">
        <f ca="1">ROUND($G11*职业分类属性!C10*((星级总属性!$K$3)/(星级总属性!$K$3+星级总属性!$L$3))+$G11*(HLOOKUP(HLOOKUP(武将总属性分配!C$3,职业属性偏向!$B$3:$E$16,14,FALSE),INDIRECT(TEXT($A$2&amp;"!$B$2:$G$3","")),2,FALSE)/INDIRECT(TEXT($A$2&amp;"!$H$3","")))*((星级总属性!$L$3)/(星级总属性!$K$3+星级总属性!$L$3)),0)</f>
        <v>996</v>
      </c>
      <c r="D11" s="6">
        <f ca="1">ROUND($G11*职业分类属性!D10*((星级总属性!$K$3)/(星级总属性!$K$3+星级总属性!$L$3))+$G11*(HLOOKUP(HLOOKUP(武将总属性分配!D$3,职业属性偏向!$B$3:$E$16,14,FALSE),INDIRECT(TEXT($A$2&amp;"!$B$2:$G$3","")),2,FALSE)/INDIRECT(TEXT($A$2&amp;"!$H$3","")))*((星级总属性!$L$3)/(星级总属性!$K$3+星级总属性!$L$3)),0)</f>
        <v>3727</v>
      </c>
      <c r="E11" s="6">
        <f ca="1">ROUND($G11*职业分类属性!E10*((星级总属性!$K$3)/(星级总属性!$K$3+星级总属性!$L$3))+$G11*(HLOOKUP(HLOOKUP(武将总属性分配!E$3,职业属性偏向!$B$3:$E$16,14,FALSE),INDIRECT(TEXT($A$2&amp;"!$B$2:$G$3","")),2,FALSE)/INDIRECT(TEXT($A$2&amp;"!$H$3","")))*((星级总属性!$L$3)/(星级总属性!$K$3+星级总属性!$L$3)),0)</f>
        <v>2233</v>
      </c>
      <c r="F11" s="6">
        <f>VLOOKUP($F$2,'6星每级加强属性曲线演算'!$A$3:$B$7,2,FALSE)</f>
        <v>10500</v>
      </c>
      <c r="G11" s="6">
        <f>F11*职业分类属性!G10</f>
        <v>11550.000000000002</v>
      </c>
    </row>
    <row r="12" spans="1:8" x14ac:dyDescent="0.25">
      <c r="A12" s="8" t="s">
        <v>106</v>
      </c>
      <c r="B12" s="6">
        <f ca="1">ROUND($G12*职业分类属性!B11*((星级总属性!$K$3)/(星级总属性!$K$3+星级总属性!$L$3))+$G12*(HLOOKUP(HLOOKUP(武将总属性分配!B$3,职业属性偏向!$B$3:$E$16,14,FALSE),INDIRECT(TEXT($A$2&amp;"!$B$2:$G$3","")),2,FALSE)/INDIRECT(TEXT($A$2&amp;"!$H$3","")))*((星级总属性!$L$3)/(星级总属性!$K$3+星级总属性!$L$3)),0)</f>
        <v>1659</v>
      </c>
      <c r="C12" s="6">
        <f ca="1">ROUND($G12*职业分类属性!C11*((星级总属性!$K$3)/(星级总属性!$K$3+星级总属性!$L$3))+$G12*(HLOOKUP(HLOOKUP(武将总属性分配!C$3,职业属性偏向!$B$3:$E$16,14,FALSE),INDIRECT(TEXT($A$2&amp;"!$B$2:$G$3","")),2,FALSE)/INDIRECT(TEXT($A$2&amp;"!$H$3","")))*((星级总属性!$L$3)/(星级总属性!$K$3+星级总属性!$L$3)),0)</f>
        <v>2856</v>
      </c>
      <c r="D12" s="6">
        <f ca="1">ROUND($G12*职业分类属性!D11*((星级总属性!$K$3)/(星级总属性!$K$3+星级总属性!$L$3))+$G12*(HLOOKUP(HLOOKUP(武将总属性分配!D$3,职业属性偏向!$B$3:$E$16,14,FALSE),INDIRECT(TEXT($A$2&amp;"!$B$2:$G$3","")),2,FALSE)/INDIRECT(TEXT($A$2&amp;"!$H$3","")))*((星级总属性!$L$3)/(星级总属性!$K$3+星级总属性!$L$3)),0)</f>
        <v>1386</v>
      </c>
      <c r="E12" s="6">
        <f ca="1">ROUND($G12*职业分类属性!E11*((星级总属性!$K$3)/(星级总属性!$K$3+星级总属性!$L$3))+$G12*(HLOOKUP(HLOOKUP(武将总属性分配!E$3,职业属性偏向!$B$3:$E$16,14,FALSE),INDIRECT(TEXT($A$2&amp;"!$B$2:$G$3","")),2,FALSE)/INDIRECT(TEXT($A$2&amp;"!$H$3","")))*((星级总属性!$L$3)/(星级总属性!$K$3+星级总属性!$L$3)),0)</f>
        <v>3339</v>
      </c>
      <c r="F12" s="6">
        <f>VLOOKUP($F$2,'6星每级加强属性曲线演算'!$A$3:$B$7,2,FALSE)</f>
        <v>10500</v>
      </c>
      <c r="G12" s="6">
        <f>F12*职业分类属性!G11</f>
        <v>9450</v>
      </c>
    </row>
    <row r="13" spans="1:8" x14ac:dyDescent="0.25">
      <c r="A13" s="8" t="s">
        <v>107</v>
      </c>
      <c r="B13" s="6">
        <f ca="1">ROUND($G13*职业分类属性!B12*((星级总属性!$K$3)/(星级总属性!$K$3+星级总属性!$L$3))+$G13*(HLOOKUP(HLOOKUP(武将总属性分配!B$3,职业属性偏向!$B$3:$E$16,14,FALSE),INDIRECT(TEXT($A$2&amp;"!$B$2:$G$3","")),2,FALSE)/INDIRECT(TEXT($A$2&amp;"!$H$3","")))*((星级总属性!$L$3)/(星级总属性!$K$3+星级总属性!$L$3)),0)</f>
        <v>2490</v>
      </c>
      <c r="C13" s="6">
        <f ca="1">ROUND($G13*职业分类属性!C12*((星级总属性!$K$3)/(星级总属性!$K$3+星级总属性!$L$3))+$G13*(HLOOKUP(HLOOKUP(武将总属性分配!C$3,职业属性偏向!$B$3:$E$16,14,FALSE),INDIRECT(TEXT($A$2&amp;"!$B$2:$G$3","")),2,FALSE)/INDIRECT(TEXT($A$2&amp;"!$H$3","")))*((星级总属性!$L$3)/(星级总属性!$K$3+星级总属性!$L$3)),0)</f>
        <v>719</v>
      </c>
      <c r="D13" s="6">
        <f ca="1">ROUND($G13*职业分类属性!D12*((星级总属性!$K$3)/(星级总属性!$K$3+星级总属性!$L$3))+$G13*(HLOOKUP(HLOOKUP(武将总属性分配!D$3,职业属性偏向!$B$3:$E$16,14,FALSE),INDIRECT(TEXT($A$2&amp;"!$B$2:$G$3","")),2,FALSE)/INDIRECT(TEXT($A$2&amp;"!$H$3","")))*((星级总属性!$L$3)/(星级总属性!$K$3+星级总属性!$L$3)),0)</f>
        <v>1232</v>
      </c>
      <c r="E13" s="6">
        <f ca="1">ROUND($G13*职业分类属性!E12*((星级总属性!$K$3)/(星级总属性!$K$3+星级总属性!$L$3))+$G13*(HLOOKUP(HLOOKUP(武将总属性分配!E$3,职业属性偏向!$B$3:$E$16,14,FALSE),INDIRECT(TEXT($A$2&amp;"!$B$2:$G$3","")),2,FALSE)/INDIRECT(TEXT($A$2&amp;"!$H$3","")))*((星级总属性!$L$3)/(星级总属性!$K$3+星级总属性!$L$3)),0)</f>
        <v>6853</v>
      </c>
      <c r="F13" s="6">
        <f>VLOOKUP($F$2,'6星每级加强属性曲线演算'!$A$3:$B$7,2,FALSE)</f>
        <v>10500</v>
      </c>
      <c r="G13" s="6">
        <f>F13*职业分类属性!G12</f>
        <v>11550.000000000002</v>
      </c>
    </row>
    <row r="14" spans="1:8" x14ac:dyDescent="0.25">
      <c r="A14" s="8" t="s">
        <v>108</v>
      </c>
      <c r="B14" s="6">
        <f ca="1">ROUND($G14*职业分类属性!B13*((星级总属性!$K$3)/(星级总属性!$K$3+星级总属性!$L$3))+$G14*(HLOOKUP(HLOOKUP(武将总属性分配!B$3,职业属性偏向!$B$3:$E$16,14,FALSE),INDIRECT(TEXT($A$2&amp;"!$B$2:$G$3","")),2,FALSE)/INDIRECT(TEXT($A$2&amp;"!$H$3","")))*((星级总属性!$L$3)/(星级总属性!$K$3+星级总属性!$L$3)),0)</f>
        <v>2952</v>
      </c>
      <c r="C14" s="6">
        <f ca="1">ROUND($G14*职业分类属性!C13*((星级总属性!$K$3)/(星级总属性!$K$3+星级总属性!$L$3))+$G14*(HLOOKUP(HLOOKUP(武将总属性分配!C$3,职业属性偏向!$B$3:$E$16,14,FALSE),INDIRECT(TEXT($A$2&amp;"!$B$2:$G$3","")),2,FALSE)/INDIRECT(TEXT($A$2&amp;"!$H$3","")))*((星级总属性!$L$3)/(星级总属性!$K$3+星级总属性!$L$3)),0)</f>
        <v>2567</v>
      </c>
      <c r="D14" s="6">
        <f ca="1">ROUND($G14*职业分类属性!D13*((星级总属性!$K$3)/(星级总属性!$K$3+星级总属性!$L$3))+$G14*(HLOOKUP(HLOOKUP(武将总属性分配!D$3,职业属性偏向!$B$3:$E$16,14,FALSE),INDIRECT(TEXT($A$2&amp;"!$B$2:$G$3","")),2,FALSE)/INDIRECT(TEXT($A$2&amp;"!$H$3","")))*((星级总属性!$L$3)/(星级总属性!$K$3+星级总属性!$L$3)),0)</f>
        <v>3080</v>
      </c>
      <c r="E14" s="6">
        <f ca="1">ROUND($G14*职业分类属性!E13*((星级总属性!$K$3)/(星级总属性!$K$3+星级总属性!$L$3))+$G14*(HLOOKUP(HLOOKUP(武将总属性分配!E$3,职业属性偏向!$B$3:$E$16,14,FALSE),INDIRECT(TEXT($A$2&amp;"!$B$2:$G$3","")),2,FALSE)/INDIRECT(TEXT($A$2&amp;"!$H$3","")))*((星级总属性!$L$3)/(星级总属性!$K$3+星级总属性!$L$3)),0)</f>
        <v>2695</v>
      </c>
      <c r="F14" s="6">
        <f>VLOOKUP($F$2,'6星每级加强属性曲线演算'!$A$3:$B$7,2,FALSE)</f>
        <v>10500</v>
      </c>
      <c r="G14" s="6">
        <f>F14*职业分类属性!G13</f>
        <v>11550.000000000002</v>
      </c>
    </row>
    <row r="15" spans="1:8" x14ac:dyDescent="0.25">
      <c r="A15" s="8" t="s">
        <v>9</v>
      </c>
      <c r="B15" s="6">
        <f ca="1">ROUND($G15*职业分类属性!B14*((星级总属性!$K$3)/(星级总属性!$K$3+星级总属性!$L$3))+$G15*(HLOOKUP(HLOOKUP(武将总属性分配!B$3,职业属性偏向!$B$3:$E$16,14,FALSE),INDIRECT(TEXT($A$2&amp;"!$B$2:$G$3","")),2,FALSE)/INDIRECT(TEXT($A$2&amp;"!$H$3","")))*((星级总属性!$L$3)/(星级总属性!$K$3+星级总属性!$L$3)),0)</f>
        <v>1206</v>
      </c>
      <c r="C15" s="6">
        <f ca="1">ROUND($G15*职业分类属性!C14*((星级总属性!$K$3)/(星级总属性!$K$3+星级总属性!$L$3))+$G15*(HLOOKUP(HLOOKUP(武将总属性分配!C$3,职业属性偏向!$B$3:$E$16,14,FALSE),INDIRECT(TEXT($A$2&amp;"!$B$2:$G$3","")),2,FALSE)/INDIRECT(TEXT($A$2&amp;"!$H$3","")))*((星级总属性!$L$3)/(星级总属性!$K$3+星级总属性!$L$3)),0)</f>
        <v>4555</v>
      </c>
      <c r="D15" s="6">
        <f ca="1">ROUND($G15*职业分类属性!D14*((星级总属性!$K$3)/(星级总属性!$K$3+星级总属性!$L$3))+$G15*(HLOOKUP(HLOOKUP(武将总属性分配!D$3,职业属性偏向!$B$3:$E$16,14,FALSE),INDIRECT(TEXT($A$2&amp;"!$B$2:$G$3","")),2,FALSE)/INDIRECT(TEXT($A$2&amp;"!$H$3","")))*((星级总属性!$L$3)/(星级总属性!$K$3+星级总属性!$L$3)),0)</f>
        <v>1165</v>
      </c>
      <c r="E15" s="6">
        <f ca="1">ROUND($G15*职业分类属性!E14*((星级总属性!$K$3)/(星级总属性!$K$3+星级总属性!$L$3))+$G15*(HLOOKUP(HLOOKUP(武将总属性分配!E$3,职业属性偏向!$B$3:$E$16,14,FALSE),INDIRECT(TEXT($A$2&amp;"!$B$2:$G$3","")),2,FALSE)/INDIRECT(TEXT($A$2&amp;"!$H$3","")))*((星级总属性!$L$3)/(星级总属性!$K$3+星级总属性!$L$3)),0)</f>
        <v>1288</v>
      </c>
      <c r="F15" s="6">
        <f>VLOOKUP($F$2,'6星每级加强属性曲线演算'!$A$3:$B$7,2,FALSE)</f>
        <v>10500</v>
      </c>
      <c r="G15" s="6">
        <f>F15*职业分类属性!G14</f>
        <v>8400</v>
      </c>
    </row>
    <row r="16" spans="1:8" x14ac:dyDescent="0.25">
      <c r="A16" s="8" t="s">
        <v>10</v>
      </c>
      <c r="B16" s="6">
        <f ca="1">ROUND($G16*职业分类属性!B15*((星级总属性!$K$3)/(星级总属性!$K$3+星级总属性!$L$3))+$G16*(HLOOKUP(HLOOKUP(武将总属性分配!B$3,职业属性偏向!$B$3:$E$16,14,FALSE),INDIRECT(TEXT($A$2&amp;"!$B$2:$G$3","")),2,FALSE)/INDIRECT(TEXT($A$2&amp;"!$H$3","")))*((星级总属性!$L$3)/(星级总属性!$K$3+星级总属性!$L$3)),0)</f>
        <v>1139</v>
      </c>
      <c r="C16" s="6">
        <f ca="1">ROUND($G16*职业分类属性!C15*((星级总属性!$K$3)/(星级总属性!$K$3+星级总属性!$L$3))+$G16*(HLOOKUP(HLOOKUP(武将总属性分配!C$3,职业属性偏向!$B$3:$E$16,14,FALSE),INDIRECT(TEXT($A$2&amp;"!$B$2:$G$3","")),2,FALSE)/INDIRECT(TEXT($A$2&amp;"!$H$3","")))*((星级总属性!$L$3)/(星级总属性!$K$3+星级总属性!$L$3)),0)</f>
        <v>523</v>
      </c>
      <c r="D16" s="6">
        <f ca="1">ROUND($G16*职业分类属性!D15*((星级总属性!$K$3)/(星级总属性!$K$3+星级总属性!$L$3))+$G16*(HLOOKUP(HLOOKUP(武将总属性分配!D$3,职业属性偏向!$B$3:$E$16,14,FALSE),INDIRECT(TEXT($A$2&amp;"!$B$2:$G$3","")),2,FALSE)/INDIRECT(TEXT($A$2&amp;"!$H$3","")))*((星级总属性!$L$3)/(星级总属性!$K$3+星级总属性!$L$3)),0)</f>
        <v>4928</v>
      </c>
      <c r="E16" s="6">
        <f ca="1">ROUND($G16*职业分类属性!E15*((星级总属性!$K$3)/(星级总属性!$K$3+星级总属性!$L$3))+$G16*(HLOOKUP(HLOOKUP(武将总属性分配!E$3,职业属性偏向!$B$3:$E$16,14,FALSE),INDIRECT(TEXT($A$2&amp;"!$B$2:$G$3","")),2,FALSE)/INDIRECT(TEXT($A$2&amp;"!$H$3","")))*((星级总属性!$L$3)/(星级总属性!$K$3+星级总属性!$L$3)),0)</f>
        <v>1624</v>
      </c>
      <c r="F16" s="6">
        <f>VLOOKUP($F$2,'6星每级加强属性曲线演算'!$A$3:$B$7,2,FALSE)</f>
        <v>10500</v>
      </c>
      <c r="G16" s="6">
        <f>F16*职业分类属性!G15</f>
        <v>8400</v>
      </c>
    </row>
    <row r="17" spans="1:7" x14ac:dyDescent="0.25">
      <c r="B17" s="8" t="str">
        <f>B3</f>
        <v>生命值</v>
      </c>
      <c r="C17" s="8" t="str">
        <f t="shared" ref="C17:E17" si="0">C3</f>
        <v>回复力</v>
      </c>
      <c r="D17" s="8" t="str">
        <f t="shared" si="0"/>
        <v>武力</v>
      </c>
      <c r="E17" s="8" t="str">
        <f t="shared" si="0"/>
        <v>防御</v>
      </c>
      <c r="F17" s="8" t="str">
        <f t="shared" ref="F17:G17" si="1">F3</f>
        <v>原总属性</v>
      </c>
      <c r="G17" s="8" t="str">
        <f t="shared" si="1"/>
        <v>修正后总属性</v>
      </c>
    </row>
    <row r="20" spans="1:7" x14ac:dyDescent="0.25">
      <c r="A20" s="24" t="s">
        <v>52</v>
      </c>
      <c r="E20" s="8" t="s">
        <v>40</v>
      </c>
      <c r="F20" s="6">
        <v>5</v>
      </c>
    </row>
    <row r="21" spans="1:7" x14ac:dyDescent="0.25">
      <c r="A21" s="7"/>
      <c r="B21" s="8" t="s">
        <v>13</v>
      </c>
      <c r="C21" s="8" t="s">
        <v>14</v>
      </c>
      <c r="D21" s="8" t="s">
        <v>15</v>
      </c>
      <c r="E21" s="8" t="s">
        <v>105</v>
      </c>
      <c r="F21" s="8" t="s">
        <v>42</v>
      </c>
      <c r="G21" s="8" t="s">
        <v>43</v>
      </c>
    </row>
    <row r="22" spans="1:7" x14ac:dyDescent="0.25">
      <c r="A22" s="8" t="s">
        <v>1</v>
      </c>
      <c r="B22" s="6">
        <f ca="1">ROUND($G22*职业分类属性!B3*((星级总属性!$K$3)/(星级总属性!$K$3+星级总属性!$L$3))+$G22*(HLOOKUP(HLOOKUP(武将总属性分配!B$3,职业属性偏向!$B$3:$E$16,14,FALSE),INDIRECT(TEXT($A$20&amp;"!$B$2:$G$3","")),2,FALSE)/INDIRECT(TEXT($A$20&amp;"!$H$3","")))*((星级总属性!$L$3)/(星级总属性!$K$3+星级总属性!$L$3)),0)</f>
        <v>3640</v>
      </c>
      <c r="C22" s="6">
        <f ca="1">ROUND($G22*职业分类属性!C3*((星级总属性!$K$3)/(星级总属性!$K$3+星级总属性!$L$3))+$G22*(HLOOKUP(HLOOKUP(武将总属性分配!C$3,职业属性偏向!$B$3:$E$16,14,FALSE),INDIRECT(TEXT($A$20&amp;"!$B$2:$G$3","")),2,FALSE)/INDIRECT(TEXT($A$20&amp;"!$H$3","")))*((星级总属性!$L$3)/(星级总属性!$K$3+星级总属性!$L$3)),0)</f>
        <v>644</v>
      </c>
      <c r="D22" s="6">
        <f ca="1">ROUND($G22*职业分类属性!D3*((星级总属性!$K$3)/(星级总属性!$K$3+星级总属性!$L$3))+$G22*(HLOOKUP(HLOOKUP(武将总属性分配!D$3,职业属性偏向!$B$3:$E$16,14,FALSE),INDIRECT(TEXT($A$20&amp;"!$B$2:$G$3","")),2,FALSE)/INDIRECT(TEXT($A$20&amp;"!$H$3","")))*((星级总属性!$L$3)/(星级总属性!$K$3+星级总属性!$L$3)),0)</f>
        <v>6244</v>
      </c>
      <c r="E22" s="6">
        <f ca="1">ROUND($G22*职业分类属性!E3*((星级总属性!$K$3)/(星级总属性!$K$3+星级总属性!$L$3))+$G22*(HLOOKUP(HLOOKUP(武将总属性分配!E$3,职业属性偏向!$B$3:$E$16,14,FALSE),INDIRECT(TEXT($A$20&amp;"!$B$2:$G$3","")),2,FALSE)/INDIRECT(TEXT($A$20&amp;"!$H$3","")))*((星级总属性!$L$3)/(星级总属性!$K$3+星级总属性!$L$3)),0)</f>
        <v>1792</v>
      </c>
      <c r="F22" s="6">
        <f>VLOOKUP($F$20,'6星每级加强属性曲线演算'!$A$3:$B$7,2,FALSE)</f>
        <v>10500</v>
      </c>
      <c r="G22" s="6">
        <f>F22*职业分类属性!G3</f>
        <v>12600</v>
      </c>
    </row>
    <row r="23" spans="1:7" x14ac:dyDescent="0.25">
      <c r="A23" s="8" t="s">
        <v>2</v>
      </c>
      <c r="B23" s="6">
        <f ca="1">ROUND($G23*职业分类属性!B4*((星级总属性!$K$3)/(星级总属性!$K$3+星级总属性!$L$3))+$G23*(HLOOKUP(HLOOKUP(武将总属性分配!B$3,职业属性偏向!$B$3:$E$16,14,FALSE),INDIRECT(TEXT($A$20&amp;"!$B$2:$G$3","")),2,FALSE)/INDIRECT(TEXT($A$20&amp;"!$H$3","")))*((星级总属性!$L$3)/(星级总属性!$K$3+星级总属性!$L$3)),0)</f>
        <v>2742</v>
      </c>
      <c r="C23" s="6">
        <f ca="1">ROUND($G23*职业分类属性!C4*((星级总属性!$K$3)/(星级总属性!$K$3+星级总属性!$L$3))+$G23*(HLOOKUP(HLOOKUP(武将总属性分配!C$3,职业属性偏向!$B$3:$E$16,14,FALSE),INDIRECT(TEXT($A$20&amp;"!$B$2:$G$3","")),2,FALSE)/INDIRECT(TEXT($A$20&amp;"!$H$3","")))*((星级总属性!$L$3)/(星级总属性!$K$3+星级总属性!$L$3)),0)</f>
        <v>261</v>
      </c>
      <c r="D23" s="6">
        <f ca="1">ROUND($G23*职业分类属性!D4*((星级总属性!$K$3)/(星级总属性!$K$3+星级总属性!$L$3))+$G23*(HLOOKUP(HLOOKUP(武将总属性分配!D$3,职业属性偏向!$B$3:$E$16,14,FALSE),INDIRECT(TEXT($A$20&amp;"!$B$2:$G$3","")),2,FALSE)/INDIRECT(TEXT($A$20&amp;"!$H$3","")))*((星级总属性!$L$3)/(星级总属性!$K$3+星级总属性!$L$3)),0)</f>
        <v>9494</v>
      </c>
      <c r="E23" s="6">
        <f ca="1">ROUND($G23*职业分类属性!E4*((星级总属性!$K$3)/(星级总属性!$K$3+星级总属性!$L$3))+$G23*(HLOOKUP(HLOOKUP(武将总属性分配!E$3,职业属性偏向!$B$3:$E$16,14,FALSE),INDIRECT(TEXT($A$20&amp;"!$B$2:$G$3","")),2,FALSE)/INDIRECT(TEXT($A$20&amp;"!$H$3","")))*((星级总属性!$L$3)/(星级总属性!$K$3+星级总属性!$L$3)),0)</f>
        <v>849</v>
      </c>
      <c r="F23" s="6">
        <f>VLOOKUP($F$20,'6星每级加强属性曲线演算'!$A$3:$B$7,2,FALSE)</f>
        <v>10500</v>
      </c>
      <c r="G23" s="6">
        <f>F23*职业分类属性!G4</f>
        <v>13650</v>
      </c>
    </row>
    <row r="24" spans="1:7" x14ac:dyDescent="0.25">
      <c r="A24" s="8" t="s">
        <v>3</v>
      </c>
      <c r="B24" s="6">
        <f ca="1">ROUND($G24*职业分类属性!B5*((星级总属性!$K$3)/(星级总属性!$K$3+星级总属性!$L$3))+$G24*(HLOOKUP(HLOOKUP(武将总属性分配!B$3,职业属性偏向!$B$3:$E$16,14,FALSE),INDIRECT(TEXT($A$20&amp;"!$B$2:$G$3","")),2,FALSE)/INDIRECT(TEXT($A$20&amp;"!$H$3","")))*((星级总属性!$L$3)/(星级总属性!$K$3+星级总属性!$L$3)),0)</f>
        <v>1445</v>
      </c>
      <c r="C24" s="6">
        <f ca="1">ROUND($G24*职业分类属性!C5*((星级总属性!$K$3)/(星级总属性!$K$3+星级总属性!$L$3))+$G24*(HLOOKUP(HLOOKUP(武将总属性分配!C$3,职业属性偏向!$B$3:$E$16,14,FALSE),INDIRECT(TEXT($A$20&amp;"!$B$2:$G$3","")),2,FALSE)/INDIRECT(TEXT($A$20&amp;"!$H$3","")))*((星级总属性!$L$3)/(星级总属性!$K$3+星级总属性!$L$3)),0)</f>
        <v>710</v>
      </c>
      <c r="D24" s="6">
        <f ca="1">ROUND($G24*职业分类属性!D5*((星级总属性!$K$3)/(星级总属性!$K$3+星级总属性!$L$3))+$G24*(HLOOKUP(HLOOKUP(武将总属性分配!D$3,职业属性偏向!$B$3:$E$16,14,FALSE),INDIRECT(TEXT($A$20&amp;"!$B$2:$G$3","")),2,FALSE)/INDIRECT(TEXT($A$20&amp;"!$H$3","")))*((星级总属性!$L$3)/(星级总属性!$K$3+星级总属性!$L$3)),0)</f>
        <v>6195</v>
      </c>
      <c r="E24" s="6">
        <f ca="1">ROUND($G24*职业分类属性!E5*((星级总属性!$K$3)/(星级总属性!$K$3+星级总属性!$L$3))+$G24*(HLOOKUP(HLOOKUP(武将总属性分配!E$3,职业属性偏向!$B$3:$E$16,14,FALSE),INDIRECT(TEXT($A$20&amp;"!$B$2:$G$3","")),2,FALSE)/INDIRECT(TEXT($A$20&amp;"!$H$3","")))*((星级总属性!$L$3)/(星级总属性!$K$3+星级总属性!$L$3)),0)</f>
        <v>890</v>
      </c>
      <c r="F24" s="6">
        <f>VLOOKUP($F$20,'6星每级加强属性曲线演算'!$A$3:$B$7,2,FALSE)</f>
        <v>10500</v>
      </c>
      <c r="G24" s="6">
        <f>F24*职业分类属性!G5</f>
        <v>9450</v>
      </c>
    </row>
    <row r="25" spans="1:7" x14ac:dyDescent="0.25">
      <c r="A25" s="8" t="s">
        <v>4</v>
      </c>
      <c r="B25" s="6">
        <f ca="1">ROUND($G25*职业分类属性!B6*((星级总属性!$K$3)/(星级总属性!$K$3+星级总属性!$L$3))+$G25*(HLOOKUP(HLOOKUP(武将总属性分配!B$3,职业属性偏向!$B$3:$E$16,14,FALSE),INDIRECT(TEXT($A$20&amp;"!$B$2:$G$3","")),2,FALSE)/INDIRECT(TEXT($A$20&amp;"!$H$3","")))*((星级总属性!$L$3)/(星级总属性!$K$3+星级总属性!$L$3)),0)</f>
        <v>1773</v>
      </c>
      <c r="C25" s="6">
        <f ca="1">ROUND($G25*职业分类属性!C6*((星级总属性!$K$3)/(星级总属性!$K$3+星级总属性!$L$3))+$G25*(HLOOKUP(HLOOKUP(武将总属性分配!C$3,职业属性偏向!$B$3:$E$16,14,FALSE),INDIRECT(TEXT($A$20&amp;"!$B$2:$G$3","")),2,FALSE)/INDIRECT(TEXT($A$20&amp;"!$H$3","")))*((星级总属性!$L$3)/(星级总属性!$K$3+星级总属性!$L$3)),0)</f>
        <v>201</v>
      </c>
      <c r="D25" s="6">
        <f ca="1">ROUND($G25*职业分类属性!D6*((星级总属性!$K$3)/(星级总属性!$K$3+星级总属性!$L$3))+$G25*(HLOOKUP(HLOOKUP(武将总属性分配!D$3,职业属性偏向!$B$3:$E$16,14,FALSE),INDIRECT(TEXT($A$20&amp;"!$B$2:$G$3","")),2,FALSE)/INDIRECT(TEXT($A$20&amp;"!$H$3","")))*((星级总属性!$L$3)/(星级总属性!$K$3+星级总属性!$L$3)),0)</f>
        <v>6883</v>
      </c>
      <c r="E25" s="6">
        <f ca="1">ROUND($G25*职业分类属性!E6*((星级总属性!$K$3)/(星级总属性!$K$3+星级总属性!$L$3))+$G25*(HLOOKUP(HLOOKUP(武将总属性分配!E$3,职业属性偏向!$B$3:$E$16,14,FALSE),INDIRECT(TEXT($A$20&amp;"!$B$2:$G$3","")),2,FALSE)/INDIRECT(TEXT($A$20&amp;"!$H$3","")))*((星级总属性!$L$3)/(星级总属性!$K$3+星级总属性!$L$3)),0)</f>
        <v>1409</v>
      </c>
      <c r="F25" s="6">
        <f>VLOOKUP($F$20,'6星每级加强属性曲线演算'!$A$3:$B$7,2,FALSE)</f>
        <v>10500</v>
      </c>
      <c r="G25" s="6">
        <f>F25*职业分类属性!G6</f>
        <v>10500</v>
      </c>
    </row>
    <row r="26" spans="1:7" x14ac:dyDescent="0.25">
      <c r="A26" s="8" t="s">
        <v>5</v>
      </c>
      <c r="B26" s="6">
        <f ca="1">ROUND($G26*职业分类属性!B7*((星级总属性!$K$3)/(星级总属性!$K$3+星级总属性!$L$3))+$G26*(HLOOKUP(HLOOKUP(武将总属性分配!B$3,职业属性偏向!$B$3:$E$16,14,FALSE),INDIRECT(TEXT($A$20&amp;"!$B$2:$G$3","")),2,FALSE)/INDIRECT(TEXT($A$20&amp;"!$H$3","")))*((星级总属性!$L$3)/(星级总属性!$K$3+星级总属性!$L$3)),0)</f>
        <v>947</v>
      </c>
      <c r="C26" s="6">
        <f ca="1">ROUND($G26*职业分类属性!C7*((星级总属性!$K$3)/(星级总属性!$K$3+星级总属性!$L$3))+$G26*(HLOOKUP(HLOOKUP(武将总属性分配!C$3,职业属性偏向!$B$3:$E$16,14,FALSE),INDIRECT(TEXT($A$20&amp;"!$B$2:$G$3","")),2,FALSE)/INDIRECT(TEXT($A$20&amp;"!$H$3","")))*((星级总属性!$L$3)/(星级总属性!$K$3+星级总属性!$L$3)),0)</f>
        <v>376</v>
      </c>
      <c r="D26" s="6">
        <f ca="1">ROUND($G26*职业分类属性!D7*((星级总属性!$K$3)/(星级总属性!$K$3+星级总属性!$L$3))+$G26*(HLOOKUP(HLOOKUP(武将总属性分配!D$3,职业属性偏向!$B$3:$E$16,14,FALSE),INDIRECT(TEXT($A$20&amp;"!$B$2:$G$3","")),2,FALSE)/INDIRECT(TEXT($A$20&amp;"!$H$3","")))*((星级总属性!$L$3)/(星级总属性!$K$3+星级总属性!$L$3)),0)</f>
        <v>5406</v>
      </c>
      <c r="E26" s="6">
        <f ca="1">ROUND($G26*职业分类属性!E7*((星级总属性!$K$3)/(星级总属性!$K$3+星级总属性!$L$3))+$G26*(HLOOKUP(HLOOKUP(武将总属性分配!E$3,职业属性偏向!$B$3:$E$16,14,FALSE),INDIRECT(TEXT($A$20&amp;"!$B$2:$G$3","")),2,FALSE)/INDIRECT(TEXT($A$20&amp;"!$H$3","")))*((星级总属性!$L$3)/(星级总属性!$K$3+星级总属性!$L$3)),0)</f>
        <v>457</v>
      </c>
      <c r="F26" s="6">
        <f>VLOOKUP($F$20,'6星每级加强属性曲线演算'!$A$3:$B$7,2,FALSE)</f>
        <v>10500</v>
      </c>
      <c r="G26" s="6">
        <f>F26*职业分类属性!G7</f>
        <v>7349.9999999999991</v>
      </c>
    </row>
    <row r="27" spans="1:7" x14ac:dyDescent="0.25">
      <c r="A27" s="8" t="s">
        <v>6</v>
      </c>
      <c r="B27" s="6">
        <f ca="1">ROUND($G27*职业分类属性!B8*((星级总属性!$K$3)/(星级总属性!$K$3+星级总属性!$L$3))+$G27*(HLOOKUP(HLOOKUP(武将总属性分配!B$3,职业属性偏向!$B$3:$E$16,14,FALSE),INDIRECT(TEXT($A$20&amp;"!$B$2:$G$3","")),2,FALSE)/INDIRECT(TEXT($A$20&amp;"!$H$3","")))*((星级总属性!$L$3)/(星级总属性!$K$3+星级总属性!$L$3)),0)</f>
        <v>1083</v>
      </c>
      <c r="C27" s="6">
        <f ca="1">ROUND($G27*职业分类属性!C8*((星级总属性!$K$3)/(星级总属性!$K$3+星级总属性!$L$3))+$G27*(HLOOKUP(HLOOKUP(武将总属性分配!C$3,职业属性偏向!$B$3:$E$16,14,FALSE),INDIRECT(TEXT($A$20&amp;"!$B$2:$G$3","")),2,FALSE)/INDIRECT(TEXT($A$20&amp;"!$H$3","")))*((星级总属性!$L$3)/(星级总属性!$K$3+星级总属性!$L$3)),0)</f>
        <v>1101</v>
      </c>
      <c r="D27" s="6">
        <f ca="1">ROUND($G27*职业分类属性!D8*((星级总属性!$K$3)/(星级总属性!$K$3+星级总属性!$L$3))+$G27*(HLOOKUP(HLOOKUP(武将总属性分配!D$3,职业属性偏向!$B$3:$E$16,14,FALSE),INDIRECT(TEXT($A$20&amp;"!$B$2:$G$3","")),2,FALSE)/INDIRECT(TEXT($A$20&amp;"!$H$3","")))*((星级总属性!$L$3)/(星级总属性!$K$3+星级总属性!$L$3)),0)</f>
        <v>4835</v>
      </c>
      <c r="E27" s="6">
        <f ca="1">ROUND($G27*职业分类属性!E8*((星级总属性!$K$3)/(星级总属性!$K$3+星级总属性!$L$3))+$G27*(HLOOKUP(HLOOKUP(武将总属性分配!E$3,职业属性偏向!$B$3:$E$16,14,FALSE),INDIRECT(TEXT($A$20&amp;"!$B$2:$G$3","")),2,FALSE)/INDIRECT(TEXT($A$20&amp;"!$H$3","")))*((星级总属性!$L$3)/(星级总属性!$K$3+星级总属性!$L$3)),0)</f>
        <v>1195</v>
      </c>
      <c r="F27" s="6">
        <f>VLOOKUP($F$20,'6星每级加强属性曲线演算'!$A$3:$B$7,2,FALSE)</f>
        <v>10500</v>
      </c>
      <c r="G27" s="6">
        <f>F27*职业分类属性!G8</f>
        <v>8400</v>
      </c>
    </row>
    <row r="28" spans="1:7" x14ac:dyDescent="0.25">
      <c r="A28" s="8" t="s">
        <v>7</v>
      </c>
      <c r="B28" s="6">
        <f ca="1">ROUND($G28*职业分类属性!B9*((星级总属性!$K$3)/(星级总属性!$K$3+星级总属性!$L$3))+$G28*(HLOOKUP(HLOOKUP(武将总属性分配!B$3,职业属性偏向!$B$3:$E$16,14,FALSE),INDIRECT(TEXT($A$20&amp;"!$B$2:$G$3","")),2,FALSE)/INDIRECT(TEXT($A$20&amp;"!$H$3","")))*((星级总属性!$L$3)/(星级总属性!$K$3+星级总属性!$L$3)),0)</f>
        <v>1755</v>
      </c>
      <c r="C28" s="6">
        <f ca="1">ROUND($G28*职业分类属性!C9*((星级总属性!$K$3)/(星级总属性!$K$3+星级总属性!$L$3))+$G28*(HLOOKUP(HLOOKUP(武将总属性分配!C$3,职业属性偏向!$B$3:$E$16,14,FALSE),INDIRECT(TEXT($A$20&amp;"!$B$2:$G$3","")),2,FALSE)/INDIRECT(TEXT($A$20&amp;"!$H$3","")))*((星级总属性!$L$3)/(星级总属性!$K$3+星级总属性!$L$3)),0)</f>
        <v>429</v>
      </c>
      <c r="D28" s="6">
        <f ca="1">ROUND($G28*职业分类属性!D9*((星级总属性!$K$3)/(星级总属性!$K$3+星级总属性!$L$3))+$G28*(HLOOKUP(HLOOKUP(武将总属性分配!D$3,职业属性偏向!$B$3:$E$16,14,FALSE),INDIRECT(TEXT($A$20&amp;"!$B$2:$G$3","")),2,FALSE)/INDIRECT(TEXT($A$20&amp;"!$H$3","")))*((星级总属性!$L$3)/(星级总属性!$K$3+星级总属性!$L$3)),0)</f>
        <v>4835</v>
      </c>
      <c r="E28" s="6">
        <f ca="1">ROUND($G28*职业分类属性!E9*((星级总属性!$K$3)/(星级总属性!$K$3+星级总属性!$L$3))+$G28*(HLOOKUP(HLOOKUP(武将总属性分配!E$3,职业属性偏向!$B$3:$E$16,14,FALSE),INDIRECT(TEXT($A$20&amp;"!$B$2:$G$3","")),2,FALSE)/INDIRECT(TEXT($A$20&amp;"!$H$3","")))*((星级总属性!$L$3)/(星级总属性!$K$3+星级总属性!$L$3)),0)</f>
        <v>1195</v>
      </c>
      <c r="F28" s="6">
        <f>VLOOKUP($F$20,'6星每级加强属性曲线演算'!$A$3:$B$7,2,FALSE)</f>
        <v>10500</v>
      </c>
      <c r="G28" s="6">
        <f>F28*职业分类属性!G9</f>
        <v>8400</v>
      </c>
    </row>
    <row r="29" spans="1:7" x14ac:dyDescent="0.25">
      <c r="A29" s="8" t="s">
        <v>8</v>
      </c>
      <c r="B29" s="6">
        <f ca="1">ROUND($G29*职业分类属性!B10*((星级总属性!$K$3)/(星级总属性!$K$3+星级总属性!$L$3))+$G29*(HLOOKUP(HLOOKUP(武将总属性分配!B$3,职业属性偏向!$B$3:$E$16,14,FALSE),INDIRECT(TEXT($A$20&amp;"!$B$2:$G$3","")),2,FALSE)/INDIRECT(TEXT($A$20&amp;"!$H$3","")))*((星级总属性!$L$3)/(星级总属性!$K$3+星级总属性!$L$3)),0)</f>
        <v>4723</v>
      </c>
      <c r="C29" s="6">
        <f ca="1">ROUND($G29*职业分类属性!C10*((星级总属性!$K$3)/(星级总属性!$K$3+星级总属性!$L$3))+$G29*(HLOOKUP(HLOOKUP(武将总属性分配!C$3,职业属性偏向!$B$3:$E$16,14,FALSE),INDIRECT(TEXT($A$20&amp;"!$B$2:$G$3","")),2,FALSE)/INDIRECT(TEXT($A$20&amp;"!$H$3","")))*((星级总属性!$L$3)/(星级总属性!$K$3+星级总属性!$L$3)),0)</f>
        <v>868</v>
      </c>
      <c r="D29" s="6">
        <f ca="1">ROUND($G29*职业分类属性!D10*((星级总属性!$K$3)/(星级总属性!$K$3+星级总属性!$L$3))+$G29*(HLOOKUP(HLOOKUP(武将总属性分配!D$3,职业属性偏向!$B$3:$E$16,14,FALSE),INDIRECT(TEXT($A$20&amp;"!$B$2:$G$3","")),2,FALSE)/INDIRECT(TEXT($A$20&amp;"!$H$3","")))*((星级总属性!$L$3)/(星级总属性!$K$3+星级总属性!$L$3)),0)</f>
        <v>3598</v>
      </c>
      <c r="E29" s="6">
        <f ca="1">ROUND($G29*职业分类属性!E10*((星级总属性!$K$3)/(星级总属性!$K$3+星级总属性!$L$3))+$G29*(HLOOKUP(HLOOKUP(武将总属性分配!E$3,职业属性偏向!$B$3:$E$16,14,FALSE),INDIRECT(TEXT($A$20&amp;"!$B$2:$G$3","")),2,FALSE)/INDIRECT(TEXT($A$20&amp;"!$H$3","")))*((星级总属性!$L$3)/(星级总属性!$K$3+星级总属性!$L$3)),0)</f>
        <v>2105</v>
      </c>
      <c r="F29" s="6">
        <f>VLOOKUP($F$20,'6星每级加强属性曲线演算'!$A$3:$B$7,2,FALSE)</f>
        <v>10500</v>
      </c>
      <c r="G29" s="6">
        <f>F29*职业分类属性!G10</f>
        <v>11550.000000000002</v>
      </c>
    </row>
    <row r="30" spans="1:7" x14ac:dyDescent="0.25">
      <c r="A30" s="8" t="s">
        <v>106</v>
      </c>
      <c r="B30" s="6">
        <f ca="1">ROUND($G30*职业分类属性!B11*((星级总属性!$K$3)/(星级总属性!$K$3+星级总属性!$L$3))+$G30*(HLOOKUP(HLOOKUP(武将总属性分配!B$3,职业属性偏向!$B$3:$E$16,14,FALSE),INDIRECT(TEXT($A$20&amp;"!$B$2:$G$3","")),2,FALSE)/INDIRECT(TEXT($A$20&amp;"!$H$3","")))*((星级总属性!$L$3)/(星级总属性!$K$3+星级总属性!$L$3)),0)</f>
        <v>1974</v>
      </c>
      <c r="C30" s="6">
        <f ca="1">ROUND($G30*职业分类属性!C11*((星级总属性!$K$3)/(星级总属性!$K$3+星级总属性!$L$3))+$G30*(HLOOKUP(HLOOKUP(武将总属性分配!C$3,职业属性偏向!$B$3:$E$16,14,FALSE),INDIRECT(TEXT($A$20&amp;"!$B$2:$G$3","")),2,FALSE)/INDIRECT(TEXT($A$20&amp;"!$H$3","")))*((星级总属性!$L$3)/(星级总属性!$K$3+星级总属性!$L$3)),0)</f>
        <v>2751</v>
      </c>
      <c r="D30" s="6">
        <f ca="1">ROUND($G30*职业分类属性!D11*((星级总属性!$K$3)/(星级总属性!$K$3+星级总属性!$L$3))+$G30*(HLOOKUP(HLOOKUP(武将总属性分配!D$3,职业属性偏向!$B$3:$E$16,14,FALSE),INDIRECT(TEXT($A$20&amp;"!$B$2:$G$3","")),2,FALSE)/INDIRECT(TEXT($A$20&amp;"!$H$3","")))*((星级总属性!$L$3)/(星级总属性!$K$3+星级总属性!$L$3)),0)</f>
        <v>1281</v>
      </c>
      <c r="E30" s="6">
        <f ca="1">ROUND($G30*职业分类属性!E11*((星级总属性!$K$3)/(星级总属性!$K$3+星级总属性!$L$3))+$G30*(HLOOKUP(HLOOKUP(武将总属性分配!E$3,职业属性偏向!$B$3:$E$16,14,FALSE),INDIRECT(TEXT($A$20&amp;"!$B$2:$G$3","")),2,FALSE)/INDIRECT(TEXT($A$20&amp;"!$H$3","")))*((星级总属性!$L$3)/(星级总属性!$K$3+星级总属性!$L$3)),0)</f>
        <v>3234</v>
      </c>
      <c r="F30" s="6">
        <f>VLOOKUP($F$20,'6星每级加强属性曲线演算'!$A$3:$B$7,2,FALSE)</f>
        <v>10500</v>
      </c>
      <c r="G30" s="6">
        <f>F30*职业分类属性!G11</f>
        <v>9450</v>
      </c>
    </row>
    <row r="31" spans="1:7" x14ac:dyDescent="0.25">
      <c r="A31" s="8" t="s">
        <v>107</v>
      </c>
      <c r="B31" s="6">
        <f ca="1">ROUND($G31*职业分类属性!B12*((星级总属性!$K$3)/(星级总属性!$K$3+星级总属性!$L$3))+$G31*(HLOOKUP(HLOOKUP(武将总属性分配!B$3,职业属性偏向!$B$3:$E$16,14,FALSE),INDIRECT(TEXT($A$20&amp;"!$B$2:$G$3","")),2,FALSE)/INDIRECT(TEXT($A$20&amp;"!$H$3","")))*((星级总属性!$L$3)/(星级总属性!$K$3+星级总属性!$L$3)),0)</f>
        <v>2875</v>
      </c>
      <c r="C31" s="6">
        <f ca="1">ROUND($G31*职业分类属性!C12*((星级总属性!$K$3)/(星级总属性!$K$3+星级总属性!$L$3))+$G31*(HLOOKUP(HLOOKUP(武将总属性分配!C$3,职业属性偏向!$B$3:$E$16,14,FALSE),INDIRECT(TEXT($A$20&amp;"!$B$2:$G$3","")),2,FALSE)/INDIRECT(TEXT($A$20&amp;"!$H$3","")))*((星级总属性!$L$3)/(星级总属性!$K$3+星级总属性!$L$3)),0)</f>
        <v>590</v>
      </c>
      <c r="D31" s="6">
        <f ca="1">ROUND($G31*职业分类属性!D12*((星级总属性!$K$3)/(星级总属性!$K$3+星级总属性!$L$3))+$G31*(HLOOKUP(HLOOKUP(武将总属性分配!D$3,职业属性偏向!$B$3:$E$16,14,FALSE),INDIRECT(TEXT($A$20&amp;"!$B$2:$G$3","")),2,FALSE)/INDIRECT(TEXT($A$20&amp;"!$H$3","")))*((星级总属性!$L$3)/(星级总属性!$K$3+星级总属性!$L$3)),0)</f>
        <v>1104</v>
      </c>
      <c r="E31" s="6">
        <f ca="1">ROUND($G31*职业分类属性!E12*((星级总属性!$K$3)/(星级总属性!$K$3+星级总属性!$L$3))+$G31*(HLOOKUP(HLOOKUP(武将总属性分配!E$3,职业属性偏向!$B$3:$E$16,14,FALSE),INDIRECT(TEXT($A$20&amp;"!$B$2:$G$3","")),2,FALSE)/INDIRECT(TEXT($A$20&amp;"!$H$3","")))*((星级总属性!$L$3)/(星级总属性!$K$3+星级总属性!$L$3)),0)</f>
        <v>6725</v>
      </c>
      <c r="F31" s="6">
        <f>VLOOKUP($F$20,'6星每级加强属性曲线演算'!$A$3:$B$7,2,FALSE)</f>
        <v>10500</v>
      </c>
      <c r="G31" s="6">
        <f>F31*职业分类属性!G12</f>
        <v>11550.000000000002</v>
      </c>
    </row>
    <row r="32" spans="1:7" x14ac:dyDescent="0.25">
      <c r="A32" s="8" t="s">
        <v>108</v>
      </c>
      <c r="B32" s="6">
        <f ca="1">ROUND($G32*职业分类属性!B13*((星级总属性!$K$3)/(星级总属性!$K$3+星级总属性!$L$3))+$G32*(HLOOKUP(HLOOKUP(武将总属性分配!B$3,职业属性偏向!$B$3:$E$16,14,FALSE),INDIRECT(TEXT($A$20&amp;"!$B$2:$G$3","")),2,FALSE)/INDIRECT(TEXT($A$20&amp;"!$H$3","")))*((星级总属性!$L$3)/(星级总属性!$K$3+星级总属性!$L$3)),0)</f>
        <v>3337</v>
      </c>
      <c r="C32" s="6">
        <f ca="1">ROUND($G32*职业分类属性!C13*((星级总属性!$K$3)/(星级总属性!$K$3+星级总属性!$L$3))+$G32*(HLOOKUP(HLOOKUP(武将总属性分配!C$3,职业属性偏向!$B$3:$E$16,14,FALSE),INDIRECT(TEXT($A$20&amp;"!$B$2:$G$3","")),2,FALSE)/INDIRECT(TEXT($A$20&amp;"!$H$3","")))*((星级总属性!$L$3)/(星级总属性!$K$3+星级总属性!$L$3)),0)</f>
        <v>2438</v>
      </c>
      <c r="D32" s="6">
        <f ca="1">ROUND($G32*职业分类属性!D13*((星级总属性!$K$3)/(星级总属性!$K$3+星级总属性!$L$3))+$G32*(HLOOKUP(HLOOKUP(武将总属性分配!D$3,职业属性偏向!$B$3:$E$16,14,FALSE),INDIRECT(TEXT($A$20&amp;"!$B$2:$G$3","")),2,FALSE)/INDIRECT(TEXT($A$20&amp;"!$H$3","")))*((星级总属性!$L$3)/(星级总属性!$K$3+星级总属性!$L$3)),0)</f>
        <v>2952</v>
      </c>
      <c r="E32" s="6">
        <f ca="1">ROUND($G32*职业分类属性!E13*((星级总属性!$K$3)/(星级总属性!$K$3+星级总属性!$L$3))+$G32*(HLOOKUP(HLOOKUP(武将总属性分配!E$3,职业属性偏向!$B$3:$E$16,14,FALSE),INDIRECT(TEXT($A$20&amp;"!$B$2:$G$3","")),2,FALSE)/INDIRECT(TEXT($A$20&amp;"!$H$3","")))*((星级总属性!$L$3)/(星级总属性!$K$3+星级总属性!$L$3)),0)</f>
        <v>2567</v>
      </c>
      <c r="F32" s="6">
        <f>VLOOKUP($F$20,'6星每级加强属性曲线演算'!$A$3:$B$7,2,FALSE)</f>
        <v>10500</v>
      </c>
      <c r="G32" s="6">
        <f>F32*职业分类属性!G13</f>
        <v>11550.000000000002</v>
      </c>
    </row>
    <row r="33" spans="1:7" x14ac:dyDescent="0.25">
      <c r="A33" s="8" t="s">
        <v>9</v>
      </c>
      <c r="B33" s="6">
        <f ca="1">ROUND($G33*职业分类属性!B14*((星级总属性!$K$3)/(星级总属性!$K$3+星级总属性!$L$3))+$G33*(HLOOKUP(HLOOKUP(武将总属性分配!B$3,职业属性偏向!$B$3:$E$16,14,FALSE),INDIRECT(TEXT($A$20&amp;"!$B$2:$G$3","")),2,FALSE)/INDIRECT(TEXT($A$20&amp;"!$H$3","")))*((星级总属性!$L$3)/(星级总属性!$K$3+星级总属性!$L$3)),0)</f>
        <v>1486</v>
      </c>
      <c r="C33" s="6">
        <f ca="1">ROUND($G33*职业分类属性!C14*((星级总属性!$K$3)/(星级总属性!$K$3+星级总属性!$L$3))+$G33*(HLOOKUP(HLOOKUP(武将总属性分配!C$3,职业属性偏向!$B$3:$E$16,14,FALSE),INDIRECT(TEXT($A$20&amp;"!$B$2:$G$3","")),2,FALSE)/INDIRECT(TEXT($A$20&amp;"!$H$3","")))*((星级总属性!$L$3)/(星级总属性!$K$3+星级总属性!$L$3)),0)</f>
        <v>4461</v>
      </c>
      <c r="D33" s="6">
        <f ca="1">ROUND($G33*职业分类属性!D14*((星级总属性!$K$3)/(星级总属性!$K$3+星级总属性!$L$3))+$G33*(HLOOKUP(HLOOKUP(武将总属性分配!D$3,职业属性偏向!$B$3:$E$16,14,FALSE),INDIRECT(TEXT($A$20&amp;"!$B$2:$G$3","")),2,FALSE)/INDIRECT(TEXT($A$20&amp;"!$H$3","")))*((星级总属性!$L$3)/(星级总属性!$K$3+星级总属性!$L$3)),0)</f>
        <v>1071</v>
      </c>
      <c r="E33" s="6">
        <f ca="1">ROUND($G33*职业分类属性!E14*((星级总属性!$K$3)/(星级总属性!$K$3+星级总属性!$L$3))+$G33*(HLOOKUP(HLOOKUP(武将总属性分配!E$3,职业属性偏向!$B$3:$E$16,14,FALSE),INDIRECT(TEXT($A$20&amp;"!$B$2:$G$3","")),2,FALSE)/INDIRECT(TEXT($A$20&amp;"!$H$3","")))*((星级总属性!$L$3)/(星级总属性!$K$3+星级总属性!$L$3)),0)</f>
        <v>1195</v>
      </c>
      <c r="F33" s="6">
        <f>VLOOKUP($F$20,'6星每级加强属性曲线演算'!$A$3:$B$7,2,FALSE)</f>
        <v>10500</v>
      </c>
      <c r="G33" s="6">
        <f>F33*职业分类属性!G14</f>
        <v>8400</v>
      </c>
    </row>
    <row r="34" spans="1:7" x14ac:dyDescent="0.25">
      <c r="A34" s="8" t="s">
        <v>10</v>
      </c>
      <c r="B34" s="6">
        <f ca="1">ROUND($G34*职业分类属性!B15*((星级总属性!$K$3)/(星级总属性!$K$3+星级总属性!$L$3))+$G34*(HLOOKUP(HLOOKUP(武将总属性分配!B$3,职业属性偏向!$B$3:$E$16,14,FALSE),INDIRECT(TEXT($A$20&amp;"!$B$2:$G$3","")),2,FALSE)/INDIRECT(TEXT($A$20&amp;"!$H$3","")))*((星级总属性!$L$3)/(星级总属性!$K$3+星级总属性!$L$3)),0)</f>
        <v>1419</v>
      </c>
      <c r="C34" s="6">
        <f ca="1">ROUND($G34*职业分类属性!C15*((星级总属性!$K$3)/(星级总属性!$K$3+星级总属性!$L$3))+$G34*(HLOOKUP(HLOOKUP(武将总属性分配!C$3,职业属性偏向!$B$3:$E$16,14,FALSE),INDIRECT(TEXT($A$20&amp;"!$B$2:$G$3","")),2,FALSE)/INDIRECT(TEXT($A$20&amp;"!$H$3","")))*((星级总属性!$L$3)/(星级总属性!$K$3+星级总属性!$L$3)),0)</f>
        <v>429</v>
      </c>
      <c r="D34" s="6">
        <f ca="1">ROUND($G34*职业分类属性!D15*((星级总属性!$K$3)/(星级总属性!$K$3+星级总属性!$L$3))+$G34*(HLOOKUP(HLOOKUP(武将总属性分配!D$3,职业属性偏向!$B$3:$E$16,14,FALSE),INDIRECT(TEXT($A$20&amp;"!$B$2:$G$3","")),2,FALSE)/INDIRECT(TEXT($A$20&amp;"!$H$3","")))*((星级总属性!$L$3)/(星级总属性!$K$3+星级总属性!$L$3)),0)</f>
        <v>4835</v>
      </c>
      <c r="E34" s="6">
        <f ca="1">ROUND($G34*职业分类属性!E15*((星级总属性!$K$3)/(星级总属性!$K$3+星级总属性!$L$3))+$G34*(HLOOKUP(HLOOKUP(武将总属性分配!E$3,职业属性偏向!$B$3:$E$16,14,FALSE),INDIRECT(TEXT($A$20&amp;"!$B$2:$G$3","")),2,FALSE)/INDIRECT(TEXT($A$20&amp;"!$H$3","")))*((星级总属性!$L$3)/(星级总属性!$K$3+星级总属性!$L$3)),0)</f>
        <v>1531</v>
      </c>
      <c r="F34" s="6">
        <f>VLOOKUP($F$20,'6星每级加强属性曲线演算'!$A$3:$B$7,2,FALSE)</f>
        <v>10500</v>
      </c>
      <c r="G34" s="6">
        <f>F34*职业分类属性!G15</f>
        <v>8400</v>
      </c>
    </row>
    <row r="35" spans="1:7" x14ac:dyDescent="0.25">
      <c r="B35" s="8" t="str">
        <f>B21</f>
        <v>生命值</v>
      </c>
      <c r="C35" s="8" t="str">
        <f t="shared" ref="C35:G35" si="2">C21</f>
        <v>回复力</v>
      </c>
      <c r="D35" s="8" t="str">
        <f t="shared" si="2"/>
        <v>武力</v>
      </c>
      <c r="E35" s="8" t="str">
        <f t="shared" si="2"/>
        <v>防御</v>
      </c>
      <c r="F35" s="8" t="str">
        <f t="shared" si="2"/>
        <v>原总属性</v>
      </c>
      <c r="G35" s="8" t="str">
        <f t="shared" si="2"/>
        <v>修正后总属性</v>
      </c>
    </row>
    <row r="37" spans="1:7" x14ac:dyDescent="0.25">
      <c r="A37" s="24" t="s">
        <v>53</v>
      </c>
      <c r="E37" s="8" t="s">
        <v>40</v>
      </c>
      <c r="F37" s="6">
        <v>5</v>
      </c>
    </row>
    <row r="38" spans="1:7" x14ac:dyDescent="0.25">
      <c r="A38" s="7"/>
      <c r="B38" s="8" t="s">
        <v>13</v>
      </c>
      <c r="C38" s="8" t="s">
        <v>14</v>
      </c>
      <c r="D38" s="8" t="s">
        <v>15</v>
      </c>
      <c r="E38" s="8" t="s">
        <v>105</v>
      </c>
      <c r="F38" s="8" t="s">
        <v>42</v>
      </c>
      <c r="G38" s="8" t="s">
        <v>43</v>
      </c>
    </row>
    <row r="39" spans="1:7" x14ac:dyDescent="0.25">
      <c r="A39" s="8" t="s">
        <v>1</v>
      </c>
      <c r="B39" s="6">
        <f ca="1">ROUND($G39*职业分类属性!B3*((星级总属性!$K$3)/(星级总属性!$K$3+星级总属性!$L$3))+$G39*(HLOOKUP(HLOOKUP(武将总属性分配!B$3,职业属性偏向!$B$3:$E$16,14,FALSE),INDIRECT(TEXT($A$37&amp;"!$B$2:$G$3","")),2,FALSE)/INDIRECT(TEXT($A$37&amp;"!$H$3","")))*((星级总属性!$L$3)/(星级总属性!$K$3+星级总属性!$L$3)),0)</f>
        <v>2940</v>
      </c>
      <c r="C39" s="6">
        <f ca="1">ROUND($G39*职业分类属性!C3*((星级总属性!$K$3)/(星级总属性!$K$3+星级总属性!$L$3))+$G39*(HLOOKUP(HLOOKUP(武将总属性分配!C$3,职业属性偏向!$B$3:$E$16,14,FALSE),INDIRECT(TEXT($A$37&amp;"!$B$2:$G$3","")),2,FALSE)/INDIRECT(TEXT($A$37&amp;"!$H$3","")))*((星级总属性!$L$3)/(星级总属性!$K$3+星级总属性!$L$3)),0)</f>
        <v>924</v>
      </c>
      <c r="D39" s="6">
        <f ca="1">ROUND($G39*职业分类属性!D3*((星级总属性!$K$3)/(星级总属性!$K$3+星级总属性!$L$3))+$G39*(HLOOKUP(HLOOKUP(武将总属性分配!D$3,职业属性偏向!$B$3:$E$16,14,FALSE),INDIRECT(TEXT($A$37&amp;"!$B$2:$G$3","")),2,FALSE)/INDIRECT(TEXT($A$37&amp;"!$H$3","")))*((星级总属性!$L$3)/(星级总属性!$K$3+星级总属性!$L$3)),0)</f>
        <v>5964</v>
      </c>
      <c r="E39" s="6">
        <f ca="1">ROUND($G39*职业分类属性!E3*((星级总属性!$K$3)/(星级总属性!$K$3+星级总属性!$L$3))+$G39*(HLOOKUP(HLOOKUP(武将总属性分配!E$3,职业属性偏向!$B$3:$E$16,14,FALSE),INDIRECT(TEXT($A$37&amp;"!$B$2:$G$3","")),2,FALSE)/INDIRECT(TEXT($A$37&amp;"!$H$3","")))*((星级总属性!$L$3)/(星级总属性!$K$3+星级总属性!$L$3)),0)</f>
        <v>1932</v>
      </c>
      <c r="F39" s="6">
        <f>VLOOKUP($F$37,'6星每级加强属性曲线演算'!$A$3:$B$7,2,FALSE)</f>
        <v>10500</v>
      </c>
      <c r="G39" s="6">
        <f>F39*职业分类属性!G3</f>
        <v>12600</v>
      </c>
    </row>
    <row r="40" spans="1:7" x14ac:dyDescent="0.25">
      <c r="A40" s="8" t="s">
        <v>2</v>
      </c>
      <c r="B40" s="6">
        <f ca="1">ROUND($G40*职业分类属性!B4*((星级总属性!$K$3)/(星级总属性!$K$3+星级总属性!$L$3))+$G40*(HLOOKUP(HLOOKUP(武将总属性分配!B$3,职业属性偏向!$B$3:$E$16,14,FALSE),INDIRECT(TEXT($A$37&amp;"!$B$2:$G$3","")),2,FALSE)/INDIRECT(TEXT($A$37&amp;"!$H$3","")))*((星级总属性!$L$3)/(星级总属性!$K$3+星级总属性!$L$3)),0)</f>
        <v>1984</v>
      </c>
      <c r="C40" s="6">
        <f ca="1">ROUND($G40*职业分类属性!C4*((星级总属性!$K$3)/(星级总属性!$K$3+星级总属性!$L$3))+$G40*(HLOOKUP(HLOOKUP(武将总属性分配!C$3,职业属性偏向!$B$3:$E$16,14,FALSE),INDIRECT(TEXT($A$37&amp;"!$B$2:$G$3","")),2,FALSE)/INDIRECT(TEXT($A$37&amp;"!$H$3","")))*((星级总属性!$L$3)/(星级总属性!$K$3+星级总属性!$L$3)),0)</f>
        <v>564</v>
      </c>
      <c r="D40" s="6">
        <f ca="1">ROUND($G40*职业分类属性!D4*((星级总属性!$K$3)/(星级总属性!$K$3+星级总属性!$L$3))+$G40*(HLOOKUP(HLOOKUP(武将总属性分配!D$3,职业属性偏向!$B$3:$E$16,14,FALSE),INDIRECT(TEXT($A$37&amp;"!$B$2:$G$3","")),2,FALSE)/INDIRECT(TEXT($A$37&amp;"!$H$3","")))*((星级总属性!$L$3)/(星级总属性!$K$3+星级总属性!$L$3)),0)</f>
        <v>9191</v>
      </c>
      <c r="E40" s="6">
        <f ca="1">ROUND($G40*职业分类属性!E4*((星级总属性!$K$3)/(星级总属性!$K$3+星级总属性!$L$3))+$G40*(HLOOKUP(HLOOKUP(武将总属性分配!E$3,职业属性偏向!$B$3:$E$16,14,FALSE),INDIRECT(TEXT($A$37&amp;"!$B$2:$G$3","")),2,FALSE)/INDIRECT(TEXT($A$37&amp;"!$H$3","")))*((星级总属性!$L$3)/(星级总属性!$K$3+星级总属性!$L$3)),0)</f>
        <v>1001</v>
      </c>
      <c r="F40" s="6">
        <f>VLOOKUP($F$37,'6星每级加强属性曲线演算'!$A$3:$B$7,2,FALSE)</f>
        <v>10500</v>
      </c>
      <c r="G40" s="6">
        <f>F40*职业分类属性!G4</f>
        <v>13650</v>
      </c>
    </row>
    <row r="41" spans="1:7" x14ac:dyDescent="0.25">
      <c r="A41" s="8" t="s">
        <v>3</v>
      </c>
      <c r="B41" s="6">
        <f ca="1">ROUND($G41*职业分类属性!B5*((星级总属性!$K$3)/(星级总属性!$K$3+星级总属性!$L$3))+$G41*(HLOOKUP(HLOOKUP(武将总属性分配!B$3,职业属性偏向!$B$3:$E$16,14,FALSE),INDIRECT(TEXT($A$37&amp;"!$B$2:$G$3","")),2,FALSE)/INDIRECT(TEXT($A$37&amp;"!$H$3","")))*((星级总属性!$L$3)/(星级总属性!$K$3+星级总属性!$L$3)),0)</f>
        <v>920</v>
      </c>
      <c r="C41" s="6">
        <f ca="1">ROUND($G41*职业分类属性!C5*((星级总属性!$K$3)/(星级总属性!$K$3+星级总属性!$L$3))+$G41*(HLOOKUP(HLOOKUP(武将总属性分配!C$3,职业属性偏向!$B$3:$E$16,14,FALSE),INDIRECT(TEXT($A$37&amp;"!$B$2:$G$3","")),2,FALSE)/INDIRECT(TEXT($A$37&amp;"!$H$3","")))*((星级总属性!$L$3)/(星级总属性!$K$3+星级总属性!$L$3)),0)</f>
        <v>920</v>
      </c>
      <c r="D41" s="6">
        <f ca="1">ROUND($G41*职业分类属性!D5*((星级总属性!$K$3)/(星级总属性!$K$3+星级总属性!$L$3))+$G41*(HLOOKUP(HLOOKUP(武将总属性分配!D$3,职业属性偏向!$B$3:$E$16,14,FALSE),INDIRECT(TEXT($A$37&amp;"!$B$2:$G$3","")),2,FALSE)/INDIRECT(TEXT($A$37&amp;"!$H$3","")))*((星级总属性!$L$3)/(星级总属性!$K$3+星级总属性!$L$3)),0)</f>
        <v>5985</v>
      </c>
      <c r="E41" s="6">
        <f ca="1">ROUND($G41*职业分类属性!E5*((星级总属性!$K$3)/(星级总属性!$K$3+星级总属性!$L$3))+$G41*(HLOOKUP(HLOOKUP(武将总属性分配!E$3,职业属性偏向!$B$3:$E$16,14,FALSE),INDIRECT(TEXT($A$37&amp;"!$B$2:$G$3","")),2,FALSE)/INDIRECT(TEXT($A$37&amp;"!$H$3","")))*((星级总属性!$L$3)/(星级总属性!$K$3+星级总属性!$L$3)),0)</f>
        <v>995</v>
      </c>
      <c r="F41" s="6">
        <f>VLOOKUP($F$37,'6星每级加强属性曲线演算'!$A$3:$B$7,2,FALSE)</f>
        <v>10500</v>
      </c>
      <c r="G41" s="6">
        <f>F41*职业分类属性!G5</f>
        <v>9450</v>
      </c>
    </row>
    <row r="42" spans="1:7" x14ac:dyDescent="0.25">
      <c r="A42" s="8" t="s">
        <v>4</v>
      </c>
      <c r="B42" s="6">
        <f ca="1">ROUND($G42*职业分类属性!B6*((星级总属性!$K$3)/(星级总属性!$K$3+星级总属性!$L$3))+$G42*(HLOOKUP(HLOOKUP(武将总属性分配!B$3,职业属性偏向!$B$3:$E$16,14,FALSE),INDIRECT(TEXT($A$37&amp;"!$B$2:$G$3","")),2,FALSE)/INDIRECT(TEXT($A$37&amp;"!$H$3","")))*((星级总属性!$L$3)/(星级总属性!$K$3+星级总属性!$L$3)),0)</f>
        <v>1190</v>
      </c>
      <c r="C42" s="6">
        <f ca="1">ROUND($G42*职业分类属性!C6*((星级总属性!$K$3)/(星级总属性!$K$3+星级总属性!$L$3))+$G42*(HLOOKUP(HLOOKUP(武将总属性分配!C$3,职业属性偏向!$B$3:$E$16,14,FALSE),INDIRECT(TEXT($A$37&amp;"!$B$2:$G$3","")),2,FALSE)/INDIRECT(TEXT($A$37&amp;"!$H$3","")))*((星级总属性!$L$3)/(星级总属性!$K$3+星级总属性!$L$3)),0)</f>
        <v>434</v>
      </c>
      <c r="D42" s="6">
        <f ca="1">ROUND($G42*职业分类属性!D6*((星级总属性!$K$3)/(星级总属性!$K$3+星级总属性!$L$3))+$G42*(HLOOKUP(HLOOKUP(武将总属性分配!D$3,职业属性偏向!$B$3:$E$16,14,FALSE),INDIRECT(TEXT($A$37&amp;"!$B$2:$G$3","")),2,FALSE)/INDIRECT(TEXT($A$37&amp;"!$H$3","")))*((星级总属性!$L$3)/(星级总属性!$K$3+星级总属性!$L$3)),0)</f>
        <v>6650</v>
      </c>
      <c r="E42" s="6">
        <f ca="1">ROUND($G42*职业分类属性!E6*((星级总属性!$K$3)/(星级总属性!$K$3+星级总属性!$L$3))+$G42*(HLOOKUP(HLOOKUP(武将总属性分配!E$3,职业属性偏向!$B$3:$E$16,14,FALSE),INDIRECT(TEXT($A$37&amp;"!$B$2:$G$3","")),2,FALSE)/INDIRECT(TEXT($A$37&amp;"!$H$3","")))*((星级总属性!$L$3)/(星级总属性!$K$3+星级总属性!$L$3)),0)</f>
        <v>1526</v>
      </c>
      <c r="F42" s="6">
        <f>VLOOKUP($F$37,'6星每级加强属性曲线演算'!$A$3:$B$7,2,FALSE)</f>
        <v>10500</v>
      </c>
      <c r="G42" s="6">
        <f>F42*职业分类属性!G6</f>
        <v>10500</v>
      </c>
    </row>
    <row r="43" spans="1:7" x14ac:dyDescent="0.25">
      <c r="A43" s="8" t="s">
        <v>5</v>
      </c>
      <c r="B43" s="6">
        <f ca="1">ROUND($G43*职业分类属性!B7*((星级总属性!$K$3)/(星级总属性!$K$3+星级总属性!$L$3))+$G43*(HLOOKUP(HLOOKUP(武将总属性分配!B$3,职业属性偏向!$B$3:$E$16,14,FALSE),INDIRECT(TEXT($A$37&amp;"!$B$2:$G$3","")),2,FALSE)/INDIRECT(TEXT($A$37&amp;"!$H$3","")))*((星级总属性!$L$3)/(星级总属性!$K$3+星级总属性!$L$3)),0)</f>
        <v>539</v>
      </c>
      <c r="C43" s="6">
        <f ca="1">ROUND($G43*职业分类属性!C7*((星级总属性!$K$3)/(星级总属性!$K$3+星级总属性!$L$3))+$G43*(HLOOKUP(HLOOKUP(武将总属性分配!C$3,职业属性偏向!$B$3:$E$16,14,FALSE),INDIRECT(TEXT($A$37&amp;"!$B$2:$G$3","")),2,FALSE)/INDIRECT(TEXT($A$37&amp;"!$H$3","")))*((星级总属性!$L$3)/(星级总属性!$K$3+星级总属性!$L$3)),0)</f>
        <v>539</v>
      </c>
      <c r="D43" s="6">
        <f ca="1">ROUND($G43*职业分类属性!D7*((星级总属性!$K$3)/(星级总属性!$K$3+星级总属性!$L$3))+$G43*(HLOOKUP(HLOOKUP(武将总属性分配!D$3,职业属性偏向!$B$3:$E$16,14,FALSE),INDIRECT(TEXT($A$37&amp;"!$B$2:$G$3","")),2,FALSE)/INDIRECT(TEXT($A$37&amp;"!$H$3","")))*((星级总属性!$L$3)/(星级总属性!$K$3+星级总属性!$L$3)),0)</f>
        <v>5243</v>
      </c>
      <c r="E43" s="6">
        <f ca="1">ROUND($G43*职业分类属性!E7*((星级总属性!$K$3)/(星级总属性!$K$3+星级总属性!$L$3))+$G43*(HLOOKUP(HLOOKUP(武将总属性分配!E$3,职业属性偏向!$B$3:$E$16,14,FALSE),INDIRECT(TEXT($A$37&amp;"!$B$2:$G$3","")),2,FALSE)/INDIRECT(TEXT($A$37&amp;"!$H$3","")))*((星级总属性!$L$3)/(星级总属性!$K$3+星级总属性!$L$3)),0)</f>
        <v>539</v>
      </c>
      <c r="F43" s="6">
        <f>VLOOKUP($F$37,'6星每级加强属性曲线演算'!$A$3:$B$7,2,FALSE)</f>
        <v>10500</v>
      </c>
      <c r="G43" s="6">
        <f>F43*职业分类属性!G7</f>
        <v>7349.9999999999991</v>
      </c>
    </row>
    <row r="44" spans="1:7" x14ac:dyDescent="0.25">
      <c r="A44" s="8" t="s">
        <v>6</v>
      </c>
      <c r="B44" s="6">
        <f ca="1">ROUND($G44*职业分类属性!B8*((星级总属性!$K$3)/(星级总属性!$K$3+星级总属性!$L$3))+$G44*(HLOOKUP(HLOOKUP(武将总属性分配!B$3,职业属性偏向!$B$3:$E$16,14,FALSE),INDIRECT(TEXT($A$37&amp;"!$B$2:$G$3","")),2,FALSE)/INDIRECT(TEXT($A$37&amp;"!$H$3","")))*((星级总属性!$L$3)/(星级总属性!$K$3+星级总属性!$L$3)),0)</f>
        <v>616</v>
      </c>
      <c r="C44" s="6">
        <f ca="1">ROUND($G44*职业分类属性!C8*((星级总属性!$K$3)/(星级总属性!$K$3+星级总属性!$L$3))+$G44*(HLOOKUP(HLOOKUP(武将总属性分配!C$3,职业属性偏向!$B$3:$E$16,14,FALSE),INDIRECT(TEXT($A$37&amp;"!$B$2:$G$3","")),2,FALSE)/INDIRECT(TEXT($A$37&amp;"!$H$3","")))*((星级总属性!$L$3)/(星级总属性!$K$3+星级总属性!$L$3)),0)</f>
        <v>1288</v>
      </c>
      <c r="D44" s="6">
        <f ca="1">ROUND($G44*职业分类属性!D8*((星级总属性!$K$3)/(星级总属性!$K$3+星级总属性!$L$3))+$G44*(HLOOKUP(HLOOKUP(武将总属性分配!D$3,职业属性偏向!$B$3:$E$16,14,FALSE),INDIRECT(TEXT($A$37&amp;"!$B$2:$G$3","")),2,FALSE)/INDIRECT(TEXT($A$37&amp;"!$H$3","")))*((星级总属性!$L$3)/(星级总属性!$K$3+星级总属性!$L$3)),0)</f>
        <v>4648</v>
      </c>
      <c r="E44" s="6">
        <f ca="1">ROUND($G44*职业分类属性!E8*((星级总属性!$K$3)/(星级总属性!$K$3+星级总属性!$L$3))+$G44*(HLOOKUP(HLOOKUP(武将总属性分配!E$3,职业属性偏向!$B$3:$E$16,14,FALSE),INDIRECT(TEXT($A$37&amp;"!$B$2:$G$3","")),2,FALSE)/INDIRECT(TEXT($A$37&amp;"!$H$3","")))*((星级总属性!$L$3)/(星级总属性!$K$3+星级总属性!$L$3)),0)</f>
        <v>1288</v>
      </c>
      <c r="F44" s="6">
        <f>VLOOKUP($F$37,'6星每级加强属性曲线演算'!$A$3:$B$7,2,FALSE)</f>
        <v>10500</v>
      </c>
      <c r="G44" s="6">
        <f>F44*职业分类属性!G8</f>
        <v>8400</v>
      </c>
    </row>
    <row r="45" spans="1:7" x14ac:dyDescent="0.25">
      <c r="A45" s="8" t="s">
        <v>7</v>
      </c>
      <c r="B45" s="6">
        <f ca="1">ROUND($G45*职业分类属性!B9*((星级总属性!$K$3)/(星级总属性!$K$3+星级总属性!$L$3))+$G45*(HLOOKUP(HLOOKUP(武将总属性分配!B$3,职业属性偏向!$B$3:$E$16,14,FALSE),INDIRECT(TEXT($A$37&amp;"!$B$2:$G$3","")),2,FALSE)/INDIRECT(TEXT($A$37&amp;"!$H$3","")))*((星级总属性!$L$3)/(星级总属性!$K$3+星级总属性!$L$3)),0)</f>
        <v>1288</v>
      </c>
      <c r="C45" s="6">
        <f ca="1">ROUND($G45*职业分类属性!C9*((星级总属性!$K$3)/(星级总属性!$K$3+星级总属性!$L$3))+$G45*(HLOOKUP(HLOOKUP(武将总属性分配!C$3,职业属性偏向!$B$3:$E$16,14,FALSE),INDIRECT(TEXT($A$37&amp;"!$B$2:$G$3","")),2,FALSE)/INDIRECT(TEXT($A$37&amp;"!$H$3","")))*((星级总属性!$L$3)/(星级总属性!$K$3+星级总属性!$L$3)),0)</f>
        <v>616</v>
      </c>
      <c r="D45" s="6">
        <f ca="1">ROUND($G45*职业分类属性!D9*((星级总属性!$K$3)/(星级总属性!$K$3+星级总属性!$L$3))+$G45*(HLOOKUP(HLOOKUP(武将总属性分配!D$3,职业属性偏向!$B$3:$E$16,14,FALSE),INDIRECT(TEXT($A$37&amp;"!$B$2:$G$3","")),2,FALSE)/INDIRECT(TEXT($A$37&amp;"!$H$3","")))*((星级总属性!$L$3)/(星级总属性!$K$3+星级总属性!$L$3)),0)</f>
        <v>4648</v>
      </c>
      <c r="E45" s="6">
        <f ca="1">ROUND($G45*职业分类属性!E9*((星级总属性!$K$3)/(星级总属性!$K$3+星级总属性!$L$3))+$G45*(HLOOKUP(HLOOKUP(武将总属性分配!E$3,职业属性偏向!$B$3:$E$16,14,FALSE),INDIRECT(TEXT($A$37&amp;"!$B$2:$G$3","")),2,FALSE)/INDIRECT(TEXT($A$37&amp;"!$H$3","")))*((星级总属性!$L$3)/(星级总属性!$K$3+星级总属性!$L$3)),0)</f>
        <v>1288</v>
      </c>
      <c r="F45" s="6">
        <f>VLOOKUP($F$37,'6星每级加强属性曲线演算'!$A$3:$B$7,2,FALSE)</f>
        <v>10500</v>
      </c>
      <c r="G45" s="6">
        <f>F45*职业分类属性!G9</f>
        <v>8400</v>
      </c>
    </row>
    <row r="46" spans="1:7" x14ac:dyDescent="0.25">
      <c r="A46" s="8" t="s">
        <v>8</v>
      </c>
      <c r="B46" s="6">
        <f ca="1">ROUND($G46*职业分类属性!B10*((星级总属性!$K$3)/(星级总属性!$K$3+星级总属性!$L$3))+$G46*(HLOOKUP(HLOOKUP(武将总属性分配!B$3,职业属性偏向!$B$3:$E$16,14,FALSE),INDIRECT(TEXT($A$37&amp;"!$B$2:$G$3","")),2,FALSE)/INDIRECT(TEXT($A$37&amp;"!$H$3","")))*((星级总属性!$L$3)/(星级总属性!$K$3+星级总属性!$L$3)),0)</f>
        <v>4081</v>
      </c>
      <c r="C46" s="6">
        <f ca="1">ROUND($G46*职业分类属性!C10*((星级总属性!$K$3)/(星级总属性!$K$3+星级总属性!$L$3))+$G46*(HLOOKUP(HLOOKUP(武将总属性分配!C$3,职业属性偏向!$B$3:$E$16,14,FALSE),INDIRECT(TEXT($A$37&amp;"!$B$2:$G$3","")),2,FALSE)/INDIRECT(TEXT($A$37&amp;"!$H$3","")))*((星级总属性!$L$3)/(星级总属性!$K$3+星级总属性!$L$3)),0)</f>
        <v>1124</v>
      </c>
      <c r="D46" s="6">
        <f ca="1">ROUND($G46*职业分类属性!D10*((星级总属性!$K$3)/(星级总属性!$K$3+星级总属性!$L$3))+$G46*(HLOOKUP(HLOOKUP(武将总属性分配!D$3,职业属性偏向!$B$3:$E$16,14,FALSE),INDIRECT(TEXT($A$37&amp;"!$B$2:$G$3","")),2,FALSE)/INDIRECT(TEXT($A$37&amp;"!$H$3","")))*((星级总属性!$L$3)/(星级总属性!$K$3+星级总属性!$L$3)),0)</f>
        <v>3342</v>
      </c>
      <c r="E46" s="6">
        <f ca="1">ROUND($G46*职业分类属性!E10*((星级总属性!$K$3)/(星级总属性!$K$3+星级总属性!$L$3))+$G46*(HLOOKUP(HLOOKUP(武将总属性分配!E$3,职业属性偏向!$B$3:$E$16,14,FALSE),INDIRECT(TEXT($A$37&amp;"!$B$2:$G$3","")),2,FALSE)/INDIRECT(TEXT($A$37&amp;"!$H$3","")))*((星级总属性!$L$3)/(星级总属性!$K$3+星级总属性!$L$3)),0)</f>
        <v>2233</v>
      </c>
      <c r="F46" s="6">
        <f>VLOOKUP($F$37,'6星每级加强属性曲线演算'!$A$3:$B$7,2,FALSE)</f>
        <v>10500</v>
      </c>
      <c r="G46" s="6">
        <f>F46*职业分类属性!G10</f>
        <v>11550.000000000002</v>
      </c>
    </row>
    <row r="47" spans="1:7" x14ac:dyDescent="0.25">
      <c r="A47" s="8" t="s">
        <v>106</v>
      </c>
      <c r="B47" s="6">
        <f ca="1">ROUND($G47*职业分类属性!B11*((星级总属性!$K$3)/(星级总属性!$K$3+星级总属性!$L$3))+$G47*(HLOOKUP(HLOOKUP(武将总属性分配!B$3,职业属性偏向!$B$3:$E$16,14,FALSE),INDIRECT(TEXT($A$37&amp;"!$B$2:$G$3","")),2,FALSE)/INDIRECT(TEXT($A$37&amp;"!$H$3","")))*((星级总属性!$L$3)/(星级总属性!$K$3+星级总属性!$L$3)),0)</f>
        <v>1449</v>
      </c>
      <c r="C47" s="6">
        <f ca="1">ROUND($G47*职业分类属性!C11*((星级总属性!$K$3)/(星级总属性!$K$3+星级总属性!$L$3))+$G47*(HLOOKUP(HLOOKUP(武将总属性分配!C$3,职业属性偏向!$B$3:$E$16,14,FALSE),INDIRECT(TEXT($A$37&amp;"!$B$2:$G$3","")),2,FALSE)/INDIRECT(TEXT($A$37&amp;"!$H$3","")))*((星级总属性!$L$3)/(星级总属性!$K$3+星级总属性!$L$3)),0)</f>
        <v>2961</v>
      </c>
      <c r="D47" s="6">
        <f ca="1">ROUND($G47*职业分类属性!D11*((星级总属性!$K$3)/(星级总属性!$K$3+星级总属性!$L$3))+$G47*(HLOOKUP(HLOOKUP(武将总属性分配!D$3,职业属性偏向!$B$3:$E$16,14,FALSE),INDIRECT(TEXT($A$37&amp;"!$B$2:$G$3","")),2,FALSE)/INDIRECT(TEXT($A$37&amp;"!$H$3","")))*((星级总属性!$L$3)/(星级总属性!$K$3+星级总属性!$L$3)),0)</f>
        <v>1071</v>
      </c>
      <c r="E47" s="6">
        <f ca="1">ROUND($G47*职业分类属性!E11*((星级总属性!$K$3)/(星级总属性!$K$3+星级总属性!$L$3))+$G47*(HLOOKUP(HLOOKUP(武将总属性分配!E$3,职业属性偏向!$B$3:$E$16,14,FALSE),INDIRECT(TEXT($A$37&amp;"!$B$2:$G$3","")),2,FALSE)/INDIRECT(TEXT($A$37&amp;"!$H$3","")))*((星级总属性!$L$3)/(星级总属性!$K$3+星级总属性!$L$3)),0)</f>
        <v>3339</v>
      </c>
      <c r="F47" s="6">
        <f>VLOOKUP($F$37,'6星每级加强属性曲线演算'!$A$3:$B$7,2,FALSE)</f>
        <v>10500</v>
      </c>
      <c r="G47" s="6">
        <f>F47*职业分类属性!G11</f>
        <v>9450</v>
      </c>
    </row>
    <row r="48" spans="1:7" x14ac:dyDescent="0.25">
      <c r="A48" s="8" t="s">
        <v>107</v>
      </c>
      <c r="B48" s="6">
        <f ca="1">ROUND($G48*职业分类属性!B12*((星级总属性!$K$3)/(星级总属性!$K$3+星级总属性!$L$3))+$G48*(HLOOKUP(HLOOKUP(武将总属性分配!B$3,职业属性偏向!$B$3:$E$16,14,FALSE),INDIRECT(TEXT($A$37&amp;"!$B$2:$G$3","")),2,FALSE)/INDIRECT(TEXT($A$37&amp;"!$H$3","")))*((星级总属性!$L$3)/(星级总属性!$K$3+星级总属性!$L$3)),0)</f>
        <v>2233</v>
      </c>
      <c r="C48" s="6">
        <f ca="1">ROUND($G48*职业分类属性!C12*((星级总属性!$K$3)/(星级总属性!$K$3+星级总属性!$L$3))+$G48*(HLOOKUP(HLOOKUP(武将总属性分配!C$3,职业属性偏向!$B$3:$E$16,14,FALSE),INDIRECT(TEXT($A$37&amp;"!$B$2:$G$3","")),2,FALSE)/INDIRECT(TEXT($A$37&amp;"!$H$3","")))*((星级总属性!$L$3)/(星级总属性!$K$3+星级总属性!$L$3)),0)</f>
        <v>847</v>
      </c>
      <c r="D48" s="6">
        <f ca="1">ROUND($G48*职业分类属性!D12*((星级总属性!$K$3)/(星级总属性!$K$3+星级总属性!$L$3))+$G48*(HLOOKUP(HLOOKUP(武将总属性分配!D$3,职业属性偏向!$B$3:$E$16,14,FALSE),INDIRECT(TEXT($A$37&amp;"!$B$2:$G$3","")),2,FALSE)/INDIRECT(TEXT($A$37&amp;"!$H$3","")))*((星级总属性!$L$3)/(星级总属性!$K$3+星级总属性!$L$3)),0)</f>
        <v>847</v>
      </c>
      <c r="E48" s="6">
        <f ca="1">ROUND($G48*职业分类属性!E12*((星级总属性!$K$3)/(星级总属性!$K$3+星级总属性!$L$3))+$G48*(HLOOKUP(HLOOKUP(武将总属性分配!E$3,职业属性偏向!$B$3:$E$16,14,FALSE),INDIRECT(TEXT($A$37&amp;"!$B$2:$G$3","")),2,FALSE)/INDIRECT(TEXT($A$37&amp;"!$H$3","")))*((星级总属性!$L$3)/(星级总属性!$K$3+星级总属性!$L$3)),0)</f>
        <v>6853</v>
      </c>
      <c r="F48" s="6">
        <f>VLOOKUP($F$37,'6星每级加强属性曲线演算'!$A$3:$B$7,2,FALSE)</f>
        <v>10500</v>
      </c>
      <c r="G48" s="6">
        <f>F48*职业分类属性!G12</f>
        <v>11550.000000000002</v>
      </c>
    </row>
    <row r="49" spans="1:7" x14ac:dyDescent="0.25">
      <c r="A49" s="8" t="s">
        <v>108</v>
      </c>
      <c r="B49" s="6">
        <f ca="1">ROUND($G49*职业分类属性!B13*((星级总属性!$K$3)/(星级总属性!$K$3+星级总属性!$L$3))+$G49*(HLOOKUP(HLOOKUP(武将总属性分配!B$3,职业属性偏向!$B$3:$E$16,14,FALSE),INDIRECT(TEXT($A$37&amp;"!$B$2:$G$3","")),2,FALSE)/INDIRECT(TEXT($A$37&amp;"!$H$3","")))*((星级总属性!$L$3)/(星级总属性!$K$3+星级总属性!$L$3)),0)</f>
        <v>2695</v>
      </c>
      <c r="C49" s="6">
        <f ca="1">ROUND($G49*职业分类属性!C13*((星级总属性!$K$3)/(星级总属性!$K$3+星级总属性!$L$3))+$G49*(HLOOKUP(HLOOKUP(武将总属性分配!C$3,职业属性偏向!$B$3:$E$16,14,FALSE),INDIRECT(TEXT($A$37&amp;"!$B$2:$G$3","")),2,FALSE)/INDIRECT(TEXT($A$37&amp;"!$H$3","")))*((星级总属性!$L$3)/(星级总属性!$K$3+星级总属性!$L$3)),0)</f>
        <v>2695</v>
      </c>
      <c r="D49" s="6">
        <f ca="1">ROUND($G49*职业分类属性!D13*((星级总属性!$K$3)/(星级总属性!$K$3+星级总属性!$L$3))+$G49*(HLOOKUP(HLOOKUP(武将总属性分配!D$3,职业属性偏向!$B$3:$E$16,14,FALSE),INDIRECT(TEXT($A$37&amp;"!$B$2:$G$3","")),2,FALSE)/INDIRECT(TEXT($A$37&amp;"!$H$3","")))*((星级总属性!$L$3)/(星级总属性!$K$3+星级总属性!$L$3)),0)</f>
        <v>2695</v>
      </c>
      <c r="E49" s="6">
        <f ca="1">ROUND($G49*职业分类属性!E13*((星级总属性!$K$3)/(星级总属性!$K$3+星级总属性!$L$3))+$G49*(HLOOKUP(HLOOKUP(武将总属性分配!E$3,职业属性偏向!$B$3:$E$16,14,FALSE),INDIRECT(TEXT($A$37&amp;"!$B$2:$G$3","")),2,FALSE)/INDIRECT(TEXT($A$37&amp;"!$H$3","")))*((星级总属性!$L$3)/(星级总属性!$K$3+星级总属性!$L$3)),0)</f>
        <v>2695</v>
      </c>
      <c r="F49" s="6">
        <f>VLOOKUP($F$37,'6星每级加强属性曲线演算'!$A$3:$B$7,2,FALSE)</f>
        <v>10500</v>
      </c>
      <c r="G49" s="6">
        <f>F49*职业分类属性!G13</f>
        <v>11550.000000000002</v>
      </c>
    </row>
    <row r="50" spans="1:7" x14ac:dyDescent="0.25">
      <c r="A50" s="8" t="s">
        <v>9</v>
      </c>
      <c r="B50" s="6">
        <f ca="1">ROUND($G50*职业分类属性!B14*((星级总属性!$K$3)/(星级总属性!$K$3+星级总属性!$L$3))+$G50*(HLOOKUP(HLOOKUP(武将总属性分配!B$3,职业属性偏向!$B$3:$E$16,14,FALSE),INDIRECT(TEXT($A$37&amp;"!$B$2:$G$3","")),2,FALSE)/INDIRECT(TEXT($A$37&amp;"!$H$3","")))*((星级总属性!$L$3)/(星级总属性!$K$3+星级总属性!$L$3)),0)</f>
        <v>1019</v>
      </c>
      <c r="C50" s="6">
        <f ca="1">ROUND($G50*职业分类属性!C14*((星级总属性!$K$3)/(星级总属性!$K$3+星级总属性!$L$3))+$G50*(HLOOKUP(HLOOKUP(武将总属性分配!C$3,职业属性偏向!$B$3:$E$16,14,FALSE),INDIRECT(TEXT($A$37&amp;"!$B$2:$G$3","")),2,FALSE)/INDIRECT(TEXT($A$37&amp;"!$H$3","")))*((星级总属性!$L$3)/(星级总属性!$K$3+星级总属性!$L$3)),0)</f>
        <v>4648</v>
      </c>
      <c r="D50" s="6">
        <f ca="1">ROUND($G50*职业分类属性!D14*((星级总属性!$K$3)/(星级总属性!$K$3+星级总属性!$L$3))+$G50*(HLOOKUP(HLOOKUP(武将总属性分配!D$3,职业属性偏向!$B$3:$E$16,14,FALSE),INDIRECT(TEXT($A$37&amp;"!$B$2:$G$3","")),2,FALSE)/INDIRECT(TEXT($A$37&amp;"!$H$3","")))*((星级总属性!$L$3)/(星级总属性!$K$3+星级总属性!$L$3)),0)</f>
        <v>885</v>
      </c>
      <c r="E50" s="6">
        <f ca="1">ROUND($G50*职业分类属性!E14*((星级总属性!$K$3)/(星级总属性!$K$3+星级总属性!$L$3))+$G50*(HLOOKUP(HLOOKUP(武将总属性分配!E$3,职业属性偏向!$B$3:$E$16,14,FALSE),INDIRECT(TEXT($A$37&amp;"!$B$2:$G$3","")),2,FALSE)/INDIRECT(TEXT($A$37&amp;"!$H$3","")))*((星级总属性!$L$3)/(星级总属性!$K$3+星级总属性!$L$3)),0)</f>
        <v>1288</v>
      </c>
      <c r="F50" s="6">
        <f>VLOOKUP($F$37,'6星每级加强属性曲线演算'!$A$3:$B$7,2,FALSE)</f>
        <v>10500</v>
      </c>
      <c r="G50" s="6">
        <f>F50*职业分类属性!G14</f>
        <v>8400</v>
      </c>
    </row>
    <row r="51" spans="1:7" x14ac:dyDescent="0.25">
      <c r="A51" s="8" t="s">
        <v>10</v>
      </c>
      <c r="B51" s="6">
        <f ca="1">ROUND($G51*职业分类属性!B15*((星级总属性!$K$3)/(星级总属性!$K$3+星级总属性!$L$3))+$G51*(HLOOKUP(HLOOKUP(武将总属性分配!B$3,职业属性偏向!$B$3:$E$16,14,FALSE),INDIRECT(TEXT($A$37&amp;"!$B$2:$G$3","")),2,FALSE)/INDIRECT(TEXT($A$37&amp;"!$H$3","")))*((星级总属性!$L$3)/(星级总属性!$K$3+星级总属性!$L$3)),0)</f>
        <v>952</v>
      </c>
      <c r="C51" s="6">
        <f ca="1">ROUND($G51*职业分类属性!C15*((星级总属性!$K$3)/(星级总属性!$K$3+星级总属性!$L$3))+$G51*(HLOOKUP(HLOOKUP(武将总属性分配!C$3,职业属性偏向!$B$3:$E$16,14,FALSE),INDIRECT(TEXT($A$37&amp;"!$B$2:$G$3","")),2,FALSE)/INDIRECT(TEXT($A$37&amp;"!$H$3","")))*((星级总属性!$L$3)/(星级总属性!$K$3+星级总属性!$L$3)),0)</f>
        <v>616</v>
      </c>
      <c r="D51" s="6">
        <f ca="1">ROUND($G51*职业分类属性!D15*((星级总属性!$K$3)/(星级总属性!$K$3+星级总属性!$L$3))+$G51*(HLOOKUP(HLOOKUP(武将总属性分配!D$3,职业属性偏向!$B$3:$E$16,14,FALSE),INDIRECT(TEXT($A$37&amp;"!$B$2:$G$3","")),2,FALSE)/INDIRECT(TEXT($A$37&amp;"!$H$3","")))*((星级总属性!$L$3)/(星级总属性!$K$3+星级总属性!$L$3)),0)</f>
        <v>4648</v>
      </c>
      <c r="E51" s="6">
        <f ca="1">ROUND($G51*职业分类属性!E15*((星级总属性!$K$3)/(星级总属性!$K$3+星级总属性!$L$3))+$G51*(HLOOKUP(HLOOKUP(武将总属性分配!E$3,职业属性偏向!$B$3:$E$16,14,FALSE),INDIRECT(TEXT($A$37&amp;"!$B$2:$G$3","")),2,FALSE)/INDIRECT(TEXT($A$37&amp;"!$H$3","")))*((星级总属性!$L$3)/(星级总属性!$K$3+星级总属性!$L$3)),0)</f>
        <v>1624</v>
      </c>
      <c r="F51" s="6">
        <f>VLOOKUP($F$37,'6星每级加强属性曲线演算'!$A$3:$B$7,2,FALSE)</f>
        <v>10500</v>
      </c>
      <c r="G51" s="6">
        <f>F51*职业分类属性!G15</f>
        <v>8400</v>
      </c>
    </row>
    <row r="52" spans="1:7" x14ac:dyDescent="0.25">
      <c r="B52" s="8" t="str">
        <f>B38</f>
        <v>生命值</v>
      </c>
      <c r="C52" s="8" t="str">
        <f t="shared" ref="C52:G52" si="3">C38</f>
        <v>回复力</v>
      </c>
      <c r="D52" s="8" t="str">
        <f t="shared" si="3"/>
        <v>武力</v>
      </c>
      <c r="E52" s="8" t="str">
        <f t="shared" si="3"/>
        <v>防御</v>
      </c>
      <c r="F52" s="8" t="str">
        <f t="shared" si="3"/>
        <v>原总属性</v>
      </c>
      <c r="G52" s="8" t="str">
        <f t="shared" si="3"/>
        <v>修正后总属性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Normal="100" workbookViewId="0">
      <selection activeCell="G14" sqref="G14"/>
    </sheetView>
  </sheetViews>
  <sheetFormatPr defaultRowHeight="14.4" x14ac:dyDescent="0.25"/>
  <cols>
    <col min="2" max="2" width="13" style="16" bestFit="1" customWidth="1"/>
    <col min="3" max="3" width="8.88671875" style="16"/>
    <col min="4" max="4" width="12.109375" style="19" bestFit="1" customWidth="1"/>
    <col min="5" max="6" width="9" style="16"/>
    <col min="7" max="9" width="18.77734375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30</v>
      </c>
      <c r="B1" s="13" t="s">
        <v>39</v>
      </c>
      <c r="C1" s="13" t="s">
        <v>31</v>
      </c>
      <c r="D1" s="17" t="s">
        <v>94</v>
      </c>
      <c r="E1" s="13"/>
      <c r="F1" s="21" t="str">
        <f>[4]系统占比!O1</f>
        <v>星级</v>
      </c>
      <c r="G1" s="21" t="str">
        <f>[4]系统占比!W1</f>
        <v>初始数值</v>
      </c>
      <c r="H1" s="21" t="str">
        <f>[4]系统占比!X1</f>
        <v>递增间隔</v>
      </c>
      <c r="I1" s="21" t="str">
        <f>[4]系统占比!Y1</f>
        <v>步进幅度</v>
      </c>
      <c r="J1" s="21" t="s">
        <v>46</v>
      </c>
      <c r="K1" s="13"/>
      <c r="L1" s="13" t="s">
        <v>37</v>
      </c>
      <c r="M1" s="13" t="s">
        <v>39</v>
      </c>
    </row>
    <row r="2" spans="1:16" x14ac:dyDescent="0.25">
      <c r="A2" s="13">
        <v>0</v>
      </c>
      <c r="B2" s="13">
        <v>0</v>
      </c>
      <c r="C2" s="13">
        <v>0</v>
      </c>
      <c r="D2" s="17">
        <v>0</v>
      </c>
      <c r="E2"/>
      <c r="F2" s="14">
        <f>[4]系统占比!O2</f>
        <v>6</v>
      </c>
      <c r="G2" s="14">
        <f>[4]系统占比!W2</f>
        <v>1000</v>
      </c>
      <c r="H2" s="14">
        <f>[4]系统占比!X2</f>
        <v>1</v>
      </c>
      <c r="I2" s="14">
        <f>[4]系统占比!Y2</f>
        <v>950</v>
      </c>
      <c r="J2" s="14">
        <f>H2-ROW(C3)</f>
        <v>-2</v>
      </c>
      <c r="L2" s="13">
        <v>0</v>
      </c>
      <c r="M2" s="13">
        <v>0</v>
      </c>
      <c r="P2" t="s">
        <v>33</v>
      </c>
    </row>
    <row r="3" spans="1:16" x14ac:dyDescent="0.25">
      <c r="A3" s="16">
        <v>1</v>
      </c>
      <c r="B3" s="16">
        <f>$G$2</f>
        <v>1000</v>
      </c>
      <c r="C3">
        <f>INT((ROW()+$J$2)/$H$2)*$I$2</f>
        <v>950</v>
      </c>
      <c r="D3" s="18"/>
      <c r="E3" s="13"/>
      <c r="F3" s="13"/>
      <c r="G3" s="21" t="s">
        <v>47</v>
      </c>
      <c r="H3" s="21" t="s">
        <v>48</v>
      </c>
      <c r="I3" s="21" t="s">
        <v>49</v>
      </c>
      <c r="J3" s="21" t="s">
        <v>38</v>
      </c>
      <c r="L3" s="13">
        <f>A3</f>
        <v>1</v>
      </c>
      <c r="M3" s="13">
        <f>ROUND($G$4*(($A3)^3)+$H$4*(($A3)^2)+$I$4*$A3+$J$4,0)</f>
        <v>1000</v>
      </c>
    </row>
    <row r="4" spans="1:16" x14ac:dyDescent="0.25">
      <c r="A4" s="16">
        <v>2</v>
      </c>
      <c r="B4" s="16">
        <f>B3+C3</f>
        <v>1950</v>
      </c>
      <c r="C4">
        <f t="shared" ref="C4:C7" si="0">INT((ROW()+$J$2)/$H$2)*$I$2</f>
        <v>1900</v>
      </c>
      <c r="D4" s="18">
        <f>(B4-B3)/B3</f>
        <v>0.95</v>
      </c>
      <c r="E4"/>
      <c r="F4"/>
      <c r="G4" s="14">
        <f>INDEX(LINEST($B$3:$B$7, $A$3:$A$7^{1,2,3},TRUE,TRUE),1,1)</f>
        <v>2.8552384143592167E-13</v>
      </c>
      <c r="H4" s="14">
        <f>INDEX(LINEST($B$3:$B$7, $A$3:$A$7^{1,2,3},TRUE,TRUE),1,2)</f>
        <v>474.99999999999721</v>
      </c>
      <c r="I4" s="14">
        <f>INDEX(LINEST($B$3:$B$7, $A$3:$A$7^{1,2,3},TRUE,TRUE),1,3)</f>
        <v>-474.99999999999216</v>
      </c>
      <c r="J4" s="14">
        <f>INDEX(LINEST($B$3:$B$7, $A$3:$A$7^{1,2,3},TRUE,TRUE),1,4)</f>
        <v>999.99999999999443</v>
      </c>
      <c r="L4" s="13">
        <f>A4</f>
        <v>2</v>
      </c>
      <c r="M4" s="13">
        <f>ROUND($G$4*(($A4)^3)+$H$4*(($A4)^2)+$I$4*$A4+$J$4,0)</f>
        <v>1950</v>
      </c>
      <c r="P4" t="s">
        <v>36</v>
      </c>
    </row>
    <row r="5" spans="1:16" x14ac:dyDescent="0.25">
      <c r="A5" s="16">
        <v>3</v>
      </c>
      <c r="B5" s="16">
        <f t="shared" ref="B5:B7" si="1">B4+C4</f>
        <v>3850</v>
      </c>
      <c r="C5">
        <f t="shared" si="0"/>
        <v>2850</v>
      </c>
      <c r="D5" s="18">
        <f t="shared" ref="D5:D7" si="2">(B5-B4)/B4</f>
        <v>0.97435897435897434</v>
      </c>
      <c r="E5"/>
      <c r="F5"/>
      <c r="L5" s="13">
        <f>A5</f>
        <v>3</v>
      </c>
      <c r="M5" s="13">
        <f>ROUND($G$4*(($A5)^3)+$H$4*(($A5)^2)+$I$4*$A5+$J$4,0)</f>
        <v>3850</v>
      </c>
      <c r="P5" t="s">
        <v>34</v>
      </c>
    </row>
    <row r="6" spans="1:16" x14ac:dyDescent="0.25">
      <c r="A6" s="16">
        <v>4</v>
      </c>
      <c r="B6" s="16">
        <f t="shared" si="1"/>
        <v>6700</v>
      </c>
      <c r="C6">
        <f t="shared" si="0"/>
        <v>3800</v>
      </c>
      <c r="D6" s="18">
        <f t="shared" si="2"/>
        <v>0.74025974025974028</v>
      </c>
      <c r="E6"/>
      <c r="F6"/>
      <c r="L6" s="13">
        <f>A6</f>
        <v>4</v>
      </c>
      <c r="M6" s="13">
        <f>ROUND($G$4*(($A6)^3)+$H$4*(($A6)^2)+$I$4*$A6+$J$4,0)</f>
        <v>6700</v>
      </c>
      <c r="P6" t="s">
        <v>35</v>
      </c>
    </row>
    <row r="7" spans="1:16" x14ac:dyDescent="0.25">
      <c r="A7" s="16">
        <v>5</v>
      </c>
      <c r="B7" s="16">
        <f t="shared" si="1"/>
        <v>10500</v>
      </c>
      <c r="C7">
        <f t="shared" si="0"/>
        <v>4750</v>
      </c>
      <c r="D7" s="18">
        <f t="shared" si="2"/>
        <v>0.56716417910447758</v>
      </c>
      <c r="E7"/>
      <c r="F7"/>
      <c r="L7" s="13">
        <f>A7</f>
        <v>5</v>
      </c>
      <c r="M7" s="13">
        <f>ROUND($G$4*(($A7)^3)+$H$4*(($A7)^2)+$I$4*$A7+$J$4,0)</f>
        <v>10500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="85" zoomScaleNormal="85" workbookViewId="0">
      <selection activeCell="B36" sqref="B36"/>
    </sheetView>
  </sheetViews>
  <sheetFormatPr defaultRowHeight="14.4" x14ac:dyDescent="0.25"/>
  <cols>
    <col min="2" max="2" width="13" style="16" bestFit="1" customWidth="1"/>
    <col min="3" max="3" width="9" style="16"/>
    <col min="4" max="4" width="12.109375" style="19" bestFit="1" customWidth="1"/>
    <col min="5" max="6" width="9" style="16"/>
    <col min="7" max="8" width="12.77734375" bestFit="1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30</v>
      </c>
      <c r="B1" s="13" t="s">
        <v>39</v>
      </c>
      <c r="C1" s="13" t="s">
        <v>31</v>
      </c>
      <c r="D1" s="17" t="s">
        <v>94</v>
      </c>
      <c r="E1" s="13"/>
      <c r="F1" s="21" t="s">
        <v>58</v>
      </c>
      <c r="G1" s="21" t="s">
        <v>32</v>
      </c>
      <c r="H1" s="21" t="s">
        <v>44</v>
      </c>
      <c r="I1" s="21" t="s">
        <v>45</v>
      </c>
      <c r="J1" s="21" t="s">
        <v>46</v>
      </c>
      <c r="K1" s="13"/>
      <c r="L1" s="13" t="s">
        <v>37</v>
      </c>
      <c r="M1" s="13" t="s">
        <v>39</v>
      </c>
    </row>
    <row r="2" spans="1:16" x14ac:dyDescent="0.25">
      <c r="A2" s="13">
        <v>0</v>
      </c>
      <c r="B2" s="13">
        <v>0</v>
      </c>
      <c r="C2" s="13">
        <v>0</v>
      </c>
      <c r="D2" s="17">
        <v>0</v>
      </c>
      <c r="E2"/>
      <c r="F2" s="14">
        <v>5</v>
      </c>
      <c r="G2" s="14">
        <f>'6星每级加强属性曲线演算'!G$2/HLOOKUP('5星每级加强属性曲线演算'!$F$2,星级总属性!$B$2:$G$6,5,FALSE)</f>
        <v>771.42857142857144</v>
      </c>
      <c r="H2" s="14">
        <f>'6星每级加强属性曲线演算'!$H$2</f>
        <v>1</v>
      </c>
      <c r="I2" s="14">
        <f>'6星每级加强属性曲线演算'!I$2/HLOOKUP('5星每级加强属性曲线演算'!$F$2,星级总属性!$B$2:$G$6,5,FALSE)</f>
        <v>732.85714285714289</v>
      </c>
      <c r="J2" s="14">
        <f>H2-ROW(C3)</f>
        <v>-2</v>
      </c>
      <c r="L2" s="13">
        <v>0</v>
      </c>
      <c r="M2" s="13">
        <v>0</v>
      </c>
      <c r="P2" t="s">
        <v>33</v>
      </c>
    </row>
    <row r="3" spans="1:16" x14ac:dyDescent="0.25">
      <c r="A3" s="16">
        <v>1</v>
      </c>
      <c r="B3" s="16">
        <f>ROUND($G$2,0)</f>
        <v>771</v>
      </c>
      <c r="C3" s="13">
        <f>ROUND(INT((ROW()+$J$2)/$H$2)*$I$2,0)</f>
        <v>733</v>
      </c>
      <c r="D3" s="18"/>
      <c r="E3" s="13"/>
      <c r="F3" s="13"/>
      <c r="G3" s="21" t="s">
        <v>47</v>
      </c>
      <c r="H3" s="21" t="s">
        <v>48</v>
      </c>
      <c r="I3" s="21" t="s">
        <v>49</v>
      </c>
      <c r="J3" s="21" t="s">
        <v>38</v>
      </c>
      <c r="L3" s="13">
        <f>A3</f>
        <v>1</v>
      </c>
      <c r="M3" s="13">
        <f>ROUND($G$4*(($A3)^3)+$H$4*(($A3)^2)+$I$4*$A3+$J$4,0)</f>
        <v>771</v>
      </c>
    </row>
    <row r="4" spans="1:16" x14ac:dyDescent="0.25">
      <c r="A4" s="16">
        <v>2</v>
      </c>
      <c r="B4" s="16">
        <f>ROUND(B3+C3,0)</f>
        <v>1504</v>
      </c>
      <c r="C4" s="13">
        <f t="shared" ref="C4:C7" si="0">ROUND(INT((ROW()+$J$2)/$H$2)*$I$2,0)</f>
        <v>1466</v>
      </c>
      <c r="D4" s="18">
        <f>(B4-B3)/B3</f>
        <v>0.95071335927367051</v>
      </c>
      <c r="E4"/>
      <c r="F4"/>
      <c r="G4" s="14">
        <f>INDEX(LINEST($B$3:$B$7, $A$3:$A$7^{1,2,3},TRUE,TRUE),1,1)</f>
        <v>-8.3333333333151086E-2</v>
      </c>
      <c r="H4" s="14">
        <f>INDEX(LINEST($B$3:$B$7, $A$3:$A$7^{1,2,3},TRUE,TRUE),1,2)</f>
        <v>367.10714285714107</v>
      </c>
      <c r="I4" s="14">
        <f>INDEX(LINEST($B$3:$B$7, $A$3:$A$7^{1,2,3},TRUE,TRUE),1,3)</f>
        <v>-367.80952380951936</v>
      </c>
      <c r="J4" s="14">
        <f>INDEX(LINEST($B$3:$B$7, $A$3:$A$7^{1,2,3},TRUE,TRUE),1,4)</f>
        <v>771.79999999999836</v>
      </c>
      <c r="L4" s="13">
        <f>A4</f>
        <v>2</v>
      </c>
      <c r="M4" s="13">
        <f>ROUND($G$4*(($A4)^3)+$H$4*(($A4)^2)+$I$4*$A4+$J$4,0)</f>
        <v>1504</v>
      </c>
      <c r="P4" t="s">
        <v>36</v>
      </c>
    </row>
    <row r="5" spans="1:16" x14ac:dyDescent="0.25">
      <c r="A5" s="16">
        <v>3</v>
      </c>
      <c r="B5" s="16">
        <f t="shared" ref="B5:B7" si="1">ROUND(B4+C4,0)</f>
        <v>2970</v>
      </c>
      <c r="C5" s="13">
        <f t="shared" si="0"/>
        <v>2199</v>
      </c>
      <c r="D5" s="18">
        <f t="shared" ref="D5:D7" si="2">(B5-B4)/B4</f>
        <v>0.97473404255319152</v>
      </c>
      <c r="E5"/>
      <c r="F5"/>
      <c r="L5" s="13">
        <f>A5</f>
        <v>3</v>
      </c>
      <c r="M5" s="13">
        <f>ROUND($G$4*(($A5)^3)+$H$4*(($A5)^2)+$I$4*$A5+$J$4,0)</f>
        <v>2970</v>
      </c>
      <c r="P5" t="s">
        <v>34</v>
      </c>
    </row>
    <row r="6" spans="1:16" x14ac:dyDescent="0.25">
      <c r="A6" s="16">
        <v>4</v>
      </c>
      <c r="B6" s="16">
        <f t="shared" si="1"/>
        <v>5169</v>
      </c>
      <c r="C6" s="13">
        <f t="shared" si="0"/>
        <v>2931</v>
      </c>
      <c r="D6" s="18">
        <f t="shared" si="2"/>
        <v>0.7404040404040404</v>
      </c>
      <c r="E6"/>
      <c r="F6"/>
      <c r="L6" s="13">
        <f>A6</f>
        <v>4</v>
      </c>
      <c r="M6" s="13">
        <f>ROUND($G$4*(($A6)^3)+$H$4*(($A6)^2)+$I$4*$A6+$J$4,0)</f>
        <v>5169</v>
      </c>
      <c r="P6" t="s">
        <v>35</v>
      </c>
    </row>
    <row r="7" spans="1:16" x14ac:dyDescent="0.25">
      <c r="A7" s="16">
        <v>5</v>
      </c>
      <c r="B7" s="16">
        <f t="shared" si="1"/>
        <v>8100</v>
      </c>
      <c r="C7" s="13">
        <f t="shared" si="0"/>
        <v>3664</v>
      </c>
      <c r="D7" s="18">
        <f t="shared" si="2"/>
        <v>0.56703424260011603</v>
      </c>
      <c r="E7"/>
      <c r="F7"/>
      <c r="L7" s="13">
        <f>A7</f>
        <v>5</v>
      </c>
      <c r="M7" s="13">
        <f>ROUND($G$4*(($A7)^3)+$H$4*(($A7)^2)+$I$4*$A7+$J$4,0)</f>
        <v>8100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="85" zoomScaleNormal="85" workbookViewId="0">
      <selection activeCell="D1" sqref="D1:D1048576"/>
    </sheetView>
  </sheetViews>
  <sheetFormatPr defaultRowHeight="14.4" x14ac:dyDescent="0.25"/>
  <cols>
    <col min="2" max="2" width="13" style="16" bestFit="1" customWidth="1"/>
    <col min="3" max="3" width="9" style="16"/>
    <col min="4" max="4" width="12.109375" style="19" bestFit="1" customWidth="1"/>
    <col min="5" max="6" width="9" style="16"/>
    <col min="7" max="8" width="12.77734375" bestFit="1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30</v>
      </c>
      <c r="B1" s="13" t="s">
        <v>39</v>
      </c>
      <c r="C1" s="13" t="s">
        <v>31</v>
      </c>
      <c r="D1" s="17" t="s">
        <v>94</v>
      </c>
      <c r="E1" s="13"/>
      <c r="F1" s="21" t="s">
        <v>58</v>
      </c>
      <c r="G1" s="21" t="s">
        <v>32</v>
      </c>
      <c r="H1" s="21" t="s">
        <v>44</v>
      </c>
      <c r="I1" s="21" t="s">
        <v>45</v>
      </c>
      <c r="J1" s="21" t="s">
        <v>46</v>
      </c>
      <c r="K1" s="13"/>
      <c r="L1" s="13" t="s">
        <v>37</v>
      </c>
      <c r="M1" s="13" t="s">
        <v>39</v>
      </c>
    </row>
    <row r="2" spans="1:16" x14ac:dyDescent="0.25">
      <c r="A2" s="13">
        <v>0</v>
      </c>
      <c r="B2" s="13">
        <v>0</v>
      </c>
      <c r="C2" s="13">
        <v>0</v>
      </c>
      <c r="D2" s="17">
        <v>0</v>
      </c>
      <c r="E2"/>
      <c r="F2" s="14">
        <v>4</v>
      </c>
      <c r="G2" s="14">
        <f>'6星每级加强属性曲线演算'!G$2/HLOOKUP('4星每级加强属性曲线演算'!$F$2,星级总属性!$B$2:$G$6,5,FALSE)</f>
        <v>590.47619047619048</v>
      </c>
      <c r="H2" s="14">
        <f>'6星每级加强属性曲线演算'!$H$2</f>
        <v>1</v>
      </c>
      <c r="I2" s="14">
        <f>'6星每级加强属性曲线演算'!I$2/HLOOKUP('4星每级加强属性曲线演算'!$F$2,星级总属性!$B$2:$G$6,5,FALSE)</f>
        <v>560.95238095238096</v>
      </c>
      <c r="J2" s="14">
        <f>H2-ROW(C3)</f>
        <v>-2</v>
      </c>
      <c r="L2" s="13">
        <v>0</v>
      </c>
      <c r="M2" s="13">
        <v>0</v>
      </c>
      <c r="P2" t="s">
        <v>33</v>
      </c>
    </row>
    <row r="3" spans="1:16" x14ac:dyDescent="0.25">
      <c r="A3" s="16">
        <v>1</v>
      </c>
      <c r="B3" s="16">
        <f>ROUND($G$2,0)</f>
        <v>590</v>
      </c>
      <c r="C3" s="13">
        <f>ROUND(INT((ROW()+$J$2)/$H$2)*$I$2,0)</f>
        <v>561</v>
      </c>
      <c r="D3" s="18"/>
      <c r="E3" s="13"/>
      <c r="F3" s="13"/>
      <c r="G3" s="21" t="s">
        <v>47</v>
      </c>
      <c r="H3" s="21" t="s">
        <v>48</v>
      </c>
      <c r="I3" s="21" t="s">
        <v>49</v>
      </c>
      <c r="J3" s="21" t="s">
        <v>38</v>
      </c>
      <c r="L3" s="13">
        <f>A3</f>
        <v>1</v>
      </c>
      <c r="M3" s="13">
        <f>ROUND($G$4*(($A3)^3)+$H$4*(($A3)^2)+$I$4*$A3+$J$4,0)</f>
        <v>590</v>
      </c>
    </row>
    <row r="4" spans="1:16" x14ac:dyDescent="0.25">
      <c r="A4" s="16">
        <v>2</v>
      </c>
      <c r="B4" s="16">
        <f>ROUND(B3+C3,0)</f>
        <v>1151</v>
      </c>
      <c r="C4" s="13">
        <f t="shared" ref="C4:C7" si="0">ROUND(INT((ROW()+$J$2)/$H$2)*$I$2,0)</f>
        <v>1122</v>
      </c>
      <c r="D4" s="18">
        <f>(B4-B3)/B3</f>
        <v>0.95084745762711864</v>
      </c>
      <c r="E4"/>
      <c r="F4"/>
      <c r="G4" s="14">
        <f>INDEX(LINEST($B$3:$B$7, $A$3:$A$7^{1,2,3},TRUE,TRUE),1,1)</f>
        <v>1.338393006730883E-13</v>
      </c>
      <c r="H4" s="14">
        <f>INDEX(LINEST($B$3:$B$7, $A$3:$A$7^{1,2,3},TRUE,TRUE),1,2)</f>
        <v>280.49999999999869</v>
      </c>
      <c r="I4" s="14">
        <f>INDEX(LINEST($B$3:$B$7, $A$3:$A$7^{1,2,3},TRUE,TRUE),1,3)</f>
        <v>-280.49999999999659</v>
      </c>
      <c r="J4" s="14">
        <f>INDEX(LINEST($B$3:$B$7, $A$3:$A$7^{1,2,3},TRUE,TRUE),1,4)</f>
        <v>589.99999999999852</v>
      </c>
      <c r="L4" s="13">
        <f>A4</f>
        <v>2</v>
      </c>
      <c r="M4" s="13">
        <f>ROUND($G$4*(($A4)^3)+$H$4*(($A4)^2)+$I$4*$A4+$J$4,0)</f>
        <v>1151</v>
      </c>
      <c r="P4" t="s">
        <v>36</v>
      </c>
    </row>
    <row r="5" spans="1:16" x14ac:dyDescent="0.25">
      <c r="A5" s="16">
        <v>3</v>
      </c>
      <c r="B5" s="16">
        <f t="shared" ref="B5:B7" si="1">ROUND(B4+C4,0)</f>
        <v>2273</v>
      </c>
      <c r="C5" s="13">
        <f t="shared" si="0"/>
        <v>1683</v>
      </c>
      <c r="D5" s="18">
        <f t="shared" ref="D5:D7" si="2">(B5-B4)/B4</f>
        <v>0.97480451781059951</v>
      </c>
      <c r="E5"/>
      <c r="F5"/>
      <c r="L5" s="13">
        <f>A5</f>
        <v>3</v>
      </c>
      <c r="M5" s="13">
        <f>ROUND($G$4*(($A5)^3)+$H$4*(($A5)^2)+$I$4*$A5+$J$4,0)</f>
        <v>2273</v>
      </c>
      <c r="P5" t="s">
        <v>34</v>
      </c>
    </row>
    <row r="6" spans="1:16" x14ac:dyDescent="0.25">
      <c r="A6" s="16">
        <v>4</v>
      </c>
      <c r="B6" s="16">
        <f t="shared" si="1"/>
        <v>3956</v>
      </c>
      <c r="C6" s="13">
        <f t="shared" si="0"/>
        <v>2244</v>
      </c>
      <c r="D6" s="18">
        <f t="shared" si="2"/>
        <v>0.74043114826220857</v>
      </c>
      <c r="E6"/>
      <c r="F6"/>
      <c r="L6" s="13">
        <f>A6</f>
        <v>4</v>
      </c>
      <c r="M6" s="13">
        <f>ROUND($G$4*(($A6)^3)+$H$4*(($A6)^2)+$I$4*$A6+$J$4,0)</f>
        <v>3956</v>
      </c>
      <c r="P6" t="s">
        <v>35</v>
      </c>
    </row>
    <row r="7" spans="1:16" x14ac:dyDescent="0.25">
      <c r="A7" s="16">
        <v>5</v>
      </c>
      <c r="B7" s="16">
        <f t="shared" si="1"/>
        <v>6200</v>
      </c>
      <c r="C7" s="13">
        <f t="shared" si="0"/>
        <v>2805</v>
      </c>
      <c r="D7" s="18">
        <f t="shared" si="2"/>
        <v>0.5672396359959555</v>
      </c>
      <c r="E7"/>
      <c r="F7"/>
      <c r="L7" s="13">
        <f>A7</f>
        <v>5</v>
      </c>
      <c r="M7" s="13">
        <f>ROUND($G$4*(($A7)^3)+$H$4*(($A7)^2)+$I$4*$A7+$J$4,0)</f>
        <v>6200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="85" zoomScaleNormal="85" workbookViewId="0">
      <selection activeCell="D1" sqref="D1:D1048576"/>
    </sheetView>
  </sheetViews>
  <sheetFormatPr defaultRowHeight="14.4" x14ac:dyDescent="0.25"/>
  <cols>
    <col min="2" max="2" width="13" style="16" bestFit="1" customWidth="1"/>
    <col min="3" max="3" width="9" style="16"/>
    <col min="4" max="4" width="12.109375" style="19" bestFit="1" customWidth="1"/>
    <col min="5" max="6" width="9" style="16"/>
    <col min="7" max="8" width="12.77734375" bestFit="1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30</v>
      </c>
      <c r="B1" s="13" t="s">
        <v>39</v>
      </c>
      <c r="C1" s="13" t="s">
        <v>31</v>
      </c>
      <c r="D1" s="17" t="s">
        <v>94</v>
      </c>
      <c r="E1" s="13"/>
      <c r="F1" s="21" t="s">
        <v>58</v>
      </c>
      <c r="G1" s="21" t="s">
        <v>32</v>
      </c>
      <c r="H1" s="21" t="s">
        <v>44</v>
      </c>
      <c r="I1" s="21" t="s">
        <v>45</v>
      </c>
      <c r="J1" s="21" t="s">
        <v>46</v>
      </c>
      <c r="K1" s="13"/>
      <c r="L1" s="13" t="s">
        <v>37</v>
      </c>
      <c r="M1" s="13" t="s">
        <v>39</v>
      </c>
    </row>
    <row r="2" spans="1:16" x14ac:dyDescent="0.25">
      <c r="A2" s="13">
        <v>0</v>
      </c>
      <c r="B2" s="13">
        <v>0</v>
      </c>
      <c r="C2" s="13">
        <v>0</v>
      </c>
      <c r="D2" s="17">
        <v>0</v>
      </c>
      <c r="E2"/>
      <c r="F2" s="14">
        <v>3</v>
      </c>
      <c r="G2" s="14">
        <f>'6星每级加强属性曲线演算'!G$2/HLOOKUP('3星每级加强属性曲线演算'!$F$2,星级总属性!$B$2:$G$6,5,FALSE)</f>
        <v>457.14285714285717</v>
      </c>
      <c r="H2" s="14">
        <f>'6星每级加强属性曲线演算'!$H$2</f>
        <v>1</v>
      </c>
      <c r="I2" s="14">
        <f>'6星每级加强属性曲线演算'!I$2/HLOOKUP('3星每级加强属性曲线演算'!$F$2,星级总属性!$B$2:$G$6,5,FALSE)</f>
        <v>434.28571428571428</v>
      </c>
      <c r="J2" s="14">
        <f>H2-ROW(C3)</f>
        <v>-2</v>
      </c>
      <c r="L2" s="13">
        <v>0</v>
      </c>
      <c r="M2" s="13">
        <v>0</v>
      </c>
      <c r="P2" t="s">
        <v>33</v>
      </c>
    </row>
    <row r="3" spans="1:16" x14ac:dyDescent="0.25">
      <c r="A3" s="16">
        <v>1</v>
      </c>
      <c r="B3" s="16">
        <f>ROUND($G$2,0)</f>
        <v>457</v>
      </c>
      <c r="C3" s="13">
        <f>ROUND(INT((ROW()+$J$2)/$H$2)*$I$2,0)</f>
        <v>434</v>
      </c>
      <c r="D3" s="18"/>
      <c r="E3" s="13"/>
      <c r="F3" s="13"/>
      <c r="G3" s="21" t="s">
        <v>47</v>
      </c>
      <c r="H3" s="21" t="s">
        <v>48</v>
      </c>
      <c r="I3" s="21" t="s">
        <v>49</v>
      </c>
      <c r="J3" s="21" t="s">
        <v>38</v>
      </c>
      <c r="L3" s="13">
        <f>A3</f>
        <v>1</v>
      </c>
      <c r="M3" s="13">
        <f>ROUND($G$4*(($A3)^3)+$H$4*(($A3)^2)+$I$4*$A3+$J$4,0)</f>
        <v>457</v>
      </c>
    </row>
    <row r="4" spans="1:16" x14ac:dyDescent="0.25">
      <c r="A4" s="16">
        <v>2</v>
      </c>
      <c r="B4" s="16">
        <f>ROUND(B3+C3,0)</f>
        <v>891</v>
      </c>
      <c r="C4" s="13">
        <f t="shared" ref="C4:C7" si="0">ROUND(INT((ROW()+$J$2)/$H$2)*$I$2,0)</f>
        <v>869</v>
      </c>
      <c r="D4" s="18">
        <f>(B4-B3)/B3</f>
        <v>0.94967177242888401</v>
      </c>
      <c r="E4"/>
      <c r="F4"/>
      <c r="G4" s="14">
        <f>INDEX(LINEST($B$3:$B$7, $A$3:$A$7^{1,2,3},TRUE,TRUE),1,1)</f>
        <v>-8.3333333333218004E-2</v>
      </c>
      <c r="H4" s="14">
        <f>INDEX(LINEST($B$3:$B$7, $A$3:$A$7^{1,2,3},TRUE,TRUE),1,2)</f>
        <v>217.89285714285609</v>
      </c>
      <c r="I4" s="14">
        <f>INDEX(LINEST($B$3:$B$7, $A$3:$A$7^{1,2,3},TRUE,TRUE),1,3)</f>
        <v>-219.02380952380679</v>
      </c>
      <c r="J4" s="14">
        <f>INDEX(LINEST($B$3:$B$7, $A$3:$A$7^{1,2,3},TRUE,TRUE),1,4)</f>
        <v>458.19999999999783</v>
      </c>
      <c r="L4" s="13">
        <f>A4</f>
        <v>2</v>
      </c>
      <c r="M4" s="13">
        <f>ROUND($G$4*(($A4)^3)+$H$4*(($A4)^2)+$I$4*$A4+$J$4,0)</f>
        <v>891</v>
      </c>
      <c r="P4" t="s">
        <v>36</v>
      </c>
    </row>
    <row r="5" spans="1:16" x14ac:dyDescent="0.25">
      <c r="A5" s="16">
        <v>3</v>
      </c>
      <c r="B5" s="16">
        <f t="shared" ref="B5:B7" si="1">ROUND(B4+C4,0)</f>
        <v>1760</v>
      </c>
      <c r="C5" s="13">
        <f t="shared" si="0"/>
        <v>1303</v>
      </c>
      <c r="D5" s="18">
        <f t="shared" ref="D5:D7" si="2">(B5-B4)/B4</f>
        <v>0.97530864197530864</v>
      </c>
      <c r="E5"/>
      <c r="F5"/>
      <c r="L5" s="13">
        <f>A5</f>
        <v>3</v>
      </c>
      <c r="M5" s="13">
        <f>ROUND($G$4*(($A5)^3)+$H$4*(($A5)^2)+$I$4*$A5+$J$4,0)</f>
        <v>1760</v>
      </c>
      <c r="P5" t="s">
        <v>34</v>
      </c>
    </row>
    <row r="6" spans="1:16" x14ac:dyDescent="0.25">
      <c r="A6" s="16">
        <v>4</v>
      </c>
      <c r="B6" s="16">
        <f t="shared" si="1"/>
        <v>3063</v>
      </c>
      <c r="C6" s="13">
        <f t="shared" si="0"/>
        <v>1737</v>
      </c>
      <c r="D6" s="18">
        <f t="shared" si="2"/>
        <v>0.74034090909090911</v>
      </c>
      <c r="E6"/>
      <c r="F6"/>
      <c r="L6" s="13">
        <f>A6</f>
        <v>4</v>
      </c>
      <c r="M6" s="13">
        <f>ROUND($G$4*(($A6)^3)+$H$4*(($A6)^2)+$I$4*$A6+$J$4,0)</f>
        <v>3063</v>
      </c>
      <c r="P6" t="s">
        <v>35</v>
      </c>
    </row>
    <row r="7" spans="1:16" x14ac:dyDescent="0.25">
      <c r="A7" s="16">
        <v>5</v>
      </c>
      <c r="B7" s="16">
        <f t="shared" si="1"/>
        <v>4800</v>
      </c>
      <c r="C7" s="13">
        <f t="shared" si="0"/>
        <v>2171</v>
      </c>
      <c r="D7" s="18">
        <f t="shared" si="2"/>
        <v>0.56709108716944168</v>
      </c>
      <c r="E7"/>
      <c r="F7"/>
      <c r="L7" s="13">
        <f>A7</f>
        <v>5</v>
      </c>
      <c r="M7" s="13">
        <f>ROUND($G$4*(($A7)^3)+$H$4*(($A7)^2)+$I$4*$A7+$J$4,0)</f>
        <v>4800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="85" zoomScaleNormal="85" workbookViewId="0">
      <selection activeCell="D1" sqref="D1:D1048576"/>
    </sheetView>
  </sheetViews>
  <sheetFormatPr defaultRowHeight="14.4" x14ac:dyDescent="0.25"/>
  <cols>
    <col min="2" max="2" width="13" style="16" bestFit="1" customWidth="1"/>
    <col min="3" max="3" width="9" style="16"/>
    <col min="4" max="4" width="12.109375" style="19" bestFit="1" customWidth="1"/>
    <col min="5" max="6" width="9" style="16"/>
    <col min="7" max="8" width="12.77734375" bestFit="1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30</v>
      </c>
      <c r="B1" s="13" t="s">
        <v>39</v>
      </c>
      <c r="C1" s="13" t="s">
        <v>31</v>
      </c>
      <c r="D1" s="17" t="s">
        <v>94</v>
      </c>
      <c r="E1" s="13"/>
      <c r="F1" s="21" t="s">
        <v>58</v>
      </c>
      <c r="G1" s="21" t="s">
        <v>32</v>
      </c>
      <c r="H1" s="21" t="s">
        <v>44</v>
      </c>
      <c r="I1" s="21" t="s">
        <v>45</v>
      </c>
      <c r="J1" s="21" t="s">
        <v>46</v>
      </c>
      <c r="K1" s="13"/>
      <c r="L1" s="13" t="s">
        <v>37</v>
      </c>
      <c r="M1" s="13" t="s">
        <v>39</v>
      </c>
    </row>
    <row r="2" spans="1:16" x14ac:dyDescent="0.25">
      <c r="A2" s="13">
        <v>0</v>
      </c>
      <c r="B2" s="13">
        <v>0</v>
      </c>
      <c r="C2" s="13">
        <v>0</v>
      </c>
      <c r="D2" s="17">
        <v>0</v>
      </c>
      <c r="E2"/>
      <c r="F2" s="14">
        <v>2</v>
      </c>
      <c r="G2" s="14">
        <f>'6星每级加强属性曲线演算'!G$2/HLOOKUP('2星每级加强属性曲线演算'!$F$2,星级总属性!$B$2:$G$6,5,FALSE)</f>
        <v>352.38095238095241</v>
      </c>
      <c r="H2" s="14">
        <f>'6星每级加强属性曲线演算'!$H$2</f>
        <v>1</v>
      </c>
      <c r="I2" s="14">
        <f>'6星每级加强属性曲线演算'!I$2/HLOOKUP('2星每级加强属性曲线演算'!$F$2,星级总属性!$B$2:$G$6,5,FALSE)</f>
        <v>334.76190476190476</v>
      </c>
      <c r="J2" s="14">
        <f>H2-ROW(C3)</f>
        <v>-2</v>
      </c>
      <c r="L2" s="13">
        <v>0</v>
      </c>
      <c r="M2" s="13">
        <v>0</v>
      </c>
      <c r="P2" t="s">
        <v>33</v>
      </c>
    </row>
    <row r="3" spans="1:16" x14ac:dyDescent="0.25">
      <c r="A3" s="16">
        <v>1</v>
      </c>
      <c r="B3" s="16">
        <f>ROUND($G$2,0)</f>
        <v>352</v>
      </c>
      <c r="C3" s="13">
        <f>ROUND(INT((ROW()+$J$2)/$H$2)*$I$2,0)</f>
        <v>335</v>
      </c>
      <c r="D3" s="18"/>
      <c r="E3" s="13"/>
      <c r="F3" s="13"/>
      <c r="G3" s="21" t="s">
        <v>47</v>
      </c>
      <c r="H3" s="21" t="s">
        <v>48</v>
      </c>
      <c r="I3" s="21" t="s">
        <v>49</v>
      </c>
      <c r="J3" s="21" t="s">
        <v>38</v>
      </c>
      <c r="L3" s="13">
        <f>A3</f>
        <v>1</v>
      </c>
      <c r="M3" s="13">
        <f>ROUND($G$4*(($A3)^3)+$H$4*(($A3)^2)+$I$4*$A3+$J$4,0)</f>
        <v>352</v>
      </c>
    </row>
    <row r="4" spans="1:16" x14ac:dyDescent="0.25">
      <c r="A4" s="16">
        <v>2</v>
      </c>
      <c r="B4" s="16">
        <f>ROUND(B3+C3,0)</f>
        <v>687</v>
      </c>
      <c r="C4" s="13">
        <f t="shared" ref="C4:C7" si="0">ROUND(INT((ROW()+$J$2)/$H$2)*$I$2,0)</f>
        <v>670</v>
      </c>
      <c r="D4" s="18">
        <f>(B4-B3)/B3</f>
        <v>0.95170454545454541</v>
      </c>
      <c r="E4"/>
      <c r="F4"/>
      <c r="G4" s="14">
        <f>INDEX(LINEST($B$3:$B$7, $A$3:$A$7^{1,2,3},TRUE,TRUE),1,1)</f>
        <v>1.338393006730883E-13</v>
      </c>
      <c r="H4" s="14">
        <f>INDEX(LINEST($B$3:$B$7, $A$3:$A$7^{1,2,3},TRUE,TRUE),1,2)</f>
        <v>167.28571428571294</v>
      </c>
      <c r="I4" s="14">
        <f>INDEX(LINEST($B$3:$B$7, $A$3:$A$7^{1,2,3},TRUE,TRUE),1,3)</f>
        <v>-166.71428571428217</v>
      </c>
      <c r="J4" s="14">
        <f>INDEX(LINEST($B$3:$B$7, $A$3:$A$7^{1,2,3},TRUE,TRUE),1,4)</f>
        <v>351.39999999999816</v>
      </c>
      <c r="L4" s="13">
        <f>A4</f>
        <v>2</v>
      </c>
      <c r="M4" s="13">
        <f>ROUND($G$4*(($A4)^3)+$H$4*(($A4)^2)+$I$4*$A4+$J$4,0)</f>
        <v>687</v>
      </c>
      <c r="P4" t="s">
        <v>36</v>
      </c>
    </row>
    <row r="5" spans="1:16" x14ac:dyDescent="0.25">
      <c r="A5" s="16">
        <v>3</v>
      </c>
      <c r="B5" s="16">
        <f t="shared" ref="B5:B7" si="1">ROUND(B4+C4,0)</f>
        <v>1357</v>
      </c>
      <c r="C5" s="13">
        <f t="shared" si="0"/>
        <v>1004</v>
      </c>
      <c r="D5" s="18">
        <f t="shared" ref="D5:D7" si="2">(B5-B4)/B4</f>
        <v>0.97525473071324598</v>
      </c>
      <c r="E5"/>
      <c r="F5"/>
      <c r="L5" s="13">
        <f>A5</f>
        <v>3</v>
      </c>
      <c r="M5" s="13">
        <f>ROUND($G$4*(($A5)^3)+$H$4*(($A5)^2)+$I$4*$A5+$J$4,0)</f>
        <v>1357</v>
      </c>
      <c r="P5" t="s">
        <v>34</v>
      </c>
    </row>
    <row r="6" spans="1:16" x14ac:dyDescent="0.25">
      <c r="A6" s="16">
        <v>4</v>
      </c>
      <c r="B6" s="16">
        <f t="shared" si="1"/>
        <v>2361</v>
      </c>
      <c r="C6" s="13">
        <f t="shared" si="0"/>
        <v>1339</v>
      </c>
      <c r="D6" s="18">
        <f t="shared" si="2"/>
        <v>0.73986735445836405</v>
      </c>
      <c r="E6"/>
      <c r="F6"/>
      <c r="L6" s="13">
        <f>A6</f>
        <v>4</v>
      </c>
      <c r="M6" s="13">
        <f>ROUND($G$4*(($A6)^3)+$H$4*(($A6)^2)+$I$4*$A6+$J$4,0)</f>
        <v>2361</v>
      </c>
      <c r="P6" t="s">
        <v>35</v>
      </c>
    </row>
    <row r="7" spans="1:16" x14ac:dyDescent="0.25">
      <c r="A7" s="16">
        <v>5</v>
      </c>
      <c r="B7" s="16">
        <f t="shared" si="1"/>
        <v>3700</v>
      </c>
      <c r="C7" s="13">
        <f t="shared" si="0"/>
        <v>1674</v>
      </c>
      <c r="D7" s="18">
        <f t="shared" si="2"/>
        <v>0.56713257094451508</v>
      </c>
      <c r="E7"/>
      <c r="F7"/>
      <c r="L7" s="13">
        <f>A7</f>
        <v>5</v>
      </c>
      <c r="M7" s="13">
        <f>ROUND($G$4*(($A7)^3)+$H$4*(($A7)^2)+$I$4*$A7+$J$4,0)</f>
        <v>3700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="85" zoomScaleNormal="85" workbookViewId="0">
      <selection activeCell="B14" sqref="B14"/>
    </sheetView>
  </sheetViews>
  <sheetFormatPr defaultRowHeight="14.4" x14ac:dyDescent="0.25"/>
  <cols>
    <col min="2" max="2" width="13" style="16" bestFit="1" customWidth="1"/>
    <col min="3" max="3" width="9" style="16"/>
    <col min="4" max="4" width="12.109375" style="19" bestFit="1" customWidth="1"/>
    <col min="5" max="6" width="9" style="16"/>
    <col min="7" max="8" width="12.77734375" bestFit="1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30</v>
      </c>
      <c r="B1" s="13" t="s">
        <v>39</v>
      </c>
      <c r="C1" s="13" t="s">
        <v>31</v>
      </c>
      <c r="D1" s="17" t="s">
        <v>94</v>
      </c>
      <c r="E1" s="13"/>
      <c r="F1" s="21" t="s">
        <v>58</v>
      </c>
      <c r="G1" s="21" t="s">
        <v>32</v>
      </c>
      <c r="H1" s="21" t="s">
        <v>44</v>
      </c>
      <c r="I1" s="21" t="s">
        <v>45</v>
      </c>
      <c r="J1" s="21" t="s">
        <v>46</v>
      </c>
      <c r="K1" s="13"/>
      <c r="L1" s="13" t="s">
        <v>37</v>
      </c>
      <c r="M1" s="13" t="s">
        <v>39</v>
      </c>
    </row>
    <row r="2" spans="1:16" x14ac:dyDescent="0.25">
      <c r="A2" s="13">
        <v>0</v>
      </c>
      <c r="B2" s="13">
        <v>0</v>
      </c>
      <c r="C2" s="13">
        <v>0</v>
      </c>
      <c r="D2" s="17">
        <v>0</v>
      </c>
      <c r="E2"/>
      <c r="F2" s="14">
        <v>1</v>
      </c>
      <c r="G2" s="14">
        <f>'6星每级加强属性曲线演算'!G$2/HLOOKUP('1星每级加强属性曲线演算'!$F$2,星级总属性!$B$2:$G$6,5,FALSE)</f>
        <v>266.66666666666669</v>
      </c>
      <c r="H2" s="14">
        <f>'6星每级加强属性曲线演算'!$H$2</f>
        <v>1</v>
      </c>
      <c r="I2" s="14">
        <f>'6星每级加强属性曲线演算'!I$2/HLOOKUP('1星每级加强属性曲线演算'!$F$2,星级总属性!$B$2:$G$6,5,FALSE)</f>
        <v>253.33333333333334</v>
      </c>
      <c r="J2" s="14">
        <f>H2-ROW(C3)</f>
        <v>-2</v>
      </c>
      <c r="L2" s="13">
        <v>0</v>
      </c>
      <c r="M2" s="13">
        <v>0</v>
      </c>
      <c r="P2" t="s">
        <v>33</v>
      </c>
    </row>
    <row r="3" spans="1:16" x14ac:dyDescent="0.25">
      <c r="A3" s="16">
        <v>1</v>
      </c>
      <c r="B3" s="16">
        <f>ROUND($G$2,0)</f>
        <v>267</v>
      </c>
      <c r="C3" s="13">
        <f>ROUND(INT((ROW()+$J$2)/$H$2)*$I$2,0)</f>
        <v>253</v>
      </c>
      <c r="D3" s="18"/>
      <c r="E3" s="13"/>
      <c r="F3" s="13"/>
      <c r="G3" s="21" t="s">
        <v>47</v>
      </c>
      <c r="H3" s="21" t="s">
        <v>48</v>
      </c>
      <c r="I3" s="21" t="s">
        <v>49</v>
      </c>
      <c r="J3" s="21" t="s">
        <v>38</v>
      </c>
      <c r="L3" s="13">
        <f>A3</f>
        <v>1</v>
      </c>
      <c r="M3" s="13">
        <f>ROUND($G$4*(($A3)^3)+$H$4*(($A3)^2)+$I$4*$A3+$J$4,0)</f>
        <v>267</v>
      </c>
    </row>
    <row r="4" spans="1:16" x14ac:dyDescent="0.25">
      <c r="A4" s="16">
        <v>2</v>
      </c>
      <c r="B4" s="16">
        <f>ROUND(B3+C3,0)</f>
        <v>520</v>
      </c>
      <c r="C4" s="13">
        <f t="shared" ref="C4:C7" si="0">ROUND(INT((ROW()+$J$2)/$H$2)*$I$2,0)</f>
        <v>507</v>
      </c>
      <c r="D4" s="18">
        <f>(B4-B3)/B3</f>
        <v>0.94756554307116103</v>
      </c>
      <c r="E4"/>
      <c r="F4"/>
      <c r="G4" s="14">
        <f>INDEX(LINEST($B$3:$B$7, $A$3:$A$7^{1,2,3},TRUE,TRUE),1,1)</f>
        <v>-8.3333333333300535E-2</v>
      </c>
      <c r="H4" s="14">
        <f>INDEX(LINEST($B$3:$B$7, $A$3:$A$7^{1,2,3},TRUE,TRUE),1,2)</f>
        <v>127.39285714285681</v>
      </c>
      <c r="I4" s="14">
        <f>INDEX(LINEST($B$3:$B$7, $A$3:$A$7^{1,2,3},TRUE,TRUE),1,3)</f>
        <v>-128.52380952380878</v>
      </c>
      <c r="J4" s="14">
        <f>INDEX(LINEST($B$3:$B$7, $A$3:$A$7^{1,2,3},TRUE,TRUE),1,4)</f>
        <v>268.19999999999993</v>
      </c>
      <c r="L4" s="13">
        <f>A4</f>
        <v>2</v>
      </c>
      <c r="M4" s="13">
        <f>ROUND($G$4*(($A4)^3)+$H$4*(($A4)^2)+$I$4*$A4+$J$4,0)</f>
        <v>520</v>
      </c>
      <c r="P4" t="s">
        <v>36</v>
      </c>
    </row>
    <row r="5" spans="1:16" x14ac:dyDescent="0.25">
      <c r="A5" s="16">
        <v>3</v>
      </c>
      <c r="B5" s="16">
        <f t="shared" ref="B5:B7" si="1">ROUND(B4+C4,0)</f>
        <v>1027</v>
      </c>
      <c r="C5" s="13">
        <f t="shared" si="0"/>
        <v>760</v>
      </c>
      <c r="D5" s="18">
        <f t="shared" ref="D5:D7" si="2">(B5-B4)/B4</f>
        <v>0.97499999999999998</v>
      </c>
      <c r="E5"/>
      <c r="F5"/>
      <c r="L5" s="13">
        <f>A5</f>
        <v>3</v>
      </c>
      <c r="M5" s="13">
        <f>ROUND($G$4*(($A5)^3)+$H$4*(($A5)^2)+$I$4*$A5+$J$4,0)</f>
        <v>1027</v>
      </c>
      <c r="P5" t="s">
        <v>34</v>
      </c>
    </row>
    <row r="6" spans="1:16" x14ac:dyDescent="0.25">
      <c r="A6" s="16">
        <v>4</v>
      </c>
      <c r="B6" s="16">
        <f t="shared" si="1"/>
        <v>1787</v>
      </c>
      <c r="C6" s="13">
        <f t="shared" si="0"/>
        <v>1013</v>
      </c>
      <c r="D6" s="18">
        <f t="shared" si="2"/>
        <v>0.74001947419668934</v>
      </c>
      <c r="E6"/>
      <c r="F6"/>
      <c r="L6" s="13">
        <f>A6</f>
        <v>4</v>
      </c>
      <c r="M6" s="13">
        <f>ROUND($G$4*(($A6)^3)+$H$4*(($A6)^2)+$I$4*$A6+$J$4,0)</f>
        <v>1787</v>
      </c>
      <c r="P6" t="s">
        <v>35</v>
      </c>
    </row>
    <row r="7" spans="1:16" x14ac:dyDescent="0.25">
      <c r="A7" s="16">
        <v>5</v>
      </c>
      <c r="B7" s="16">
        <f t="shared" si="1"/>
        <v>2800</v>
      </c>
      <c r="C7" s="13">
        <f t="shared" si="0"/>
        <v>1267</v>
      </c>
      <c r="D7" s="18">
        <f t="shared" si="2"/>
        <v>0.56687185226636827</v>
      </c>
      <c r="E7"/>
      <c r="F7"/>
      <c r="L7" s="13">
        <f>A7</f>
        <v>5</v>
      </c>
      <c r="M7" s="13">
        <f>ROUND($G$4*(($A7)^3)+$H$4*(($A7)^2)+$I$4*$A7+$J$4,0)</f>
        <v>2800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awake</vt:lpstr>
      <vt:lpstr>觉醒要求</vt:lpstr>
      <vt:lpstr>武将总属性分配</vt:lpstr>
      <vt:lpstr>6星每级加强属性曲线演算</vt:lpstr>
      <vt:lpstr>5星每级加强属性曲线演算</vt:lpstr>
      <vt:lpstr>4星每级加强属性曲线演算</vt:lpstr>
      <vt:lpstr>3星每级加强属性曲线演算</vt:lpstr>
      <vt:lpstr>2星每级加强属性曲线演算</vt:lpstr>
      <vt:lpstr>1星每级加强属性曲线演算</vt:lpstr>
      <vt:lpstr>职业分类属性</vt:lpstr>
      <vt:lpstr>职业属性偏向</vt:lpstr>
      <vt:lpstr>星级总属性</vt:lpstr>
      <vt:lpstr>属性分配方式1</vt:lpstr>
      <vt:lpstr>属性分配方式2</vt:lpstr>
      <vt:lpstr>属性分配方式3</vt:lpstr>
      <vt:lpstr>属性顺序表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2014-10-30T10:26:39Z</dcterms:modified>
</cp:coreProperties>
</file>