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40" windowHeight="7320"/>
  </bookViews>
  <sheets>
    <sheet name="n=8" sheetId="1" r:id="rId1"/>
    <sheet name="n=7" sheetId="2" r:id="rId2"/>
    <sheet name="n=6" sheetId="4" r:id="rId3"/>
    <sheet name="n=5" sheetId="3" r:id="rId4"/>
  </sheets>
  <calcPr calcId="144525"/>
</workbook>
</file>

<file path=xl/sharedStrings.xml><?xml version="1.0" encoding="utf-8"?>
<sst xmlns="http://schemas.openxmlformats.org/spreadsheetml/2006/main" count="53">
  <si>
    <t>n</t>
  </si>
  <si>
    <t>i1</t>
  </si>
  <si>
    <t>l</t>
  </si>
  <si>
    <t>iT1</t>
  </si>
  <si>
    <t>a</t>
  </si>
  <si>
    <t>i2</t>
  </si>
  <si>
    <t>B</t>
  </si>
  <si>
    <t>iT2</t>
  </si>
  <si>
    <t>a1</t>
  </si>
  <si>
    <t>I1</t>
  </si>
  <si>
    <t>IT1</t>
  </si>
  <si>
    <t>a2</t>
  </si>
  <si>
    <t>I2</t>
  </si>
  <si>
    <t>IT2</t>
  </si>
  <si>
    <t>a3</t>
  </si>
  <si>
    <t>I3</t>
  </si>
  <si>
    <t>IT3</t>
  </si>
  <si>
    <t>a4</t>
  </si>
  <si>
    <t>I4</t>
  </si>
  <si>
    <t>IT4</t>
  </si>
  <si>
    <t>a5</t>
  </si>
  <si>
    <t>I5</t>
  </si>
  <si>
    <t>IT5</t>
  </si>
  <si>
    <t>a6</t>
  </si>
  <si>
    <t>I6</t>
  </si>
  <si>
    <t>IT6</t>
  </si>
  <si>
    <t>a7</t>
  </si>
  <si>
    <t>I7</t>
  </si>
  <si>
    <t>IT7</t>
  </si>
  <si>
    <t>a8</t>
  </si>
  <si>
    <t>I8</t>
  </si>
  <si>
    <t>IT8</t>
  </si>
  <si>
    <t>偏心受压法</t>
  </si>
  <si>
    <t>修正偏心受压法</t>
  </si>
  <si>
    <t>一号梁</t>
  </si>
  <si>
    <t>e11</t>
  </si>
  <si>
    <t>η1</t>
  </si>
  <si>
    <t>mcq1</t>
  </si>
  <si>
    <t>e12</t>
  </si>
  <si>
    <t>η2</t>
  </si>
  <si>
    <t>mcq2</t>
  </si>
  <si>
    <t>e21</t>
  </si>
  <si>
    <t>η3</t>
  </si>
  <si>
    <t>mcq3</t>
  </si>
  <si>
    <t>e22</t>
  </si>
  <si>
    <t>η4</t>
  </si>
  <si>
    <t>e31</t>
  </si>
  <si>
    <t>η5</t>
  </si>
  <si>
    <t>e32</t>
  </si>
  <si>
    <t>η6</t>
  </si>
  <si>
    <t>mcq</t>
  </si>
  <si>
    <t>二号梁</t>
  </si>
  <si>
    <t>三号梁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</si>
</sst>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0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4"/>
      <color rgb="FFFF0000"/>
      <name val="黑体"/>
      <charset val="134"/>
    </font>
    <font>
      <b/>
      <sz val="11"/>
      <color rgb="FFFF0000"/>
      <name val="宋体"/>
      <charset val="134"/>
      <scheme val="minor"/>
    </font>
    <font>
      <sz val="9.75"/>
      <color rgb="FF333333"/>
      <name val="Arial"/>
      <charset val="134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5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8" borderId="16" applyNumberFormat="0" applyFon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6" fillId="4" borderId="12" applyNumberFormat="0" applyAlignment="0" applyProtection="0">
      <alignment vertical="center"/>
    </xf>
    <xf numFmtId="0" fontId="5" fillId="4" borderId="11" applyNumberFormat="0" applyAlignment="0" applyProtection="0">
      <alignment vertical="center"/>
    </xf>
    <xf numFmtId="0" fontId="17" fillId="17" borderId="14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0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35</xdr:col>
      <xdr:colOff>561975</xdr:colOff>
      <xdr:row>60</xdr:row>
      <xdr:rowOff>92075</xdr:rowOff>
    </xdr:to>
    <xdr:pic>
      <xdr:nvPicPr>
        <xdr:cNvPr id="2" name="图片 1" descr="图片1副本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22983190" cy="108800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37</xdr:col>
      <xdr:colOff>85725</xdr:colOff>
      <xdr:row>60</xdr:row>
      <xdr:rowOff>92075</xdr:rowOff>
    </xdr:to>
    <xdr:pic>
      <xdr:nvPicPr>
        <xdr:cNvPr id="2" name="图片 1" descr="图片1副本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22983190" cy="108800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37</xdr:col>
      <xdr:colOff>257175</xdr:colOff>
      <xdr:row>60</xdr:row>
      <xdr:rowOff>92075</xdr:rowOff>
    </xdr:to>
    <xdr:pic>
      <xdr:nvPicPr>
        <xdr:cNvPr id="2" name="图片 1" descr="图片1副本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22983190" cy="108800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37</xdr:col>
      <xdr:colOff>34925</xdr:colOff>
      <xdr:row>60</xdr:row>
      <xdr:rowOff>92075</xdr:rowOff>
    </xdr:to>
    <xdr:pic>
      <xdr:nvPicPr>
        <xdr:cNvPr id="2" name="图片 1" descr="图片1副本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22983190" cy="108800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0"/>
  <sheetViews>
    <sheetView tabSelected="1" workbookViewId="0">
      <selection activeCell="I14" sqref="I14"/>
    </sheetView>
  </sheetViews>
  <sheetFormatPr defaultColWidth="9" defaultRowHeight="14"/>
  <cols>
    <col min="1" max="1" width="9.54545454545454"/>
    <col min="4" max="5" width="9.54545454545454"/>
    <col min="9" max="9" width="12.8181818181818"/>
    <col min="11" max="11" width="9.54545454545454"/>
  </cols>
  <sheetData>
    <row r="1" spans="1:13">
      <c r="A1" s="1" t="s">
        <v>0</v>
      </c>
      <c r="B1" s="2">
        <v>8</v>
      </c>
      <c r="C1" s="1" t="s">
        <v>1</v>
      </c>
      <c r="D1" s="2">
        <v>0.412</v>
      </c>
      <c r="E1" s="1" t="s">
        <v>2</v>
      </c>
      <c r="F1" s="2">
        <v>24.4</v>
      </c>
      <c r="G1" s="1" t="s">
        <v>3</v>
      </c>
      <c r="H1" s="3">
        <v>0.081</v>
      </c>
      <c r="I1" s="25"/>
      <c r="J1" s="25"/>
      <c r="K1" s="25"/>
      <c r="L1" s="25"/>
      <c r="M1" s="25"/>
    </row>
    <row r="2" ht="14.75" spans="1:13">
      <c r="A2" s="4" t="s">
        <v>4</v>
      </c>
      <c r="B2" s="5">
        <v>1.6</v>
      </c>
      <c r="C2" s="4" t="s">
        <v>5</v>
      </c>
      <c r="D2" s="5">
        <v>0.403</v>
      </c>
      <c r="E2" s="1" t="s">
        <v>6</v>
      </c>
      <c r="F2" s="2">
        <f>B1*B2</f>
        <v>12.8</v>
      </c>
      <c r="G2" s="4" t="s">
        <v>7</v>
      </c>
      <c r="H2" s="6">
        <v>0.076</v>
      </c>
      <c r="I2" s="25"/>
      <c r="J2" s="25"/>
      <c r="K2" s="25"/>
      <c r="L2" s="25"/>
      <c r="M2" s="25"/>
    </row>
    <row r="3" ht="14.75" spans="1:13">
      <c r="A3" s="7" t="s">
        <v>8</v>
      </c>
      <c r="B3" s="7">
        <f>B2*((B1-1)/2)</f>
        <v>5.6</v>
      </c>
      <c r="C3" s="7" t="s">
        <v>9</v>
      </c>
      <c r="D3" s="7">
        <f>D$1</f>
        <v>0.412</v>
      </c>
      <c r="E3" s="7">
        <f t="shared" ref="E3:E10" si="0">B3^2*D3</f>
        <v>12.92032</v>
      </c>
      <c r="F3" s="7" t="s">
        <v>10</v>
      </c>
      <c r="G3" s="9">
        <f>H$1</f>
        <v>0.081</v>
      </c>
      <c r="H3" s="25"/>
      <c r="I3" s="25"/>
      <c r="J3" s="25"/>
      <c r="K3" s="25"/>
      <c r="L3" s="25"/>
      <c r="M3" s="25"/>
    </row>
    <row r="4" spans="1:13">
      <c r="A4" s="7" t="s">
        <v>11</v>
      </c>
      <c r="B4" s="7">
        <f>1.6*((B1-3)/2)</f>
        <v>4</v>
      </c>
      <c r="C4" s="7" t="s">
        <v>12</v>
      </c>
      <c r="D4" s="7">
        <f>D$2</f>
        <v>0.403</v>
      </c>
      <c r="E4" s="7">
        <f t="shared" si="0"/>
        <v>6.448</v>
      </c>
      <c r="F4" s="7" t="s">
        <v>13</v>
      </c>
      <c r="G4" s="9">
        <f>H$2</f>
        <v>0.076</v>
      </c>
      <c r="H4" s="25"/>
      <c r="I4" s="25"/>
      <c r="J4" s="25"/>
      <c r="K4" s="25"/>
      <c r="L4" s="25"/>
      <c r="M4" s="25"/>
    </row>
    <row r="5" spans="1:13">
      <c r="A5" s="7" t="s">
        <v>14</v>
      </c>
      <c r="B5" s="7">
        <f>B2*((B1-5)/2)</f>
        <v>2.4</v>
      </c>
      <c r="C5" s="7" t="s">
        <v>15</v>
      </c>
      <c r="D5" s="7">
        <f>D$2</f>
        <v>0.403</v>
      </c>
      <c r="E5" s="7">
        <f t="shared" si="0"/>
        <v>2.32128</v>
      </c>
      <c r="F5" s="7" t="s">
        <v>16</v>
      </c>
      <c r="G5" s="9">
        <f>H$2</f>
        <v>0.076</v>
      </c>
      <c r="H5" s="25"/>
      <c r="I5" s="25"/>
      <c r="J5" s="25"/>
      <c r="K5" s="25"/>
      <c r="L5" s="25"/>
      <c r="M5" s="25"/>
    </row>
    <row r="6" spans="1:13">
      <c r="A6" s="7" t="s">
        <v>17</v>
      </c>
      <c r="B6" s="7">
        <f>B2*((B1-7)/2)</f>
        <v>0.8</v>
      </c>
      <c r="C6" s="7" t="s">
        <v>18</v>
      </c>
      <c r="D6" s="7">
        <f>D$2</f>
        <v>0.403</v>
      </c>
      <c r="E6" s="7">
        <f t="shared" si="0"/>
        <v>0.25792</v>
      </c>
      <c r="F6" s="7" t="s">
        <v>19</v>
      </c>
      <c r="G6" s="9">
        <f>H$2</f>
        <v>0.076</v>
      </c>
      <c r="H6" s="25"/>
      <c r="I6" s="25"/>
      <c r="J6" s="25"/>
      <c r="K6" s="25"/>
      <c r="L6" s="25"/>
      <c r="M6" s="25"/>
    </row>
    <row r="7" spans="1:13">
      <c r="A7" s="7" t="s">
        <v>20</v>
      </c>
      <c r="B7" s="7">
        <f>-B2*((B1-7)/2)</f>
        <v>-0.8</v>
      </c>
      <c r="C7" s="7" t="s">
        <v>21</v>
      </c>
      <c r="D7" s="7">
        <f>D$2</f>
        <v>0.403</v>
      </c>
      <c r="E7" s="7">
        <f t="shared" si="0"/>
        <v>0.25792</v>
      </c>
      <c r="F7" s="7" t="s">
        <v>22</v>
      </c>
      <c r="G7" s="9">
        <f>H$2</f>
        <v>0.076</v>
      </c>
      <c r="H7" s="25"/>
      <c r="I7" s="28"/>
      <c r="J7" s="25"/>
      <c r="K7" s="25"/>
      <c r="L7" s="25"/>
      <c r="M7" s="25"/>
    </row>
    <row r="8" spans="1:13">
      <c r="A8" s="7" t="s">
        <v>23</v>
      </c>
      <c r="B8" s="7">
        <f>-B2*((B1-5)/2)</f>
        <v>-2.4</v>
      </c>
      <c r="C8" s="7" t="s">
        <v>24</v>
      </c>
      <c r="D8" s="7">
        <f>D$2</f>
        <v>0.403</v>
      </c>
      <c r="E8" s="7">
        <f t="shared" si="0"/>
        <v>2.32128</v>
      </c>
      <c r="F8" s="7" t="s">
        <v>25</v>
      </c>
      <c r="G8" s="9">
        <f>H$2</f>
        <v>0.076</v>
      </c>
      <c r="H8" s="25"/>
      <c r="I8" s="25"/>
      <c r="J8" s="25"/>
      <c r="K8" s="25"/>
      <c r="L8" s="25"/>
      <c r="M8" s="25"/>
    </row>
    <row r="9" spans="1:13">
      <c r="A9" s="7" t="s">
        <v>26</v>
      </c>
      <c r="B9" s="7">
        <f>-1.6*((B1-3)/2)</f>
        <v>-4</v>
      </c>
      <c r="C9" s="7" t="s">
        <v>27</v>
      </c>
      <c r="D9" s="7">
        <f>D$2</f>
        <v>0.403</v>
      </c>
      <c r="E9" s="7">
        <f t="shared" si="0"/>
        <v>6.448</v>
      </c>
      <c r="F9" s="7" t="s">
        <v>28</v>
      </c>
      <c r="G9" s="9">
        <f>H$2</f>
        <v>0.076</v>
      </c>
      <c r="H9" s="25"/>
      <c r="I9" s="25"/>
      <c r="J9" s="25"/>
      <c r="K9" s="25"/>
      <c r="L9" s="25"/>
      <c r="M9" s="25"/>
    </row>
    <row r="10" spans="1:13">
      <c r="A10" s="7" t="s">
        <v>29</v>
      </c>
      <c r="B10" s="7">
        <f>-B2*((B1-1)/2)</f>
        <v>-5.6</v>
      </c>
      <c r="C10" s="7" t="s">
        <v>30</v>
      </c>
      <c r="D10" s="7">
        <f>D$1</f>
        <v>0.412</v>
      </c>
      <c r="E10" s="7">
        <f t="shared" si="0"/>
        <v>12.92032</v>
      </c>
      <c r="F10" s="7" t="s">
        <v>31</v>
      </c>
      <c r="G10" s="9">
        <f>H$1</f>
        <v>0.081</v>
      </c>
      <c r="H10" s="25"/>
      <c r="I10" s="25"/>
      <c r="J10" s="25"/>
      <c r="K10" s="25"/>
      <c r="L10" s="25"/>
      <c r="M10" s="25"/>
    </row>
    <row r="11" ht="14.75" spans="1:13">
      <c r="A11" s="10"/>
      <c r="B11" s="10"/>
      <c r="C11" s="10"/>
      <c r="D11" s="10">
        <f>SUM(D3:D10)</f>
        <v>3.242</v>
      </c>
      <c r="E11" s="10">
        <f>SUM(E3:E10)</f>
        <v>43.89504</v>
      </c>
      <c r="F11" s="11"/>
      <c r="G11" s="12">
        <f>SUM(G3:G10)</f>
        <v>0.618</v>
      </c>
      <c r="H11" s="25"/>
      <c r="I11" s="29"/>
      <c r="J11" s="25"/>
      <c r="K11" s="25"/>
      <c r="L11" s="25"/>
      <c r="M11" s="25"/>
    </row>
    <row r="12" ht="15.5" spans="1:1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</row>
    <row r="13" ht="18.25" spans="1:13">
      <c r="A13" s="13" t="s">
        <v>32</v>
      </c>
      <c r="B13" s="14"/>
      <c r="C13" s="14"/>
      <c r="D13" s="14"/>
      <c r="E13" s="14"/>
      <c r="F13" s="15"/>
      <c r="G13" s="25"/>
      <c r="H13" s="13" t="s">
        <v>33</v>
      </c>
      <c r="I13" s="14"/>
      <c r="J13" s="14"/>
      <c r="K13" s="14"/>
      <c r="L13" s="14"/>
      <c r="M13" s="15"/>
    </row>
    <row r="14" spans="1:13">
      <c r="A14" s="16">
        <f>D3/D11</f>
        <v>0.127082048118445</v>
      </c>
      <c r="B14" s="8">
        <f>(B3*D3)/E11</f>
        <v>0.0525617472953664</v>
      </c>
      <c r="C14" s="8"/>
      <c r="D14" s="7"/>
      <c r="E14" s="7"/>
      <c r="F14" s="17" t="s">
        <v>34</v>
      </c>
      <c r="G14" s="25"/>
      <c r="H14" s="16">
        <f>D3/D11</f>
        <v>0.127082048118445</v>
      </c>
      <c r="I14" s="8">
        <f>1/(1+((0.42*F$1^2*G$11)/(12*E$11)))</f>
        <v>0.773171928366781</v>
      </c>
      <c r="J14" s="8">
        <f>(B3*D3)/E11</f>
        <v>0.0525617472953664</v>
      </c>
      <c r="K14" s="7"/>
      <c r="L14" s="7"/>
      <c r="M14" s="17" t="s">
        <v>34</v>
      </c>
    </row>
    <row r="15" spans="1:13">
      <c r="A15" s="18" t="s">
        <v>35</v>
      </c>
      <c r="B15" s="7">
        <v>5.4</v>
      </c>
      <c r="C15" s="19" t="s">
        <v>36</v>
      </c>
      <c r="D15" s="8">
        <f t="shared" ref="D15:D20" si="1">A$14+B$14*B15</f>
        <v>0.410915483513424</v>
      </c>
      <c r="E15" s="7" t="s">
        <v>37</v>
      </c>
      <c r="F15" s="20">
        <f>1.2*0.5*(D15+D16)</f>
        <v>0.436331893137113</v>
      </c>
      <c r="G15" s="25"/>
      <c r="H15" s="18" t="s">
        <v>35</v>
      </c>
      <c r="I15" s="7">
        <v>5.4</v>
      </c>
      <c r="J15" s="19" t="s">
        <v>36</v>
      </c>
      <c r="K15" s="8">
        <f t="shared" ref="K15:K20" si="2">H$14+I$14*J$14*I15</f>
        <v>0.346534092697749</v>
      </c>
      <c r="L15" s="7" t="s">
        <v>37</v>
      </c>
      <c r="M15" s="20">
        <f>1.2*0.5*(K15+K16)</f>
        <v>0.371950502321438</v>
      </c>
    </row>
    <row r="16" spans="1:13">
      <c r="A16" s="18" t="s">
        <v>38</v>
      </c>
      <c r="B16" s="7">
        <v>3.6</v>
      </c>
      <c r="C16" s="19" t="s">
        <v>39</v>
      </c>
      <c r="D16" s="8">
        <f t="shared" si="1"/>
        <v>0.316304338381764</v>
      </c>
      <c r="E16" s="7" t="s">
        <v>40</v>
      </c>
      <c r="F16" s="20">
        <f>0.5*(D15+D16+D17+D18)</f>
        <v>0.564278405279552</v>
      </c>
      <c r="G16" s="25"/>
      <c r="H16" s="18" t="s">
        <v>38</v>
      </c>
      <c r="I16" s="7">
        <v>3.6</v>
      </c>
      <c r="J16" s="19" t="s">
        <v>39</v>
      </c>
      <c r="K16" s="8">
        <f t="shared" si="2"/>
        <v>0.273383411171314</v>
      </c>
      <c r="L16" s="7" t="s">
        <v>40</v>
      </c>
      <c r="M16" s="20">
        <f>0.5*(K15+K16+K17+K18)</f>
        <v>0.493935774573537</v>
      </c>
    </row>
    <row r="17" spans="1:13">
      <c r="A17" s="18" t="s">
        <v>41</v>
      </c>
      <c r="B17" s="7">
        <v>2.3</v>
      </c>
      <c r="C17" s="19" t="s">
        <v>42</v>
      </c>
      <c r="D17" s="8">
        <f t="shared" si="1"/>
        <v>0.247974066897788</v>
      </c>
      <c r="E17" s="7" t="s">
        <v>43</v>
      </c>
      <c r="F17" s="20">
        <f>0.78*0.5*(D15+D16+D17+D18+D19+D20)</f>
        <v>0.469564276736782</v>
      </c>
      <c r="G17" s="25"/>
      <c r="H17" s="18" t="s">
        <v>41</v>
      </c>
      <c r="I17" s="7">
        <v>2.3</v>
      </c>
      <c r="J17" s="19" t="s">
        <v>42</v>
      </c>
      <c r="K17" s="8">
        <f t="shared" si="2"/>
        <v>0.220552363402223</v>
      </c>
      <c r="L17" s="7" t="s">
        <v>43</v>
      </c>
      <c r="M17" s="20">
        <f>0.78*0.5*(K15+K16+K17+K18+K19+K20)</f>
        <v>0.430506232975272</v>
      </c>
    </row>
    <row r="18" spans="1:13">
      <c r="A18" s="18" t="s">
        <v>44</v>
      </c>
      <c r="B18" s="7">
        <v>0.5</v>
      </c>
      <c r="C18" s="19" t="s">
        <v>45</v>
      </c>
      <c r="D18" s="8">
        <f t="shared" si="1"/>
        <v>0.153362921766128</v>
      </c>
      <c r="E18" s="7"/>
      <c r="F18" s="9"/>
      <c r="G18" s="25"/>
      <c r="H18" s="18" t="s">
        <v>44</v>
      </c>
      <c r="I18" s="7">
        <v>0.5</v>
      </c>
      <c r="J18" s="19" t="s">
        <v>45</v>
      </c>
      <c r="K18" s="8">
        <f t="shared" si="2"/>
        <v>0.147401681875788</v>
      </c>
      <c r="L18" s="7"/>
      <c r="M18" s="9"/>
    </row>
    <row r="19" spans="1:13">
      <c r="A19" s="18" t="s">
        <v>46</v>
      </c>
      <c r="B19" s="7">
        <v>-0.8</v>
      </c>
      <c r="C19" s="19" t="s">
        <v>47</v>
      </c>
      <c r="D19" s="8">
        <f t="shared" si="1"/>
        <v>0.0850326502821519</v>
      </c>
      <c r="E19" s="7"/>
      <c r="F19" s="9"/>
      <c r="G19" s="25"/>
      <c r="H19" s="18" t="s">
        <v>46</v>
      </c>
      <c r="I19" s="7">
        <v>-0.8</v>
      </c>
      <c r="J19" s="19" t="s">
        <v>47</v>
      </c>
      <c r="K19" s="8">
        <f t="shared" si="2"/>
        <v>0.0945706341066963</v>
      </c>
      <c r="L19" s="7"/>
      <c r="M19" s="9"/>
    </row>
    <row r="20" spans="1:13">
      <c r="A20" s="18" t="s">
        <v>48</v>
      </c>
      <c r="B20" s="7">
        <v>-2.6</v>
      </c>
      <c r="C20" s="19" t="s">
        <v>49</v>
      </c>
      <c r="D20" s="8">
        <f t="shared" si="1"/>
        <v>-0.00957849484950765</v>
      </c>
      <c r="E20" s="7"/>
      <c r="F20" s="9"/>
      <c r="G20" s="25"/>
      <c r="H20" s="18" t="s">
        <v>48</v>
      </c>
      <c r="I20" s="7">
        <v>-2.6</v>
      </c>
      <c r="J20" s="19" t="s">
        <v>49</v>
      </c>
      <c r="K20" s="8">
        <f t="shared" si="2"/>
        <v>0.0214199525802617</v>
      </c>
      <c r="L20" s="7"/>
      <c r="M20" s="9"/>
    </row>
    <row r="21" spans="1:13">
      <c r="A21" s="18"/>
      <c r="B21" s="7"/>
      <c r="C21" s="7"/>
      <c r="D21" s="7"/>
      <c r="E21" s="7" t="s">
        <v>50</v>
      </c>
      <c r="F21" s="20">
        <f>MAX(F15:F17)</f>
        <v>0.564278405279552</v>
      </c>
      <c r="G21" s="25"/>
      <c r="H21" s="18"/>
      <c r="I21" s="7"/>
      <c r="J21" s="7"/>
      <c r="K21" s="7"/>
      <c r="L21" s="7" t="s">
        <v>50</v>
      </c>
      <c r="M21" s="20">
        <f>MAX(M15:M17)</f>
        <v>0.493935774573537</v>
      </c>
    </row>
    <row r="22" spans="1:13">
      <c r="A22" s="26"/>
      <c r="B22" s="26"/>
      <c r="C22" s="26"/>
      <c r="D22" s="26"/>
      <c r="E22" s="26"/>
      <c r="F22" s="26"/>
      <c r="G22" s="25"/>
      <c r="H22" s="26"/>
      <c r="I22" s="26"/>
      <c r="J22" s="26"/>
      <c r="K22" s="26"/>
      <c r="L22" s="26"/>
      <c r="M22" s="26"/>
    </row>
    <row r="23" spans="1:13">
      <c r="A23" s="16">
        <f>D4/D11</f>
        <v>0.124305983960518</v>
      </c>
      <c r="B23" s="8">
        <f>(B4*D4)/E11</f>
        <v>0.0367239669903479</v>
      </c>
      <c r="C23" s="8"/>
      <c r="D23" s="7"/>
      <c r="E23" s="7"/>
      <c r="F23" s="17" t="s">
        <v>51</v>
      </c>
      <c r="G23" s="25"/>
      <c r="H23" s="16">
        <f>D4/D11</f>
        <v>0.124305983960518</v>
      </c>
      <c r="I23" s="8">
        <f>1/(1+((0.42*F$1^2*G$11)/(12*E$11)))</f>
        <v>0.773171928366781</v>
      </c>
      <c r="J23" s="8">
        <f>(B4*D4)/E11</f>
        <v>0.0367239669903479</v>
      </c>
      <c r="K23" s="7"/>
      <c r="L23" s="7"/>
      <c r="M23" s="17" t="s">
        <v>51</v>
      </c>
    </row>
    <row r="24" spans="1:13">
      <c r="A24" s="18" t="s">
        <v>35</v>
      </c>
      <c r="B24" s="7">
        <v>5.4</v>
      </c>
      <c r="C24" s="19" t="s">
        <v>36</v>
      </c>
      <c r="D24" s="8">
        <f t="shared" ref="D24:D29" si="3">A$23+B$23*B24</f>
        <v>0.322615405708397</v>
      </c>
      <c r="E24" s="7" t="s">
        <v>37</v>
      </c>
      <c r="F24" s="20">
        <f>1.2*0.5*(D24+D25)</f>
        <v>0.3474766025005</v>
      </c>
      <c r="G24" s="25"/>
      <c r="H24" s="18" t="s">
        <v>35</v>
      </c>
      <c r="I24" s="7">
        <v>5.4</v>
      </c>
      <c r="J24" s="19" t="s">
        <v>36</v>
      </c>
      <c r="K24" s="8">
        <f t="shared" ref="K24:K29" si="4">H$23+I$23*J$23*I24</f>
        <v>0.277633261986627</v>
      </c>
      <c r="L24" s="7" t="s">
        <v>37</v>
      </c>
      <c r="M24" s="20">
        <f>1.2*0.5*(K24+K25)</f>
        <v>0.30249445877873</v>
      </c>
    </row>
    <row r="25" spans="1:13">
      <c r="A25" s="18" t="s">
        <v>38</v>
      </c>
      <c r="B25" s="7">
        <v>3.6</v>
      </c>
      <c r="C25" s="19" t="s">
        <v>39</v>
      </c>
      <c r="D25" s="8">
        <f t="shared" si="3"/>
        <v>0.25651226512577</v>
      </c>
      <c r="E25" s="7" t="s">
        <v>40</v>
      </c>
      <c r="F25" s="20">
        <f>0.5*(D24+D25+D26+D27)</f>
        <v>0.465283373164089</v>
      </c>
      <c r="G25" s="25"/>
      <c r="H25" s="18" t="s">
        <v>38</v>
      </c>
      <c r="I25" s="7">
        <v>3.6</v>
      </c>
      <c r="J25" s="19" t="s">
        <v>39</v>
      </c>
      <c r="K25" s="8">
        <f t="shared" si="4"/>
        <v>0.226524169311257</v>
      </c>
      <c r="L25" s="7" t="s">
        <v>40</v>
      </c>
      <c r="M25" s="20">
        <f>0.5*(K24+K25+K26+K27)</f>
        <v>0.416136216134747</v>
      </c>
    </row>
    <row r="26" spans="1:13">
      <c r="A26" s="18" t="s">
        <v>41</v>
      </c>
      <c r="B26" s="7">
        <v>2.3</v>
      </c>
      <c r="C26" s="19" t="s">
        <v>42</v>
      </c>
      <c r="D26" s="8">
        <f t="shared" si="3"/>
        <v>0.208771108038318</v>
      </c>
      <c r="E26" s="7" t="s">
        <v>43</v>
      </c>
      <c r="F26" s="20">
        <f>0.78*0.5*(D24+D25+D26+D27+D28+D29)</f>
        <v>0.411183718327992</v>
      </c>
      <c r="G26" s="25"/>
      <c r="H26" s="18" t="s">
        <v>41</v>
      </c>
      <c r="I26" s="7">
        <v>2.3</v>
      </c>
      <c r="J26" s="19" t="s">
        <v>42</v>
      </c>
      <c r="K26" s="8">
        <f t="shared" si="4"/>
        <v>0.18961204682349</v>
      </c>
      <c r="L26" s="7" t="s">
        <v>43</v>
      </c>
      <c r="M26" s="20">
        <f>0.78*0.5*(K24+K25+K26+K27+K28+K29)</f>
        <v>0.383894551136785</v>
      </c>
    </row>
    <row r="27" spans="1:13">
      <c r="A27" s="18" t="s">
        <v>44</v>
      </c>
      <c r="B27" s="7">
        <v>0.5</v>
      </c>
      <c r="C27" s="19" t="s">
        <v>45</v>
      </c>
      <c r="D27" s="8">
        <f t="shared" si="3"/>
        <v>0.142667967455692</v>
      </c>
      <c r="E27" s="7"/>
      <c r="F27" s="9"/>
      <c r="G27" s="25"/>
      <c r="H27" s="18" t="s">
        <v>44</v>
      </c>
      <c r="I27" s="7">
        <v>0.5</v>
      </c>
      <c r="J27" s="19" t="s">
        <v>45</v>
      </c>
      <c r="K27" s="8">
        <f t="shared" si="4"/>
        <v>0.138502954148121</v>
      </c>
      <c r="L27" s="7"/>
      <c r="M27" s="9"/>
    </row>
    <row r="28" spans="1:13">
      <c r="A28" s="18" t="s">
        <v>46</v>
      </c>
      <c r="B28" s="7">
        <v>-0.8</v>
      </c>
      <c r="C28" s="19" t="s">
        <v>47</v>
      </c>
      <c r="D28" s="8">
        <f t="shared" si="3"/>
        <v>0.0949268103682397</v>
      </c>
      <c r="E28" s="7"/>
      <c r="F28" s="9"/>
      <c r="G28" s="25"/>
      <c r="H28" s="18" t="s">
        <v>46</v>
      </c>
      <c r="I28" s="7">
        <v>-0.8</v>
      </c>
      <c r="J28" s="19" t="s">
        <v>47</v>
      </c>
      <c r="K28" s="8">
        <f t="shared" si="4"/>
        <v>0.101590831660354</v>
      </c>
      <c r="L28" s="7"/>
      <c r="M28" s="9"/>
    </row>
    <row r="29" spans="1:13">
      <c r="A29" s="18" t="s">
        <v>48</v>
      </c>
      <c r="B29" s="7">
        <v>-2.6</v>
      </c>
      <c r="C29" s="19" t="s">
        <v>49</v>
      </c>
      <c r="D29" s="8">
        <f t="shared" si="3"/>
        <v>0.0288236697856135</v>
      </c>
      <c r="E29" s="7"/>
      <c r="F29" s="9"/>
      <c r="G29" s="25"/>
      <c r="H29" s="18" t="s">
        <v>48</v>
      </c>
      <c r="I29" s="7">
        <v>-2.6</v>
      </c>
      <c r="J29" s="19" t="s">
        <v>49</v>
      </c>
      <c r="K29" s="8">
        <f t="shared" si="4"/>
        <v>0.0504817389849843</v>
      </c>
      <c r="L29" s="7"/>
      <c r="M29" s="9"/>
    </row>
    <row r="30" spans="1:13">
      <c r="A30" s="16"/>
      <c r="B30" s="8"/>
      <c r="C30" s="8"/>
      <c r="D30" s="7"/>
      <c r="E30" s="7" t="s">
        <v>50</v>
      </c>
      <c r="F30" s="20">
        <f>MAX(F24:F26)</f>
        <v>0.465283373164089</v>
      </c>
      <c r="G30" s="25"/>
      <c r="H30" s="16"/>
      <c r="I30" s="8"/>
      <c r="J30" s="8"/>
      <c r="K30" s="7"/>
      <c r="L30" s="7" t="s">
        <v>50</v>
      </c>
      <c r="M30" s="20">
        <f>MAX(M24:M26)</f>
        <v>0.416136216134747</v>
      </c>
    </row>
    <row r="31" spans="1:13">
      <c r="A31" s="26"/>
      <c r="B31" s="26"/>
      <c r="C31" s="26"/>
      <c r="D31" s="26"/>
      <c r="E31" s="26"/>
      <c r="F31" s="26"/>
      <c r="G31" s="25"/>
      <c r="H31" s="26"/>
      <c r="I31" s="26"/>
      <c r="J31" s="26"/>
      <c r="K31" s="26"/>
      <c r="L31" s="26"/>
      <c r="M31" s="26"/>
    </row>
    <row r="32" spans="1:13">
      <c r="A32" s="16">
        <f>D5/D11</f>
        <v>0.124305983960518</v>
      </c>
      <c r="B32" s="8">
        <f>(B5*D5)/E11</f>
        <v>0.0220343801942087</v>
      </c>
      <c r="C32" s="8"/>
      <c r="D32" s="7"/>
      <c r="E32" s="7"/>
      <c r="F32" s="27" t="s">
        <v>52</v>
      </c>
      <c r="G32" s="25"/>
      <c r="H32" s="16">
        <f>D5/D11</f>
        <v>0.124305983960518</v>
      </c>
      <c r="I32" s="8">
        <f>1/(1+((0.42*F$1^2*G$11)/(12*E$11)))</f>
        <v>0.773171928366781</v>
      </c>
      <c r="J32" s="8">
        <f>(B5*D5)/E11</f>
        <v>0.0220343801942087</v>
      </c>
      <c r="K32" s="7"/>
      <c r="L32" s="7"/>
      <c r="M32" s="27" t="s">
        <v>52</v>
      </c>
    </row>
    <row r="33" spans="1:13">
      <c r="A33" s="18" t="s">
        <v>35</v>
      </c>
      <c r="B33" s="7">
        <v>5.4</v>
      </c>
      <c r="C33" s="19" t="s">
        <v>36</v>
      </c>
      <c r="D33" s="8">
        <f t="shared" ref="D33:D38" si="5">A$32+B$32*B33</f>
        <v>0.243291637009245</v>
      </c>
      <c r="E33" s="7" t="s">
        <v>37</v>
      </c>
      <c r="F33" s="20">
        <f>1.2*0.5*(D33+D34)</f>
        <v>0.268152833801349</v>
      </c>
      <c r="G33" s="25"/>
      <c r="H33" s="18" t="s">
        <v>35</v>
      </c>
      <c r="I33" s="7">
        <v>5.4</v>
      </c>
      <c r="J33" s="19" t="s">
        <v>36</v>
      </c>
      <c r="K33" s="8">
        <f t="shared" ref="K33:K38" si="6">H$32+I$32*J$32*I33</f>
        <v>0.216302350776183</v>
      </c>
      <c r="L33" s="7" t="s">
        <v>37</v>
      </c>
      <c r="M33" s="20">
        <f>1.2*0.5*(K33+K34)</f>
        <v>0.241163547568287</v>
      </c>
    </row>
    <row r="34" spans="1:13">
      <c r="A34" s="18" t="s">
        <v>38</v>
      </c>
      <c r="B34" s="7">
        <v>3.6</v>
      </c>
      <c r="C34" s="19" t="s">
        <v>39</v>
      </c>
      <c r="D34" s="8">
        <f t="shared" si="5"/>
        <v>0.203629752659669</v>
      </c>
      <c r="E34" s="7" t="s">
        <v>40</v>
      </c>
      <c r="F34" s="20">
        <f>0.5*(D33+D34+D35+D36)</f>
        <v>0.378614811066868</v>
      </c>
      <c r="G34" s="25"/>
      <c r="H34" s="18" t="s">
        <v>38</v>
      </c>
      <c r="I34" s="7">
        <v>3.6</v>
      </c>
      <c r="J34" s="19" t="s">
        <v>39</v>
      </c>
      <c r="K34" s="8">
        <f t="shared" si="6"/>
        <v>0.185636895170961</v>
      </c>
      <c r="L34" s="7" t="s">
        <v>40</v>
      </c>
      <c r="M34" s="20">
        <f>0.5*(K33+K34+K35+K36)</f>
        <v>0.349126516849263</v>
      </c>
    </row>
    <row r="35" spans="1:13">
      <c r="A35" s="18" t="s">
        <v>41</v>
      </c>
      <c r="B35" s="7">
        <v>2.3</v>
      </c>
      <c r="C35" s="19" t="s">
        <v>42</v>
      </c>
      <c r="D35" s="8">
        <f t="shared" si="5"/>
        <v>0.174985058407198</v>
      </c>
      <c r="E35" s="7" t="s">
        <v>43</v>
      </c>
      <c r="F35" s="20">
        <f>0.78*0.5*(D33+D34+D35+D36+D37+D38)</f>
        <v>0.36306063198384</v>
      </c>
      <c r="G35" s="25"/>
      <c r="H35" s="18" t="s">
        <v>41</v>
      </c>
      <c r="I35" s="7">
        <v>2.3</v>
      </c>
      <c r="J35" s="19" t="s">
        <v>42</v>
      </c>
      <c r="K35" s="8">
        <f t="shared" si="6"/>
        <v>0.163489621678301</v>
      </c>
      <c r="L35" s="7" t="s">
        <v>43</v>
      </c>
      <c r="M35" s="20">
        <f>0.78*0.5*(K33+K34+K35+K36+K37+K38)</f>
        <v>0.346687131669116</v>
      </c>
    </row>
    <row r="36" spans="1:13">
      <c r="A36" s="18" t="s">
        <v>44</v>
      </c>
      <c r="B36" s="7">
        <v>0.5</v>
      </c>
      <c r="C36" s="19" t="s">
        <v>45</v>
      </c>
      <c r="D36" s="8">
        <f t="shared" si="5"/>
        <v>0.135323174057622</v>
      </c>
      <c r="E36" s="7"/>
      <c r="F36" s="9"/>
      <c r="G36" s="25"/>
      <c r="H36" s="18" t="s">
        <v>44</v>
      </c>
      <c r="I36" s="7">
        <v>0.5</v>
      </c>
      <c r="J36" s="19" t="s">
        <v>45</v>
      </c>
      <c r="K36" s="8">
        <f t="shared" si="6"/>
        <v>0.13282416607308</v>
      </c>
      <c r="L36" s="7"/>
      <c r="M36" s="9"/>
    </row>
    <row r="37" spans="1:13">
      <c r="A37" s="18" t="s">
        <v>46</v>
      </c>
      <c r="B37" s="7">
        <v>-0.8</v>
      </c>
      <c r="C37" s="19" t="s">
        <v>47</v>
      </c>
      <c r="D37" s="8">
        <f t="shared" si="5"/>
        <v>0.106678479805151</v>
      </c>
      <c r="E37" s="7"/>
      <c r="F37" s="9"/>
      <c r="G37" s="25"/>
      <c r="H37" s="18" t="s">
        <v>46</v>
      </c>
      <c r="I37" s="7">
        <v>-0.8</v>
      </c>
      <c r="J37" s="19" t="s">
        <v>47</v>
      </c>
      <c r="K37" s="8">
        <f t="shared" si="6"/>
        <v>0.110676892580419</v>
      </c>
      <c r="L37" s="7"/>
      <c r="M37" s="9"/>
    </row>
    <row r="38" spans="1:13">
      <c r="A38" s="18" t="s">
        <v>48</v>
      </c>
      <c r="B38" s="7">
        <v>-2.6</v>
      </c>
      <c r="C38" s="19" t="s">
        <v>49</v>
      </c>
      <c r="D38" s="8">
        <f t="shared" si="5"/>
        <v>0.0670165954555753</v>
      </c>
      <c r="E38" s="7"/>
      <c r="F38" s="9"/>
      <c r="G38" s="25"/>
      <c r="H38" s="18" t="s">
        <v>48</v>
      </c>
      <c r="I38" s="7">
        <v>-2.6</v>
      </c>
      <c r="J38" s="19" t="s">
        <v>49</v>
      </c>
      <c r="K38" s="8">
        <f t="shared" si="6"/>
        <v>0.0800114369751977</v>
      </c>
      <c r="L38" s="7"/>
      <c r="M38" s="9"/>
    </row>
    <row r="39" ht="14.75" spans="1:13">
      <c r="A39" s="22"/>
      <c r="B39" s="10"/>
      <c r="C39" s="10"/>
      <c r="D39" s="10"/>
      <c r="E39" s="10" t="s">
        <v>50</v>
      </c>
      <c r="F39" s="24">
        <f>MAX(F33:F35)</f>
        <v>0.378614811066868</v>
      </c>
      <c r="G39" s="25"/>
      <c r="H39" s="22"/>
      <c r="I39" s="10"/>
      <c r="J39" s="10"/>
      <c r="K39" s="10"/>
      <c r="L39" s="10" t="s">
        <v>50</v>
      </c>
      <c r="M39" s="24">
        <f>MAX(M33:M35)</f>
        <v>0.349126516849263</v>
      </c>
    </row>
    <row r="40" ht="14.75"/>
  </sheetData>
  <mergeCells count="2">
    <mergeCell ref="A13:F13"/>
    <mergeCell ref="H13:M13"/>
  </mergeCell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9"/>
  <sheetViews>
    <sheetView workbookViewId="0">
      <selection activeCell="N19" sqref="N19"/>
    </sheetView>
  </sheetViews>
  <sheetFormatPr defaultColWidth="8.72727272727273" defaultRowHeight="14"/>
  <cols>
    <col min="9" max="9" width="12.8181818181818"/>
    <col min="11" max="11" width="9.54545454545454"/>
  </cols>
  <sheetData>
    <row r="1" spans="1:8">
      <c r="A1" s="1" t="s">
        <v>0</v>
      </c>
      <c r="B1" s="2">
        <v>7</v>
      </c>
      <c r="C1" s="1" t="s">
        <v>1</v>
      </c>
      <c r="D1" s="2">
        <v>0.412</v>
      </c>
      <c r="E1" s="1" t="s">
        <v>2</v>
      </c>
      <c r="F1" s="2">
        <v>24.4</v>
      </c>
      <c r="G1" s="1" t="s">
        <v>3</v>
      </c>
      <c r="H1" s="3">
        <v>0.081</v>
      </c>
    </row>
    <row r="2" ht="14.75" spans="1:8">
      <c r="A2" s="4" t="s">
        <v>4</v>
      </c>
      <c r="B2" s="5">
        <v>1.6</v>
      </c>
      <c r="C2" s="4" t="s">
        <v>5</v>
      </c>
      <c r="D2" s="5">
        <v>0.403</v>
      </c>
      <c r="E2" s="1" t="s">
        <v>6</v>
      </c>
      <c r="F2" s="2">
        <f>B1*B2</f>
        <v>11.2</v>
      </c>
      <c r="G2" s="4" t="s">
        <v>7</v>
      </c>
      <c r="H2" s="6">
        <v>0.076</v>
      </c>
    </row>
    <row r="3" ht="14.75" spans="1:7">
      <c r="A3" s="7" t="s">
        <v>8</v>
      </c>
      <c r="B3" s="7">
        <f>B2*((B1-1)/2)</f>
        <v>4.8</v>
      </c>
      <c r="C3" s="7" t="s">
        <v>9</v>
      </c>
      <c r="D3" s="7">
        <f>D$1</f>
        <v>0.412</v>
      </c>
      <c r="E3" s="8">
        <f t="shared" ref="E3:E9" si="0">B3^2*D3</f>
        <v>9.49248</v>
      </c>
      <c r="F3" s="7" t="s">
        <v>10</v>
      </c>
      <c r="G3" s="9">
        <f>H$1</f>
        <v>0.081</v>
      </c>
    </row>
    <row r="4" spans="1:7">
      <c r="A4" s="7" t="s">
        <v>11</v>
      </c>
      <c r="B4" s="7">
        <f>1.6*((B1-3)/2)</f>
        <v>3.2</v>
      </c>
      <c r="C4" s="7" t="s">
        <v>12</v>
      </c>
      <c r="D4" s="7">
        <f>D$2</f>
        <v>0.403</v>
      </c>
      <c r="E4" s="8">
        <f t="shared" si="0"/>
        <v>4.12672</v>
      </c>
      <c r="F4" s="7" t="s">
        <v>13</v>
      </c>
      <c r="G4" s="9">
        <f>H$2</f>
        <v>0.076</v>
      </c>
    </row>
    <row r="5" spans="1:7">
      <c r="A5" s="7" t="s">
        <v>14</v>
      </c>
      <c r="B5" s="7">
        <f>B2*((B1-5)/2)</f>
        <v>1.6</v>
      </c>
      <c r="C5" s="7" t="s">
        <v>15</v>
      </c>
      <c r="D5" s="7">
        <f>D$2</f>
        <v>0.403</v>
      </c>
      <c r="E5" s="8">
        <f t="shared" si="0"/>
        <v>1.03168</v>
      </c>
      <c r="F5" s="7" t="s">
        <v>16</v>
      </c>
      <c r="G5" s="9">
        <f>H$2</f>
        <v>0.076</v>
      </c>
    </row>
    <row r="6" spans="1:7">
      <c r="A6" s="7" t="s">
        <v>17</v>
      </c>
      <c r="B6" s="7">
        <f>-B2*((B1-7)/2)</f>
        <v>0</v>
      </c>
      <c r="C6" s="7" t="s">
        <v>18</v>
      </c>
      <c r="D6" s="7">
        <f>D$2</f>
        <v>0.403</v>
      </c>
      <c r="E6" s="8">
        <f t="shared" si="0"/>
        <v>0</v>
      </c>
      <c r="F6" s="7" t="s">
        <v>19</v>
      </c>
      <c r="G6" s="9">
        <f>H$2</f>
        <v>0.076</v>
      </c>
    </row>
    <row r="7" spans="1:7">
      <c r="A7" s="7" t="s">
        <v>20</v>
      </c>
      <c r="B7" s="7">
        <f>-B2*((B1-5)/2)</f>
        <v>-1.6</v>
      </c>
      <c r="C7" s="7" t="s">
        <v>21</v>
      </c>
      <c r="D7" s="7">
        <f>D$2</f>
        <v>0.403</v>
      </c>
      <c r="E7" s="8">
        <f t="shared" si="0"/>
        <v>1.03168</v>
      </c>
      <c r="F7" s="7" t="s">
        <v>22</v>
      </c>
      <c r="G7" s="9">
        <f>H$2</f>
        <v>0.076</v>
      </c>
    </row>
    <row r="8" spans="1:7">
      <c r="A8" s="7" t="s">
        <v>23</v>
      </c>
      <c r="B8" s="7">
        <f>-1.6*((B1-3)/2)</f>
        <v>-3.2</v>
      </c>
      <c r="C8" s="7" t="s">
        <v>24</v>
      </c>
      <c r="D8" s="7">
        <f>D$2</f>
        <v>0.403</v>
      </c>
      <c r="E8" s="8">
        <f t="shared" si="0"/>
        <v>4.12672</v>
      </c>
      <c r="F8" s="7" t="s">
        <v>25</v>
      </c>
      <c r="G8" s="9">
        <f>H$2</f>
        <v>0.076</v>
      </c>
    </row>
    <row r="9" spans="1:7">
      <c r="A9" s="7" t="s">
        <v>26</v>
      </c>
      <c r="B9" s="7">
        <f>-B2*((B1-1)/2)</f>
        <v>-4.8</v>
      </c>
      <c r="C9" s="7" t="s">
        <v>27</v>
      </c>
      <c r="D9" s="7">
        <f>D$1</f>
        <v>0.412</v>
      </c>
      <c r="E9" s="8">
        <f t="shared" si="0"/>
        <v>9.49248</v>
      </c>
      <c r="F9" s="7" t="s">
        <v>28</v>
      </c>
      <c r="G9" s="9">
        <f>H$1</f>
        <v>0.081</v>
      </c>
    </row>
    <row r="10" ht="14.75" spans="1:7">
      <c r="A10" s="10"/>
      <c r="B10" s="10"/>
      <c r="C10" s="10"/>
      <c r="D10" s="10">
        <f>SUM(D3,D4,D5,D6,D7,D8,D9)</f>
        <v>2.839</v>
      </c>
      <c r="E10" s="10">
        <f>SUM(E3,E4,E5,E6,E7,E8,E9,)</f>
        <v>29.30176</v>
      </c>
      <c r="F10" s="11"/>
      <c r="G10" s="12">
        <f>SUM(G3:G9)</f>
        <v>0.542</v>
      </c>
    </row>
    <row r="11" ht="15.5"/>
    <row r="12" ht="18.25" spans="1:13">
      <c r="A12" s="13" t="s">
        <v>32</v>
      </c>
      <c r="B12" s="14"/>
      <c r="C12" s="14"/>
      <c r="D12" s="14"/>
      <c r="E12" s="14"/>
      <c r="F12" s="15"/>
      <c r="H12" s="13" t="s">
        <v>33</v>
      </c>
      <c r="I12" s="14"/>
      <c r="J12" s="14"/>
      <c r="K12" s="14"/>
      <c r="L12" s="14"/>
      <c r="M12" s="15"/>
    </row>
    <row r="13" spans="1:13">
      <c r="A13" s="16">
        <f>D3/D10</f>
        <v>0.145121521662557</v>
      </c>
      <c r="B13" s="8">
        <f>(B3*D3)/E10</f>
        <v>0.0674908264896033</v>
      </c>
      <c r="C13" s="8"/>
      <c r="D13" s="7"/>
      <c r="E13" s="7"/>
      <c r="F13" s="17" t="s">
        <v>34</v>
      </c>
      <c r="H13" s="16">
        <f>D3/D10</f>
        <v>0.145121521662557</v>
      </c>
      <c r="I13" s="8">
        <f>1/(1+((0.42*F$1^2*G$10)/(12*E$10)))</f>
        <v>0.721793975856461</v>
      </c>
      <c r="J13" s="8">
        <f>(B3*D3)/E10</f>
        <v>0.0674908264896033</v>
      </c>
      <c r="K13" s="7"/>
      <c r="L13" s="7"/>
      <c r="M13" s="17" t="s">
        <v>34</v>
      </c>
    </row>
    <row r="14" spans="1:13">
      <c r="A14" s="18" t="s">
        <v>35</v>
      </c>
      <c r="B14" s="7">
        <v>4.6</v>
      </c>
      <c r="C14" s="19" t="s">
        <v>36</v>
      </c>
      <c r="D14" s="8">
        <f t="shared" ref="D14:D19" si="1">A$13+B$13*B14</f>
        <v>0.455579323514733</v>
      </c>
      <c r="E14" s="7" t="s">
        <v>37</v>
      </c>
      <c r="F14" s="20">
        <f>1.2*0.5*(D14+D15)</f>
        <v>0.473805095608907</v>
      </c>
      <c r="H14" s="18" t="s">
        <v>35</v>
      </c>
      <c r="I14" s="7">
        <v>4.6</v>
      </c>
      <c r="J14" s="19" t="s">
        <v>36</v>
      </c>
      <c r="K14" s="8">
        <f t="shared" ref="K14:K19" si="2">H$13+I$13*J$13*I14</f>
        <v>0.369208092797096</v>
      </c>
      <c r="L14" s="7" t="s">
        <v>37</v>
      </c>
      <c r="M14" s="20">
        <f>1.2*0.5*(K14+K15)</f>
        <v>0.390438081611885</v>
      </c>
    </row>
    <row r="15" spans="1:13">
      <c r="A15" s="18" t="s">
        <v>38</v>
      </c>
      <c r="B15" s="7">
        <v>2.8</v>
      </c>
      <c r="C15" s="19" t="s">
        <v>39</v>
      </c>
      <c r="D15" s="8">
        <f t="shared" si="1"/>
        <v>0.334095835833447</v>
      </c>
      <c r="E15" s="7" t="s">
        <v>40</v>
      </c>
      <c r="F15" s="20">
        <f>0.5*(D14+D15+D16+D17)</f>
        <v>0.587202679879369</v>
      </c>
      <c r="H15" s="18" t="s">
        <v>38</v>
      </c>
      <c r="I15" s="7">
        <v>2.8</v>
      </c>
      <c r="J15" s="19" t="s">
        <v>39</v>
      </c>
      <c r="K15" s="8">
        <f t="shared" si="2"/>
        <v>0.281522043222712</v>
      </c>
      <c r="L15" s="7" t="s">
        <v>40</v>
      </c>
      <c r="M15" s="20">
        <f>0.5*(K14+K15+K16+K17)</f>
        <v>0.5045867200625</v>
      </c>
    </row>
    <row r="16" spans="1:13">
      <c r="A16" s="18" t="s">
        <v>41</v>
      </c>
      <c r="B16" s="7">
        <v>1.5</v>
      </c>
      <c r="C16" s="19" t="s">
        <v>42</v>
      </c>
      <c r="D16" s="8">
        <f t="shared" si="1"/>
        <v>0.246357761396962</v>
      </c>
      <c r="E16" s="7" t="s">
        <v>43</v>
      </c>
      <c r="F16" s="20">
        <f>0.78*0.5*(D14+D15+D16+D17+D18+D19)</f>
        <v>0.450134334480354</v>
      </c>
      <c r="H16" s="18" t="s">
        <v>41</v>
      </c>
      <c r="I16" s="7">
        <v>1.5</v>
      </c>
      <c r="J16" s="19" t="s">
        <v>42</v>
      </c>
      <c r="K16" s="8">
        <f t="shared" si="2"/>
        <v>0.218193229641211</v>
      </c>
      <c r="L16" s="7" t="s">
        <v>43</v>
      </c>
      <c r="M16" s="20">
        <f>0.78*0.5*(K14+K15+K16+K17+K18+K19)</f>
        <v>0.419378665803074</v>
      </c>
    </row>
    <row r="17" spans="1:13">
      <c r="A17" s="18" t="s">
        <v>44</v>
      </c>
      <c r="B17" s="7">
        <v>-0.1</v>
      </c>
      <c r="C17" s="19" t="s">
        <v>45</v>
      </c>
      <c r="D17" s="8">
        <f t="shared" si="1"/>
        <v>0.138372439013597</v>
      </c>
      <c r="E17" s="7"/>
      <c r="F17" s="9"/>
      <c r="H17" s="18" t="s">
        <v>44</v>
      </c>
      <c r="I17" s="7">
        <v>-0.1</v>
      </c>
      <c r="J17" s="19" t="s">
        <v>45</v>
      </c>
      <c r="K17" s="8">
        <f t="shared" si="2"/>
        <v>0.14025007446398</v>
      </c>
      <c r="L17" s="7"/>
      <c r="M17" s="9"/>
    </row>
    <row r="18" spans="1:13">
      <c r="A18" s="18" t="s">
        <v>46</v>
      </c>
      <c r="B18" s="7">
        <v>-1.4</v>
      </c>
      <c r="C18" s="19" t="s">
        <v>47</v>
      </c>
      <c r="D18" s="8">
        <f t="shared" si="1"/>
        <v>0.0506343645771126</v>
      </c>
      <c r="E18" s="7"/>
      <c r="F18" s="9"/>
      <c r="H18" s="18" t="s">
        <v>46</v>
      </c>
      <c r="I18" s="7">
        <v>-1.4</v>
      </c>
      <c r="J18" s="19" t="s">
        <v>47</v>
      </c>
      <c r="K18" s="8">
        <f t="shared" si="2"/>
        <v>0.0769212608824801</v>
      </c>
      <c r="L18" s="7"/>
      <c r="M18" s="9"/>
    </row>
    <row r="19" spans="1:13">
      <c r="A19" s="18" t="s">
        <v>48</v>
      </c>
      <c r="B19" s="7">
        <v>-3.2</v>
      </c>
      <c r="C19" s="19" t="s">
        <v>49</v>
      </c>
      <c r="D19" s="8">
        <f t="shared" si="1"/>
        <v>-0.0708491231041735</v>
      </c>
      <c r="E19" s="7"/>
      <c r="F19" s="9"/>
      <c r="H19" s="18" t="s">
        <v>48</v>
      </c>
      <c r="I19" s="7">
        <v>-3.2</v>
      </c>
      <c r="J19" s="19" t="s">
        <v>49</v>
      </c>
      <c r="K19" s="8">
        <f t="shared" si="2"/>
        <v>-0.0107647886919048</v>
      </c>
      <c r="L19" s="7"/>
      <c r="M19" s="9"/>
    </row>
    <row r="20" spans="1:13">
      <c r="A20" s="18"/>
      <c r="B20" s="7"/>
      <c r="C20" s="7"/>
      <c r="D20" s="7"/>
      <c r="E20" s="7" t="s">
        <v>50</v>
      </c>
      <c r="F20" s="20">
        <f>MAX(F14,F15,F16)</f>
        <v>0.587202679879369</v>
      </c>
      <c r="H20" s="18"/>
      <c r="I20" s="7"/>
      <c r="J20" s="7"/>
      <c r="K20" s="7"/>
      <c r="L20" s="7" t="s">
        <v>50</v>
      </c>
      <c r="M20" s="20">
        <f>MAX(M14,M15,M16)</f>
        <v>0.5045867200625</v>
      </c>
    </row>
    <row r="21" spans="1:13">
      <c r="A21" s="26"/>
      <c r="B21" s="26"/>
      <c r="C21" s="26"/>
      <c r="D21" s="26"/>
      <c r="E21" s="26"/>
      <c r="F21" s="26"/>
      <c r="H21" s="26"/>
      <c r="I21" s="26"/>
      <c r="J21" s="26"/>
      <c r="K21" s="26"/>
      <c r="L21" s="26"/>
      <c r="M21" s="26"/>
    </row>
    <row r="22" spans="1:13">
      <c r="A22" s="16">
        <f>D4/D10</f>
        <v>0.141951391334977</v>
      </c>
      <c r="B22" s="8">
        <f>(B4*D4)/E10</f>
        <v>0.044011008212476</v>
      </c>
      <c r="C22" s="8"/>
      <c r="D22" s="7"/>
      <c r="E22" s="7"/>
      <c r="F22" s="17" t="s">
        <v>51</v>
      </c>
      <c r="H22" s="16">
        <f>D4/D10</f>
        <v>0.141951391334977</v>
      </c>
      <c r="I22" s="8">
        <f>1/(1+((0.42*F$1^2*G$10)/(12*E$10)))</f>
        <v>0.721793975856461</v>
      </c>
      <c r="J22" s="8">
        <f>(B4*D4)/E10</f>
        <v>0.044011008212476</v>
      </c>
      <c r="K22" s="7"/>
      <c r="L22" s="7"/>
      <c r="M22" s="17" t="s">
        <v>51</v>
      </c>
    </row>
    <row r="23" spans="1:13">
      <c r="A23" s="18" t="s">
        <v>35</v>
      </c>
      <c r="B23" s="7">
        <v>4.6</v>
      </c>
      <c r="C23" s="19" t="s">
        <v>36</v>
      </c>
      <c r="D23" s="8">
        <f t="shared" ref="D23:D28" si="3">A$22+B$22*B23</f>
        <v>0.344402029112367</v>
      </c>
      <c r="E23" s="7" t="s">
        <v>37</v>
      </c>
      <c r="F23" s="20">
        <f>1.2*0.5*(D23+D24)</f>
        <v>0.365750546065366</v>
      </c>
      <c r="H23" s="18" t="s">
        <v>35</v>
      </c>
      <c r="I23" s="7">
        <v>4.6</v>
      </c>
      <c r="J23" s="19" t="s">
        <v>36</v>
      </c>
      <c r="K23" s="8">
        <f t="shared" ref="K23:K28" si="4">H$22+I$22*J$22*I23</f>
        <v>0.288079042090995</v>
      </c>
      <c r="L23" s="7" t="s">
        <v>37</v>
      </c>
      <c r="M23" s="20">
        <f>1.2*0.5*(K23+K24)</f>
        <v>0.311386619462129</v>
      </c>
    </row>
    <row r="24" spans="1:13">
      <c r="A24" s="18" t="s">
        <v>38</v>
      </c>
      <c r="B24" s="7">
        <v>2.8</v>
      </c>
      <c r="C24" s="19" t="s">
        <v>39</v>
      </c>
      <c r="D24" s="8">
        <f t="shared" si="3"/>
        <v>0.26518221432991</v>
      </c>
      <c r="E24" s="7" t="s">
        <v>40</v>
      </c>
      <c r="F24" s="20">
        <f>0.5*(D23+D24+D25+D26)</f>
        <v>0.477551218804848</v>
      </c>
      <c r="H24" s="18" t="s">
        <v>38</v>
      </c>
      <c r="I24" s="7">
        <v>2.8</v>
      </c>
      <c r="J24" s="19" t="s">
        <v>39</v>
      </c>
      <c r="K24" s="8">
        <f t="shared" si="4"/>
        <v>0.230898657012553</v>
      </c>
      <c r="L24" s="7" t="s">
        <v>40</v>
      </c>
      <c r="M24" s="20">
        <f>0.5*(K23+K24+K25+K26)</f>
        <v>0.423677057306146</v>
      </c>
    </row>
    <row r="25" spans="1:13">
      <c r="A25" s="18" t="s">
        <v>41</v>
      </c>
      <c r="B25" s="7">
        <v>1.5</v>
      </c>
      <c r="C25" s="19" t="s">
        <v>42</v>
      </c>
      <c r="D25" s="8">
        <f t="shared" si="3"/>
        <v>0.207967903653691</v>
      </c>
      <c r="E25" s="7" t="s">
        <v>43</v>
      </c>
      <c r="F25" s="20">
        <f>0.78*0.5*(D23+D24+D25+D26+D27+D28)</f>
        <v>0.404256287175882</v>
      </c>
      <c r="H25" s="18" t="s">
        <v>41</v>
      </c>
      <c r="I25" s="7">
        <v>1.5</v>
      </c>
      <c r="J25" s="19" t="s">
        <v>42</v>
      </c>
      <c r="K25" s="8">
        <f t="shared" si="4"/>
        <v>0.189601712233679</v>
      </c>
      <c r="L25" s="7" t="s">
        <v>43</v>
      </c>
      <c r="M25" s="20">
        <f>0.78*0.5*(K23+K24+K25+K26+K27+K28)</f>
        <v>0.384200406145229</v>
      </c>
    </row>
    <row r="26" spans="1:13">
      <c r="A26" s="18" t="s">
        <v>44</v>
      </c>
      <c r="B26" s="7">
        <v>-0.1</v>
      </c>
      <c r="C26" s="19" t="s">
        <v>45</v>
      </c>
      <c r="D26" s="8">
        <f t="shared" si="3"/>
        <v>0.13755029051373</v>
      </c>
      <c r="E26" s="7"/>
      <c r="F26" s="9"/>
      <c r="H26" s="18" t="s">
        <v>44</v>
      </c>
      <c r="I26" s="7">
        <v>-0.1</v>
      </c>
      <c r="J26" s="19" t="s">
        <v>45</v>
      </c>
      <c r="K26" s="8">
        <f t="shared" si="4"/>
        <v>0.138774703275064</v>
      </c>
      <c r="L26" s="7"/>
      <c r="M26" s="9"/>
    </row>
    <row r="27" spans="1:13">
      <c r="A27" s="18" t="s">
        <v>46</v>
      </c>
      <c r="B27" s="7">
        <v>-1.4</v>
      </c>
      <c r="C27" s="19" t="s">
        <v>47</v>
      </c>
      <c r="D27" s="8">
        <f t="shared" si="3"/>
        <v>0.0803359798375108</v>
      </c>
      <c r="E27" s="7"/>
      <c r="F27" s="9"/>
      <c r="H27" s="18" t="s">
        <v>46</v>
      </c>
      <c r="I27" s="7">
        <v>-1.4</v>
      </c>
      <c r="J27" s="19" t="s">
        <v>47</v>
      </c>
      <c r="K27" s="8">
        <f t="shared" si="4"/>
        <v>0.0974777584961889</v>
      </c>
      <c r="L27" s="7"/>
      <c r="M27" s="9"/>
    </row>
    <row r="28" spans="1:13">
      <c r="A28" s="18" t="s">
        <v>48</v>
      </c>
      <c r="B28" s="7">
        <v>-3.2</v>
      </c>
      <c r="C28" s="19" t="s">
        <v>49</v>
      </c>
      <c r="D28" s="8">
        <f t="shared" si="3"/>
        <v>0.00111616505505402</v>
      </c>
      <c r="E28" s="7"/>
      <c r="F28" s="9"/>
      <c r="H28" s="18" t="s">
        <v>48</v>
      </c>
      <c r="I28" s="7">
        <v>-3.2</v>
      </c>
      <c r="J28" s="19" t="s">
        <v>49</v>
      </c>
      <c r="K28" s="8">
        <f t="shared" si="4"/>
        <v>0.040297373417747</v>
      </c>
      <c r="L28" s="7"/>
      <c r="M28" s="9"/>
    </row>
    <row r="29" spans="1:13">
      <c r="A29" s="16"/>
      <c r="B29" s="8"/>
      <c r="C29" s="8"/>
      <c r="D29" s="7"/>
      <c r="E29" s="7" t="s">
        <v>50</v>
      </c>
      <c r="F29" s="20">
        <f>MAX(F23,F24,F25)</f>
        <v>0.477551218804848</v>
      </c>
      <c r="H29" s="16"/>
      <c r="I29" s="8"/>
      <c r="J29" s="8"/>
      <c r="K29" s="7"/>
      <c r="L29" s="7" t="s">
        <v>50</v>
      </c>
      <c r="M29" s="20">
        <f>MAX(M23,M24,M25)</f>
        <v>0.423677057306146</v>
      </c>
    </row>
    <row r="30" spans="1:13">
      <c r="A30" s="26"/>
      <c r="B30" s="26"/>
      <c r="C30" s="26"/>
      <c r="D30" s="26"/>
      <c r="E30" s="26"/>
      <c r="F30" s="26"/>
      <c r="H30" s="26"/>
      <c r="I30" s="26"/>
      <c r="J30" s="26"/>
      <c r="K30" s="26"/>
      <c r="L30" s="26"/>
      <c r="M30" s="26"/>
    </row>
    <row r="31" spans="1:13">
      <c r="A31" s="16">
        <f>D5/D10</f>
        <v>0.141951391334977</v>
      </c>
      <c r="B31" s="8">
        <f>(B5*D5)/E10</f>
        <v>0.022005504106238</v>
      </c>
      <c r="C31" s="8"/>
      <c r="D31" s="7"/>
      <c r="E31" s="7"/>
      <c r="F31" s="27" t="s">
        <v>52</v>
      </c>
      <c r="H31" s="16">
        <f>D5/D10</f>
        <v>0.141951391334977</v>
      </c>
      <c r="I31" s="8">
        <f>1/(1+((0.42*F$1^2*G$10)/(12*E$10)))</f>
        <v>0.721793975856461</v>
      </c>
      <c r="J31" s="8">
        <f>(B5*D5)/E10</f>
        <v>0.022005504106238</v>
      </c>
      <c r="K31" s="7"/>
      <c r="L31" s="7"/>
      <c r="M31" s="27" t="s">
        <v>52</v>
      </c>
    </row>
    <row r="32" spans="1:13">
      <c r="A32" s="18" t="s">
        <v>35</v>
      </c>
      <c r="B32" s="7">
        <v>4.6</v>
      </c>
      <c r="C32" s="19" t="s">
        <v>36</v>
      </c>
      <c r="D32" s="8">
        <f t="shared" ref="D32:D37" si="5">A$31+B$31*B32</f>
        <v>0.243176710223672</v>
      </c>
      <c r="E32" s="7" t="s">
        <v>37</v>
      </c>
      <c r="F32" s="20">
        <f>1.2*0.5*(D32+D33)</f>
        <v>0.268046107833669</v>
      </c>
      <c r="H32" s="18" t="s">
        <v>35</v>
      </c>
      <c r="I32" s="7">
        <v>4.6</v>
      </c>
      <c r="J32" s="19" t="s">
        <v>36</v>
      </c>
      <c r="K32" s="8">
        <f t="shared" ref="K32:K37" si="6">H$31+I$31*J$31*I32</f>
        <v>0.215015216712986</v>
      </c>
      <c r="L32" s="7" t="s">
        <v>37</v>
      </c>
      <c r="M32" s="20">
        <f>1.2*0.5*(K32+K33)</f>
        <v>0.240864144532051</v>
      </c>
    </row>
    <row r="33" spans="1:13">
      <c r="A33" s="18" t="s">
        <v>38</v>
      </c>
      <c r="B33" s="7">
        <v>2.8</v>
      </c>
      <c r="C33" s="19" t="s">
        <v>39</v>
      </c>
      <c r="D33" s="8">
        <f t="shared" si="5"/>
        <v>0.203566802832443</v>
      </c>
      <c r="E33" s="7" t="s">
        <v>40</v>
      </c>
      <c r="F33" s="20">
        <f>0.5*(D32+D33+D34+D35)</f>
        <v>0.380727000737401</v>
      </c>
      <c r="H33" s="18" t="s">
        <v>38</v>
      </c>
      <c r="I33" s="7">
        <v>2.8</v>
      </c>
      <c r="J33" s="19" t="s">
        <v>39</v>
      </c>
      <c r="K33" s="8">
        <f t="shared" si="6"/>
        <v>0.186425024173765</v>
      </c>
      <c r="L33" s="7" t="s">
        <v>40</v>
      </c>
      <c r="M33" s="20">
        <f>0.5*(K32+K33+K34+K35)</f>
        <v>0.35378991998805</v>
      </c>
    </row>
    <row r="34" spans="1:13">
      <c r="A34" s="18" t="s">
        <v>41</v>
      </c>
      <c r="B34" s="7">
        <v>1.5</v>
      </c>
      <c r="C34" s="19" t="s">
        <v>42</v>
      </c>
      <c r="D34" s="8">
        <f t="shared" si="5"/>
        <v>0.174959647494334</v>
      </c>
      <c r="E34" s="7" t="s">
        <v>43</v>
      </c>
      <c r="F34" s="20">
        <f>0.78*0.5*(D32+D33+D34+D35+D36+D37)</f>
        <v>0.368211271449864</v>
      </c>
      <c r="H34" s="18" t="s">
        <v>41</v>
      </c>
      <c r="I34" s="7">
        <v>1.5</v>
      </c>
      <c r="J34" s="19" t="s">
        <v>42</v>
      </c>
      <c r="K34" s="8">
        <f t="shared" si="6"/>
        <v>0.165776551784328</v>
      </c>
      <c r="L34" s="7" t="s">
        <v>43</v>
      </c>
      <c r="M34" s="20">
        <f>0.78*0.5*(K32+K33+K34+K35+K36+K37)</f>
        <v>0.358183330934538</v>
      </c>
    </row>
    <row r="35" spans="1:13">
      <c r="A35" s="18" t="s">
        <v>44</v>
      </c>
      <c r="B35" s="7">
        <v>-0.1</v>
      </c>
      <c r="C35" s="19" t="s">
        <v>45</v>
      </c>
      <c r="D35" s="8">
        <f t="shared" si="5"/>
        <v>0.139750840924353</v>
      </c>
      <c r="E35" s="7"/>
      <c r="F35" s="9"/>
      <c r="H35" s="18" t="s">
        <v>44</v>
      </c>
      <c r="I35" s="7">
        <v>-0.1</v>
      </c>
      <c r="J35" s="19" t="s">
        <v>45</v>
      </c>
      <c r="K35" s="8">
        <f t="shared" si="6"/>
        <v>0.14036304730502</v>
      </c>
      <c r="L35" s="7"/>
      <c r="M35" s="9"/>
    </row>
    <row r="36" spans="1:13">
      <c r="A36" s="18" t="s">
        <v>46</v>
      </c>
      <c r="B36" s="7">
        <v>-1.4</v>
      </c>
      <c r="C36" s="19" t="s">
        <v>47</v>
      </c>
      <c r="D36" s="8">
        <f t="shared" si="5"/>
        <v>0.111143685586244</v>
      </c>
      <c r="E36" s="7"/>
      <c r="F36" s="9"/>
      <c r="H36" s="18" t="s">
        <v>46</v>
      </c>
      <c r="I36" s="7">
        <v>-1.4</v>
      </c>
      <c r="J36" s="19" t="s">
        <v>47</v>
      </c>
      <c r="K36" s="8">
        <f t="shared" si="6"/>
        <v>0.119714574915583</v>
      </c>
      <c r="L36" s="7"/>
      <c r="M36" s="9"/>
    </row>
    <row r="37" spans="1:13">
      <c r="A37" s="18" t="s">
        <v>48</v>
      </c>
      <c r="B37" s="7">
        <v>-3.2</v>
      </c>
      <c r="C37" s="19" t="s">
        <v>49</v>
      </c>
      <c r="D37" s="8">
        <f t="shared" si="5"/>
        <v>0.0715337781950156</v>
      </c>
      <c r="E37" s="7"/>
      <c r="F37" s="9"/>
      <c r="H37" s="18" t="s">
        <v>48</v>
      </c>
      <c r="I37" s="7">
        <v>-3.2</v>
      </c>
      <c r="J37" s="19" t="s">
        <v>49</v>
      </c>
      <c r="K37" s="8">
        <f t="shared" si="6"/>
        <v>0.0911243823763621</v>
      </c>
      <c r="L37" s="7"/>
      <c r="M37" s="9"/>
    </row>
    <row r="38" ht="14.75" spans="1:13">
      <c r="A38" s="22"/>
      <c r="B38" s="10"/>
      <c r="C38" s="10"/>
      <c r="D38" s="10"/>
      <c r="E38" s="10" t="s">
        <v>50</v>
      </c>
      <c r="F38" s="24">
        <f>MAX(F32,F33,F34)</f>
        <v>0.380727000737401</v>
      </c>
      <c r="H38" s="22"/>
      <c r="I38" s="10"/>
      <c r="J38" s="10"/>
      <c r="K38" s="10"/>
      <c r="L38" s="10" t="s">
        <v>50</v>
      </c>
      <c r="M38" s="24">
        <f>MAX(M32,M33,M34)</f>
        <v>0.358183330934538</v>
      </c>
    </row>
    <row r="39" ht="14.75"/>
  </sheetData>
  <mergeCells count="2">
    <mergeCell ref="A12:F12"/>
    <mergeCell ref="H12:M12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selection activeCell="N18" sqref="N18"/>
    </sheetView>
  </sheetViews>
  <sheetFormatPr defaultColWidth="8.72727272727273" defaultRowHeight="14"/>
  <cols>
    <col min="2" max="2" width="9.54545454545454"/>
    <col min="5" max="5" width="9.54545454545454"/>
    <col min="10" max="10" width="9.54545454545454"/>
  </cols>
  <sheetData>
    <row r="1" spans="1:8">
      <c r="A1" s="1" t="s">
        <v>0</v>
      </c>
      <c r="B1" s="2">
        <v>6</v>
      </c>
      <c r="C1" s="1" t="s">
        <v>1</v>
      </c>
      <c r="D1" s="2">
        <v>0.412</v>
      </c>
      <c r="E1" s="1" t="s">
        <v>2</v>
      </c>
      <c r="F1" s="2">
        <v>24.4</v>
      </c>
      <c r="G1" s="1" t="s">
        <v>3</v>
      </c>
      <c r="H1" s="3">
        <v>0.081</v>
      </c>
    </row>
    <row r="2" ht="14.75" spans="1:8">
      <c r="A2" s="4" t="s">
        <v>4</v>
      </c>
      <c r="B2" s="5">
        <v>1.6</v>
      </c>
      <c r="C2" s="4" t="s">
        <v>5</v>
      </c>
      <c r="D2" s="5">
        <v>0.403</v>
      </c>
      <c r="E2" s="1" t="s">
        <v>6</v>
      </c>
      <c r="F2" s="2">
        <f>B1*B2</f>
        <v>9.6</v>
      </c>
      <c r="G2" s="4" t="s">
        <v>7</v>
      </c>
      <c r="H2" s="6">
        <v>0.076</v>
      </c>
    </row>
    <row r="3" ht="14.75" spans="1:7">
      <c r="A3" s="7" t="s">
        <v>8</v>
      </c>
      <c r="B3" s="7">
        <f>B2*((B1-1)/2)</f>
        <v>4</v>
      </c>
      <c r="C3" s="7" t="s">
        <v>9</v>
      </c>
      <c r="D3" s="7">
        <f>D$1</f>
        <v>0.412</v>
      </c>
      <c r="E3" s="8">
        <f t="shared" ref="E3:E8" si="0">B3^2*D3</f>
        <v>6.592</v>
      </c>
      <c r="F3" s="7" t="s">
        <v>10</v>
      </c>
      <c r="G3" s="9">
        <f>H$1</f>
        <v>0.081</v>
      </c>
    </row>
    <row r="4" spans="1:7">
      <c r="A4" s="7" t="s">
        <v>11</v>
      </c>
      <c r="B4" s="7">
        <f>1.6*((B1-3)/2)</f>
        <v>2.4</v>
      </c>
      <c r="C4" s="7" t="s">
        <v>12</v>
      </c>
      <c r="D4" s="7">
        <f>D$2</f>
        <v>0.403</v>
      </c>
      <c r="E4" s="8">
        <f t="shared" si="0"/>
        <v>2.32128</v>
      </c>
      <c r="F4" s="7" t="s">
        <v>13</v>
      </c>
      <c r="G4" s="9">
        <f>H$2</f>
        <v>0.076</v>
      </c>
    </row>
    <row r="5" spans="1:7">
      <c r="A5" s="7" t="s">
        <v>14</v>
      </c>
      <c r="B5" s="25">
        <f>B2*((B1-5)/2)</f>
        <v>0.8</v>
      </c>
      <c r="C5" s="7" t="s">
        <v>15</v>
      </c>
      <c r="D5" s="7">
        <f>D$2</f>
        <v>0.403</v>
      </c>
      <c r="E5" s="8">
        <f t="shared" si="0"/>
        <v>0.25792</v>
      </c>
      <c r="F5" s="7" t="s">
        <v>16</v>
      </c>
      <c r="G5" s="9">
        <f>H$2</f>
        <v>0.076</v>
      </c>
    </row>
    <row r="6" spans="1:7">
      <c r="A6" s="7" t="s">
        <v>17</v>
      </c>
      <c r="B6" s="7">
        <f>-B2*((B1-5)/2)</f>
        <v>-0.8</v>
      </c>
      <c r="C6" s="7" t="s">
        <v>18</v>
      </c>
      <c r="D6" s="7">
        <f>D$2</f>
        <v>0.403</v>
      </c>
      <c r="E6" s="8">
        <f t="shared" si="0"/>
        <v>0.25792</v>
      </c>
      <c r="F6" s="7" t="s">
        <v>19</v>
      </c>
      <c r="G6" s="9">
        <f>H$2</f>
        <v>0.076</v>
      </c>
    </row>
    <row r="7" spans="1:7">
      <c r="A7" s="7" t="s">
        <v>20</v>
      </c>
      <c r="B7" s="7">
        <f>-B2*((B1-3)/2)</f>
        <v>-2.4</v>
      </c>
      <c r="C7" s="7" t="s">
        <v>21</v>
      </c>
      <c r="D7" s="7">
        <f>D$2</f>
        <v>0.403</v>
      </c>
      <c r="E7" s="8">
        <f t="shared" si="0"/>
        <v>2.32128</v>
      </c>
      <c r="F7" s="7" t="s">
        <v>22</v>
      </c>
      <c r="G7" s="9">
        <f>H$2</f>
        <v>0.076</v>
      </c>
    </row>
    <row r="8" spans="1:7">
      <c r="A8" s="7" t="s">
        <v>23</v>
      </c>
      <c r="B8" s="7">
        <f>-B2*((B1-1)/2)</f>
        <v>-4</v>
      </c>
      <c r="C8" s="7" t="s">
        <v>24</v>
      </c>
      <c r="D8" s="7">
        <f>D$1</f>
        <v>0.412</v>
      </c>
      <c r="E8" s="8">
        <f t="shared" si="0"/>
        <v>6.592</v>
      </c>
      <c r="F8" s="7" t="s">
        <v>25</v>
      </c>
      <c r="G8" s="9">
        <f>H$1</f>
        <v>0.081</v>
      </c>
    </row>
    <row r="9" ht="14.75" spans="1:7">
      <c r="A9" s="10"/>
      <c r="B9" s="10"/>
      <c r="C9" s="10"/>
      <c r="D9" s="10">
        <f>SUM(D3:D8)</f>
        <v>2.436</v>
      </c>
      <c r="E9" s="11">
        <f>SUM(E3:E8)</f>
        <v>18.3424</v>
      </c>
      <c r="F9" s="11"/>
      <c r="G9" s="12">
        <f>SUM(G3:G8)</f>
        <v>0.466</v>
      </c>
    </row>
    <row r="10" ht="15.5"/>
    <row r="11" ht="18.25" spans="1:13">
      <c r="A11" s="13" t="s">
        <v>32</v>
      </c>
      <c r="B11" s="14"/>
      <c r="C11" s="14"/>
      <c r="D11" s="14"/>
      <c r="E11" s="14"/>
      <c r="F11" s="15"/>
      <c r="H11" s="13" t="s">
        <v>33</v>
      </c>
      <c r="I11" s="14"/>
      <c r="J11" s="14"/>
      <c r="K11" s="14"/>
      <c r="L11" s="14"/>
      <c r="M11" s="15"/>
    </row>
    <row r="12" spans="1:13">
      <c r="A12" s="16">
        <f>D3/D9</f>
        <v>0.169129720853859</v>
      </c>
      <c r="B12" s="8">
        <f>(B3*D3)/E9</f>
        <v>0.0898464759246336</v>
      </c>
      <c r="C12" s="8"/>
      <c r="D12" s="7"/>
      <c r="E12" s="7"/>
      <c r="F12" s="17" t="s">
        <v>34</v>
      </c>
      <c r="H12" s="16">
        <f>D3/D9</f>
        <v>0.169129720853859</v>
      </c>
      <c r="I12" s="21">
        <f>1/(1+((0.42*F$1^2*G$9)/(12*E$9)))</f>
        <v>0.653854562189788</v>
      </c>
      <c r="J12" s="8">
        <f>(B3*D3)/E9</f>
        <v>0.0898464759246336</v>
      </c>
      <c r="K12" s="7"/>
      <c r="L12" s="7"/>
      <c r="M12" s="17" t="s">
        <v>34</v>
      </c>
    </row>
    <row r="13" spans="1:13">
      <c r="A13" s="18" t="s">
        <v>35</v>
      </c>
      <c r="B13" s="7">
        <v>3.8</v>
      </c>
      <c r="C13" s="19" t="s">
        <v>36</v>
      </c>
      <c r="D13" s="8">
        <f>A$12+B$12*B13</f>
        <v>0.510546329367467</v>
      </c>
      <c r="E13" s="7" t="s">
        <v>37</v>
      </c>
      <c r="F13" s="20">
        <f>1.2*0.5*(D13+D14)</f>
        <v>0.515621401242356</v>
      </c>
      <c r="H13" s="18" t="s">
        <v>35</v>
      </c>
      <c r="I13" s="7">
        <v>3.8</v>
      </c>
      <c r="J13" s="19" t="s">
        <v>36</v>
      </c>
      <c r="K13" s="8">
        <f>H$12+I$12*J$12*I13</f>
        <v>0.392366527937846</v>
      </c>
      <c r="L13" s="7" t="s">
        <v>37</v>
      </c>
      <c r="M13" s="20">
        <f>1.2*0.5*(K13+K14)</f>
        <v>0.407393583091019</v>
      </c>
    </row>
    <row r="14" spans="1:13">
      <c r="A14" s="18" t="s">
        <v>38</v>
      </c>
      <c r="B14" s="7">
        <v>2</v>
      </c>
      <c r="C14" s="19" t="s">
        <v>39</v>
      </c>
      <c r="D14" s="8">
        <f>A$12+B$12*B14</f>
        <v>0.348822672703126</v>
      </c>
      <c r="E14" s="7" t="s">
        <v>40</v>
      </c>
      <c r="F14" s="20">
        <f>0.5*(D13+D14+D15+D16)</f>
        <v>0.580844926704228</v>
      </c>
      <c r="H14" s="18" t="s">
        <v>38</v>
      </c>
      <c r="I14" s="7">
        <v>2</v>
      </c>
      <c r="J14" s="19" t="s">
        <v>39</v>
      </c>
      <c r="K14" s="8">
        <f>H$12+I$12*J$12*I14</f>
        <v>0.286622777213852</v>
      </c>
      <c r="L14" s="7" t="s">
        <v>40</v>
      </c>
      <c r="M14" s="20">
        <f>0.5*(K13+K14+K15+K16)</f>
        <v>0.496875067793708</v>
      </c>
    </row>
    <row r="15" spans="1:13">
      <c r="A15" s="18" t="s">
        <v>41</v>
      </c>
      <c r="B15" s="7">
        <v>0.7</v>
      </c>
      <c r="C15" s="19" t="s">
        <v>42</v>
      </c>
      <c r="D15" s="8">
        <f>A$12+B$12*B15</f>
        <v>0.232022254001102</v>
      </c>
      <c r="E15" s="7"/>
      <c r="F15" s="20"/>
      <c r="H15" s="18" t="s">
        <v>41</v>
      </c>
      <c r="I15" s="7">
        <v>0.7</v>
      </c>
      <c r="J15" s="19" t="s">
        <v>42</v>
      </c>
      <c r="K15" s="8">
        <f>H$12+I$12*J$12*I15</f>
        <v>0.210252290579856</v>
      </c>
      <c r="L15" s="7"/>
      <c r="M15" s="20"/>
    </row>
    <row r="16" spans="1:13">
      <c r="A16" s="18" t="s">
        <v>44</v>
      </c>
      <c r="B16" s="7">
        <v>-1.1</v>
      </c>
      <c r="C16" s="19" t="s">
        <v>45</v>
      </c>
      <c r="D16" s="8">
        <f>A$12+B$12*B16</f>
        <v>0.0702985973367618</v>
      </c>
      <c r="E16" s="7"/>
      <c r="F16" s="9"/>
      <c r="H16" s="18" t="s">
        <v>44</v>
      </c>
      <c r="I16" s="7">
        <v>-1.1</v>
      </c>
      <c r="J16" s="19" t="s">
        <v>45</v>
      </c>
      <c r="K16" s="8">
        <f>H$12+I$12*J$12*I16</f>
        <v>0.104508539855862</v>
      </c>
      <c r="L16" s="7"/>
      <c r="M16" s="9"/>
    </row>
    <row r="17" spans="1:13">
      <c r="A17" s="18"/>
      <c r="B17" s="7"/>
      <c r="C17" s="19"/>
      <c r="D17" s="8"/>
      <c r="E17" s="7" t="s">
        <v>50</v>
      </c>
      <c r="F17" s="20">
        <f>MAX(F13,F14,F15)</f>
        <v>0.580844926704228</v>
      </c>
      <c r="H17" s="18"/>
      <c r="I17" s="7"/>
      <c r="J17" s="19"/>
      <c r="K17" s="8"/>
      <c r="L17" s="7" t="s">
        <v>50</v>
      </c>
      <c r="M17" s="20">
        <f>MAX(M13,M14,M15)</f>
        <v>0.496875067793708</v>
      </c>
    </row>
    <row r="18" spans="4:11">
      <c r="D18" s="21"/>
      <c r="K18" s="21"/>
    </row>
    <row r="19" spans="1:13">
      <c r="A19" s="16">
        <f>D4/D9</f>
        <v>0.165435139573071</v>
      </c>
      <c r="B19" s="8">
        <f>(B4*D4)/E9</f>
        <v>0.0527302861130496</v>
      </c>
      <c r="C19" s="8"/>
      <c r="D19" s="7"/>
      <c r="E19" s="7"/>
      <c r="F19" s="17" t="s">
        <v>51</v>
      </c>
      <c r="H19" s="16">
        <f>D4/D9</f>
        <v>0.165435139573071</v>
      </c>
      <c r="I19" s="21">
        <f>1/(1+((0.42*F$1^2*G$9)/(12*E$9)))</f>
        <v>0.653854562189788</v>
      </c>
      <c r="J19" s="8">
        <f>(B4*D4)/E9</f>
        <v>0.0527302861130496</v>
      </c>
      <c r="K19" s="7"/>
      <c r="L19" s="7"/>
      <c r="M19" s="17" t="s">
        <v>51</v>
      </c>
    </row>
    <row r="20" spans="1:13">
      <c r="A20" s="18" t="s">
        <v>35</v>
      </c>
      <c r="B20" s="7">
        <v>3.8</v>
      </c>
      <c r="C20" s="19" t="s">
        <v>36</v>
      </c>
      <c r="D20" s="8">
        <f>A$19+B$19*B20</f>
        <v>0.365810226802659</v>
      </c>
      <c r="E20" s="7" t="s">
        <v>37</v>
      </c>
      <c r="F20" s="20">
        <f>1.2*0.5*(D20+D21)</f>
        <v>0.382023563161097</v>
      </c>
      <c r="H20" s="18" t="s">
        <v>35</v>
      </c>
      <c r="I20" s="7">
        <v>3.8</v>
      </c>
      <c r="J20" s="19" t="s">
        <v>36</v>
      </c>
      <c r="K20" s="8">
        <f t="shared" ref="K20:K23" si="1">H$19+I$19*J$19*I20</f>
        <v>0.296451304507314</v>
      </c>
      <c r="L20" s="7" t="s">
        <v>37</v>
      </c>
      <c r="M20" s="20">
        <f>1.2*0.5*(K20+K21)</f>
        <v>0.318505392216939</v>
      </c>
    </row>
    <row r="21" spans="1:13">
      <c r="A21" s="18" t="s">
        <v>38</v>
      </c>
      <c r="B21" s="7">
        <v>2</v>
      </c>
      <c r="C21" s="19" t="s">
        <v>39</v>
      </c>
      <c r="D21" s="8">
        <f>A$19+B$19*B21</f>
        <v>0.27089571179917</v>
      </c>
      <c r="E21" s="7" t="s">
        <v>40</v>
      </c>
      <c r="F21" s="20">
        <f>0.5*(D20+D21+D22+D23)</f>
        <v>0.473242051651375</v>
      </c>
      <c r="H21" s="18" t="s">
        <v>38</v>
      </c>
      <c r="I21" s="7">
        <v>2</v>
      </c>
      <c r="J21" s="19" t="s">
        <v>39</v>
      </c>
      <c r="K21" s="8">
        <f t="shared" si="1"/>
        <v>0.234391015854251</v>
      </c>
      <c r="L21" s="7" t="s">
        <v>40</v>
      </c>
      <c r="M21" s="20">
        <f>0.5*(K20+K21+K22+K23)</f>
        <v>0.423960712125735</v>
      </c>
    </row>
    <row r="22" spans="1:13">
      <c r="A22" s="18" t="s">
        <v>41</v>
      </c>
      <c r="B22" s="7">
        <v>0.7</v>
      </c>
      <c r="C22" s="19" t="s">
        <v>42</v>
      </c>
      <c r="D22" s="8">
        <f>A$19+B$19*B22</f>
        <v>0.202346339852205</v>
      </c>
      <c r="E22" s="7"/>
      <c r="F22" s="20"/>
      <c r="H22" s="18" t="s">
        <v>41</v>
      </c>
      <c r="I22" s="7">
        <v>0.7</v>
      </c>
      <c r="J22" s="19" t="s">
        <v>42</v>
      </c>
      <c r="K22" s="8">
        <f t="shared" si="1"/>
        <v>0.189569696271484</v>
      </c>
      <c r="L22" s="7"/>
      <c r="M22" s="20"/>
    </row>
    <row r="23" spans="1:13">
      <c r="A23" s="18" t="s">
        <v>44</v>
      </c>
      <c r="B23" s="7">
        <v>-1.1</v>
      </c>
      <c r="C23" s="19" t="s">
        <v>45</v>
      </c>
      <c r="D23" s="8">
        <f>A$19+B$19*B23</f>
        <v>0.107431824848716</v>
      </c>
      <c r="E23" s="7"/>
      <c r="F23" s="9"/>
      <c r="H23" s="18" t="s">
        <v>44</v>
      </c>
      <c r="I23" s="7">
        <v>-1.1</v>
      </c>
      <c r="J23" s="19" t="s">
        <v>45</v>
      </c>
      <c r="K23" s="8">
        <f t="shared" si="1"/>
        <v>0.127509407618421</v>
      </c>
      <c r="L23" s="7"/>
      <c r="M23" s="9"/>
    </row>
    <row r="24" spans="1:13">
      <c r="A24" s="18"/>
      <c r="B24" s="7"/>
      <c r="C24" s="19"/>
      <c r="D24" s="8"/>
      <c r="E24" s="7" t="s">
        <v>50</v>
      </c>
      <c r="F24" s="20">
        <f>MAX(F20,F21,F22)</f>
        <v>0.473242051651375</v>
      </c>
      <c r="H24" s="18"/>
      <c r="I24" s="7"/>
      <c r="J24" s="19"/>
      <c r="K24" s="8"/>
      <c r="L24" s="7" t="s">
        <v>50</v>
      </c>
      <c r="M24" s="20">
        <f>MAX(M20,M21,M22)</f>
        <v>0.423960712125735</v>
      </c>
    </row>
    <row r="26" spans="1:13">
      <c r="A26" s="16">
        <f>D5/D9</f>
        <v>0.165435139573071</v>
      </c>
      <c r="B26" s="8">
        <f>(B5*D5)/E9</f>
        <v>0.0175767620376832</v>
      </c>
      <c r="C26" s="8"/>
      <c r="D26" s="7"/>
      <c r="E26" s="7"/>
      <c r="F26" s="17" t="s">
        <v>52</v>
      </c>
      <c r="H26" s="16">
        <f>D5/D9</f>
        <v>0.165435139573071</v>
      </c>
      <c r="I26" s="21">
        <f>1/(1+((0.42*F$1^2*G$9)/(12*E$9)))</f>
        <v>0.653854562189788</v>
      </c>
      <c r="J26" s="8">
        <f>(B5*D5)/E9</f>
        <v>0.0175767620376832</v>
      </c>
      <c r="K26" s="7"/>
      <c r="L26" s="7"/>
      <c r="M26" s="17" t="s">
        <v>52</v>
      </c>
    </row>
    <row r="27" spans="1:13">
      <c r="A27" s="18" t="s">
        <v>35</v>
      </c>
      <c r="B27" s="7">
        <v>3.8</v>
      </c>
      <c r="C27" s="19" t="s">
        <v>36</v>
      </c>
      <c r="D27" s="8">
        <f t="shared" ref="D27:D30" si="2">A$26+B$26*B27</f>
        <v>0.232226835316267</v>
      </c>
      <c r="E27" s="7" t="s">
        <v>37</v>
      </c>
      <c r="F27" s="20">
        <f>1.2*0.5*(D27+D28)</f>
        <v>0.259689299378822</v>
      </c>
      <c r="H27" s="18" t="s">
        <v>35</v>
      </c>
      <c r="I27" s="7">
        <v>3.8</v>
      </c>
      <c r="J27" s="19" t="s">
        <v>36</v>
      </c>
      <c r="K27" s="8">
        <f t="shared" ref="K27:K30" si="3">H$26+I$26*J$26*I27</f>
        <v>0.209107194551152</v>
      </c>
      <c r="L27" s="7" t="s">
        <v>37</v>
      </c>
      <c r="M27" s="20">
        <f>1.2*0.5*(K27+K28)</f>
        <v>0.238516575730769</v>
      </c>
    </row>
    <row r="28" spans="1:13">
      <c r="A28" s="18" t="s">
        <v>38</v>
      </c>
      <c r="B28" s="7">
        <v>2</v>
      </c>
      <c r="C28" s="19" t="s">
        <v>39</v>
      </c>
      <c r="D28" s="8">
        <f t="shared" si="2"/>
        <v>0.200588663648437</v>
      </c>
      <c r="E28" s="7" t="s">
        <v>40</v>
      </c>
      <c r="F28" s="20">
        <f>0.5*(D27+D28+D29+D30)</f>
        <v>0.378327536647886</v>
      </c>
      <c r="H28" s="18" t="s">
        <v>38</v>
      </c>
      <c r="I28" s="7">
        <v>2</v>
      </c>
      <c r="J28" s="19" t="s">
        <v>39</v>
      </c>
      <c r="K28" s="8">
        <f t="shared" si="3"/>
        <v>0.188420431666797</v>
      </c>
      <c r="L28" s="7" t="s">
        <v>40</v>
      </c>
      <c r="M28" s="20">
        <f>0.5*(K27+K28+K29+K30)</f>
        <v>0.361900423472672</v>
      </c>
    </row>
    <row r="29" spans="1:13">
      <c r="A29" s="18" t="s">
        <v>41</v>
      </c>
      <c r="B29" s="7">
        <v>0.7</v>
      </c>
      <c r="C29" s="19" t="s">
        <v>42</v>
      </c>
      <c r="D29" s="8">
        <f t="shared" si="2"/>
        <v>0.177738872999449</v>
      </c>
      <c r="E29" s="7"/>
      <c r="F29" s="20"/>
      <c r="H29" s="18" t="s">
        <v>41</v>
      </c>
      <c r="I29" s="7">
        <v>0.7</v>
      </c>
      <c r="J29" s="19" t="s">
        <v>42</v>
      </c>
      <c r="K29" s="8">
        <f t="shared" si="3"/>
        <v>0.173479991805875</v>
      </c>
      <c r="L29" s="7"/>
      <c r="M29" s="20"/>
    </row>
    <row r="30" spans="1:13">
      <c r="A30" s="18" t="s">
        <v>44</v>
      </c>
      <c r="B30" s="7">
        <v>-1.1</v>
      </c>
      <c r="C30" s="19" t="s">
        <v>45</v>
      </c>
      <c r="D30" s="8">
        <f t="shared" si="2"/>
        <v>0.146100701331619</v>
      </c>
      <c r="E30" s="7"/>
      <c r="F30" s="9"/>
      <c r="H30" s="18" t="s">
        <v>44</v>
      </c>
      <c r="I30" s="7">
        <v>-1.1</v>
      </c>
      <c r="J30" s="19" t="s">
        <v>45</v>
      </c>
      <c r="K30" s="8">
        <f t="shared" si="3"/>
        <v>0.152793228921521</v>
      </c>
      <c r="L30" s="7"/>
      <c r="M30" s="9"/>
    </row>
    <row r="31" ht="14.75" spans="1:13">
      <c r="A31" s="22"/>
      <c r="B31" s="10"/>
      <c r="C31" s="23"/>
      <c r="D31" s="11"/>
      <c r="E31" s="10" t="s">
        <v>50</v>
      </c>
      <c r="F31" s="24">
        <f>MAX(F27,F28,F29)</f>
        <v>0.378327536647886</v>
      </c>
      <c r="H31" s="22"/>
      <c r="I31" s="10"/>
      <c r="J31" s="23"/>
      <c r="K31" s="11"/>
      <c r="L31" s="10" t="s">
        <v>50</v>
      </c>
      <c r="M31" s="24">
        <f>MAX(M27,M28,M29)</f>
        <v>0.361900423472672</v>
      </c>
    </row>
    <row r="32" ht="14.75"/>
  </sheetData>
  <mergeCells count="2">
    <mergeCell ref="A11:F11"/>
    <mergeCell ref="H11:M11"/>
  </mergeCells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1"/>
  <sheetViews>
    <sheetView workbookViewId="0">
      <selection activeCell="O17" sqref="O17"/>
    </sheetView>
  </sheetViews>
  <sheetFormatPr defaultColWidth="8.72727272727273" defaultRowHeight="14"/>
  <cols>
    <col min="5" max="5" width="9.54545454545454"/>
    <col min="6" max="6" width="9.45454545454546" customWidth="1"/>
    <col min="9" max="9" width="12.8181818181818"/>
  </cols>
  <sheetData>
    <row r="1" spans="1:8">
      <c r="A1" s="1" t="s">
        <v>0</v>
      </c>
      <c r="B1" s="2">
        <v>5</v>
      </c>
      <c r="C1" s="1" t="s">
        <v>1</v>
      </c>
      <c r="D1" s="2">
        <v>0.412</v>
      </c>
      <c r="E1" s="1" t="s">
        <v>2</v>
      </c>
      <c r="F1" s="2">
        <v>24.4</v>
      </c>
      <c r="G1" s="1" t="s">
        <v>3</v>
      </c>
      <c r="H1" s="3">
        <v>0.081</v>
      </c>
    </row>
    <row r="2" ht="14.75" spans="1:8">
      <c r="A2" s="4" t="s">
        <v>4</v>
      </c>
      <c r="B2" s="5">
        <v>1.6</v>
      </c>
      <c r="C2" s="4" t="s">
        <v>5</v>
      </c>
      <c r="D2" s="5">
        <v>0.403</v>
      </c>
      <c r="E2" s="1" t="s">
        <v>6</v>
      </c>
      <c r="F2" s="2">
        <f>B1*B2</f>
        <v>8</v>
      </c>
      <c r="G2" s="4" t="s">
        <v>7</v>
      </c>
      <c r="H2" s="6">
        <v>0.076</v>
      </c>
    </row>
    <row r="3" ht="14.75" spans="1:7">
      <c r="A3" s="7" t="s">
        <v>8</v>
      </c>
      <c r="B3" s="7">
        <f>B2*((B1-1)/2)</f>
        <v>3.2</v>
      </c>
      <c r="C3" s="7" t="s">
        <v>9</v>
      </c>
      <c r="D3" s="7">
        <f>D$1</f>
        <v>0.412</v>
      </c>
      <c r="E3" s="8">
        <f t="shared" ref="E3:E7" si="0">B3^2*D3</f>
        <v>4.21888</v>
      </c>
      <c r="F3" s="7" t="s">
        <v>10</v>
      </c>
      <c r="G3" s="9">
        <f>H$1</f>
        <v>0.081</v>
      </c>
    </row>
    <row r="4" spans="1:7">
      <c r="A4" s="7" t="s">
        <v>11</v>
      </c>
      <c r="B4" s="7">
        <f>1.6*((B1-3)/2)</f>
        <v>1.6</v>
      </c>
      <c r="C4" s="7" t="s">
        <v>12</v>
      </c>
      <c r="D4" s="7">
        <f>D$2</f>
        <v>0.403</v>
      </c>
      <c r="E4" s="8">
        <f t="shared" si="0"/>
        <v>1.03168</v>
      </c>
      <c r="F4" s="7" t="s">
        <v>13</v>
      </c>
      <c r="G4" s="9">
        <f>H$2</f>
        <v>0.076</v>
      </c>
    </row>
    <row r="5" spans="1:7">
      <c r="A5" s="7" t="s">
        <v>14</v>
      </c>
      <c r="B5" s="7">
        <f>-B2*((B1-5)/2)</f>
        <v>0</v>
      </c>
      <c r="C5" s="7" t="s">
        <v>15</v>
      </c>
      <c r="D5" s="7">
        <f>D$2</f>
        <v>0.403</v>
      </c>
      <c r="E5" s="8">
        <f t="shared" si="0"/>
        <v>0</v>
      </c>
      <c r="F5" s="7" t="s">
        <v>16</v>
      </c>
      <c r="G5" s="9">
        <f>H$2</f>
        <v>0.076</v>
      </c>
    </row>
    <row r="6" spans="1:7">
      <c r="A6" s="7" t="s">
        <v>17</v>
      </c>
      <c r="B6" s="7">
        <f>-B2*((B1-3)/2)</f>
        <v>-1.6</v>
      </c>
      <c r="C6" s="7" t="s">
        <v>18</v>
      </c>
      <c r="D6" s="7">
        <f>D$2</f>
        <v>0.403</v>
      </c>
      <c r="E6" s="8">
        <f t="shared" si="0"/>
        <v>1.03168</v>
      </c>
      <c r="F6" s="7" t="s">
        <v>19</v>
      </c>
      <c r="G6" s="9">
        <f>H$2</f>
        <v>0.076</v>
      </c>
    </row>
    <row r="7" spans="1:7">
      <c r="A7" s="7" t="s">
        <v>20</v>
      </c>
      <c r="B7" s="7">
        <f>-B2*((B1-1)/2)</f>
        <v>-3.2</v>
      </c>
      <c r="C7" s="7" t="s">
        <v>21</v>
      </c>
      <c r="D7" s="7">
        <f>D$1</f>
        <v>0.412</v>
      </c>
      <c r="E7" s="8">
        <f t="shared" si="0"/>
        <v>4.21888</v>
      </c>
      <c r="F7" s="7" t="s">
        <v>22</v>
      </c>
      <c r="G7" s="9">
        <f>H$1</f>
        <v>0.081</v>
      </c>
    </row>
    <row r="8" ht="14.75" spans="1:7">
      <c r="A8" s="10"/>
      <c r="B8" s="10"/>
      <c r="C8" s="10"/>
      <c r="D8" s="10">
        <f>SUM(D3,D4,D5,D6,D7)</f>
        <v>2.033</v>
      </c>
      <c r="E8" s="11">
        <f>SUM(E3,E4,E5,E6,E7,)</f>
        <v>10.50112</v>
      </c>
      <c r="F8" s="11"/>
      <c r="G8" s="12">
        <f>SUM(G3:G7)</f>
        <v>0.39</v>
      </c>
    </row>
    <row r="9" ht="15.5"/>
    <row r="10" ht="18.25" spans="1:13">
      <c r="A10" s="13" t="s">
        <v>32</v>
      </c>
      <c r="B10" s="14"/>
      <c r="C10" s="14"/>
      <c r="D10" s="14"/>
      <c r="E10" s="14"/>
      <c r="F10" s="15"/>
      <c r="H10" s="13" t="s">
        <v>33</v>
      </c>
      <c r="I10" s="14"/>
      <c r="J10" s="14"/>
      <c r="K10" s="14"/>
      <c r="L10" s="14"/>
      <c r="M10" s="15"/>
    </row>
    <row r="11" spans="1:13">
      <c r="A11" s="16">
        <f>D3/D8</f>
        <v>0.202656173143138</v>
      </c>
      <c r="B11" s="8">
        <f>(B3*D3)/E8</f>
        <v>0.125548512920527</v>
      </c>
      <c r="C11" s="8"/>
      <c r="D11" s="7"/>
      <c r="E11" s="7"/>
      <c r="F11" s="17" t="s">
        <v>34</v>
      </c>
      <c r="H11" s="16">
        <f>D3/D8</f>
        <v>0.202656173143138</v>
      </c>
      <c r="I11" s="21">
        <f>1/(1+((0.42*F$1^2*G$8)/(12*E$8)))</f>
        <v>0.563734258460373</v>
      </c>
      <c r="J11" s="8">
        <f>(B3*D3)/E8</f>
        <v>0.125548512920527</v>
      </c>
      <c r="K11" s="7"/>
      <c r="L11" s="7"/>
      <c r="M11" s="17" t="s">
        <v>34</v>
      </c>
    </row>
    <row r="12" spans="1:13">
      <c r="A12" s="18" t="s">
        <v>35</v>
      </c>
      <c r="B12" s="7">
        <v>3</v>
      </c>
      <c r="C12" s="19" t="s">
        <v>36</v>
      </c>
      <c r="D12" s="8">
        <f t="shared" ref="D12:D15" si="1">A$11+B$11*B12</f>
        <v>0.579301711904718</v>
      </c>
      <c r="E12" s="7" t="s">
        <v>37</v>
      </c>
      <c r="F12" s="20">
        <f>1.2*0.5*(D12+D13)</f>
        <v>0.559569660331493</v>
      </c>
      <c r="H12" s="18" t="s">
        <v>35</v>
      </c>
      <c r="I12" s="7">
        <v>3</v>
      </c>
      <c r="J12" s="19" t="s">
        <v>36</v>
      </c>
      <c r="K12" s="8">
        <f>H$11+I$11*J$11*I12</f>
        <v>0.414984166639305</v>
      </c>
      <c r="L12" s="7" t="s">
        <v>37</v>
      </c>
      <c r="M12" s="20">
        <f>1.2*0.5*(K12+K13)</f>
        <v>0.421542922308546</v>
      </c>
    </row>
    <row r="13" spans="1:13">
      <c r="A13" s="18" t="s">
        <v>38</v>
      </c>
      <c r="B13" s="7">
        <v>1.2</v>
      </c>
      <c r="C13" s="19" t="s">
        <v>39</v>
      </c>
      <c r="D13" s="8">
        <f t="shared" si="1"/>
        <v>0.35331438864777</v>
      </c>
      <c r="E13" s="7" t="s">
        <v>40</v>
      </c>
      <c r="F13" s="20">
        <f>0.5*(D12+D13+D14+D15)</f>
        <v>0.543415710498856</v>
      </c>
      <c r="H13" s="18" t="s">
        <v>38</v>
      </c>
      <c r="I13" s="7">
        <v>1.2</v>
      </c>
      <c r="J13" s="19" t="s">
        <v>39</v>
      </c>
      <c r="K13" s="8">
        <f>H$11+I$11*J$11*I13</f>
        <v>0.287587370541605</v>
      </c>
      <c r="L13" s="7" t="s">
        <v>40</v>
      </c>
      <c r="M13" s="20">
        <f>0.5*(K12+K13+K14+K15)</f>
        <v>0.483165943901538</v>
      </c>
    </row>
    <row r="14" spans="1:13">
      <c r="A14" s="18" t="s">
        <v>41</v>
      </c>
      <c r="B14" s="7">
        <v>-0.1</v>
      </c>
      <c r="C14" s="19" t="s">
        <v>42</v>
      </c>
      <c r="D14" s="8">
        <f t="shared" si="1"/>
        <v>0.190101321851086</v>
      </c>
      <c r="E14" s="7"/>
      <c r="F14" s="20"/>
      <c r="H14" s="18" t="s">
        <v>41</v>
      </c>
      <c r="I14" s="7">
        <v>-0.1</v>
      </c>
      <c r="J14" s="19" t="s">
        <v>42</v>
      </c>
      <c r="K14" s="8">
        <f>H$11+I$11*J$11*I14</f>
        <v>0.195578573359933</v>
      </c>
      <c r="L14" s="7"/>
      <c r="M14" s="20"/>
    </row>
    <row r="15" spans="1:13">
      <c r="A15" s="18" t="s">
        <v>44</v>
      </c>
      <c r="B15" s="7">
        <v>-1.9</v>
      </c>
      <c r="C15" s="19" t="s">
        <v>45</v>
      </c>
      <c r="D15" s="8">
        <f t="shared" si="1"/>
        <v>-0.0358860014058622</v>
      </c>
      <c r="E15" s="7"/>
      <c r="F15" s="9"/>
      <c r="H15" s="18" t="s">
        <v>44</v>
      </c>
      <c r="I15" s="7">
        <v>-1.9</v>
      </c>
      <c r="J15" s="19" t="s">
        <v>45</v>
      </c>
      <c r="K15" s="8">
        <f>H$11+I$11*J$11*I15</f>
        <v>0.0681817772622326</v>
      </c>
      <c r="L15" s="7"/>
      <c r="M15" s="9"/>
    </row>
    <row r="16" spans="1:13">
      <c r="A16" s="18"/>
      <c r="B16" s="7"/>
      <c r="C16" s="19"/>
      <c r="D16" s="8"/>
      <c r="E16" s="7" t="s">
        <v>50</v>
      </c>
      <c r="F16" s="20">
        <f>MAX(F12,F13,F14)</f>
        <v>0.559569660331493</v>
      </c>
      <c r="H16" s="18"/>
      <c r="I16" s="7"/>
      <c r="J16" s="19"/>
      <c r="K16" s="8"/>
      <c r="L16" s="7" t="s">
        <v>50</v>
      </c>
      <c r="M16" s="20">
        <f>MAX(M12,M13,M14)</f>
        <v>0.483165943901538</v>
      </c>
    </row>
    <row r="17" spans="4:11">
      <c r="D17" s="21"/>
      <c r="K17" s="21"/>
    </row>
    <row r="18" spans="1:13">
      <c r="A18" s="16">
        <f>D4/D8</f>
        <v>0.198229217904575</v>
      </c>
      <c r="B18" s="8">
        <f>(B4*D4)/E8</f>
        <v>0.0614029741589468</v>
      </c>
      <c r="C18" s="8"/>
      <c r="D18" s="7"/>
      <c r="E18" s="7"/>
      <c r="F18" s="17" t="s">
        <v>51</v>
      </c>
      <c r="H18" s="16">
        <f>D4/D8</f>
        <v>0.198229217904575</v>
      </c>
      <c r="I18" s="21">
        <f>1/(1+((0.42*F$1^2*G$8)/(12*E$8)))</f>
        <v>0.563734258460373</v>
      </c>
      <c r="J18" s="8">
        <f>(B4*D4)/E8</f>
        <v>0.0614029741589468</v>
      </c>
      <c r="K18" s="7"/>
      <c r="L18" s="7"/>
      <c r="M18" s="17" t="s">
        <v>51</v>
      </c>
    </row>
    <row r="19" spans="1:13">
      <c r="A19" s="18" t="s">
        <v>35</v>
      </c>
      <c r="B19" s="7">
        <v>3</v>
      </c>
      <c r="C19" s="19" t="s">
        <v>36</v>
      </c>
      <c r="D19" s="8">
        <f t="shared" ref="D19:D22" si="2">A$18+B$18*B19</f>
        <v>0.382438140381415</v>
      </c>
      <c r="E19" s="7" t="s">
        <v>37</v>
      </c>
      <c r="F19" s="20">
        <f>1.2*0.5*(D19+D20)</f>
        <v>0.392610556366035</v>
      </c>
      <c r="H19" s="18" t="s">
        <v>35</v>
      </c>
      <c r="I19" s="7">
        <v>3</v>
      </c>
      <c r="J19" s="19" t="s">
        <v>36</v>
      </c>
      <c r="K19" s="8">
        <f>H$18+I$18*J$18*I19</f>
        <v>0.302074098218841</v>
      </c>
      <c r="L19" s="7" t="s">
        <v>37</v>
      </c>
      <c r="M19" s="20">
        <f>1.2*0.5*(K19+K20)</f>
        <v>0.325104760949473</v>
      </c>
    </row>
    <row r="20" spans="1:13">
      <c r="A20" s="18" t="s">
        <v>38</v>
      </c>
      <c r="B20" s="7">
        <v>1.2</v>
      </c>
      <c r="C20" s="19" t="s">
        <v>39</v>
      </c>
      <c r="D20" s="8">
        <f t="shared" si="2"/>
        <v>0.271912786895311</v>
      </c>
      <c r="E20" s="7" t="s">
        <v>40</v>
      </c>
      <c r="F20" s="20">
        <f>0.5*(D19+D20+D21+D22)</f>
        <v>0.464001707383991</v>
      </c>
      <c r="H20" s="18" t="s">
        <v>38</v>
      </c>
      <c r="I20" s="7">
        <v>1.2</v>
      </c>
      <c r="J20" s="19" t="s">
        <v>39</v>
      </c>
      <c r="K20" s="8">
        <f>H$18+I$18*J$18*I20</f>
        <v>0.239767170030281</v>
      </c>
      <c r="L20" s="7" t="s">
        <v>40</v>
      </c>
      <c r="M20" s="20">
        <f>0.5*(K19+K20+K21+K22)</f>
        <v>0.43453489192438</v>
      </c>
    </row>
    <row r="21" spans="1:13">
      <c r="A21" s="18" t="s">
        <v>41</v>
      </c>
      <c r="B21" s="7">
        <v>-0.1</v>
      </c>
      <c r="C21" s="19" t="s">
        <v>42</v>
      </c>
      <c r="D21" s="8">
        <f t="shared" si="2"/>
        <v>0.19208892048868</v>
      </c>
      <c r="E21" s="7"/>
      <c r="F21" s="20"/>
      <c r="H21" s="18" t="s">
        <v>41</v>
      </c>
      <c r="I21" s="7">
        <v>-0.1</v>
      </c>
      <c r="J21" s="19" t="s">
        <v>42</v>
      </c>
      <c r="K21" s="8">
        <f>H$18+I$18*J$18*I21</f>
        <v>0.194767721894099</v>
      </c>
      <c r="L21" s="7"/>
      <c r="M21" s="20"/>
    </row>
    <row r="22" spans="1:13">
      <c r="A22" s="18" t="s">
        <v>44</v>
      </c>
      <c r="B22" s="7">
        <v>-1.9</v>
      </c>
      <c r="C22" s="19" t="s">
        <v>45</v>
      </c>
      <c r="D22" s="8">
        <f t="shared" si="2"/>
        <v>0.0815635670025755</v>
      </c>
      <c r="E22" s="7"/>
      <c r="F22" s="9"/>
      <c r="H22" s="18" t="s">
        <v>44</v>
      </c>
      <c r="I22" s="7">
        <v>-1.9</v>
      </c>
      <c r="J22" s="19" t="s">
        <v>45</v>
      </c>
      <c r="K22" s="8">
        <f>H$18+I$18*J$18*I22</f>
        <v>0.132460793705539</v>
      </c>
      <c r="L22" s="7"/>
      <c r="M22" s="9"/>
    </row>
    <row r="23" spans="1:13">
      <c r="A23" s="18"/>
      <c r="B23" s="7"/>
      <c r="C23" s="19"/>
      <c r="D23" s="8"/>
      <c r="E23" s="7" t="s">
        <v>50</v>
      </c>
      <c r="F23" s="20">
        <f>MAX(F19,F20,F21)</f>
        <v>0.464001707383991</v>
      </c>
      <c r="H23" s="18"/>
      <c r="I23" s="7"/>
      <c r="J23" s="19"/>
      <c r="K23" s="8"/>
      <c r="L23" s="7" t="s">
        <v>50</v>
      </c>
      <c r="M23" s="20">
        <f>MAX(M19,M20,M21)</f>
        <v>0.43453489192438</v>
      </c>
    </row>
    <row r="25" spans="1:13">
      <c r="A25" s="16">
        <f>D5/D8</f>
        <v>0.198229217904575</v>
      </c>
      <c r="B25" s="8">
        <f>(B5*D5)/E8</f>
        <v>0</v>
      </c>
      <c r="C25" s="8"/>
      <c r="D25" s="7"/>
      <c r="E25" s="7"/>
      <c r="F25" s="17" t="s">
        <v>52</v>
      </c>
      <c r="H25" s="16">
        <f>D5/D8</f>
        <v>0.198229217904575</v>
      </c>
      <c r="I25" s="21">
        <f>1/(1+((0.42*F$1^2*G$8)/(12*E$8)))</f>
        <v>0.563734258460373</v>
      </c>
      <c r="J25" s="8">
        <f>(B5*D5)/E8</f>
        <v>0</v>
      </c>
      <c r="K25" s="7"/>
      <c r="L25" s="7"/>
      <c r="M25" s="17" t="s">
        <v>52</v>
      </c>
    </row>
    <row r="26" spans="1:13">
      <c r="A26" s="18" t="s">
        <v>35</v>
      </c>
      <c r="B26" s="7">
        <v>3</v>
      </c>
      <c r="C26" s="19" t="s">
        <v>36</v>
      </c>
      <c r="D26" s="8">
        <f t="shared" ref="D26:D29" si="3">A$25+B$25*B26</f>
        <v>0.198229217904575</v>
      </c>
      <c r="E26" s="7" t="s">
        <v>37</v>
      </c>
      <c r="F26" s="20">
        <f>1.2*0.5*(D26+D27)</f>
        <v>0.237875061485489</v>
      </c>
      <c r="H26" s="18" t="s">
        <v>35</v>
      </c>
      <c r="I26" s="7">
        <v>3</v>
      </c>
      <c r="J26" s="19" t="s">
        <v>36</v>
      </c>
      <c r="K26" s="8">
        <f>H$25+I$25*J$25*I26</f>
        <v>0.198229217904575</v>
      </c>
      <c r="L26" s="7" t="s">
        <v>37</v>
      </c>
      <c r="M26" s="20">
        <f>1.2*0.5*(K26+K27)</f>
        <v>0.237875061485489</v>
      </c>
    </row>
    <row r="27" spans="1:13">
      <c r="A27" s="18" t="s">
        <v>38</v>
      </c>
      <c r="B27" s="7">
        <v>1.2</v>
      </c>
      <c r="C27" s="19" t="s">
        <v>39</v>
      </c>
      <c r="D27" s="8">
        <f t="shared" si="3"/>
        <v>0.198229217904575</v>
      </c>
      <c r="E27" s="7" t="s">
        <v>40</v>
      </c>
      <c r="F27" s="20">
        <f>0.5*(D26+D27+D28+D29)</f>
        <v>0.396458435809149</v>
      </c>
      <c r="H27" s="18" t="s">
        <v>38</v>
      </c>
      <c r="I27" s="7">
        <v>1.2</v>
      </c>
      <c r="J27" s="19" t="s">
        <v>39</v>
      </c>
      <c r="K27" s="8">
        <f>H$25+I$25*J$25*I27</f>
        <v>0.198229217904575</v>
      </c>
      <c r="L27" s="7" t="s">
        <v>40</v>
      </c>
      <c r="M27" s="20">
        <f>0.5*(K26+K27+K28+K29)</f>
        <v>0.396458435809149</v>
      </c>
    </row>
    <row r="28" spans="1:13">
      <c r="A28" s="18" t="s">
        <v>41</v>
      </c>
      <c r="B28" s="7">
        <v>-0.1</v>
      </c>
      <c r="C28" s="19" t="s">
        <v>42</v>
      </c>
      <c r="D28" s="8">
        <f t="shared" si="3"/>
        <v>0.198229217904575</v>
      </c>
      <c r="E28" s="7"/>
      <c r="F28" s="20"/>
      <c r="H28" s="18" t="s">
        <v>41</v>
      </c>
      <c r="I28" s="7">
        <v>-0.1</v>
      </c>
      <c r="J28" s="19" t="s">
        <v>42</v>
      </c>
      <c r="K28" s="8">
        <f>H$25+I$25*J$25*I28</f>
        <v>0.198229217904575</v>
      </c>
      <c r="L28" s="7"/>
      <c r="M28" s="20"/>
    </row>
    <row r="29" spans="1:13">
      <c r="A29" s="18" t="s">
        <v>44</v>
      </c>
      <c r="B29" s="7">
        <v>-1.9</v>
      </c>
      <c r="C29" s="19" t="s">
        <v>45</v>
      </c>
      <c r="D29" s="8">
        <f t="shared" si="3"/>
        <v>0.198229217904575</v>
      </c>
      <c r="E29" s="7"/>
      <c r="F29" s="9"/>
      <c r="H29" s="18" t="s">
        <v>44</v>
      </c>
      <c r="I29" s="7">
        <v>-1.9</v>
      </c>
      <c r="J29" s="19" t="s">
        <v>45</v>
      </c>
      <c r="K29" s="8">
        <f>H$25+I$25*J$25*I29</f>
        <v>0.198229217904575</v>
      </c>
      <c r="L29" s="7"/>
      <c r="M29" s="9"/>
    </row>
    <row r="30" ht="14.75" spans="1:13">
      <c r="A30" s="22"/>
      <c r="B30" s="10"/>
      <c r="C30" s="23"/>
      <c r="D30" s="11"/>
      <c r="E30" s="10" t="s">
        <v>50</v>
      </c>
      <c r="F30" s="24">
        <f>MAX(F26,F27,F28)</f>
        <v>0.396458435809149</v>
      </c>
      <c r="H30" s="22"/>
      <c r="I30" s="10"/>
      <c r="J30" s="23"/>
      <c r="K30" s="11"/>
      <c r="L30" s="10" t="s">
        <v>50</v>
      </c>
      <c r="M30" s="24">
        <f>MAX(M26,M27,M28)</f>
        <v>0.396458435809149</v>
      </c>
    </row>
    <row r="31" ht="14.75"/>
  </sheetData>
  <mergeCells count="2">
    <mergeCell ref="A10:F10"/>
    <mergeCell ref="H10:M10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n=8</vt:lpstr>
      <vt:lpstr>n=7</vt:lpstr>
      <vt:lpstr>n=6</vt:lpstr>
      <vt:lpstr>n=5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墨水</cp:lastModifiedBy>
  <dcterms:created xsi:type="dcterms:W3CDTF">2018-02-27T11:14:00Z</dcterms:created>
  <dcterms:modified xsi:type="dcterms:W3CDTF">2018-04-10T15:03:27Z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