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预报表" sheetId="1" r:id="rId1"/>
    <sheet name="内贸链条明细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下拉选择电解铜或镍豆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填写数值无需填写单位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填写数值无需填写单位</t>
        </r>
      </text>
    </comment>
    <comment ref="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格式YY/MM/DD</t>
        </r>
      </text>
    </commen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格式YY/MM/DD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格式YY/MM/DD
</t>
        </r>
      </text>
    </comment>
  </commentList>
</comments>
</file>

<file path=xl/sharedStrings.xml><?xml version="1.0" encoding="utf-8"?>
<sst xmlns="http://schemas.openxmlformats.org/spreadsheetml/2006/main" count="131" uniqueCount="71">
  <si>
    <t>自营进口业务预报表-500.364MT</t>
  </si>
  <si>
    <t>进口货物</t>
  </si>
  <si>
    <t>电解铜</t>
  </si>
  <si>
    <t>货物净重（吨）</t>
  </si>
  <si>
    <t>集装箱数（箱）</t>
  </si>
  <si>
    <t>报关日期</t>
  </si>
  <si>
    <t>上游交割日期</t>
  </si>
  <si>
    <t>下游交割日期</t>
  </si>
  <si>
    <t>合同汇率</t>
  </si>
  <si>
    <t>报关汇率</t>
  </si>
  <si>
    <t>借货费率</t>
  </si>
  <si>
    <t>交割库</t>
  </si>
  <si>
    <t>中远海运宝山</t>
  </si>
  <si>
    <t>货代公司</t>
  </si>
  <si>
    <t>中远海运</t>
  </si>
  <si>
    <t>整体头寸损耗占比</t>
  </si>
  <si>
    <t>借货商境外主体</t>
  </si>
  <si>
    <t xml:space="preserve">AWIN RESOURCE INTERNATIONAL PTE. LTD. </t>
  </si>
  <si>
    <t>借货商境内主体</t>
  </si>
  <si>
    <t xml:space="preserve">津威（上海）国际贸易有限公司
</t>
  </si>
  <si>
    <t>我司供应链主要角色详情（从上游至下游依次排序）</t>
  </si>
  <si>
    <t>公司名称</t>
  </si>
  <si>
    <t>TradeFinance Chain Service Limited</t>
  </si>
  <si>
    <t>交易角色</t>
  </si>
  <si>
    <t>付款接货/离岸贸易</t>
  </si>
  <si>
    <t>采购无税单价（USD）</t>
  </si>
  <si>
    <t>美元/吨</t>
  </si>
  <si>
    <t>采购无税单价（CNY）</t>
  </si>
  <si>
    <t>元/吨</t>
  </si>
  <si>
    <t>价格构成（USD）</t>
  </si>
  <si>
    <t>采购无税货款（CNY）</t>
  </si>
  <si>
    <t>元</t>
  </si>
  <si>
    <t>采购无税货款（USD）</t>
  </si>
  <si>
    <t>美元</t>
  </si>
  <si>
    <t>账面利润率</t>
  </si>
  <si>
    <t>GOLDRUN LIMITED</t>
  </si>
  <si>
    <t>上海游由供应链有限公司</t>
  </si>
  <si>
    <t>保税代理</t>
  </si>
  <si>
    <t>金华市海术商贸有限公司</t>
  </si>
  <si>
    <t>进口报关公司</t>
  </si>
  <si>
    <t>进口增值税</t>
  </si>
  <si>
    <t>采购含税单价（CNY）</t>
  </si>
  <si>
    <t>采购含税货款（CNY）</t>
  </si>
  <si>
    <t>霍尔果斯中志诚源工贸有限公司</t>
  </si>
  <si>
    <t>内贸交货</t>
  </si>
  <si>
    <t>销售含税单价（CNY）</t>
  </si>
  <si>
    <t>销售含税货款（CNY）</t>
  </si>
  <si>
    <t>保证金</t>
  </si>
  <si>
    <t>返还账面利润（CNY）</t>
  </si>
  <si>
    <t>其他贸易费用（预估）</t>
  </si>
  <si>
    <t>运输费</t>
  </si>
  <si>
    <t>仓储相关费</t>
  </si>
  <si>
    <t>清箱费</t>
  </si>
  <si>
    <t>其他贸易费用合计</t>
  </si>
  <si>
    <t>THC费用</t>
  </si>
  <si>
    <t>占货款及进口税比例</t>
  </si>
  <si>
    <t>链
条
一</t>
  </si>
  <si>
    <t>吨</t>
  </si>
  <si>
    <t>金华海术</t>
  </si>
  <si>
    <t>武汉雨晶</t>
  </si>
  <si>
    <t>浙江新昪</t>
  </si>
  <si>
    <t>霍尔果斯中志</t>
  </si>
  <si>
    <t>津威</t>
  </si>
  <si>
    <t>采购单价</t>
  </si>
  <si>
    <t>采购金额</t>
  </si>
  <si>
    <t>账面利润</t>
  </si>
  <si>
    <t>利润率</t>
  </si>
  <si>
    <t>链
条
二</t>
  </si>
  <si>
    <t>合计金额</t>
  </si>
  <si>
    <t>合计账面利润</t>
  </si>
  <si>
    <t>合计利润率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</si>
</sst>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%"/>
    <numFmt numFmtId="178" formatCode="#,##0.0000_ "/>
    <numFmt numFmtId="179" formatCode="#,##0.00_ "/>
    <numFmt numFmtId="180" formatCode="yy/m/d;@"/>
    <numFmt numFmtId="181" formatCode="0.00_ "/>
    <numFmt numFmtId="182" formatCode="#,##0.000000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62" applyNumberFormat="0" applyAlignment="0" applyProtection="0">
      <alignment vertical="center"/>
    </xf>
    <xf numFmtId="0" fontId="18" fillId="17" borderId="58" applyNumberFormat="0" applyAlignment="0" applyProtection="0">
      <alignment vertical="center"/>
    </xf>
    <xf numFmtId="0" fontId="19" fillId="18" borderId="6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9" xfId="0" applyNumberFormat="1" applyBorder="1" applyAlignment="1">
      <alignment horizontal="right" vertical="center"/>
    </xf>
    <xf numFmtId="179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79" fontId="0" fillId="0" borderId="12" xfId="0" applyNumberFormat="1" applyBorder="1" applyAlignment="1">
      <alignment horizontal="right" vertical="center"/>
    </xf>
    <xf numFmtId="179" fontId="0" fillId="0" borderId="1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right" vertical="center"/>
    </xf>
    <xf numFmtId="177" fontId="0" fillId="0" borderId="16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177" fontId="0" fillId="0" borderId="21" xfId="0" applyNumberFormat="1" applyBorder="1" applyAlignment="1">
      <alignment horizontal="right" vertical="center"/>
    </xf>
    <xf numFmtId="177" fontId="0" fillId="0" borderId="14" xfId="0" applyNumberFormat="1" applyBorder="1">
      <alignment vertical="center"/>
    </xf>
    <xf numFmtId="179" fontId="0" fillId="3" borderId="10" xfId="0" applyNumberFormat="1" applyFill="1" applyBorder="1" applyAlignment="1">
      <alignment horizontal="center" vertical="center"/>
    </xf>
    <xf numFmtId="179" fontId="0" fillId="3" borderId="10" xfId="0" applyNumberFormat="1" applyFill="1" applyBorder="1">
      <alignment vertical="center"/>
    </xf>
    <xf numFmtId="179" fontId="0" fillId="3" borderId="13" xfId="0" applyNumberFormat="1" applyFill="1" applyBorder="1" applyAlignment="1">
      <alignment horizontal="center" vertical="center"/>
    </xf>
    <xf numFmtId="179" fontId="0" fillId="3" borderId="13" xfId="0" applyNumberFormat="1" applyFill="1" applyBorder="1">
      <alignment vertical="center"/>
    </xf>
    <xf numFmtId="177" fontId="0" fillId="3" borderId="16" xfId="0" applyNumberFormat="1" applyFill="1" applyBorder="1" applyAlignment="1">
      <alignment horizontal="center" vertical="center"/>
    </xf>
    <xf numFmtId="177" fontId="0" fillId="3" borderId="16" xfId="0" applyNumberForma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0" fillId="5" borderId="25" xfId="0" applyFill="1" applyBorder="1">
      <alignment vertical="center"/>
    </xf>
    <xf numFmtId="0" fontId="0" fillId="5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center"/>
    </xf>
    <xf numFmtId="0" fontId="0" fillId="5" borderId="26" xfId="0" applyFill="1" applyBorder="1">
      <alignment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>
      <alignment vertical="center"/>
    </xf>
    <xf numFmtId="180" fontId="0" fillId="5" borderId="29" xfId="0" applyNumberFormat="1" applyFill="1" applyBorder="1" applyAlignment="1">
      <alignment horizontal="center" vertical="center"/>
    </xf>
    <xf numFmtId="0" fontId="0" fillId="5" borderId="29" xfId="0" applyFill="1" applyBorder="1">
      <alignment vertical="center"/>
    </xf>
    <xf numFmtId="180" fontId="0" fillId="5" borderId="30" xfId="0" applyNumberFormat="1" applyFill="1" applyBorder="1" applyAlignment="1">
      <alignment horizontal="center" vertical="center"/>
    </xf>
    <xf numFmtId="178" fontId="0" fillId="5" borderId="29" xfId="0" applyNumberFormat="1" applyFill="1" applyBorder="1" applyAlignment="1">
      <alignment horizontal="center" vertical="center"/>
    </xf>
    <xf numFmtId="0" fontId="0" fillId="5" borderId="31" xfId="0" applyFill="1" applyBorder="1">
      <alignment vertical="center"/>
    </xf>
    <xf numFmtId="10" fontId="0" fillId="5" borderId="30" xfId="0" applyNumberFormat="1" applyFill="1" applyBorder="1" applyAlignment="1">
      <alignment horizontal="center" vertical="center"/>
    </xf>
    <xf numFmtId="176" fontId="0" fillId="5" borderId="29" xfId="0" applyNumberFormat="1" applyFill="1" applyBorder="1" applyAlignment="1">
      <alignment horizontal="center" vertical="center"/>
    </xf>
    <xf numFmtId="176" fontId="0" fillId="5" borderId="32" xfId="0" applyNumberFormat="1" applyFill="1" applyBorder="1" applyAlignment="1">
      <alignment horizontal="center" vertical="center"/>
    </xf>
    <xf numFmtId="177" fontId="0" fillId="5" borderId="30" xfId="0" applyNumberFormat="1" applyFill="1" applyBorder="1" applyAlignment="1">
      <alignment horizontal="center" vertical="center"/>
    </xf>
    <xf numFmtId="0" fontId="0" fillId="5" borderId="33" xfId="0" applyFill="1" applyBorder="1">
      <alignment vertical="center"/>
    </xf>
    <xf numFmtId="176" fontId="3" fillId="5" borderId="34" xfId="0" applyNumberFormat="1" applyFont="1" applyFill="1" applyBorder="1" applyAlignment="1">
      <alignment horizontal="center" vertical="center"/>
    </xf>
    <xf numFmtId="176" fontId="0" fillId="5" borderId="34" xfId="0" applyNumberForma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179" fontId="0" fillId="4" borderId="44" xfId="0" applyNumberFormat="1" applyFill="1" applyBorder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179" fontId="0" fillId="0" borderId="47" xfId="0" applyNumberFormat="1" applyFill="1" applyBorder="1">
      <alignment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Border="1">
      <alignment vertical="center"/>
    </xf>
    <xf numFmtId="179" fontId="0" fillId="0" borderId="47" xfId="0" applyNumberFormat="1" applyBorder="1">
      <alignment vertical="center"/>
    </xf>
    <xf numFmtId="179" fontId="0" fillId="0" borderId="48" xfId="0" applyNumberFormat="1" applyBorder="1">
      <alignment vertical="center"/>
    </xf>
    <xf numFmtId="179" fontId="0" fillId="6" borderId="47" xfId="0" applyNumberFormat="1" applyFill="1" applyBorder="1" applyAlignment="1">
      <alignment horizontal="right" vertical="center"/>
    </xf>
    <xf numFmtId="0" fontId="0" fillId="0" borderId="33" xfId="0" applyBorder="1">
      <alignment vertical="center"/>
    </xf>
    <xf numFmtId="179" fontId="0" fillId="0" borderId="34" xfId="0" applyNumberFormat="1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50" xfId="0" applyFill="1" applyBorder="1" applyAlignment="1">
      <alignment vertical="center"/>
    </xf>
    <xf numFmtId="177" fontId="0" fillId="0" borderId="51" xfId="0" applyNumberFormat="1" applyFill="1" applyBorder="1" applyAlignment="1">
      <alignment horizontal="center" vertical="center"/>
    </xf>
    <xf numFmtId="177" fontId="0" fillId="0" borderId="52" xfId="0" applyNumberFormat="1" applyFill="1" applyBorder="1" applyAlignment="1">
      <alignment horizontal="center" vertical="center"/>
    </xf>
    <xf numFmtId="0" fontId="0" fillId="0" borderId="36" xfId="0" applyFill="1" applyBorder="1">
      <alignment vertical="center"/>
    </xf>
    <xf numFmtId="179" fontId="0" fillId="0" borderId="37" xfId="0" applyNumberFormat="1" applyFill="1" applyBorder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7" xfId="0" applyFill="1" applyBorder="1" applyAlignment="1">
      <alignment vertical="center"/>
    </xf>
    <xf numFmtId="177" fontId="0" fillId="0" borderId="37" xfId="0" applyNumberFormat="1" applyFill="1" applyBorder="1" applyAlignment="1">
      <alignment horizontal="center" vertical="center"/>
    </xf>
    <xf numFmtId="177" fontId="0" fillId="0" borderId="3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0" borderId="49" xfId="0" applyFill="1" applyBorder="1">
      <alignment vertical="center"/>
    </xf>
    <xf numFmtId="0" fontId="0" fillId="0" borderId="54" xfId="0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179" fontId="0" fillId="0" borderId="34" xfId="0" applyNumberFormat="1" applyFill="1" applyBorder="1">
      <alignment vertical="center"/>
    </xf>
    <xf numFmtId="0" fontId="0" fillId="0" borderId="35" xfId="0" applyFill="1" applyBorder="1" applyAlignment="1">
      <alignment horizontal="center" vertical="center"/>
    </xf>
    <xf numFmtId="179" fontId="0" fillId="0" borderId="54" xfId="0" applyNumberFormat="1" applyFill="1" applyBorder="1" applyAlignment="1">
      <alignment horizontal="right" vertical="center"/>
    </xf>
    <xf numFmtId="179" fontId="4" fillId="0" borderId="47" xfId="0" applyNumberFormat="1" applyFont="1" applyFill="1" applyBorder="1" applyAlignment="1">
      <alignment horizontal="right" vertical="center"/>
    </xf>
    <xf numFmtId="179" fontId="0" fillId="0" borderId="51" xfId="0" applyNumberFormat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0" fontId="0" fillId="0" borderId="47" xfId="0" applyFill="1" applyBorder="1">
      <alignment vertical="center"/>
    </xf>
    <xf numFmtId="179" fontId="0" fillId="0" borderId="47" xfId="0" applyNumberFormat="1" applyFill="1" applyBorder="1" applyAlignment="1">
      <alignment horizontal="right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vertical="center"/>
    </xf>
    <xf numFmtId="177" fontId="0" fillId="0" borderId="34" xfId="0" applyNumberFormat="1" applyFill="1" applyBorder="1" applyAlignment="1">
      <alignment horizontal="center" vertical="center"/>
    </xf>
    <xf numFmtId="177" fontId="0" fillId="0" borderId="35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Fill="1" applyBorder="1">
      <alignment vertical="center"/>
    </xf>
    <xf numFmtId="179" fontId="0" fillId="0" borderId="29" xfId="0" applyNumberFormat="1" applyFill="1" applyBorder="1">
      <alignment vertical="center"/>
    </xf>
    <xf numFmtId="0" fontId="0" fillId="0" borderId="32" xfId="0" applyFill="1" applyBorder="1" applyAlignment="1">
      <alignment horizontal="center" vertical="center"/>
    </xf>
    <xf numFmtId="179" fontId="0" fillId="6" borderId="29" xfId="0" applyNumberFormat="1" applyFill="1" applyBorder="1" applyAlignment="1">
      <alignment horizontal="right" vertical="center"/>
    </xf>
    <xf numFmtId="0" fontId="0" fillId="0" borderId="30" xfId="0" applyFill="1" applyBorder="1" applyAlignment="1">
      <alignment horizontal="center" vertical="center"/>
    </xf>
    <xf numFmtId="179" fontId="0" fillId="0" borderId="29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7" borderId="29" xfId="0" applyNumberFormat="1" applyFill="1" applyBorder="1" applyAlignment="1">
      <alignment horizontal="right" vertical="center"/>
    </xf>
    <xf numFmtId="0" fontId="0" fillId="0" borderId="28" xfId="0" applyFill="1" applyBorder="1" applyAlignment="1">
      <alignment vertical="center"/>
    </xf>
    <xf numFmtId="179" fontId="0" fillId="6" borderId="29" xfId="0" applyNumberFormat="1" applyFill="1" applyBorder="1" applyAlignment="1">
      <alignment vertical="center"/>
    </xf>
    <xf numFmtId="177" fontId="0" fillId="0" borderId="32" xfId="0" applyNumberFormat="1" applyFill="1" applyBorder="1" applyAlignment="1">
      <alignment horizontal="center" vertical="center"/>
    </xf>
    <xf numFmtId="177" fontId="0" fillId="0" borderId="55" xfId="0" applyNumberForma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179" fontId="0" fillId="6" borderId="34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179" fontId="0" fillId="0" borderId="37" xfId="0" applyNumberFormat="1" applyFill="1" applyBorder="1" applyAlignment="1">
      <alignment vertical="center"/>
    </xf>
    <xf numFmtId="0" fontId="0" fillId="0" borderId="37" xfId="0" applyFill="1" applyBorder="1">
      <alignment vertical="center"/>
    </xf>
    <xf numFmtId="0" fontId="0" fillId="0" borderId="25" xfId="0" applyBorder="1">
      <alignment vertical="center"/>
    </xf>
    <xf numFmtId="181" fontId="0" fillId="0" borderId="26" xfId="0" applyNumberFormat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>
      <alignment vertical="center"/>
    </xf>
    <xf numFmtId="181" fontId="0" fillId="0" borderId="47" xfId="0" applyNumberFormat="1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 applyAlignment="1">
      <alignment horizontal="center" vertical="center"/>
    </xf>
    <xf numFmtId="0" fontId="0" fillId="0" borderId="33" xfId="0" applyBorder="1">
      <alignment vertical="center"/>
    </xf>
    <xf numFmtId="181" fontId="0" fillId="0" borderId="34" xfId="0" applyNumberFormat="1" applyBorder="1">
      <alignment vertical="center"/>
    </xf>
    <xf numFmtId="0" fontId="0" fillId="0" borderId="51" xfId="0" applyBorder="1" applyAlignment="1">
      <alignment horizontal="center" vertical="center"/>
    </xf>
    <xf numFmtId="177" fontId="0" fillId="0" borderId="51" xfId="0" applyNumberFormat="1" applyBorder="1" applyAlignment="1">
      <alignment horizontal="center" vertical="center"/>
    </xf>
    <xf numFmtId="177" fontId="0" fillId="0" borderId="52" xfId="0" applyNumberFormat="1" applyBorder="1" applyAlignment="1">
      <alignment horizontal="center" vertical="center"/>
    </xf>
    <xf numFmtId="10" fontId="0" fillId="0" borderId="0" xfId="0" applyNumberFormat="1">
      <alignment vertical="center"/>
    </xf>
    <xf numFmtId="179" fontId="0" fillId="6" borderId="0" xfId="0" applyNumberFormat="1" applyFill="1" applyAlignment="1">
      <alignment horizontal="right"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8"/>
  <sheetViews>
    <sheetView tabSelected="1" topLeftCell="A3" workbookViewId="0">
      <selection activeCell="F18" sqref="F18:G18"/>
    </sheetView>
  </sheetViews>
  <sheetFormatPr defaultColWidth="9" defaultRowHeight="14.4"/>
  <cols>
    <col min="1" max="1" width="10.25" customWidth="1"/>
    <col min="2" max="2" width="19.6388888888889" customWidth="1"/>
    <col min="3" max="4" width="17.6388888888889" customWidth="1"/>
    <col min="5" max="5" width="19.6388888888889" customWidth="1"/>
    <col min="6" max="7" width="17.6388888888889" customWidth="1"/>
    <col min="8" max="8" width="14"/>
    <col min="10" max="10" width="15.9074074074074" style="2" customWidth="1"/>
    <col min="11" max="11" width="12.8148148148148"/>
  </cols>
  <sheetData>
    <row r="1" ht="31" customHeight="1" spans="2:7">
      <c r="B1" s="38" t="s">
        <v>0</v>
      </c>
      <c r="C1" s="39"/>
      <c r="D1" s="39"/>
      <c r="E1" s="39"/>
      <c r="F1" s="39"/>
      <c r="G1" s="40"/>
    </row>
    <row r="2" ht="15.15" spans="2:7">
      <c r="B2" s="41" t="s">
        <v>1</v>
      </c>
      <c r="C2" s="42" t="s">
        <v>2</v>
      </c>
      <c r="D2" s="43" t="s">
        <v>3</v>
      </c>
      <c r="E2" s="42">
        <v>500.364</v>
      </c>
      <c r="F2" s="44" t="s">
        <v>4</v>
      </c>
      <c r="G2" s="45">
        <v>20</v>
      </c>
    </row>
    <row r="3" spans="2:7">
      <c r="B3" s="46" t="s">
        <v>5</v>
      </c>
      <c r="C3" s="47">
        <v>44956</v>
      </c>
      <c r="D3" s="48" t="s">
        <v>6</v>
      </c>
      <c r="E3" s="47">
        <v>44955</v>
      </c>
      <c r="F3" s="48" t="s">
        <v>7</v>
      </c>
      <c r="G3" s="49">
        <v>44957</v>
      </c>
    </row>
    <row r="4" spans="2:7">
      <c r="B4" s="46" t="s">
        <v>8</v>
      </c>
      <c r="C4" s="50">
        <v>6.7222</v>
      </c>
      <c r="D4" s="48" t="s">
        <v>9</v>
      </c>
      <c r="E4" s="50">
        <v>6.965</v>
      </c>
      <c r="F4" s="51" t="s">
        <v>10</v>
      </c>
      <c r="G4" s="52">
        <f>(F10*1.13-F30+F32)/F10/1.13</f>
        <v>0.00450003751529443</v>
      </c>
    </row>
    <row r="5" spans="2:8">
      <c r="B5" s="46" t="s">
        <v>11</v>
      </c>
      <c r="C5" s="53" t="s">
        <v>12</v>
      </c>
      <c r="D5" s="51" t="s">
        <v>13</v>
      </c>
      <c r="E5" s="54" t="s">
        <v>14</v>
      </c>
      <c r="F5" s="48" t="s">
        <v>15</v>
      </c>
      <c r="G5" s="55">
        <f>(F30-F10-F25-F36-F32)/(F10+F25)*(-1)</f>
        <v>0.0101437159642713</v>
      </c>
      <c r="H5">
        <f>(F10*1.13+F32+F36-F30)/F10/1.13</f>
        <v>0.00603056750015081</v>
      </c>
    </row>
    <row r="6" ht="15.15" spans="2:7">
      <c r="B6" s="56" t="s">
        <v>16</v>
      </c>
      <c r="C6" s="57" t="s">
        <v>17</v>
      </c>
      <c r="D6" s="57"/>
      <c r="E6" s="58" t="s">
        <v>18</v>
      </c>
      <c r="F6" s="59" t="s">
        <v>19</v>
      </c>
      <c r="G6" s="60"/>
    </row>
    <row r="7" ht="31" customHeight="1" spans="2:11">
      <c r="B7" s="61" t="s">
        <v>20</v>
      </c>
      <c r="C7" s="62"/>
      <c r="D7" s="62"/>
      <c r="E7" s="62"/>
      <c r="F7" s="62"/>
      <c r="G7" s="63"/>
      <c r="K7" s="149"/>
    </row>
    <row r="8" ht="15.9" spans="2:11">
      <c r="B8" s="64" t="s">
        <v>21</v>
      </c>
      <c r="C8" s="65" t="s">
        <v>22</v>
      </c>
      <c r="D8" s="66"/>
      <c r="E8" s="67" t="s">
        <v>23</v>
      </c>
      <c r="F8" s="68" t="s">
        <v>24</v>
      </c>
      <c r="G8" s="69"/>
      <c r="J8" s="79"/>
      <c r="K8" s="149"/>
    </row>
    <row r="9" spans="2:11">
      <c r="B9" s="70" t="s">
        <v>25</v>
      </c>
      <c r="C9" s="71">
        <v>9332</v>
      </c>
      <c r="D9" s="72" t="s">
        <v>26</v>
      </c>
      <c r="E9" s="73" t="s">
        <v>27</v>
      </c>
      <c r="F9" s="74">
        <f>ROUND(C4*C9,2)</f>
        <v>62731.57</v>
      </c>
      <c r="G9" s="75" t="s">
        <v>28</v>
      </c>
      <c r="J9" s="150"/>
      <c r="K9" s="149"/>
    </row>
    <row r="10" ht="15.15" spans="2:11">
      <c r="B10" s="76" t="s">
        <v>29</v>
      </c>
      <c r="C10" s="77">
        <v>9252</v>
      </c>
      <c r="D10" s="78">
        <v>80</v>
      </c>
      <c r="E10" s="73" t="s">
        <v>30</v>
      </c>
      <c r="F10" s="79">
        <f>F9*E2</f>
        <v>31388619.29148</v>
      </c>
      <c r="G10" s="75" t="s">
        <v>31</v>
      </c>
      <c r="K10" s="149"/>
    </row>
    <row r="11" ht="15.15" spans="2:7">
      <c r="B11" s="80" t="s">
        <v>32</v>
      </c>
      <c r="C11" s="81">
        <f>E2*C9</f>
        <v>4669396.848</v>
      </c>
      <c r="D11" s="82" t="s">
        <v>33</v>
      </c>
      <c r="E11" s="83" t="s">
        <v>34</v>
      </c>
      <c r="F11" s="84">
        <f>(F15-F10)/F10</f>
        <v>-0.00150020157314728</v>
      </c>
      <c r="G11" s="85"/>
    </row>
    <row r="12" ht="15.9" spans="2:7">
      <c r="B12" s="86"/>
      <c r="C12" s="87"/>
      <c r="D12" s="88"/>
      <c r="E12" s="89"/>
      <c r="F12" s="90"/>
      <c r="G12" s="91"/>
    </row>
    <row r="13" ht="15.15" spans="2:7">
      <c r="B13" s="92" t="s">
        <v>21</v>
      </c>
      <c r="C13" s="93" t="s">
        <v>35</v>
      </c>
      <c r="D13" s="94"/>
      <c r="E13" s="92" t="s">
        <v>23</v>
      </c>
      <c r="F13" s="68" t="s">
        <v>24</v>
      </c>
      <c r="G13" s="69"/>
    </row>
    <row r="14" ht="15.15" spans="2:7">
      <c r="B14" s="95" t="s">
        <v>25</v>
      </c>
      <c r="C14" s="74">
        <v>9318</v>
      </c>
      <c r="D14" s="96" t="s">
        <v>26</v>
      </c>
      <c r="E14" s="97" t="s">
        <v>27</v>
      </c>
      <c r="F14" s="98">
        <f>ROUND(C14*C4,2)</f>
        <v>62637.46</v>
      </c>
      <c r="G14" s="99" t="s">
        <v>28</v>
      </c>
    </row>
    <row r="15" ht="15.15" spans="2:7">
      <c r="B15" s="95" t="s">
        <v>29</v>
      </c>
      <c r="C15" s="74">
        <v>9238</v>
      </c>
      <c r="D15" s="100">
        <v>80</v>
      </c>
      <c r="E15" s="95" t="s">
        <v>30</v>
      </c>
      <c r="F15" s="101">
        <f>F14*E2</f>
        <v>31341530.03544</v>
      </c>
      <c r="G15" s="75" t="s">
        <v>31</v>
      </c>
    </row>
    <row r="16" ht="15.15" spans="2:7">
      <c r="B16" s="80" t="s">
        <v>32</v>
      </c>
      <c r="C16" s="81">
        <f>C14*E2</f>
        <v>4662391.752</v>
      </c>
      <c r="D16" s="102" t="s">
        <v>33</v>
      </c>
      <c r="E16" s="103" t="s">
        <v>34</v>
      </c>
      <c r="F16" s="84">
        <f>(F20-F15)/F15</f>
        <v>0.000214568087531076</v>
      </c>
      <c r="G16" s="85"/>
    </row>
    <row r="17" ht="15.9" spans="2:7">
      <c r="B17" s="86"/>
      <c r="C17" s="87"/>
      <c r="D17" s="88"/>
      <c r="E17" s="89"/>
      <c r="F17" s="90"/>
      <c r="G17" s="91"/>
    </row>
    <row r="18" ht="15.15" spans="2:7">
      <c r="B18" s="92" t="s">
        <v>21</v>
      </c>
      <c r="C18" s="68" t="s">
        <v>36</v>
      </c>
      <c r="D18" s="68"/>
      <c r="E18" s="68" t="s">
        <v>23</v>
      </c>
      <c r="F18" s="68" t="s">
        <v>37</v>
      </c>
      <c r="G18" s="69"/>
    </row>
    <row r="19" spans="2:7">
      <c r="B19" s="95" t="s">
        <v>25</v>
      </c>
      <c r="C19" s="74">
        <v>9320</v>
      </c>
      <c r="D19" s="104" t="s">
        <v>26</v>
      </c>
      <c r="E19" s="105" t="s">
        <v>27</v>
      </c>
      <c r="F19" s="74">
        <f>ROUND(C19*C4,2)</f>
        <v>62650.9</v>
      </c>
      <c r="G19" s="75" t="s">
        <v>28</v>
      </c>
    </row>
    <row r="20" spans="2:7">
      <c r="B20" s="95" t="s">
        <v>29</v>
      </c>
      <c r="C20" s="74">
        <v>9240</v>
      </c>
      <c r="D20" s="106">
        <v>80</v>
      </c>
      <c r="E20" s="105" t="s">
        <v>30</v>
      </c>
      <c r="F20" s="106">
        <f>F19*E2</f>
        <v>31348254.9276</v>
      </c>
      <c r="G20" s="75" t="s">
        <v>31</v>
      </c>
    </row>
    <row r="21" ht="15.15" spans="2:7">
      <c r="B21" s="80" t="s">
        <v>32</v>
      </c>
      <c r="C21" s="81">
        <f>C19*E2</f>
        <v>4663392.48</v>
      </c>
      <c r="D21" s="107" t="s">
        <v>33</v>
      </c>
      <c r="E21" s="108" t="s">
        <v>34</v>
      </c>
      <c r="F21" s="109">
        <f>(F24-F20)/F20</f>
        <v>0.00128761119153918</v>
      </c>
      <c r="G21" s="110"/>
    </row>
    <row r="22" ht="15.9" spans="2:7">
      <c r="B22" s="111"/>
      <c r="C22" s="112"/>
      <c r="D22" s="112"/>
      <c r="E22" s="112"/>
      <c r="F22" s="112"/>
      <c r="G22" s="113"/>
    </row>
    <row r="23" ht="15.15" spans="2:10">
      <c r="B23" s="92" t="s">
        <v>21</v>
      </c>
      <c r="C23" s="68" t="s">
        <v>38</v>
      </c>
      <c r="D23" s="94"/>
      <c r="E23" s="92" t="s">
        <v>23</v>
      </c>
      <c r="F23" s="68" t="s">
        <v>39</v>
      </c>
      <c r="G23" s="69"/>
      <c r="J23" s="2">
        <f>C30/1.001</f>
        <v>70603.4065934066</v>
      </c>
    </row>
    <row r="24" spans="2:7">
      <c r="B24" s="95" t="s">
        <v>25</v>
      </c>
      <c r="C24" s="74">
        <v>9332</v>
      </c>
      <c r="D24" s="96" t="s">
        <v>26</v>
      </c>
      <c r="E24" s="95" t="s">
        <v>30</v>
      </c>
      <c r="F24" s="106">
        <f>C25*E2</f>
        <v>31388619.29148</v>
      </c>
      <c r="G24" s="75" t="s">
        <v>31</v>
      </c>
    </row>
    <row r="25" spans="2:10">
      <c r="B25" s="114" t="s">
        <v>27</v>
      </c>
      <c r="C25" s="115">
        <f>ROUND(C24*C4,2)</f>
        <v>62731.57</v>
      </c>
      <c r="D25" s="116" t="s">
        <v>28</v>
      </c>
      <c r="E25" s="114" t="s">
        <v>40</v>
      </c>
      <c r="F25" s="117">
        <f>C24*E4*0.13*E2</f>
        <v>4227905.3760216</v>
      </c>
      <c r="G25" s="118" t="s">
        <v>31</v>
      </c>
      <c r="H25">
        <f>F10*0.13</f>
        <v>4080520.5078924</v>
      </c>
      <c r="J25" s="2">
        <v>66673.703725629</v>
      </c>
    </row>
    <row r="26" ht="15.15" spans="2:7">
      <c r="B26" s="114" t="s">
        <v>41</v>
      </c>
      <c r="C26" s="115">
        <f>F26/E2</f>
        <v>71181.2294</v>
      </c>
      <c r="D26" s="116" t="s">
        <v>28</v>
      </c>
      <c r="E26" s="114" t="s">
        <v>42</v>
      </c>
      <c r="F26" s="119">
        <f>F24+F25</f>
        <v>35616524.6675016</v>
      </c>
      <c r="G26" s="118" t="s">
        <v>31</v>
      </c>
    </row>
    <row r="27" ht="15.15" spans="2:7">
      <c r="B27" s="120"/>
      <c r="C27" s="121"/>
      <c r="D27" s="121"/>
      <c r="E27" s="121"/>
      <c r="F27" s="121"/>
      <c r="G27" s="122"/>
    </row>
    <row r="28" spans="2:10">
      <c r="B28" s="92" t="s">
        <v>21</v>
      </c>
      <c r="C28" s="68" t="s">
        <v>43</v>
      </c>
      <c r="D28" s="94"/>
      <c r="E28" s="92" t="s">
        <v>23</v>
      </c>
      <c r="F28" s="68" t="s">
        <v>44</v>
      </c>
      <c r="G28" s="69"/>
      <c r="J28" s="151">
        <f>C30/1.13/F9-1</f>
        <v>-0.00300005752421106</v>
      </c>
    </row>
    <row r="29" spans="2:7">
      <c r="B29" s="95" t="s">
        <v>41</v>
      </c>
      <c r="C29" s="74">
        <f>ROUNDDOWN(C30/1.001,0)</f>
        <v>70603</v>
      </c>
      <c r="D29" s="96" t="s">
        <v>28</v>
      </c>
      <c r="E29" s="95" t="s">
        <v>42</v>
      </c>
      <c r="F29" s="106">
        <f>C29*E2</f>
        <v>35327199.492</v>
      </c>
      <c r="G29" s="75" t="s">
        <v>31</v>
      </c>
    </row>
    <row r="30" spans="2:10">
      <c r="B30" s="114" t="s">
        <v>45</v>
      </c>
      <c r="C30" s="74">
        <f>ROUNDDOWN(F9*1.13*(1-0.3%),2)</f>
        <v>70674.01</v>
      </c>
      <c r="D30" s="116" t="s">
        <v>28</v>
      </c>
      <c r="E30" s="114" t="s">
        <v>46</v>
      </c>
      <c r="F30" s="123">
        <f>C30*E2</f>
        <v>35362730.33964</v>
      </c>
      <c r="G30" s="118" t="s">
        <v>31</v>
      </c>
      <c r="J30" s="2">
        <v>6676095.811</v>
      </c>
    </row>
    <row r="31" spans="2:7">
      <c r="B31" s="124" t="s">
        <v>47</v>
      </c>
      <c r="C31" s="125">
        <f>F30*5%</f>
        <v>1768136.516982</v>
      </c>
      <c r="D31" s="116" t="s">
        <v>28</v>
      </c>
      <c r="E31" s="114" t="s">
        <v>34</v>
      </c>
      <c r="F31" s="126">
        <f>(F30-F29)/F29</f>
        <v>0.00100576462756541</v>
      </c>
      <c r="G31" s="127"/>
    </row>
    <row r="32" ht="15.15" spans="2:7">
      <c r="B32" s="128"/>
      <c r="C32" s="129"/>
      <c r="D32" s="129"/>
      <c r="E32" s="97" t="s">
        <v>48</v>
      </c>
      <c r="F32" s="130">
        <f>ROUNDDOWN(F9*1.13*0.15%*E2,0)</f>
        <v>53203</v>
      </c>
      <c r="G32" s="110" t="s">
        <v>31</v>
      </c>
    </row>
    <row r="33" ht="15.9" spans="2:7">
      <c r="B33" s="131"/>
      <c r="C33" s="132"/>
      <c r="D33" s="88"/>
      <c r="E33" s="133"/>
      <c r="F33" s="90"/>
      <c r="G33" s="91"/>
    </row>
    <row r="34" ht="31" customHeight="1" spans="2:7">
      <c r="B34" s="61" t="s">
        <v>49</v>
      </c>
      <c r="C34" s="62"/>
      <c r="D34" s="62"/>
      <c r="E34" s="62"/>
      <c r="F34" s="62"/>
      <c r="G34" s="63"/>
    </row>
    <row r="35" ht="15.15" spans="2:7">
      <c r="B35" s="134" t="s">
        <v>50</v>
      </c>
      <c r="C35" s="135">
        <f>90*E2</f>
        <v>45032.76</v>
      </c>
      <c r="D35" s="136" t="s">
        <v>31</v>
      </c>
      <c r="E35" s="134" t="s">
        <v>51</v>
      </c>
      <c r="F35" s="137">
        <f>(10+0.25*2)*E2</f>
        <v>5253.822</v>
      </c>
      <c r="G35" s="138" t="s">
        <v>31</v>
      </c>
    </row>
    <row r="36" spans="2:7">
      <c r="B36" s="139" t="s">
        <v>52</v>
      </c>
      <c r="C36" s="140">
        <f>200*G2</f>
        <v>4000</v>
      </c>
      <c r="D36" s="141" t="s">
        <v>31</v>
      </c>
      <c r="E36" s="139" t="s">
        <v>53</v>
      </c>
      <c r="F36" s="142">
        <f>SUM(F35,C35:C37)</f>
        <v>54286.582</v>
      </c>
      <c r="G36" s="143" t="s">
        <v>31</v>
      </c>
    </row>
    <row r="37" ht="15.15" spans="2:7">
      <c r="B37" s="144" t="s">
        <v>54</v>
      </c>
      <c r="C37" s="145">
        <v>0</v>
      </c>
      <c r="D37" s="146" t="s">
        <v>31</v>
      </c>
      <c r="E37" s="144" t="s">
        <v>55</v>
      </c>
      <c r="F37" s="147">
        <f>F36/(F10+F25)</f>
        <v>0.00152419649325118</v>
      </c>
      <c r="G37" s="148"/>
    </row>
    <row r="38" ht="15.15"/>
  </sheetData>
  <mergeCells count="23">
    <mergeCell ref="B1:G1"/>
    <mergeCell ref="C6:D6"/>
    <mergeCell ref="F6:G6"/>
    <mergeCell ref="B7:G7"/>
    <mergeCell ref="C8:D8"/>
    <mergeCell ref="F8:G8"/>
    <mergeCell ref="F11:G11"/>
    <mergeCell ref="C13:D13"/>
    <mergeCell ref="F13:G13"/>
    <mergeCell ref="F16:G16"/>
    <mergeCell ref="C18:D18"/>
    <mergeCell ref="F18:G18"/>
    <mergeCell ref="F21:G21"/>
    <mergeCell ref="B22:G22"/>
    <mergeCell ref="C23:D23"/>
    <mergeCell ref="F23:G23"/>
    <mergeCell ref="B27:G27"/>
    <mergeCell ref="C28:D28"/>
    <mergeCell ref="F28:G28"/>
    <mergeCell ref="F31:G31"/>
    <mergeCell ref="B32:D32"/>
    <mergeCell ref="B34:G34"/>
    <mergeCell ref="F37:G37"/>
  </mergeCells>
  <dataValidations count="1">
    <dataValidation type="list" allowBlank="1" showInputMessage="1" showErrorMessage="1" sqref="C2">
      <formula1>"电解铜,镍豆"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5"/>
  <sheetViews>
    <sheetView workbookViewId="0">
      <selection activeCell="E18" sqref="E18"/>
    </sheetView>
  </sheetViews>
  <sheetFormatPr defaultColWidth="8.73148148148148" defaultRowHeight="14.4"/>
  <cols>
    <col min="2" max="2" width="4.63888888888889" customWidth="1"/>
    <col min="3" max="3" width="8.63888888888889" customWidth="1"/>
    <col min="4" max="4" width="3.63888888888889" customWidth="1"/>
    <col min="5" max="9" width="16.6388888888889" customWidth="1"/>
    <col min="11" max="11" width="9.5462962962963"/>
    <col min="12" max="12" width="11.8148148148148"/>
  </cols>
  <sheetData>
    <row r="2" ht="15.15"/>
    <row r="3" ht="15.15" spans="2:12">
      <c r="B3" s="3" t="s">
        <v>56</v>
      </c>
      <c r="C3" s="4">
        <v>428</v>
      </c>
      <c r="D3" s="5" t="s">
        <v>57</v>
      </c>
      <c r="E3" s="6" t="s">
        <v>58</v>
      </c>
      <c r="F3" s="7" t="s">
        <v>59</v>
      </c>
      <c r="G3" s="7" t="s">
        <v>60</v>
      </c>
      <c r="H3" s="7" t="s">
        <v>61</v>
      </c>
      <c r="I3" s="7" t="s">
        <v>62</v>
      </c>
      <c r="J3" s="36"/>
      <c r="K3" s="37"/>
      <c r="L3" s="37"/>
    </row>
    <row r="4" spans="2:9">
      <c r="B4" s="8"/>
      <c r="C4" s="9" t="s">
        <v>63</v>
      </c>
      <c r="D4" s="10"/>
      <c r="E4" s="11">
        <f>预报表!C26</f>
        <v>71181.2294</v>
      </c>
      <c r="F4" s="12">
        <f>ROUND(G4/1.001,0)</f>
        <v>70462</v>
      </c>
      <c r="G4" s="12">
        <f>ROUND(H4/1.001,0)</f>
        <v>70532</v>
      </c>
      <c r="H4" s="12">
        <f>ROUND(I4/1.001,0)</f>
        <v>70603</v>
      </c>
      <c r="I4" s="12">
        <f>预报表!C30</f>
        <v>70674.01</v>
      </c>
    </row>
    <row r="5" spans="2:9">
      <c r="B5" s="8"/>
      <c r="C5" s="8" t="s">
        <v>64</v>
      </c>
      <c r="D5" s="13"/>
      <c r="E5" s="14">
        <f>C3*E4</f>
        <v>30465566.1832</v>
      </c>
      <c r="F5" s="15">
        <f>F4*C3</f>
        <v>30157736</v>
      </c>
      <c r="G5" s="15">
        <f>G4*C3</f>
        <v>30187696</v>
      </c>
      <c r="H5" s="15">
        <f>H4*C3</f>
        <v>30218084</v>
      </c>
      <c r="I5" s="15">
        <f>I4*C3</f>
        <v>30248476.28</v>
      </c>
    </row>
    <row r="6" spans="2:9">
      <c r="B6" s="8"/>
      <c r="C6" s="8" t="s">
        <v>65</v>
      </c>
      <c r="D6" s="13"/>
      <c r="E6" s="15">
        <f>F5-E5</f>
        <v>-307830.183200002</v>
      </c>
      <c r="F6" s="15">
        <f>G5-F5</f>
        <v>29960</v>
      </c>
      <c r="G6" s="15">
        <f>H5-G5</f>
        <v>30388</v>
      </c>
      <c r="H6" s="15">
        <f>I5-H5</f>
        <v>30392.2799999975</v>
      </c>
      <c r="I6" s="15"/>
    </row>
    <row r="7" s="1" customFormat="1" ht="15.15" spans="2:9">
      <c r="B7" s="16"/>
      <c r="C7" s="16" t="s">
        <v>66</v>
      </c>
      <c r="D7" s="17"/>
      <c r="E7" s="18">
        <f>(F4-E4)/E4</f>
        <v>-0.0101042003076164</v>
      </c>
      <c r="F7" s="19">
        <f>(G4-F4)/F4</f>
        <v>0.000993443274389032</v>
      </c>
      <c r="G7" s="19">
        <f>(H4-G4)/G4</f>
        <v>0.00100663528611127</v>
      </c>
      <c r="H7" s="19">
        <f>(I4-H4)/H4</f>
        <v>0.00100576462756533</v>
      </c>
      <c r="I7" s="19"/>
    </row>
    <row r="8" ht="15.15" spans="2:9">
      <c r="B8" s="20" t="s">
        <v>67</v>
      </c>
      <c r="C8" s="21">
        <f>预报表!E2-C3</f>
        <v>72.364</v>
      </c>
      <c r="D8" s="22" t="s">
        <v>57</v>
      </c>
      <c r="E8" s="23" t="s">
        <v>58</v>
      </c>
      <c r="F8" s="24"/>
      <c r="G8" s="24"/>
      <c r="H8" s="25" t="s">
        <v>61</v>
      </c>
      <c r="I8" s="25" t="s">
        <v>62</v>
      </c>
    </row>
    <row r="9" spans="2:9">
      <c r="B9" s="8"/>
      <c r="C9" s="9" t="s">
        <v>63</v>
      </c>
      <c r="D9" s="10"/>
      <c r="E9" s="11">
        <f>预报表!C26</f>
        <v>71181.2294</v>
      </c>
      <c r="F9" s="26"/>
      <c r="G9" s="26"/>
      <c r="H9" s="12">
        <f>I9/1.001</f>
        <v>70603.4065934066</v>
      </c>
      <c r="I9" s="12">
        <f>预报表!C30</f>
        <v>70674.01</v>
      </c>
    </row>
    <row r="10" spans="2:9">
      <c r="B10" s="8"/>
      <c r="C10" s="8" t="s">
        <v>64</v>
      </c>
      <c r="D10" s="13"/>
      <c r="E10" s="14">
        <f>E9*C8</f>
        <v>5150958.4843016</v>
      </c>
      <c r="F10" s="27"/>
      <c r="G10" s="27"/>
      <c r="H10" s="15">
        <f>H9*C8</f>
        <v>5109144.91472528</v>
      </c>
      <c r="I10" s="15">
        <f>I9*C8</f>
        <v>5114254.05964</v>
      </c>
    </row>
    <row r="11" spans="2:9">
      <c r="B11" s="8"/>
      <c r="C11" s="8" t="s">
        <v>65</v>
      </c>
      <c r="D11" s="13"/>
      <c r="E11" s="14">
        <f>H10-E10</f>
        <v>-41813.569576324</v>
      </c>
      <c r="F11" s="27"/>
      <c r="G11" s="27"/>
      <c r="H11" s="15">
        <f>I10-H10</f>
        <v>5109.14491472393</v>
      </c>
      <c r="I11" s="15"/>
    </row>
    <row r="12" s="1" customFormat="1" ht="15.15" spans="2:9">
      <c r="B12" s="16"/>
      <c r="C12" s="16" t="s">
        <v>66</v>
      </c>
      <c r="D12" s="17"/>
      <c r="E12" s="28">
        <f>(H9-E9)/E9</f>
        <v>-0.0081176289235796</v>
      </c>
      <c r="F12" s="29"/>
      <c r="G12" s="29"/>
      <c r="H12" s="19">
        <f>(I9-H9)/H9</f>
        <v>0.000999999999999803</v>
      </c>
      <c r="I12" s="19"/>
    </row>
    <row r="13" s="2" customFormat="1" spans="2:9">
      <c r="B13" s="30" t="s">
        <v>68</v>
      </c>
      <c r="C13" s="30"/>
      <c r="D13" s="30"/>
      <c r="E13" s="31">
        <f t="shared" ref="E13:H13" si="0">E10+E5</f>
        <v>35616524.6675016</v>
      </c>
      <c r="F13" s="31">
        <f t="shared" si="0"/>
        <v>30157736</v>
      </c>
      <c r="G13" s="31">
        <f t="shared" si="0"/>
        <v>30187696</v>
      </c>
      <c r="H13" s="31">
        <f t="shared" si="0"/>
        <v>35327228.9147253</v>
      </c>
      <c r="I13" s="31"/>
    </row>
    <row r="14" s="2" customFormat="1" spans="2:9">
      <c r="B14" s="32" t="s">
        <v>69</v>
      </c>
      <c r="C14" s="32"/>
      <c r="D14" s="32"/>
      <c r="E14" s="33">
        <f t="shared" ref="E14:H14" si="1">E6+E11</f>
        <v>-349643.752776326</v>
      </c>
      <c r="F14" s="33">
        <f t="shared" si="1"/>
        <v>29960</v>
      </c>
      <c r="G14" s="33">
        <f t="shared" si="1"/>
        <v>30388</v>
      </c>
      <c r="H14" s="33">
        <f t="shared" si="1"/>
        <v>35501.4249147214</v>
      </c>
      <c r="I14" s="33"/>
    </row>
    <row r="15" s="1" customFormat="1" ht="15.15" spans="2:9">
      <c r="B15" s="34" t="s">
        <v>70</v>
      </c>
      <c r="C15" s="34"/>
      <c r="D15" s="34"/>
      <c r="E15" s="35">
        <f t="shared" ref="E15:H15" si="2">E14/E13</f>
        <v>-0.00981689696118384</v>
      </c>
      <c r="F15" s="35">
        <f t="shared" si="2"/>
        <v>0.000993443274389032</v>
      </c>
      <c r="G15" s="35">
        <f t="shared" si="2"/>
        <v>0.00100663528611127</v>
      </c>
      <c r="H15" s="35">
        <f t="shared" si="2"/>
        <v>0.00100493092737097</v>
      </c>
      <c r="I15" s="35"/>
    </row>
  </sheetData>
  <mergeCells count="14">
    <mergeCell ref="K3:L3"/>
    <mergeCell ref="C4:D4"/>
    <mergeCell ref="C5:D5"/>
    <mergeCell ref="C6:D6"/>
    <mergeCell ref="C7:D7"/>
    <mergeCell ref="C9:D9"/>
    <mergeCell ref="C10:D10"/>
    <mergeCell ref="C11:D11"/>
    <mergeCell ref="C12:D12"/>
    <mergeCell ref="B13:D13"/>
    <mergeCell ref="B14:D14"/>
    <mergeCell ref="B15:D15"/>
    <mergeCell ref="B3:B7"/>
    <mergeCell ref="B8:B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预报表</vt:lpstr>
      <vt:lpstr>内贸链条明细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沙三俗</cp:lastModifiedBy>
  <dcterms:created xsi:type="dcterms:W3CDTF">2022-06-09T02:11:00Z</dcterms:created>
  <dcterms:modified xsi:type="dcterms:W3CDTF">2023-05-10T09:40:14Z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21948108F7314B04BA3F580FCC75F5A1_13</vt:lpwstr>
  </property>
  <property fmtid="{D5CDD505-2E9C-101B-9397-08002B2CF9AE}" pid="3" name="KSOProductBuildVer">
    <vt:lpwstr>2052-11.1.0.14309</vt:lpwstr>
  </property>
</Properties>
</file>