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1.项目基本信息" sheetId="2" r:id="rId1"/>
    <sheet name="2.测算工具（金额券）" sheetId="3" r:id="rId2"/>
    <sheet name="折扣采买测算表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<sst xmlns="http://schemas.openxmlformats.org/spreadsheetml/2006/main" count="234" uniqueCount="207">
  <si>
    <t>项目信息收集表</t>
  </si>
  <si>
    <t>填写黄色部分</t>
  </si>
  <si>
    <t>车场名称</t>
  </si>
  <si>
    <t>西部家居建材城</t>
  </si>
  <si>
    <t>车场地址</t>
  </si>
  <si>
    <t>贵州省贵阳市花溪区西部家居建材城</t>
  </si>
  <si>
    <t>1、停车场基础信息收集</t>
  </si>
  <si>
    <t>附：停车场公示的收费规则照片</t>
  </si>
  <si>
    <t>序号</t>
  </si>
  <si>
    <t>具体明细</t>
  </si>
  <si>
    <t>基本情况</t>
  </si>
  <si>
    <t>填写说明</t>
  </si>
  <si>
    <t>合作客户主体</t>
  </si>
  <si>
    <t>贵州西部建材城开发有限公司</t>
  </si>
  <si>
    <t>产权方/承包方</t>
  </si>
  <si>
    <t>承包到期日期</t>
  </si>
  <si>
    <t>年 月  日</t>
  </si>
  <si>
    <t>示例：2023年7月8日（合作客户为承包方必填）</t>
  </si>
  <si>
    <t>停车场收费规则</t>
  </si>
  <si>
    <t>建材城区域：2小时内免费、2小时以上（含2小时）3元/小时计费
住宅区域：</t>
  </si>
  <si>
    <t>示例：8元/小时（8:00-21:00），64元封顶；夜间停车4元/小时（21：00-8：00），包夜15元（22:00-8:00），并附照片</t>
  </si>
  <si>
    <t>是否允许张贴物料</t>
  </si>
  <si>
    <t>是</t>
  </si>
  <si>
    <t>是/否；如允许勾选通道&amp;岗亭、场内物料</t>
  </si>
  <si>
    <t>是否存在自有小程序/ETC支付渠道</t>
  </si>
  <si>
    <t>否</t>
  </si>
  <si>
    <t>如商业体/物业的小程序、ETC自助缴费</t>
  </si>
  <si>
    <t>停车场车位数量</t>
  </si>
  <si>
    <t>停车场的总车位数量</t>
  </si>
  <si>
    <t>2、停车场收益情况</t>
  </si>
  <si>
    <t>月份</t>
  </si>
  <si>
    <t>临停收费金额（元）</t>
  </si>
  <si>
    <t>月租收入（元)-涉及置换月票需填写</t>
  </si>
  <si>
    <t>备注</t>
  </si>
  <si>
    <t>小轿车未收费，更换系统后小车会启动停车收费</t>
  </si>
  <si>
    <r>
      <rPr>
        <sz val="20"/>
        <color rgb="FFFF0000"/>
        <rFont val="等线"/>
        <charset val="134"/>
      </rPr>
      <t>若前期为非艾科车场</t>
    </r>
    <r>
      <rPr>
        <sz val="20"/>
        <color rgb="FFFF0000"/>
        <rFont val="汉仪书宋二KW"/>
        <charset val="134"/>
      </rPr>
      <t>，</t>
    </r>
    <r>
      <rPr>
        <sz val="20"/>
        <color rgb="FFFF0000"/>
        <rFont val="等线"/>
        <charset val="134"/>
      </rPr>
      <t>请提供系统近一年的流水数据为佐证。</t>
    </r>
  </si>
  <si>
    <t>月均金额</t>
  </si>
  <si>
    <t>因涉及估算，请往低保守估计</t>
  </si>
  <si>
    <t>说明</t>
  </si>
  <si>
    <t>1、临停收入是指通过线上移动支付临停停车缴费的收入（除去商家券抵扣部分，必须是实收）；</t>
  </si>
  <si>
    <t xml:space="preserve">2、提供数据不得少于连续三个月的线上交易实收数据（提供过去12个月流水，系统截图最佳）； </t>
  </si>
  <si>
    <t>填写黄色部分内容</t>
  </si>
  <si>
    <t>业务员填写：</t>
  </si>
  <si>
    <t>项目评估：</t>
  </si>
  <si>
    <t>提交部门</t>
  </si>
  <si>
    <t>贵阳</t>
  </si>
  <si>
    <t>提交人</t>
  </si>
  <si>
    <t>吴永永</t>
  </si>
  <si>
    <t>月均消耗比例</t>
  </si>
  <si>
    <t>商机名称</t>
  </si>
  <si>
    <t>是否分期代扣</t>
  </si>
  <si>
    <t>实际采买折扣 X</t>
  </si>
  <si>
    <t>CRM报价单号</t>
  </si>
  <si>
    <t>BJD26046024</t>
  </si>
  <si>
    <t>CM报价单M系数</t>
  </si>
  <si>
    <t>整体评估情况</t>
  </si>
  <si>
    <t>CRM结算价合计</t>
  </si>
  <si>
    <t>CRM专项服务费</t>
  </si>
  <si>
    <t>项目</t>
  </si>
  <si>
    <t>数值</t>
  </si>
  <si>
    <t>提成系数</t>
  </si>
  <si>
    <t>消耗年限</t>
  </si>
  <si>
    <t>设备、服务置换金额（元）</t>
  </si>
  <si>
    <t>填入数值，即CRM报价单总金额</t>
  </si>
  <si>
    <t>实际采买折扣X</t>
  </si>
  <si>
    <t>现金采买金额（元）</t>
  </si>
  <si>
    <t>填入数值</t>
  </si>
  <si>
    <t>0.9＞X≥0.85</t>
  </si>
  <si>
    <t>付款方式</t>
  </si>
  <si>
    <t>一次性付款</t>
  </si>
  <si>
    <t>若有现金采买，付款方式（分期/一次性）</t>
  </si>
  <si>
    <t>0.85＞X≥0.8</t>
  </si>
  <si>
    <t>业务费</t>
  </si>
  <si>
    <r>
      <rPr>
        <sz val="11"/>
        <color rgb="FF000000"/>
        <rFont val="等线"/>
        <charset val="134"/>
      </rPr>
      <t>纯采买有则填写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置换项目则写至CRM专项服务费</t>
    </r>
  </si>
  <si>
    <t>0.8＞X≥0.75</t>
  </si>
  <si>
    <t>采买折扣</t>
  </si>
  <si>
    <t>若为75折，请填入0.75</t>
  </si>
  <si>
    <t>0.75＞X≥0.7</t>
  </si>
  <si>
    <t>合同有效年限（月）</t>
  </si>
  <si>
    <t>0.7＞X≥0.65</t>
  </si>
  <si>
    <t>券消耗年限（月）</t>
  </si>
  <si>
    <t>商务沟通确认的运营消耗年限</t>
  </si>
  <si>
    <t>0.65＞X≥0.6</t>
  </si>
  <si>
    <t>增值税专用发票</t>
  </si>
  <si>
    <t>停车场开具给艾科的发票</t>
  </si>
  <si>
    <t>注：消耗期限为 1年最高折扣不高于0.9；2年不高于0.85，3年不高于0.8，
不鼓励超过3年的券业务</t>
  </si>
  <si>
    <t>车场月均临停收入</t>
  </si>
  <si>
    <t>至少取近3个月数据</t>
  </si>
  <si>
    <t>业务员提成测算：</t>
  </si>
  <si>
    <t>车场月均月租收入</t>
  </si>
  <si>
    <t>至少取近3个月数据，涉及置换月票需填写。</t>
  </si>
  <si>
    <t>停车券业务提成总计</t>
  </si>
  <si>
    <t>车场月均收入(元）</t>
  </si>
  <si>
    <t>月均临停收入+月均月租收入</t>
  </si>
  <si>
    <t>合同金额（元）</t>
  </si>
  <si>
    <t>设备、服务置换金额+现金采买金额</t>
  </si>
  <si>
    <t>停车券总价值（元)</t>
  </si>
  <si>
    <t>合同金额/采买折扣</t>
  </si>
  <si>
    <t>所属类别</t>
  </si>
  <si>
    <t>需填写</t>
  </si>
  <si>
    <t>得分</t>
  </si>
  <si>
    <t>停车券月均分摊额（元）</t>
  </si>
  <si>
    <t>停车券总价值/与客户约定消耗的月数</t>
  </si>
  <si>
    <t>是否佛山市</t>
  </si>
  <si>
    <t>该车场的数据完整度20，周边车场数据完整度10。
（临停/月租流水、周边情况等信息）</t>
  </si>
  <si>
    <t>设备预估毛利（元）</t>
  </si>
  <si>
    <t>设备/服务置换金额-CRM结算价-CRM专项服务费</t>
  </si>
  <si>
    <t>现金采买金额&lt;20万</t>
  </si>
  <si>
    <t>是否分期付款</t>
  </si>
  <si>
    <t>项目整体毛利（元）</t>
  </si>
  <si>
    <t>停车券总价值-合同金额-业务费+设备毛利</t>
  </si>
  <si>
    <t>合作客户是否央企/国企/标杆等性质</t>
  </si>
  <si>
    <t>是否有自有小程序</t>
  </si>
  <si>
    <t>是否有完整的捷顺/科拓方案</t>
  </si>
  <si>
    <t>风险评分</t>
  </si>
  <si>
    <t>时长采买（置换）业务测算表</t>
  </si>
  <si>
    <t>填入数据：</t>
  </si>
  <si>
    <t>项目名称：XXXXXXX商业广场</t>
  </si>
  <si>
    <t>费用项(单位：万元）</t>
  </si>
  <si>
    <t>合计金额</t>
  </si>
  <si>
    <t>第一年</t>
  </si>
  <si>
    <t>第二年</t>
  </si>
  <si>
    <t>第三年</t>
  </si>
  <si>
    <t>第四年</t>
  </si>
  <si>
    <r>
      <rPr>
        <b/>
        <sz val="10.5"/>
        <color rgb="FF000000"/>
        <rFont val="Calibri"/>
        <charset val="134"/>
      </rPr>
      <t>第</t>
    </r>
    <r>
      <rPr>
        <b/>
        <sz val="10.5"/>
        <color rgb="FF000000"/>
        <rFont val="Calibri"/>
        <charset val="134"/>
      </rPr>
      <t>5</t>
    </r>
    <r>
      <rPr>
        <b/>
        <sz val="10.5"/>
        <color rgb="FF000000"/>
        <rFont val="Calibri"/>
        <charset val="134"/>
      </rPr>
      <t>年</t>
    </r>
  </si>
  <si>
    <r>
      <rPr>
        <b/>
        <sz val="10.5"/>
        <color rgb="FF000000"/>
        <rFont val="Calibri"/>
        <charset val="134"/>
      </rPr>
      <t>第</t>
    </r>
    <r>
      <rPr>
        <b/>
        <sz val="10.5"/>
        <color rgb="FF000000"/>
        <rFont val="Calibri"/>
        <charset val="134"/>
      </rPr>
      <t>6</t>
    </r>
    <r>
      <rPr>
        <b/>
        <sz val="10.5"/>
        <color rgb="FF000000"/>
        <rFont val="Calibri"/>
        <charset val="134"/>
      </rPr>
      <t>年</t>
    </r>
  </si>
  <si>
    <t>单位</t>
  </si>
  <si>
    <t>合作方</t>
  </si>
  <si>
    <t>时长原有销售金额</t>
  </si>
  <si>
    <r>
      <rPr>
        <sz val="10.5"/>
        <color rgb="FF000000"/>
        <rFont val="Calibri"/>
        <charset val="134"/>
      </rPr>
      <t>项二</t>
    </r>
    <r>
      <rPr>
        <sz val="10.5"/>
        <color rgb="FF000000"/>
        <rFont val="Calibri"/>
        <charset val="134"/>
      </rPr>
      <t>×项九</t>
    </r>
    <r>
      <rPr>
        <sz val="10.5"/>
        <color rgb="FF000000"/>
        <rFont val="Calibri"/>
        <charset val="134"/>
      </rPr>
      <t>÷项六</t>
    </r>
  </si>
  <si>
    <t>一</t>
  </si>
  <si>
    <t>取近3月的临停均值金额</t>
  </si>
  <si>
    <t>元</t>
  </si>
  <si>
    <t>特别确认清楚</t>
  </si>
  <si>
    <t>时长销售给艾科金额</t>
  </si>
  <si>
    <t>项三×项九÷项六</t>
  </si>
  <si>
    <t>二</t>
  </si>
  <si>
    <t>车场对外临停单价</t>
  </si>
  <si>
    <t>元/小时</t>
  </si>
  <si>
    <t>差异金额</t>
  </si>
  <si>
    <t>月度金额差异</t>
  </si>
  <si>
    <t>三</t>
  </si>
  <si>
    <t>艾科购买临停单价</t>
  </si>
  <si>
    <t>艾科收
入</t>
  </si>
  <si>
    <t>停车费销售金额</t>
  </si>
  <si>
    <t>项七×项十一×12</t>
  </si>
  <si>
    <t>四</t>
  </si>
  <si>
    <t>施工、设备、软件及物料抵扣后合同签订单价</t>
  </si>
  <si>
    <t>其他销售金额</t>
  </si>
  <si>
    <t>设备、施工、软件等，见附件2销售合计金额</t>
  </si>
  <si>
    <t>五</t>
  </si>
  <si>
    <t>车道数量</t>
  </si>
  <si>
    <t>条</t>
  </si>
  <si>
    <t>艾科成本</t>
  </si>
  <si>
    <t>购买折扣总金额</t>
  </si>
  <si>
    <t>项四×项九</t>
  </si>
  <si>
    <t>六</t>
  </si>
  <si>
    <t>合作年限</t>
  </si>
  <si>
    <t>年</t>
  </si>
  <si>
    <t>施工、设备、软件及物料</t>
  </si>
  <si>
    <t>详见附件2内部结算合计金额</t>
  </si>
  <si>
    <t>七</t>
  </si>
  <si>
    <t>每月消耗时长上限</t>
  </si>
  <si>
    <t>小时</t>
  </si>
  <si>
    <t>平台运维</t>
  </si>
  <si>
    <t>按合同约定需要提供平台运维的年限填写</t>
  </si>
  <si>
    <t>八</t>
  </si>
  <si>
    <t>每月消耗时长下限</t>
  </si>
  <si>
    <r>
      <rPr>
        <b/>
        <sz val="10.5"/>
        <color rgb="FFFF0000"/>
        <rFont val="Calibri"/>
        <charset val="134"/>
      </rPr>
      <t>不能超过临停总时长的</t>
    </r>
    <r>
      <rPr>
        <b/>
        <sz val="10.5"/>
        <color rgb="FFFF0000"/>
        <rFont val="Calibri"/>
        <charset val="134"/>
      </rPr>
      <t>8</t>
    </r>
    <r>
      <rPr>
        <b/>
        <sz val="10.5"/>
        <color rgb="FFFF0000"/>
        <rFont val="Calibri"/>
        <charset val="134"/>
      </rPr>
      <t>折</t>
    </r>
  </si>
  <si>
    <t>售后维护投入</t>
  </si>
  <si>
    <t>按合同约定需要提供售后服务的年限填写</t>
  </si>
  <si>
    <t>九</t>
  </si>
  <si>
    <t>购买总时长</t>
  </si>
  <si>
    <t>艾科云坐席值守费用</t>
  </si>
  <si>
    <t>按合同约定需要提供云坐席服务的年限填写</t>
  </si>
  <si>
    <t>十</t>
  </si>
  <si>
    <t>时长消耗时间</t>
  </si>
  <si>
    <t>业务费支出</t>
  </si>
  <si>
    <t>按实际约定填写</t>
  </si>
  <si>
    <t>十一</t>
  </si>
  <si>
    <t>艾科时长销售价格</t>
  </si>
  <si>
    <t>停车费差额税金</t>
  </si>
  <si>
    <t>消耗时长*（艾科税率-车场给艾科开票税率）</t>
  </si>
  <si>
    <t>十二</t>
  </si>
  <si>
    <t>停车费折扣</t>
  </si>
  <si>
    <t>调整变量</t>
  </si>
  <si>
    <t>年初占用资金</t>
  </si>
  <si>
    <t>十三</t>
  </si>
  <si>
    <t>平台维护</t>
  </si>
  <si>
    <t>元/车场*年</t>
  </si>
  <si>
    <t>占用资金利息</t>
  </si>
  <si>
    <t>十四</t>
  </si>
  <si>
    <t>云坐席</t>
  </si>
  <si>
    <t>元/车道*月</t>
  </si>
  <si>
    <t>总利润</t>
  </si>
  <si>
    <t>毛利率</t>
  </si>
  <si>
    <t>年化收益</t>
  </si>
  <si>
    <t>十五</t>
  </si>
  <si>
    <t>售后服务</t>
  </si>
  <si>
    <r>
      <rPr>
        <sz val="10.5"/>
        <color rgb="FF000000"/>
        <rFont val="Calibri"/>
        <charset val="134"/>
      </rPr>
      <t>元</t>
    </r>
    <r>
      <rPr>
        <sz val="10.5"/>
        <color rgb="FF000000"/>
        <rFont val="Calibri"/>
        <charset val="134"/>
      </rPr>
      <t>/</t>
    </r>
    <r>
      <rPr>
        <sz val="10.5"/>
        <color rgb="FF000000"/>
        <rFont val="Calibri"/>
        <charset val="134"/>
      </rPr>
      <t>车道*月</t>
    </r>
  </si>
  <si>
    <t xml:space="preserve">风险管控：
1、项目优质情况：A、最优质：集团项目（如保利商业）：地产项目各个项目公司管理；B、次优质：集团项目聘请第三方物业管理；C、一般优质：运营公司的项目，但是要对运营公司的背景做调查，是否存在有权属瑕疵或财务的风险以及亏损中途退场的风险。
2、执行过程标准：一般购买时长的金额不超过停车场【最近3年年均】临停流水的40%，一年内消耗完毕，不能超过8折，一般在7-8折左右。合作周期超过12个月，风险就相对偏大，建议采用多次购买，之前购买的消耗完以后再进行增补购买；如果一次性购买消耗时长超过12月，但是折扣要更低（具体评估）
3、发票要求：乙方提供9%的经营管理*停车费增值税专用发票，否则，折扣另行协商调减。
</t>
  </si>
  <si>
    <t>十六</t>
  </si>
  <si>
    <t>车场给艾科发票税率</t>
  </si>
  <si>
    <t>十七</t>
  </si>
  <si>
    <t>艾科给车主发票税率</t>
  </si>
  <si>
    <t>十八</t>
  </si>
  <si>
    <t>资金利率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</si>
</sst>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,&quot;万&quot;"/>
    <numFmt numFmtId="177" formatCode="0_ "/>
    <numFmt numFmtId="178" formatCode="0.00_);[Red]\(0.00\)"/>
    <numFmt numFmtId="179" formatCode="0.000_ "/>
    <numFmt numFmtId="180" formatCode="0.00_ "/>
    <numFmt numFmtId="181" formatCode="0_);[Red]\(0\)"/>
    <numFmt numFmtId="182" formatCode="0.0_ "/>
  </numFmts>
  <fonts count="66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b/>
      <sz val="13.5"/>
      <color rgb="FF000000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10.5"/>
      <color rgb="FFFF0000"/>
      <name val="等线"/>
      <charset val="134"/>
      <scheme val="minor"/>
    </font>
    <font>
      <b/>
      <sz val="10.5"/>
      <color rgb="FFFF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b/>
      <sz val="18"/>
      <color rgb="FF000000"/>
      <name val="等线"/>
      <charset val="134"/>
      <scheme val="minor"/>
    </font>
    <font>
      <sz val="13.5"/>
      <color rgb="FF000000"/>
      <name val="等线"/>
      <charset val="134"/>
      <scheme val="minor"/>
    </font>
    <font>
      <b/>
      <sz val="13.5"/>
      <color rgb="FFFF0000"/>
      <name val="等线"/>
      <charset val="134"/>
      <scheme val="minor"/>
    </font>
    <font>
      <b/>
      <sz val="13.5"/>
      <color rgb="FF000000"/>
      <name val="等线"/>
      <charset val="134"/>
    </font>
    <font>
      <sz val="10"/>
      <color rgb="FFFFFFFF"/>
      <name val="等线"/>
      <charset val="134"/>
      <scheme val="minor"/>
    </font>
    <font>
      <sz val="10"/>
      <color rgb="FF000000"/>
      <name val="等线"/>
      <charset val="134"/>
    </font>
    <font>
      <sz val="13"/>
      <color rgb="FF000000"/>
      <name val="等线"/>
      <charset val="134"/>
      <scheme val="minor"/>
    </font>
    <font>
      <b/>
      <sz val="13"/>
      <name val="等线"/>
      <charset val="134"/>
      <scheme val="minor"/>
    </font>
    <font>
      <sz val="10.5"/>
      <color rgb="FFFFFFFF"/>
      <name val="等线"/>
      <charset val="134"/>
      <scheme val="minor"/>
    </font>
    <font>
      <sz val="10.5"/>
      <color rgb="FFF54A45"/>
      <name val="等线"/>
      <charset val="134"/>
      <scheme val="minor"/>
    </font>
    <font>
      <sz val="9.75"/>
      <color rgb="FFF54A45"/>
      <name val="等线"/>
      <charset val="134"/>
      <scheme val="minor"/>
    </font>
    <font>
      <b/>
      <sz val="13"/>
      <color rgb="FF000000"/>
      <name val="等线"/>
      <charset val="134"/>
    </font>
    <font>
      <sz val="12"/>
      <color rgb="FF000000"/>
      <name val="等线"/>
      <charset val="134"/>
      <scheme val="minor"/>
    </font>
    <font>
      <sz val="13.5"/>
      <color rgb="FF000000"/>
      <name val="等线"/>
      <charset val="134"/>
    </font>
    <font>
      <sz val="11"/>
      <color rgb="FF000000"/>
      <name val="等线"/>
      <charset val="134"/>
    </font>
    <font>
      <b/>
      <sz val="10.5"/>
      <color rgb="FFF54A45"/>
      <name val="等线"/>
      <charset val="134"/>
      <scheme val="minor"/>
    </font>
    <font>
      <b/>
      <sz val="13.5"/>
      <color rgb="FFC00000"/>
      <name val="等线"/>
      <charset val="134"/>
      <scheme val="minor"/>
    </font>
    <font>
      <sz val="13.5"/>
      <color rgb="FFFF0000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sz val="14"/>
      <color rgb="FF000000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color rgb="FF000000"/>
      <name val="等线"/>
      <charset val="134"/>
    </font>
    <font>
      <b/>
      <sz val="13"/>
      <color rgb="FF000000"/>
      <name val="等线"/>
      <charset val="134"/>
      <scheme val="minor"/>
    </font>
    <font>
      <b/>
      <sz val="19.5"/>
      <color rgb="FF000000"/>
      <name val="等线"/>
      <charset val="134"/>
      <scheme val="minor"/>
    </font>
    <font>
      <b/>
      <u/>
      <sz val="19.5"/>
      <color rgb="FF000000"/>
      <name val="等线"/>
      <charset val="134"/>
      <scheme val="minor"/>
    </font>
    <font>
      <b/>
      <u/>
      <sz val="10.5"/>
      <color rgb="FF00000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u/>
      <sz val="12"/>
      <color rgb="FF000000"/>
      <name val="等线"/>
      <charset val="134"/>
      <scheme val="minor"/>
    </font>
    <font>
      <sz val="10.5"/>
      <color rgb="FF000000"/>
      <name val="等线"/>
      <charset val="134"/>
    </font>
    <font>
      <b/>
      <sz val="10.5"/>
      <color rgb="FF000000"/>
      <name val="等线"/>
      <charset val="134"/>
    </font>
    <font>
      <sz val="20"/>
      <color rgb="FFFF0000"/>
      <name val="等线"/>
      <charset val="134"/>
    </font>
    <font>
      <sz val="20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汉仪书宋二KW"/>
      <charset val="134"/>
    </font>
    <font>
      <b/>
      <sz val="10.5"/>
      <color rgb="FF000000"/>
      <name val="Calibri"/>
      <charset val="134"/>
    </font>
    <font>
      <sz val="20"/>
      <color rgb="FFFF0000"/>
      <name val="汉仪书宋二KW"/>
      <charset val="134"/>
    </font>
    <font>
      <sz val="10.5"/>
      <color rgb="FF000000"/>
      <name val="Calibri"/>
      <charset val="134"/>
    </font>
    <font>
      <b/>
      <sz val="10.5"/>
      <color rgb="FFFF0000"/>
      <name val="Calibri"/>
      <charset val="134"/>
    </font>
  </fonts>
  <fills count="4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D9DCE1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0" fillId="13" borderId="28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8" fillId="0" borderId="29" applyNumberFormat="0" applyFill="0" applyAlignment="0" applyProtection="0">
      <alignment vertical="center"/>
    </xf>
    <xf numFmtId="0" fontId="49" fillId="0" borderId="30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4" borderId="31" applyNumberFormat="0" applyAlignment="0" applyProtection="0">
      <alignment vertical="center"/>
    </xf>
    <xf numFmtId="0" fontId="51" fillId="15" borderId="32" applyNumberFormat="0" applyAlignment="0" applyProtection="0">
      <alignment vertical="center"/>
    </xf>
    <xf numFmtId="0" fontId="52" fillId="15" borderId="31" applyNumberFormat="0" applyAlignment="0" applyProtection="0">
      <alignment vertical="center"/>
    </xf>
    <xf numFmtId="0" fontId="53" fillId="16" borderId="33" applyNumberFormat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5" fillId="0" borderId="35" applyNumberFormat="0" applyFill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</cellStyleXfs>
  <cellXfs count="178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textRotation="255"/>
    </xf>
    <xf numFmtId="0" fontId="3" fillId="0" borderId="7" xfId="0" applyFont="1" applyBorder="1" applyAlignment="1">
      <alignment horizontal="right" vertical="center"/>
    </xf>
    <xf numFmtId="176" fontId="3" fillId="0" borderId="7" xfId="0" applyNumberFormat="1" applyFont="1" applyBorder="1" applyAlignment="1">
      <alignment horizontal="right" vertical="center"/>
    </xf>
    <xf numFmtId="176" fontId="1" fillId="3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3" fillId="0" borderId="7" xfId="0" applyFont="1" applyBorder="1" applyAlignment="1">
      <alignment horizontal="right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76" fontId="1" fillId="4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176" fontId="1" fillId="3" borderId="12" xfId="0" applyNumberFormat="1" applyFont="1" applyFill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178" fontId="1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1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10" fontId="1" fillId="0" borderId="15" xfId="0" applyNumberFormat="1" applyFont="1" applyBorder="1" applyAlignment="1">
      <alignment horizontal="center" vertical="center"/>
    </xf>
    <xf numFmtId="10" fontId="1" fillId="0" borderId="15" xfId="0" applyNumberFormat="1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10" fontId="1" fillId="0" borderId="1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9" fontId="4" fillId="0" borderId="7" xfId="0" applyNumberFormat="1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9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10" fontId="10" fillId="0" borderId="7" xfId="0" applyNumberFormat="1" applyFont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 wrapText="1"/>
    </xf>
    <xf numFmtId="0" fontId="11" fillId="6" borderId="7" xfId="0" applyFont="1" applyFill="1" applyBorder="1" applyAlignment="1">
      <alignment horizontal="center" vertical="center"/>
    </xf>
    <xf numFmtId="0" fontId="2" fillId="5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179" fontId="2" fillId="0" borderId="7" xfId="0" applyNumberFormat="1" applyFont="1" applyBorder="1" applyAlignment="1">
      <alignment horizontal="center" vertical="center"/>
    </xf>
    <xf numFmtId="180" fontId="10" fillId="8" borderId="7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7" borderId="7" xfId="0" applyNumberFormat="1" applyFont="1" applyFill="1" applyBorder="1" applyAlignment="1" applyProtection="1">
      <alignment horizontal="center" vertical="center"/>
    </xf>
    <xf numFmtId="177" fontId="15" fillId="0" borderId="8" xfId="0" applyNumberFormat="1" applyFont="1" applyFill="1" applyBorder="1" applyAlignment="1" applyProtection="1">
      <alignment horizontal="center" vertical="center"/>
    </xf>
    <xf numFmtId="177" fontId="15" fillId="0" borderId="19" xfId="0" applyNumberFormat="1" applyFont="1" applyFill="1" applyBorder="1" applyAlignment="1" applyProtection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0" fontId="9" fillId="0" borderId="0" xfId="0" applyFont="1" applyAlignment="1"/>
    <xf numFmtId="0" fontId="2" fillId="6" borderId="20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" fillId="6" borderId="7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181" fontId="2" fillId="0" borderId="20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5" borderId="7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178" fontId="9" fillId="0" borderId="20" xfId="0" applyNumberFormat="1" applyFont="1" applyBorder="1" applyAlignment="1">
      <alignment horizontal="center" vertical="center"/>
    </xf>
    <xf numFmtId="0" fontId="11" fillId="6" borderId="7" xfId="0" applyFont="1" applyFill="1" applyBorder="1" applyAlignment="1">
      <alignment horizontal="left" vertical="center"/>
    </xf>
    <xf numFmtId="0" fontId="19" fillId="5" borderId="7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2" fontId="19" fillId="5" borderId="7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6" borderId="7" xfId="0" applyFont="1" applyFill="1" applyBorder="1" applyAlignment="1">
      <alignment horizontal="left" vertical="center"/>
    </xf>
    <xf numFmtId="0" fontId="25" fillId="0" borderId="7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7" fontId="19" fillId="5" borderId="7" xfId="0" applyNumberFormat="1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4" fillId="5" borderId="7" xfId="0" applyFont="1" applyFill="1" applyBorder="1" applyAlignment="1">
      <alignment horizontal="left" vertical="center"/>
    </xf>
    <xf numFmtId="9" fontId="19" fillId="5" borderId="7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 applyProtection="1">
      <alignment horizontal="left" vertical="top" wrapText="1"/>
    </xf>
    <xf numFmtId="0" fontId="2" fillId="6" borderId="8" xfId="0" applyFont="1" applyFill="1" applyBorder="1" applyAlignment="1">
      <alignment horizontal="left" vertical="center"/>
    </xf>
    <xf numFmtId="0" fontId="2" fillId="6" borderId="19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right" vertical="center"/>
    </xf>
    <xf numFmtId="0" fontId="2" fillId="6" borderId="19" xfId="0" applyFont="1" applyFill="1" applyBorder="1" applyAlignment="1">
      <alignment horizontal="right" vertical="center"/>
    </xf>
    <xf numFmtId="182" fontId="2" fillId="0" borderId="7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/>
    </xf>
    <xf numFmtId="180" fontId="26" fillId="0" borderId="7" xfId="0" applyNumberFormat="1" applyFont="1" applyBorder="1" applyAlignment="1">
      <alignment horizontal="center" vertical="center"/>
    </xf>
    <xf numFmtId="181" fontId="27" fillId="0" borderId="20" xfId="0" applyNumberFormat="1" applyFont="1" applyBorder="1" applyAlignment="1">
      <alignment horizontal="center" vertical="center"/>
    </xf>
    <xf numFmtId="0" fontId="2" fillId="6" borderId="7" xfId="0" applyFont="1" applyFill="1" applyBorder="1" applyAlignment="1">
      <alignment horizontal="right" vertical="center"/>
    </xf>
    <xf numFmtId="0" fontId="28" fillId="9" borderId="21" xfId="0" applyNumberFormat="1" applyFont="1" applyFill="1" applyBorder="1" applyAlignment="1" applyProtection="1">
      <alignment horizontal="center" vertical="center"/>
    </xf>
    <xf numFmtId="0" fontId="29" fillId="0" borderId="21" xfId="0" applyNumberFormat="1" applyFont="1" applyFill="1" applyBorder="1" applyAlignment="1" applyProtection="1">
      <alignment horizontal="left" vertical="center"/>
    </xf>
    <xf numFmtId="0" fontId="29" fillId="10" borderId="21" xfId="0" applyNumberFormat="1" applyFont="1" applyFill="1" applyBorder="1" applyAlignment="1" applyProtection="1">
      <alignment horizontal="center" vertical="center"/>
    </xf>
    <xf numFmtId="0" fontId="29" fillId="0" borderId="21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vertical="center" wrapText="1"/>
    </xf>
    <xf numFmtId="0" fontId="30" fillId="10" borderId="21" xfId="0" applyNumberFormat="1" applyFont="1" applyFill="1" applyBorder="1" applyAlignment="1" applyProtection="1">
      <alignment horizontal="center" vertical="center"/>
    </xf>
    <xf numFmtId="0" fontId="11" fillId="6" borderId="7" xfId="0" applyFont="1" applyFill="1" applyBorder="1" applyAlignment="1">
      <alignment horizontal="right" vertical="center"/>
    </xf>
    <xf numFmtId="0" fontId="31" fillId="0" borderId="7" xfId="0" applyFont="1" applyBorder="1" applyAlignment="1">
      <alignment horizontal="left" vertical="center"/>
    </xf>
    <xf numFmtId="0" fontId="29" fillId="0" borderId="21" xfId="0" applyNumberFormat="1" applyFont="1" applyFill="1" applyBorder="1" applyAlignment="1" applyProtection="1">
      <alignment horizontal="left" vertical="center" wrapText="1"/>
    </xf>
    <xf numFmtId="0" fontId="14" fillId="7" borderId="21" xfId="0" applyNumberFormat="1" applyFont="1" applyFill="1" applyBorder="1" applyAlignment="1" applyProtection="1">
      <alignment horizontal="center" vertical="center"/>
    </xf>
    <xf numFmtId="0" fontId="32" fillId="0" borderId="21" xfId="0" applyNumberFormat="1" applyFont="1" applyFill="1" applyBorder="1" applyAlignment="1" applyProtection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5" borderId="0" xfId="0" applyFont="1" applyFill="1" applyAlignment="1">
      <alignment vertical="center"/>
    </xf>
    <xf numFmtId="0" fontId="20" fillId="5" borderId="0" xfId="0" applyFont="1" applyFill="1" applyAlignment="1">
      <alignment vertical="center"/>
    </xf>
    <xf numFmtId="0" fontId="6" fillId="11" borderId="5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left" vertical="center"/>
    </xf>
    <xf numFmtId="0" fontId="35" fillId="5" borderId="23" xfId="0" applyFont="1" applyFill="1" applyBorder="1" applyAlignment="1">
      <alignment horizontal="left" vertical="center"/>
    </xf>
    <xf numFmtId="0" fontId="37" fillId="5" borderId="24" xfId="0" applyFont="1" applyFill="1" applyBorder="1" applyAlignment="1">
      <alignment horizontal="left" vertical="center"/>
    </xf>
    <xf numFmtId="0" fontId="6" fillId="11" borderId="5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3" fillId="11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5" borderId="12" xfId="0" applyFont="1" applyFill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38" fillId="0" borderId="12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0" fontId="3" fillId="12" borderId="6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39" fillId="12" borderId="19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20" fillId="5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5" borderId="7" xfId="0" applyFont="1" applyFill="1" applyBorder="1" applyAlignment="1"/>
    <xf numFmtId="0" fontId="1" fillId="0" borderId="19" xfId="0" applyFont="1" applyBorder="1" applyAlignment="1"/>
    <xf numFmtId="0" fontId="40" fillId="0" borderId="10" xfId="0" applyFont="1" applyBorder="1" applyAlignment="1">
      <alignment horizontal="left" vertical="center" wrapText="1"/>
    </xf>
    <xf numFmtId="0" fontId="41" fillId="0" borderId="10" xfId="0" applyFont="1" applyBorder="1" applyAlignment="1">
      <alignment horizontal="left" vertical="center" wrapText="1"/>
    </xf>
    <xf numFmtId="0" fontId="22" fillId="0" borderId="26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9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name val="Calibri"/>
        <scheme val="none"/>
        <family val="2"/>
        <sz val="11"/>
        <color rgb="FF006100"/>
      </font>
      <fill>
        <patternFill patternType="solid">
          <bgColor rgb="FFC6EFCE"/>
        </patternFill>
      </fill>
    </dxf>
    <dxf>
      <fill>
        <patternFill patternType="solid">
          <bgColor rgb="FFDEEAF6"/>
        </patternFill>
      </fill>
    </dxf>
    <dxf>
      <font>
        <name val="Calibri"/>
        <scheme val="none"/>
        <family val="2"/>
        <sz val="11"/>
        <color rgb="FF006100"/>
      </font>
      <fill>
        <patternFill patternType="solid">
          <bgColor rgb="FFC6EFCE"/>
        </patternFill>
      </fill>
    </dxf>
    <dxf>
      <fill>
        <patternFill patternType="solid">
          <bgColor rgb="FFFBE4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334645</xdr:colOff>
      <xdr:row>5</xdr:row>
      <xdr:rowOff>12700</xdr:rowOff>
    </xdr:from>
    <xdr:to>
      <xdr:col>9</xdr:col>
      <xdr:colOff>686435</xdr:colOff>
      <xdr:row>11</xdr:row>
      <xdr:rowOff>198120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78745" y="1955800"/>
          <a:ext cx="3369310" cy="2679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8"/>
  <sheetViews>
    <sheetView topLeftCell="A16" workbookViewId="0">
      <selection activeCell="H19" sqref="H19"/>
    </sheetView>
  </sheetViews>
  <sheetFormatPr defaultColWidth="14" defaultRowHeight="13.2"/>
  <cols>
    <col min="1" max="1" width="15" customWidth="1"/>
    <col min="2" max="2" width="35" customWidth="1"/>
    <col min="3" max="3" width="38" customWidth="1"/>
    <col min="4" max="4" width="46" customWidth="1"/>
    <col min="5" max="20" width="11" customWidth="1"/>
  </cols>
  <sheetData>
    <row r="1" ht="52" customHeight="1" spans="1:13">
      <c r="A1" s="135" t="s">
        <v>0</v>
      </c>
      <c r="B1" s="136"/>
      <c r="C1" s="137"/>
      <c r="D1" s="136"/>
      <c r="F1" s="138" t="s">
        <v>1</v>
      </c>
      <c r="G1" s="139"/>
      <c r="H1" s="139"/>
      <c r="I1" s="139"/>
    </row>
    <row r="2" ht="22.5" customHeight="1" spans="1:13">
      <c r="A2" s="140" t="s">
        <v>2</v>
      </c>
      <c r="B2" s="141" t="s">
        <v>3</v>
      </c>
      <c r="C2" s="142"/>
      <c r="D2" s="143"/>
      <c r="F2" s="138"/>
      <c r="G2" s="139"/>
      <c r="H2" s="139"/>
      <c r="I2" s="139"/>
    </row>
    <row r="3" ht="22.5" customHeight="1" spans="1:13">
      <c r="A3" s="140" t="s">
        <v>4</v>
      </c>
      <c r="B3" s="141" t="s">
        <v>5</v>
      </c>
      <c r="C3" s="142"/>
      <c r="D3" s="143"/>
      <c r="E3" s="5"/>
      <c r="F3" s="5"/>
      <c r="G3" s="5"/>
      <c r="H3" s="5"/>
      <c r="I3" s="5"/>
      <c r="J3" s="5"/>
      <c r="K3" s="5"/>
      <c r="L3" s="5"/>
      <c r="M3" s="5"/>
    </row>
    <row r="4" ht="34" customHeight="1" spans="1:13">
      <c r="A4" s="144" t="s">
        <v>6</v>
      </c>
      <c r="B4" s="145"/>
      <c r="C4" s="146"/>
      <c r="D4" s="147"/>
      <c r="F4" s="148" t="s">
        <v>7</v>
      </c>
    </row>
    <row r="5" ht="22" customHeight="1" spans="1:13">
      <c r="A5" s="149" t="s">
        <v>8</v>
      </c>
      <c r="B5" s="150" t="s">
        <v>9</v>
      </c>
      <c r="C5" s="150" t="s">
        <v>10</v>
      </c>
      <c r="D5" s="151" t="s">
        <v>11</v>
      </c>
      <c r="F5" s="139"/>
      <c r="G5" s="139"/>
      <c r="H5" s="139"/>
      <c r="I5" s="139"/>
      <c r="J5" s="139"/>
      <c r="K5" s="139"/>
      <c r="L5" s="139"/>
      <c r="M5" s="139"/>
    </row>
    <row r="6" ht="22" customHeight="1" spans="1:13">
      <c r="A6" s="152">
        <v>1.1</v>
      </c>
      <c r="B6" s="153" t="s">
        <v>12</v>
      </c>
      <c r="C6" s="154" t="s">
        <v>13</v>
      </c>
      <c r="D6" s="155" t="s">
        <v>14</v>
      </c>
      <c r="F6" s="139"/>
      <c r="G6" s="139"/>
      <c r="H6" s="139"/>
      <c r="I6" s="139"/>
      <c r="J6" s="139"/>
      <c r="K6" s="139"/>
      <c r="L6" s="139"/>
      <c r="M6" s="139"/>
    </row>
    <row r="7" ht="31" customHeight="1" spans="1:13">
      <c r="A7" s="152">
        <v>1.2</v>
      </c>
      <c r="B7" s="153" t="s">
        <v>15</v>
      </c>
      <c r="C7" s="156" t="s">
        <v>16</v>
      </c>
      <c r="D7" s="155" t="s">
        <v>17</v>
      </c>
      <c r="F7" s="139"/>
      <c r="G7" s="139"/>
      <c r="H7" s="139"/>
      <c r="I7" s="139"/>
      <c r="J7" s="139"/>
      <c r="K7" s="139"/>
      <c r="L7" s="139"/>
      <c r="M7" s="139"/>
    </row>
    <row r="8" ht="41.4" spans="1:13">
      <c r="A8" s="152">
        <v>1.3</v>
      </c>
      <c r="B8" s="153" t="s">
        <v>18</v>
      </c>
      <c r="C8" s="157" t="s">
        <v>19</v>
      </c>
      <c r="D8" s="155" t="s">
        <v>20</v>
      </c>
      <c r="F8" s="139"/>
      <c r="G8" s="139"/>
      <c r="H8" s="139"/>
      <c r="I8" s="139"/>
      <c r="J8" s="139"/>
      <c r="K8" s="139"/>
      <c r="L8" s="139"/>
      <c r="M8" s="139"/>
    </row>
    <row r="9" ht="38" customHeight="1" spans="1:13">
      <c r="A9" s="152">
        <v>1.4</v>
      </c>
      <c r="B9" s="158" t="s">
        <v>21</v>
      </c>
      <c r="C9" s="159" t="s">
        <v>22</v>
      </c>
      <c r="D9" s="160" t="s">
        <v>23</v>
      </c>
      <c r="F9" s="139"/>
      <c r="G9" s="139"/>
      <c r="H9" s="139"/>
      <c r="I9" s="139"/>
      <c r="J9" s="139"/>
      <c r="K9" s="139"/>
      <c r="L9" s="139"/>
      <c r="M9" s="139"/>
    </row>
    <row r="10" ht="32" customHeight="1" spans="1:13">
      <c r="A10" s="152">
        <v>1.5</v>
      </c>
      <c r="B10" s="161" t="s">
        <v>24</v>
      </c>
      <c r="C10" s="159" t="s">
        <v>25</v>
      </c>
      <c r="D10" s="162" t="s">
        <v>26</v>
      </c>
      <c r="F10" s="139"/>
      <c r="G10" s="139"/>
      <c r="H10" s="139"/>
      <c r="I10" s="139"/>
      <c r="J10" s="139"/>
      <c r="K10" s="139"/>
      <c r="L10" s="139"/>
      <c r="M10" s="139"/>
    </row>
    <row r="11" ht="32" customHeight="1" spans="1:13">
      <c r="A11" s="152">
        <v>1.6</v>
      </c>
      <c r="B11" s="161" t="s">
        <v>27</v>
      </c>
      <c r="C11" s="157">
        <v>1200</v>
      </c>
      <c r="D11" s="162" t="s">
        <v>28</v>
      </c>
      <c r="F11" s="139"/>
      <c r="G11" s="139"/>
      <c r="H11" s="139"/>
      <c r="I11" s="139"/>
      <c r="J11" s="139"/>
      <c r="K11" s="139"/>
      <c r="L11" s="139"/>
      <c r="M11" s="139"/>
    </row>
    <row r="12" ht="22" customHeight="1" spans="1:13">
      <c r="A12" s="144" t="s">
        <v>29</v>
      </c>
      <c r="B12" s="145"/>
      <c r="C12" s="146"/>
      <c r="D12" s="147"/>
      <c r="F12" s="139"/>
      <c r="G12" s="139"/>
      <c r="H12" s="139"/>
      <c r="I12" s="139"/>
      <c r="J12" s="139"/>
      <c r="K12" s="139"/>
      <c r="L12" s="139"/>
      <c r="M12" s="139"/>
    </row>
    <row r="13" ht="22" customHeight="1" spans="1:13">
      <c r="A13" s="163" t="s">
        <v>30</v>
      </c>
      <c r="B13" s="164" t="s">
        <v>31</v>
      </c>
      <c r="C13" s="165" t="s">
        <v>32</v>
      </c>
      <c r="D13" s="166" t="s">
        <v>33</v>
      </c>
      <c r="F13" s="167" t="s">
        <v>34</v>
      </c>
      <c r="G13" s="167"/>
      <c r="H13" s="167"/>
      <c r="I13" s="167"/>
      <c r="J13" s="167"/>
      <c r="K13" s="139"/>
      <c r="L13" s="139"/>
      <c r="M13" s="139"/>
    </row>
    <row r="14" ht="22" customHeight="1" spans="1:13">
      <c r="A14" s="168">
        <v>1</v>
      </c>
      <c r="B14" s="169">
        <v>15921</v>
      </c>
      <c r="C14" s="170">
        <v>36345</v>
      </c>
      <c r="D14" s="171" t="s">
        <v>35</v>
      </c>
      <c r="F14" s="139"/>
      <c r="G14" s="139"/>
      <c r="H14" s="139"/>
      <c r="I14" s="139"/>
      <c r="J14" s="139"/>
      <c r="K14" s="139"/>
      <c r="L14" s="139"/>
      <c r="M14" s="139"/>
    </row>
    <row r="15" ht="22" customHeight="1" spans="1:13">
      <c r="A15" s="168">
        <v>2</v>
      </c>
      <c r="B15" s="169">
        <v>16223</v>
      </c>
      <c r="C15" s="170">
        <v>32115</v>
      </c>
      <c r="D15" s="172"/>
      <c r="F15" s="139"/>
      <c r="G15" s="139"/>
      <c r="H15" s="139"/>
      <c r="I15" s="139"/>
      <c r="J15" s="139"/>
      <c r="K15" s="139"/>
      <c r="L15" s="139"/>
      <c r="M15" s="139"/>
    </row>
    <row r="16" ht="22" customHeight="1" spans="1:13">
      <c r="A16" s="168">
        <v>3</v>
      </c>
      <c r="B16" s="169">
        <v>15146</v>
      </c>
      <c r="C16" s="170">
        <v>41400</v>
      </c>
      <c r="D16" s="172"/>
      <c r="F16" s="139"/>
      <c r="G16" s="139"/>
      <c r="H16" s="139"/>
      <c r="I16" s="139"/>
      <c r="J16" s="139"/>
      <c r="K16" s="139"/>
      <c r="L16" s="139"/>
      <c r="M16" s="139"/>
    </row>
    <row r="17" ht="22" customHeight="1" spans="1:13">
      <c r="A17" s="168">
        <v>4</v>
      </c>
      <c r="B17" s="169"/>
      <c r="C17" s="170"/>
      <c r="D17" s="172"/>
      <c r="F17" s="139"/>
      <c r="G17" s="139"/>
      <c r="H17" s="139"/>
      <c r="I17" s="139"/>
      <c r="J17" s="139"/>
      <c r="K17" s="139"/>
      <c r="L17" s="139"/>
      <c r="M17" s="139"/>
    </row>
    <row r="18" ht="22" customHeight="1" spans="1:13">
      <c r="A18" s="168">
        <v>5</v>
      </c>
      <c r="B18" s="169"/>
      <c r="C18" s="170"/>
      <c r="D18" s="172"/>
      <c r="F18" s="139"/>
      <c r="G18" s="139"/>
      <c r="H18" s="139"/>
      <c r="I18" s="139"/>
      <c r="J18" s="139"/>
      <c r="K18" s="139"/>
      <c r="L18" s="139"/>
      <c r="M18" s="139"/>
    </row>
    <row r="19" ht="22" customHeight="1" spans="1:13">
      <c r="A19" s="168">
        <v>6</v>
      </c>
      <c r="B19" s="169"/>
      <c r="C19" s="170"/>
      <c r="D19" s="172"/>
      <c r="F19" s="139"/>
      <c r="G19" s="139"/>
      <c r="H19" s="139"/>
      <c r="I19" s="139"/>
      <c r="J19" s="139"/>
      <c r="K19" s="139"/>
      <c r="L19" s="139"/>
      <c r="M19" s="139"/>
    </row>
    <row r="20" ht="22" customHeight="1" spans="1:13">
      <c r="A20" s="168">
        <v>7</v>
      </c>
      <c r="B20" s="169"/>
      <c r="C20" s="170"/>
      <c r="D20" s="172"/>
      <c r="F20" s="139"/>
      <c r="G20" s="139"/>
      <c r="H20" s="139"/>
      <c r="I20" s="139"/>
      <c r="J20" s="139"/>
      <c r="K20" s="139"/>
      <c r="L20" s="139"/>
      <c r="M20" s="139"/>
    </row>
    <row r="21" ht="22" customHeight="1" spans="1:13">
      <c r="A21" s="168">
        <v>8</v>
      </c>
      <c r="B21" s="169"/>
      <c r="C21" s="170"/>
      <c r="D21" s="172"/>
      <c r="F21" s="139"/>
      <c r="G21" s="139"/>
      <c r="H21" s="139"/>
      <c r="I21" s="139"/>
      <c r="J21" s="139"/>
      <c r="K21" s="139"/>
      <c r="L21" s="139"/>
      <c r="M21" s="139"/>
    </row>
    <row r="22" ht="22" customHeight="1" spans="1:13">
      <c r="A22" s="168">
        <v>9</v>
      </c>
      <c r="B22" s="169"/>
      <c r="C22" s="170"/>
      <c r="D22" s="172"/>
      <c r="F22" s="139"/>
      <c r="G22" s="139"/>
      <c r="H22" s="139"/>
      <c r="I22" s="139"/>
      <c r="J22" s="139"/>
      <c r="K22" s="139"/>
      <c r="L22" s="139"/>
      <c r="M22" s="139"/>
    </row>
    <row r="23" ht="22" customHeight="1" spans="1:13">
      <c r="A23" s="168">
        <v>10</v>
      </c>
      <c r="B23" s="169"/>
      <c r="C23" s="170"/>
      <c r="D23" s="172"/>
      <c r="F23" s="139"/>
      <c r="G23" s="139"/>
      <c r="H23" s="139"/>
      <c r="I23" s="139"/>
      <c r="J23" s="139"/>
      <c r="K23" s="139"/>
      <c r="L23" s="139"/>
      <c r="M23" s="139"/>
    </row>
    <row r="24" ht="22" customHeight="1" spans="1:13">
      <c r="A24" s="168">
        <v>11</v>
      </c>
      <c r="B24" s="169"/>
      <c r="C24" s="170"/>
      <c r="D24" s="172"/>
      <c r="F24" s="139"/>
      <c r="G24" s="139"/>
      <c r="H24" s="139"/>
      <c r="I24" s="139"/>
      <c r="J24" s="139"/>
      <c r="K24" s="139"/>
      <c r="L24" s="139"/>
      <c r="M24" s="139"/>
    </row>
    <row r="25" ht="22" customHeight="1" spans="1:13">
      <c r="A25" s="168">
        <v>12</v>
      </c>
      <c r="B25" s="169"/>
      <c r="C25" s="170"/>
      <c r="D25" s="172"/>
      <c r="F25" s="139"/>
      <c r="G25" s="139"/>
      <c r="H25" s="139"/>
      <c r="I25" s="139"/>
      <c r="J25" s="139"/>
      <c r="K25" s="139"/>
      <c r="L25" s="139"/>
      <c r="M25" s="139"/>
    </row>
    <row r="26" ht="22" customHeight="1" spans="1:13">
      <c r="A26" s="168" t="s">
        <v>36</v>
      </c>
      <c r="B26" s="173">
        <f>SUM(B14:B25)/COUNTIF(B14:B25,"&gt;0")</f>
        <v>15763.3333333333</v>
      </c>
      <c r="C26" s="173">
        <f>SUM(C14:C25)/COUNTIF(C14:C25,"&gt;0")</f>
        <v>36620</v>
      </c>
      <c r="D26" s="174" t="s">
        <v>37</v>
      </c>
      <c r="F26" s="139"/>
      <c r="G26" s="139"/>
      <c r="H26" s="139"/>
      <c r="I26" s="139"/>
      <c r="J26" s="139"/>
      <c r="K26" s="139"/>
      <c r="L26" s="139"/>
      <c r="M26" s="139"/>
    </row>
    <row r="27" ht="22" customHeight="1" spans="1:13">
      <c r="A27" s="152" t="s">
        <v>38</v>
      </c>
      <c r="B27" s="175" t="s">
        <v>39</v>
      </c>
      <c r="C27" s="176"/>
      <c r="D27" s="177"/>
      <c r="F27" s="139"/>
      <c r="G27" s="139"/>
      <c r="H27" s="139"/>
      <c r="I27" s="139"/>
      <c r="J27" s="139"/>
      <c r="K27" s="139"/>
      <c r="L27" s="139"/>
      <c r="M27" s="139"/>
    </row>
    <row r="28" ht="22" customHeight="1" spans="1:13">
      <c r="A28" s="152"/>
      <c r="B28" s="175" t="s">
        <v>40</v>
      </c>
      <c r="C28" s="176"/>
      <c r="D28" s="177"/>
      <c r="F28" s="139"/>
      <c r="G28" s="139"/>
      <c r="H28" s="139"/>
      <c r="I28" s="139"/>
      <c r="J28" s="139"/>
      <c r="K28" s="139"/>
      <c r="L28" s="139"/>
      <c r="M28" s="139"/>
    </row>
  </sheetData>
  <sheetProtection formatCells="0" formatColumns="0" formatRows="0" insertRows="0" insertColumns="0" insertHyperlinks="0" deleteColumns="0" deleteRows="0" sort="0" autoFilter="0" pivotTables="0"/>
  <mergeCells count="10">
    <mergeCell ref="A1:D1"/>
    <mergeCell ref="B2:D2"/>
    <mergeCell ref="B3:D3"/>
    <mergeCell ref="A4:D4"/>
    <mergeCell ref="A12:D12"/>
    <mergeCell ref="F13:J13"/>
    <mergeCell ref="B27:D27"/>
    <mergeCell ref="B28:D28"/>
    <mergeCell ref="A27:A28"/>
    <mergeCell ref="D14:D25"/>
  </mergeCells>
  <conditionalFormatting sqref="D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{3c6b5be5-c3d8-445d-9ef4-5bd87c1f7d9f}</x14:id>
        </ext>
      </extLst>
    </cfRule>
  </conditionalFormatting>
  <dataValidations count="1">
    <dataValidation type="list" allowBlank="1" showErrorMessage="1" sqref="C9:C10">
      <formula1>"是,否"</formula1>
    </dataValidation>
  </dataValidations>
  <pageMargins left="0.75" right="0.75" top="1" bottom="1" header="0.5" footer="0.5"/>
  <headerFooter/>
  <drawing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6b5be5-c3d8-445d-9ef4-5bd87c1f7d9f}">
            <x14:dataBar minLength="0" maxLength="100" axisPosition="none">
              <x14:cfvo type="autoMin"/>
              <x14:cfvo type="autoMax"/>
              <x14:negativeFillColor rgb="FFFF0000"/>
              <x14:axisColor indexed="65"/>
            </x14:dataBar>
          </x14:cfRule>
          <xm:sqref>D14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6"/>
  <sheetViews>
    <sheetView tabSelected="1" zoomScale="55" zoomScaleNormal="55" topLeftCell="A6" workbookViewId="0">
      <selection activeCell="E29" sqref="E29"/>
    </sheetView>
  </sheetViews>
  <sheetFormatPr defaultColWidth="14" defaultRowHeight="13.2"/>
  <cols>
    <col min="1" max="1" width="5" customWidth="1"/>
    <col min="2" max="3" width="28" customWidth="1"/>
    <col min="4" max="4" width="31" customWidth="1"/>
    <col min="5" max="5" width="50.712962962963" customWidth="1"/>
    <col min="6" max="6" width="7" customWidth="1"/>
    <col min="7" max="7" width="25" customWidth="1"/>
    <col min="8" max="8" width="24.9537037037037" customWidth="1"/>
    <col min="9" max="9" width="31" customWidth="1"/>
    <col min="10" max="10" width="25.9074074074074" customWidth="1"/>
    <col min="11" max="12" width="24" customWidth="1"/>
    <col min="13" max="14" width="12" customWidth="1"/>
    <col min="15" max="22" width="11" customWidth="1"/>
  </cols>
  <sheetData>
    <row r="1" ht="17" customHeight="1"/>
    <row r="2" ht="35" customHeight="1" spans="1:16">
      <c r="B2" s="65" t="s">
        <v>41</v>
      </c>
      <c r="C2" s="65"/>
      <c r="D2" s="65"/>
      <c r="E2" s="65"/>
      <c r="F2" s="66"/>
      <c r="G2" s="65"/>
      <c r="H2" s="65"/>
      <c r="I2" s="65"/>
      <c r="J2" s="65"/>
    </row>
    <row r="3" ht="45" customHeight="1" spans="1:16">
      <c r="B3" s="67" t="s">
        <v>42</v>
      </c>
      <c r="G3" s="67" t="s">
        <v>43</v>
      </c>
    </row>
    <row r="4" ht="33" customHeight="1" spans="1:16">
      <c r="B4" s="68" t="s">
        <v>44</v>
      </c>
      <c r="C4" s="69" t="s">
        <v>45</v>
      </c>
      <c r="D4" s="68" t="s">
        <v>46</v>
      </c>
      <c r="E4" s="69" t="s">
        <v>47</v>
      </c>
      <c r="F4" s="70"/>
      <c r="G4" s="71" t="s">
        <v>48</v>
      </c>
      <c r="H4" s="72">
        <f>D23/D20</f>
        <v>0.21593095300214</v>
      </c>
      <c r="I4" s="73" t="str">
        <f>IF(H4&lt;=40%,"OK","消耗比例过高")</f>
        <v>OK</v>
      </c>
    </row>
    <row r="5" ht="33" customHeight="1" spans="1:16">
      <c r="B5" s="68" t="s">
        <v>49</v>
      </c>
      <c r="C5" s="74" t="s">
        <v>3</v>
      </c>
      <c r="D5" s="75" t="s">
        <v>50</v>
      </c>
      <c r="E5" s="76" t="s">
        <v>25</v>
      </c>
      <c r="F5" s="77"/>
      <c r="G5" s="71" t="s">
        <v>51</v>
      </c>
      <c r="H5" s="78">
        <f>ROUND(IF(AND(B17="增值税专用发票",D17&lt;0.09),(D21*(1.09-D17)+E7+D13+(C7+D11)*2.5%*(D16/12))/D22,IF(AND(B17="增值税普通发票",D17&lt;=0.09),(D21*1.09+E7+D13+(C7+D11)*2.5%*(D16/12))/D22,(D21+E7+D13+(C7+D11)*2.5%*(D16/12))/D22)),2)</f>
        <v>0.88</v>
      </c>
      <c r="I5" s="79" t="str">
        <f>IF(D16/12&lt;=H10,IF(H5&lt;=0.9,"OK","采买折扣过高"),IF(D16/12&lt;=I10,IF(H5&lt;=0.85,"OK","采买折扣过高"),IF(D16/12&lt;=J10,IF(H5&lt;=0.8,"OK","采买折扣过高"),IF(D16/12&lt;=K10,IF(H5&lt;=0.75,"OK","采买折扣过高"),IF(D16/12&lt;=L10,IF(H5&lt;=0.7,"OK","采买折扣过高"),"消耗年限不符")))))</f>
        <v>采买折扣过高</v>
      </c>
      <c r="J5" s="80" t="str">
        <f>IF(H5&gt;0.9,"0",IF(H5&gt;=0.85,"0.9＞X≥0.85",IF(H5&gt;=0.8,"0.85＞X≥0.8",IF(H5&gt;=0.75,"0.8＞X≥0.75",IF(H5&gt;=0.7,"0.75＞X≥0.7",IF(H5&gt;=0.65,"0.7＞X≥0.65",IF(H5&gt;=0.6,"0.65＞X≥0.6","采买折扣不在范围内")))))))</f>
        <v>0.9＞X≥0.85</v>
      </c>
      <c r="K5" s="81"/>
    </row>
    <row r="6" ht="33" customHeight="1" spans="1:16">
      <c r="B6" s="68" t="s">
        <v>52</v>
      </c>
      <c r="C6" s="74" t="s">
        <v>53</v>
      </c>
      <c r="D6" s="75" t="s">
        <v>54</v>
      </c>
      <c r="E6" s="69">
        <v>1.06</v>
      </c>
      <c r="F6" s="70"/>
      <c r="G6" s="82" t="s">
        <v>55</v>
      </c>
      <c r="H6" s="83" t="str">
        <f>IF(OR(ROUNDUP(D16/12,0)&lt;1,ROUNDUP(D16/12,0)&gt;5),"未达标",IF(CHOOSE(ROUNDUP(D16/12,0),0.1,0.16,0.22,0.28,0.34)&gt;(D25+D24)/D22,IF(L26="风险高","利润低风险高","利润低风险可控"),IF(L26="风险高","利润高风险高","利润高风险可控")))</f>
        <v>利润高风险高</v>
      </c>
      <c r="I6" s="84"/>
      <c r="J6" s="85"/>
    </row>
    <row r="7" ht="33" customHeight="1" spans="1:16">
      <c r="B7" s="75" t="s">
        <v>56</v>
      </c>
      <c r="C7" s="74">
        <v>303592</v>
      </c>
      <c r="D7" s="75" t="s">
        <v>57</v>
      </c>
      <c r="E7" s="69">
        <v>8000</v>
      </c>
      <c r="F7" s="70"/>
      <c r="G7" s="2"/>
      <c r="H7" s="2"/>
      <c r="I7" s="85"/>
      <c r="J7" s="85"/>
    </row>
    <row r="8" ht="28" customHeight="1" spans="1:16">
      <c r="B8" s="86"/>
      <c r="C8" s="86"/>
      <c r="D8" s="86"/>
      <c r="E8" s="86"/>
    </row>
    <row r="9" ht="36" customHeight="1" spans="1:16">
      <c r="A9" s="5"/>
      <c r="B9" s="68" t="s">
        <v>58</v>
      </c>
      <c r="C9" s="68"/>
      <c r="D9" s="68" t="s">
        <v>59</v>
      </c>
      <c r="E9" s="68" t="s">
        <v>33</v>
      </c>
      <c r="F9" s="70"/>
      <c r="G9" s="87" t="s">
        <v>60</v>
      </c>
      <c r="H9" s="87" t="s">
        <v>61</v>
      </c>
      <c r="I9" s="87"/>
      <c r="J9" s="87"/>
      <c r="K9" s="87"/>
      <c r="L9" s="87"/>
      <c r="M9" s="88"/>
    </row>
    <row r="10" ht="36" customHeight="1" spans="1:16">
      <c r="A10" s="5"/>
      <c r="B10" s="89" t="s">
        <v>62</v>
      </c>
      <c r="C10" s="89"/>
      <c r="D10" s="90">
        <v>325760</v>
      </c>
      <c r="E10" s="91" t="s">
        <v>63</v>
      </c>
      <c r="F10" s="5"/>
      <c r="G10" s="92" t="s">
        <v>64</v>
      </c>
      <c r="H10" s="92">
        <v>1</v>
      </c>
      <c r="I10" s="93">
        <v>2</v>
      </c>
      <c r="J10" s="92">
        <v>3</v>
      </c>
      <c r="K10" s="92">
        <v>4</v>
      </c>
      <c r="L10" s="92">
        <v>5</v>
      </c>
      <c r="M10" s="94"/>
      <c r="N10" s="95"/>
      <c r="O10" s="95"/>
    </row>
    <row r="11" ht="36" customHeight="1" spans="1:16">
      <c r="A11" s="5"/>
      <c r="B11" s="89" t="s">
        <v>65</v>
      </c>
      <c r="C11" s="89"/>
      <c r="D11" s="96">
        <v>0</v>
      </c>
      <c r="E11" s="91" t="s">
        <v>66</v>
      </c>
      <c r="F11" s="97"/>
      <c r="G11" s="98" t="s">
        <v>67</v>
      </c>
      <c r="H11" s="99">
        <v>0.8</v>
      </c>
      <c r="I11" s="99"/>
      <c r="J11" s="99"/>
      <c r="K11" s="99"/>
      <c r="L11" s="99"/>
      <c r="M11" s="94"/>
      <c r="N11" s="95"/>
      <c r="O11" s="95"/>
    </row>
    <row r="12" ht="36" customHeight="1" spans="1:16">
      <c r="A12" s="5"/>
      <c r="B12" s="100" t="s">
        <v>68</v>
      </c>
      <c r="C12" s="89"/>
      <c r="D12" s="101" t="s">
        <v>69</v>
      </c>
      <c r="E12" s="102" t="s">
        <v>70</v>
      </c>
      <c r="F12" s="97"/>
      <c r="G12" s="98" t="s">
        <v>71</v>
      </c>
      <c r="H12" s="99">
        <v>1</v>
      </c>
      <c r="I12" s="99">
        <v>0.8</v>
      </c>
      <c r="J12" s="99"/>
      <c r="K12" s="99"/>
      <c r="L12" s="99"/>
      <c r="M12" s="94"/>
      <c r="N12" s="95"/>
      <c r="O12" s="95"/>
    </row>
    <row r="13" ht="36" customHeight="1" spans="1:16">
      <c r="A13" s="5"/>
      <c r="B13" s="100" t="s">
        <v>72</v>
      </c>
      <c r="C13" s="89"/>
      <c r="D13" s="96">
        <v>0</v>
      </c>
      <c r="E13" s="103" t="s">
        <v>73</v>
      </c>
      <c r="F13" s="97"/>
      <c r="G13" s="98" t="s">
        <v>74</v>
      </c>
      <c r="H13" s="99">
        <v>1.2</v>
      </c>
      <c r="I13" s="99">
        <v>1</v>
      </c>
      <c r="J13" s="99">
        <v>0.8</v>
      </c>
      <c r="K13" s="99"/>
      <c r="L13" s="99"/>
      <c r="M13" s="94"/>
      <c r="N13" s="95"/>
      <c r="O13" s="95"/>
    </row>
    <row r="14" ht="36" customHeight="1" spans="1:16">
      <c r="A14" s="5"/>
      <c r="B14" s="89" t="s">
        <v>75</v>
      </c>
      <c r="C14" s="89"/>
      <c r="D14" s="104">
        <v>0.8</v>
      </c>
      <c r="E14" s="91" t="s">
        <v>76</v>
      </c>
      <c r="F14" s="97"/>
      <c r="G14" s="98" t="s">
        <v>77</v>
      </c>
      <c r="H14" s="99">
        <v>1.45</v>
      </c>
      <c r="I14" s="99">
        <v>1.2</v>
      </c>
      <c r="J14" s="99">
        <v>1</v>
      </c>
      <c r="K14" s="99">
        <v>0.8</v>
      </c>
      <c r="L14" s="99"/>
      <c r="M14" s="105"/>
      <c r="N14" s="95"/>
      <c r="O14" s="95"/>
    </row>
    <row r="15" ht="36" customHeight="1" spans="1:16">
      <c r="A15" s="5"/>
      <c r="B15" s="106" t="s">
        <v>78</v>
      </c>
      <c r="C15" s="106"/>
      <c r="D15" s="96">
        <v>60</v>
      </c>
      <c r="E15" s="107" t="str">
        <f>IF(D15&lt;=D16,"建议合同有限年限比消耗年限多1年","实际会按券消耗年限执行")</f>
        <v>实际会按券消耗年限执行</v>
      </c>
      <c r="F15" s="97"/>
      <c r="G15" s="98" t="s">
        <v>79</v>
      </c>
      <c r="H15" s="99">
        <v>1.65</v>
      </c>
      <c r="I15" s="99">
        <v>1.45</v>
      </c>
      <c r="J15" s="99">
        <v>1.2</v>
      </c>
      <c r="K15" s="99">
        <v>1</v>
      </c>
      <c r="L15" s="99">
        <v>0.8</v>
      </c>
      <c r="M15" s="94"/>
      <c r="N15" s="108"/>
      <c r="O15" s="108"/>
      <c r="P15" s="109"/>
    </row>
    <row r="16" ht="36" customHeight="1" spans="1:16">
      <c r="A16" s="5"/>
      <c r="B16" s="106" t="s">
        <v>80</v>
      </c>
      <c r="C16" s="106"/>
      <c r="D16" s="110">
        <v>36</v>
      </c>
      <c r="E16" s="91" t="s">
        <v>81</v>
      </c>
      <c r="F16" s="97"/>
      <c r="G16" s="111" t="s">
        <v>82</v>
      </c>
      <c r="H16" s="99">
        <v>1.95</v>
      </c>
      <c r="I16" s="99">
        <v>1.65</v>
      </c>
      <c r="J16" s="99">
        <v>1.45</v>
      </c>
      <c r="K16" s="99">
        <v>1.2</v>
      </c>
      <c r="L16" s="99">
        <v>1</v>
      </c>
      <c r="M16" s="94"/>
      <c r="N16" s="95"/>
      <c r="O16" s="95"/>
    </row>
    <row r="17" ht="36" customHeight="1" spans="1:15">
      <c r="A17" s="5"/>
      <c r="B17" s="112" t="s">
        <v>83</v>
      </c>
      <c r="C17" s="112"/>
      <c r="D17" s="113">
        <v>0.09</v>
      </c>
      <c r="E17" s="91" t="s">
        <v>84</v>
      </c>
      <c r="F17" s="97"/>
      <c r="G17" s="114" t="s">
        <v>85</v>
      </c>
      <c r="H17" s="114"/>
      <c r="I17" s="114"/>
      <c r="J17" s="114"/>
      <c r="K17" s="114"/>
      <c r="L17" s="114"/>
      <c r="M17" s="108"/>
      <c r="N17" s="95"/>
      <c r="O17" s="95"/>
    </row>
    <row r="18" ht="36" customHeight="1" spans="1:15">
      <c r="A18" s="5"/>
      <c r="B18" s="89" t="s">
        <v>86</v>
      </c>
      <c r="C18" s="89"/>
      <c r="D18" s="96">
        <v>15763</v>
      </c>
      <c r="E18" s="91" t="s">
        <v>87</v>
      </c>
      <c r="F18" s="97"/>
      <c r="G18" s="4" t="s">
        <v>88</v>
      </c>
      <c r="H18" s="86"/>
      <c r="J18" s="88"/>
    </row>
    <row r="19" ht="36" customHeight="1" spans="1:15">
      <c r="A19" s="5"/>
      <c r="B19" s="115" t="s">
        <v>89</v>
      </c>
      <c r="C19" s="116"/>
      <c r="D19" s="69">
        <v>36620</v>
      </c>
      <c r="E19" s="102" t="s">
        <v>90</v>
      </c>
      <c r="F19" s="97"/>
      <c r="G19" s="68" t="s">
        <v>60</v>
      </c>
      <c r="H19" s="68" t="s">
        <v>91</v>
      </c>
      <c r="J19" s="88"/>
    </row>
    <row r="20" ht="36" customHeight="1" spans="1:15">
      <c r="A20" s="5"/>
      <c r="B20" s="117" t="s">
        <v>92</v>
      </c>
      <c r="C20" s="118"/>
      <c r="D20" s="119">
        <f>D19+D18</f>
        <v>52383</v>
      </c>
      <c r="E20" s="120" t="s">
        <v>93</v>
      </c>
      <c r="F20" s="97"/>
      <c r="G20" s="121" t="e" cm="1">
        <f t="array" ref="G20">_xlfn.SINGLE(INDEX($H$11:$L$16,MATCH($J$5,$G$11:$G$16,0),D16MATCH(INT(($D16-1)/12)+1,$H$10:$L$10,0)))</f>
        <v>#NAME?</v>
      </c>
      <c r="H20" s="122" t="e">
        <f>(D11+D10)*2%*G20</f>
        <v>#NAME?</v>
      </c>
      <c r="I20" s="5"/>
      <c r="J20" s="97"/>
    </row>
    <row r="21" ht="36" customHeight="1" spans="1:15">
      <c r="A21" s="5"/>
      <c r="B21" s="123" t="s">
        <v>94</v>
      </c>
      <c r="C21" s="123"/>
      <c r="D21" s="119">
        <f>D10+D11</f>
        <v>325760</v>
      </c>
      <c r="E21" s="120" t="s">
        <v>95</v>
      </c>
      <c r="F21" s="97"/>
      <c r="M21" s="88"/>
    </row>
    <row r="22" ht="36" customHeight="1" spans="1:15">
      <c r="A22" s="5"/>
      <c r="B22" s="123" t="s">
        <v>96</v>
      </c>
      <c r="C22" s="123"/>
      <c r="D22" s="119">
        <f>D21/D14</f>
        <v>407200</v>
      </c>
      <c r="E22" s="120" t="s">
        <v>97</v>
      </c>
      <c r="F22" s="5"/>
      <c r="G22" s="124" t="s">
        <v>98</v>
      </c>
      <c r="H22" s="124" t="s">
        <v>99</v>
      </c>
      <c r="I22" s="124" t="s">
        <v>100</v>
      </c>
      <c r="J22" s="124" t="s">
        <v>98</v>
      </c>
      <c r="K22" s="124" t="s">
        <v>99</v>
      </c>
      <c r="L22" s="124" t="s">
        <v>100</v>
      </c>
      <c r="M22" s="88"/>
    </row>
    <row r="23" ht="36" customHeight="1" spans="1:15">
      <c r="A23" s="5"/>
      <c r="B23" s="123" t="s">
        <v>101</v>
      </c>
      <c r="C23" s="123"/>
      <c r="D23" s="119">
        <f>D22/D16</f>
        <v>11311.1111111111</v>
      </c>
      <c r="E23" s="120" t="s">
        <v>102</v>
      </c>
      <c r="F23" s="5"/>
      <c r="G23" s="125" t="s">
        <v>103</v>
      </c>
      <c r="H23" s="126" t="s">
        <v>25</v>
      </c>
      <c r="I23" s="127" t="str">
        <f>IF(H23="是","5","0")</f>
        <v>0</v>
      </c>
      <c r="J23" s="128" t="s">
        <v>104</v>
      </c>
      <c r="K23" s="129" t="s">
        <v>25</v>
      </c>
      <c r="L23" s="127" t="str">
        <f>IF(K23="是","20","0")</f>
        <v>0</v>
      </c>
      <c r="M23" s="88"/>
    </row>
    <row r="24" ht="36" customHeight="1" spans="1:15">
      <c r="A24" s="5"/>
      <c r="B24" s="130" t="s">
        <v>105</v>
      </c>
      <c r="C24" s="123"/>
      <c r="D24" s="119">
        <f>D10-C7-E7</f>
        <v>14168</v>
      </c>
      <c r="E24" s="131" t="s">
        <v>106</v>
      </c>
      <c r="F24" s="5"/>
      <c r="G24" s="125" t="s">
        <v>107</v>
      </c>
      <c r="H24" s="126" t="s">
        <v>22</v>
      </c>
      <c r="I24" s="127" t="str">
        <f>IF(H24="否","0","15")</f>
        <v>15</v>
      </c>
      <c r="J24" s="125" t="s">
        <v>108</v>
      </c>
      <c r="K24" s="129" t="s">
        <v>25</v>
      </c>
      <c r="L24" s="127" t="str">
        <f>IF(K24="是","15","0")</f>
        <v>0</v>
      </c>
      <c r="M24" s="88"/>
    </row>
    <row r="25" ht="38.55" customHeight="1" spans="1:15">
      <c r="B25" s="130" t="s">
        <v>109</v>
      </c>
      <c r="C25" s="123"/>
      <c r="D25" s="119">
        <f>D22-(D13+E7)-IF(AND(B17="增值税专用发票",D17=9%),D21,IF(AND(B17="增值税专用发票",D17=5%),D21*1.04,IF(AND(B17="增值税专用发票",D17=3%),D21*1.06,D21*1.09)))-D11*3%*(D16/12)+D24</f>
        <v>87608</v>
      </c>
      <c r="E25" s="131" t="s">
        <v>110</v>
      </c>
      <c r="G25" s="132" t="s">
        <v>111</v>
      </c>
      <c r="H25" s="126" t="s">
        <v>25</v>
      </c>
      <c r="I25" s="127" t="str">
        <f>IF(H25="是","10","0")</f>
        <v>0</v>
      </c>
      <c r="J25" s="125" t="s">
        <v>112</v>
      </c>
      <c r="K25" s="129" t="s">
        <v>25</v>
      </c>
      <c r="L25" s="127" t="str">
        <f>IF(K25="否","10","0")</f>
        <v>10</v>
      </c>
    </row>
    <row r="26" ht="32.85" customHeight="1" spans="1:15">
      <c r="D26">
        <f>D25/D22</f>
        <v>0.215147347740668</v>
      </c>
      <c r="G26" s="132" t="s">
        <v>113</v>
      </c>
      <c r="H26" s="126" t="s">
        <v>25</v>
      </c>
      <c r="I26" s="127" t="str">
        <f>IF(H26="是","5","0")</f>
        <v>0</v>
      </c>
      <c r="J26" s="133" t="s">
        <v>114</v>
      </c>
      <c r="K26" s="133"/>
      <c r="L26" s="134" t="str">
        <f>IF((I23+I24+I26+L23+L24+L25+IF(AND(H4&lt;50%,I5="ok"),"20","0"))&gt;60,"风险可控","风险高")</f>
        <v>风险高</v>
      </c>
    </row>
  </sheetData>
  <sheetProtection formatCells="0" formatColumns="0" formatRows="0" insertRows="0" insertColumns="0" insertHyperlinks="0" deleteColumns="0" deleteRows="0" sort="0" autoFilter="0" pivotTables="0"/>
  <mergeCells count="22">
    <mergeCell ref="B2:J2"/>
    <mergeCell ref="H6:I6"/>
    <mergeCell ref="B9:C9"/>
    <mergeCell ref="H9:L9"/>
    <mergeCell ref="B10:C10"/>
    <mergeCell ref="B11:C11"/>
    <mergeCell ref="B12:C12"/>
    <mergeCell ref="B13:C13"/>
    <mergeCell ref="B14:C14"/>
    <mergeCell ref="B15:C15"/>
    <mergeCell ref="B16:C16"/>
    <mergeCell ref="B17:C17"/>
    <mergeCell ref="G17:L17"/>
    <mergeCell ref="B18:C18"/>
    <mergeCell ref="B19:C19"/>
    <mergeCell ref="B20:C20"/>
    <mergeCell ref="B21:C21"/>
    <mergeCell ref="B22:C22"/>
    <mergeCell ref="B23:C23"/>
    <mergeCell ref="B24:C24"/>
    <mergeCell ref="B25:C25"/>
    <mergeCell ref="J26:K26"/>
  </mergeCells>
  <conditionalFormatting sqref="J6:J7">
    <cfRule type="containsText" priority="3" stopIfTrue="1" operator="between" text="OK">
      <formula>NOT(ISERROR(SEARCH("OK",J6)))</formula>
    </cfRule>
  </conditionalFormatting>
  <conditionalFormatting sqref="H4:I5">
    <cfRule type="containsText" priority="4" stopIfTrue="1" operator="between" text="OK">
      <formula>NOT(ISERROR(SEARCH("OK",H4)))</formula>
    </cfRule>
  </conditionalFormatting>
  <conditionalFormatting sqref="J6:J7 I4:I5">
    <cfRule type="containsText" dxfId="0" priority="2" stopIfTrue="1" operator="between" text="OK">
      <formula>NOT(ISERROR(SEARCH("OK",I4)))</formula>
    </cfRule>
  </conditionalFormatting>
  <dataValidations count="4">
    <dataValidation type="list" allowBlank="1" showErrorMessage="1" errorTitle="错误提示" error="请输入下拉列表中的值" id="{35baa39d-8e54-416b-afe9-911fa58d0b93}" sqref="E5">
      <formula1>"是,否"</formula1>
    </dataValidation>
    <dataValidation type="list" allowBlank="1" showErrorMessage="1" errorTitle="错误提示" error="请输入下拉列表中的值" sqref="D12">
      <formula1>"一次性付款,分期付款"</formula1>
    </dataValidation>
    <dataValidation type="list" allowBlank="1" showErrorMessage="1" sqref="B17:C17">
      <formula1>"增值税专用发票,增值税普通发票"</formula1>
    </dataValidation>
    <dataValidation type="list" allowBlank="1" showErrorMessage="1" errorTitle="错误提示" error="请输入下拉列表中的值" sqref="D17" errorStyle="information">
      <formula1>"3%,5%,9%"</formula1>
    </dataValidation>
  </dataValidation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1"/>
  <sheetViews>
    <sheetView workbookViewId="0">
      <selection activeCell="A1" sqref="A1"/>
    </sheetView>
  </sheetViews>
  <sheetFormatPr defaultColWidth="14" defaultRowHeight="13.2"/>
  <cols>
    <col min="1" max="1" width="3" customWidth="1"/>
    <col min="2" max="2" width="9" customWidth="1"/>
    <col min="3" max="3" width="31" customWidth="1"/>
    <col min="4" max="4" width="16" customWidth="1"/>
    <col min="5" max="5" width="15" customWidth="1"/>
    <col min="6" max="10" width="13" customWidth="1"/>
    <col min="11" max="11" width="32" customWidth="1"/>
    <col min="12" max="12" width="23" customWidth="1"/>
    <col min="13" max="13" width="11" customWidth="1"/>
    <col min="14" max="14" width="15" customWidth="1"/>
    <col min="15" max="15" width="29" customWidth="1"/>
    <col min="16" max="16" width="16" customWidth="1"/>
    <col min="17" max="17" width="13" customWidth="1"/>
    <col min="18" max="18" width="24" customWidth="1"/>
    <col min="19" max="19" width="11" customWidth="1"/>
    <col min="20" max="20" width="12" customWidth="1"/>
  </cols>
  <sheetData>
    <row r="1" ht="30" customHeight="1" spans="1:18">
      <c r="A1" s="1"/>
      <c r="B1" s="2" t="s">
        <v>115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116</v>
      </c>
    </row>
    <row r="2" ht="30" customHeight="1" spans="1:18">
      <c r="A2" s="1"/>
      <c r="B2" s="4" t="s">
        <v>117</v>
      </c>
      <c r="C2" s="4"/>
      <c r="D2" s="4"/>
      <c r="E2" s="4"/>
      <c r="F2" s="4"/>
      <c r="G2" s="4"/>
      <c r="H2" s="4"/>
      <c r="I2" s="4"/>
      <c r="J2" s="4"/>
      <c r="K2" s="4"/>
      <c r="L2" s="4"/>
      <c r="M2" s="2"/>
      <c r="N2" s="3"/>
    </row>
    <row r="3" ht="36" customHeight="1" spans="1:18">
      <c r="A3" s="5"/>
      <c r="B3" s="6" t="s">
        <v>118</v>
      </c>
      <c r="C3" s="7"/>
      <c r="D3" s="8" t="s">
        <v>119</v>
      </c>
      <c r="E3" s="9" t="s">
        <v>120</v>
      </c>
      <c r="F3" s="9" t="s">
        <v>121</v>
      </c>
      <c r="G3" s="9" t="s">
        <v>122</v>
      </c>
      <c r="H3" s="9" t="s">
        <v>123</v>
      </c>
      <c r="I3" s="9" t="s">
        <v>124</v>
      </c>
      <c r="J3" s="9" t="s">
        <v>125</v>
      </c>
      <c r="K3" s="9" t="s">
        <v>33</v>
      </c>
      <c r="L3" s="10"/>
      <c r="M3" s="11"/>
      <c r="N3" s="12" t="s">
        <v>8</v>
      </c>
      <c r="O3" s="9" t="s">
        <v>58</v>
      </c>
      <c r="P3" s="9" t="s">
        <v>59</v>
      </c>
      <c r="Q3" s="9" t="s">
        <v>126</v>
      </c>
      <c r="R3" s="10" t="s">
        <v>33</v>
      </c>
    </row>
    <row r="4" ht="36" customHeight="1" spans="1:18">
      <c r="A4" s="5"/>
      <c r="B4" s="13" t="s">
        <v>127</v>
      </c>
      <c r="C4" s="14" t="s">
        <v>128</v>
      </c>
      <c r="D4" s="15">
        <f>SUM(E4:I4)</f>
        <v>2400000</v>
      </c>
      <c r="E4" s="16">
        <f>$P$5*$P$12/$P$9</f>
        <v>480000</v>
      </c>
      <c r="F4" s="16">
        <f>$P$5*$P$12/$P$9</f>
        <v>480000</v>
      </c>
      <c r="G4" s="16">
        <f>$P$5*$P$12/$P$9</f>
        <v>480000</v>
      </c>
      <c r="H4" s="16">
        <f>$P$5*$P$12/$P$9</f>
        <v>480000</v>
      </c>
      <c r="I4" s="16">
        <f>$P$5*$P$12/$P$9</f>
        <v>480000</v>
      </c>
      <c r="J4" s="16"/>
      <c r="K4" s="17" t="s">
        <v>129</v>
      </c>
      <c r="L4" s="18"/>
      <c r="M4" s="11"/>
      <c r="N4" s="19" t="s">
        <v>130</v>
      </c>
      <c r="O4" s="14" t="s">
        <v>131</v>
      </c>
      <c r="P4" s="20">
        <v>420000</v>
      </c>
      <c r="Q4" s="21" t="s">
        <v>132</v>
      </c>
      <c r="R4" s="22" t="s">
        <v>133</v>
      </c>
    </row>
    <row r="5" ht="36" customHeight="1" spans="1:18">
      <c r="A5" s="5"/>
      <c r="B5" s="13"/>
      <c r="C5" s="14" t="s">
        <v>134</v>
      </c>
      <c r="D5" s="15">
        <f>SUM(E5:I5)</f>
        <v>1500000</v>
      </c>
      <c r="E5" s="16">
        <f>$P$6*$P$12/$P$9</f>
        <v>300000</v>
      </c>
      <c r="F5" s="16">
        <f>$P$6*$P$12/$P$9</f>
        <v>300000</v>
      </c>
      <c r="G5" s="16">
        <f>$P$6*$P$12/$P$9</f>
        <v>300000</v>
      </c>
      <c r="H5" s="16">
        <f>$P$6*$P$12/$P$9</f>
        <v>300000</v>
      </c>
      <c r="I5" s="16">
        <f>$P$6*$P$12/$P$9</f>
        <v>300000</v>
      </c>
      <c r="J5" s="16"/>
      <c r="K5" s="17" t="s">
        <v>135</v>
      </c>
      <c r="L5" s="18"/>
      <c r="M5" s="11"/>
      <c r="N5" s="19" t="s">
        <v>136</v>
      </c>
      <c r="O5" s="23" t="s">
        <v>137</v>
      </c>
      <c r="P5" s="24">
        <v>8</v>
      </c>
      <c r="Q5" s="25" t="s">
        <v>138</v>
      </c>
      <c r="R5" s="26"/>
    </row>
    <row r="6" ht="36" customHeight="1" spans="1:18">
      <c r="A6" s="5"/>
      <c r="B6" s="13"/>
      <c r="C6" s="14" t="s">
        <v>139</v>
      </c>
      <c r="D6" s="15">
        <f t="shared" ref="D6:I6" si="0">D5-D4</f>
        <v>-900000</v>
      </c>
      <c r="E6" s="16">
        <f t="shared" si="0"/>
        <v>-180000</v>
      </c>
      <c r="F6" s="16">
        <f t="shared" si="0"/>
        <v>-180000</v>
      </c>
      <c r="G6" s="16">
        <f t="shared" si="0"/>
        <v>-180000</v>
      </c>
      <c r="H6" s="16">
        <f t="shared" si="0"/>
        <v>-180000</v>
      </c>
      <c r="I6" s="16">
        <f t="shared" si="0"/>
        <v>-180000</v>
      </c>
      <c r="J6" s="16"/>
      <c r="K6" s="27" t="s">
        <v>140</v>
      </c>
      <c r="L6" s="28">
        <f>D6/(P9*12)</f>
        <v>-15000</v>
      </c>
      <c r="M6" s="11"/>
      <c r="N6" s="19" t="s">
        <v>141</v>
      </c>
      <c r="O6" s="23" t="s">
        <v>142</v>
      </c>
      <c r="P6" s="24">
        <v>5</v>
      </c>
      <c r="Q6" s="25" t="s">
        <v>138</v>
      </c>
      <c r="R6" s="29"/>
    </row>
    <row r="7" ht="36" customHeight="1" spans="1:18">
      <c r="A7" s="5"/>
      <c r="B7" s="13" t="s">
        <v>143</v>
      </c>
      <c r="C7" s="14" t="s">
        <v>144</v>
      </c>
      <c r="D7" s="15">
        <f>SUM(E7:J7)</f>
        <v>2400000</v>
      </c>
      <c r="E7" s="16"/>
      <c r="F7" s="16">
        <f>$P$10*$P$14*12</f>
        <v>768000</v>
      </c>
      <c r="G7" s="16">
        <f>$P$10*$P$14*12</f>
        <v>768000</v>
      </c>
      <c r="H7" s="16">
        <f>$P$10*$P$14*12</f>
        <v>768000</v>
      </c>
      <c r="I7" s="30">
        <f>$P$10*$P$14*12*(P13-3)</f>
        <v>96000</v>
      </c>
      <c r="J7" s="30"/>
      <c r="K7" s="31" t="s">
        <v>145</v>
      </c>
      <c r="L7" s="32"/>
      <c r="M7" s="11"/>
      <c r="N7" s="19" t="s">
        <v>146</v>
      </c>
      <c r="O7" s="23" t="s">
        <v>147</v>
      </c>
      <c r="P7" s="24">
        <v>3.5</v>
      </c>
      <c r="Q7" s="25" t="s">
        <v>138</v>
      </c>
      <c r="R7" s="29"/>
    </row>
    <row r="8" ht="36" customHeight="1" spans="1:18">
      <c r="A8" s="5"/>
      <c r="B8" s="13"/>
      <c r="C8" s="14" t="s">
        <v>148</v>
      </c>
      <c r="D8" s="15" t="e">
        <f t="shared" ref="D8:D15" si="1">SUM(E8:I8)</f>
        <v>#REF!</v>
      </c>
      <c r="E8" s="16" t="e">
        <f>#REF!</f>
        <v>#REF!</v>
      </c>
      <c r="F8" s="16"/>
      <c r="G8" s="16"/>
      <c r="H8" s="16"/>
      <c r="I8" s="16"/>
      <c r="J8" s="16"/>
      <c r="K8" s="33" t="s">
        <v>149</v>
      </c>
      <c r="L8" s="34"/>
      <c r="M8" s="35"/>
      <c r="N8" s="19" t="s">
        <v>150</v>
      </c>
      <c r="O8" s="14" t="s">
        <v>151</v>
      </c>
      <c r="P8" s="36">
        <v>4</v>
      </c>
      <c r="Q8" s="25" t="s">
        <v>152</v>
      </c>
      <c r="R8" s="29"/>
    </row>
    <row r="9" ht="36" customHeight="1" spans="1:18">
      <c r="A9" s="5"/>
      <c r="B9" s="37" t="s">
        <v>153</v>
      </c>
      <c r="C9" s="14" t="s">
        <v>154</v>
      </c>
      <c r="D9" s="15">
        <f t="shared" si="1"/>
        <v>1050000</v>
      </c>
      <c r="E9" s="38">
        <f>P12*P7</f>
        <v>1050000</v>
      </c>
      <c r="F9" s="38"/>
      <c r="G9" s="38"/>
      <c r="H9" s="38"/>
      <c r="I9" s="38"/>
      <c r="J9" s="38"/>
      <c r="K9" s="31" t="s">
        <v>155</v>
      </c>
      <c r="L9" s="32"/>
      <c r="M9" s="35"/>
      <c r="N9" s="19" t="s">
        <v>156</v>
      </c>
      <c r="O9" s="23" t="s">
        <v>157</v>
      </c>
      <c r="P9" s="39">
        <v>5</v>
      </c>
      <c r="Q9" s="25" t="s">
        <v>158</v>
      </c>
      <c r="R9" s="26"/>
    </row>
    <row r="10" ht="36" customHeight="1" spans="1:18">
      <c r="A10" s="5"/>
      <c r="B10" s="37"/>
      <c r="C10" s="14" t="s">
        <v>159</v>
      </c>
      <c r="D10" s="15" t="e">
        <f t="shared" si="1"/>
        <v>#REF!</v>
      </c>
      <c r="E10" s="16" t="e">
        <f>#REF!</f>
        <v>#REF!</v>
      </c>
      <c r="F10" s="16"/>
      <c r="G10" s="16"/>
      <c r="H10" s="16"/>
      <c r="I10" s="16"/>
      <c r="J10" s="16"/>
      <c r="K10" s="31" t="s">
        <v>160</v>
      </c>
      <c r="L10" s="32"/>
      <c r="M10" s="11"/>
      <c r="N10" s="19" t="s">
        <v>161</v>
      </c>
      <c r="O10" s="14" t="s">
        <v>162</v>
      </c>
      <c r="P10" s="40">
        <v>8000</v>
      </c>
      <c r="Q10" s="21" t="s">
        <v>163</v>
      </c>
      <c r="R10" s="22" t="s">
        <v>133</v>
      </c>
    </row>
    <row r="11" ht="36" customHeight="1" spans="1:18">
      <c r="A11" s="5"/>
      <c r="B11" s="37"/>
      <c r="C11" s="14" t="s">
        <v>164</v>
      </c>
      <c r="D11" s="15">
        <f t="shared" si="1"/>
        <v>5000</v>
      </c>
      <c r="E11" s="16">
        <f>$P$16</f>
        <v>1000</v>
      </c>
      <c r="F11" s="16">
        <f>$P$16</f>
        <v>1000</v>
      </c>
      <c r="G11" s="16">
        <f>$P$16</f>
        <v>1000</v>
      </c>
      <c r="H11" s="16">
        <f>$P$16</f>
        <v>1000</v>
      </c>
      <c r="I11" s="16">
        <f>$P$16</f>
        <v>1000</v>
      </c>
      <c r="J11" s="16"/>
      <c r="K11" s="31" t="s">
        <v>165</v>
      </c>
      <c r="L11" s="32"/>
      <c r="M11" s="11"/>
      <c r="N11" s="19" t="s">
        <v>166</v>
      </c>
      <c r="O11" s="14" t="s">
        <v>167</v>
      </c>
      <c r="P11" s="41"/>
      <c r="Q11" s="25" t="s">
        <v>138</v>
      </c>
      <c r="R11" s="42" t="s">
        <v>168</v>
      </c>
    </row>
    <row r="12" ht="36" customHeight="1" spans="1:18">
      <c r="A12" s="5"/>
      <c r="B12" s="37"/>
      <c r="C12" s="14" t="s">
        <v>169</v>
      </c>
      <c r="D12" s="15">
        <f t="shared" si="1"/>
        <v>12000</v>
      </c>
      <c r="E12" s="16">
        <f>$P$8*$P$18*12</f>
        <v>2400</v>
      </c>
      <c r="F12" s="16">
        <f>$P$8*$P$18*12</f>
        <v>2400</v>
      </c>
      <c r="G12" s="16">
        <f>$P$8*$P$18*12</f>
        <v>2400</v>
      </c>
      <c r="H12" s="16">
        <f>$P$8*$P$18*12</f>
        <v>2400</v>
      </c>
      <c r="I12" s="16">
        <f>$P$8*$P$18*12</f>
        <v>2400</v>
      </c>
      <c r="J12" s="16"/>
      <c r="K12" s="31" t="s">
        <v>170</v>
      </c>
      <c r="L12" s="32"/>
      <c r="M12" s="11"/>
      <c r="N12" s="19" t="s">
        <v>171</v>
      </c>
      <c r="O12" s="14" t="s">
        <v>172</v>
      </c>
      <c r="P12" s="36">
        <v>300000</v>
      </c>
      <c r="Q12" s="25" t="s">
        <v>163</v>
      </c>
      <c r="R12" s="26"/>
    </row>
    <row r="13" ht="36" customHeight="1" spans="1:18">
      <c r="A13" s="5"/>
      <c r="B13" s="37"/>
      <c r="C13" s="14" t="s">
        <v>173</v>
      </c>
      <c r="D13" s="15">
        <f t="shared" si="1"/>
        <v>72000</v>
      </c>
      <c r="E13" s="16">
        <f>$P$8*$P$17*12</f>
        <v>14400</v>
      </c>
      <c r="F13" s="16">
        <f>$P$8*$P$17*12</f>
        <v>14400</v>
      </c>
      <c r="G13" s="16">
        <f>$P$8*$P$17*12</f>
        <v>14400</v>
      </c>
      <c r="H13" s="16">
        <f>$P$8*$P$17*12</f>
        <v>14400</v>
      </c>
      <c r="I13" s="16">
        <f>$P$8*$P$17*12</f>
        <v>14400</v>
      </c>
      <c r="J13" s="16"/>
      <c r="K13" s="31" t="s">
        <v>174</v>
      </c>
      <c r="L13" s="32"/>
      <c r="M13" s="35"/>
      <c r="N13" s="19" t="s">
        <v>175</v>
      </c>
      <c r="O13" s="14" t="s">
        <v>176</v>
      </c>
      <c r="P13" s="43">
        <f>P12/P10/12</f>
        <v>3.125</v>
      </c>
      <c r="Q13" s="25" t="s">
        <v>158</v>
      </c>
      <c r="R13" s="26"/>
    </row>
    <row r="14" ht="36" customHeight="1" spans="1:18">
      <c r="A14" s="5"/>
      <c r="B14" s="37"/>
      <c r="C14" s="14" t="s">
        <v>177</v>
      </c>
      <c r="D14" s="15">
        <f t="shared" si="1"/>
        <v>150000</v>
      </c>
      <c r="E14" s="16">
        <v>150000</v>
      </c>
      <c r="F14" s="16"/>
      <c r="G14" s="16"/>
      <c r="H14" s="16"/>
      <c r="I14" s="16"/>
      <c r="J14" s="16"/>
      <c r="K14" s="44" t="s">
        <v>178</v>
      </c>
      <c r="L14" s="45"/>
      <c r="M14" s="11"/>
      <c r="N14" s="19" t="s">
        <v>179</v>
      </c>
      <c r="O14" s="23" t="s">
        <v>180</v>
      </c>
      <c r="P14" s="36">
        <f>P5*P15</f>
        <v>8</v>
      </c>
      <c r="Q14" s="25" t="s">
        <v>138</v>
      </c>
      <c r="R14" s="26"/>
    </row>
    <row r="15" ht="36" customHeight="1" spans="1:18">
      <c r="A15" s="5"/>
      <c r="B15" s="37"/>
      <c r="C15" s="14" t="s">
        <v>181</v>
      </c>
      <c r="D15" s="15">
        <f t="shared" si="1"/>
        <v>60000</v>
      </c>
      <c r="E15" s="16">
        <f t="shared" ref="E15:J15" si="2">E$7*$P$6*($P$20-$P$19)/$P$14</f>
        <v>0</v>
      </c>
      <c r="F15" s="16">
        <f t="shared" si="2"/>
        <v>19200</v>
      </c>
      <c r="G15" s="16">
        <f t="shared" si="2"/>
        <v>19200</v>
      </c>
      <c r="H15" s="16">
        <f t="shared" si="2"/>
        <v>19200</v>
      </c>
      <c r="I15" s="16">
        <f t="shared" si="2"/>
        <v>2400</v>
      </c>
      <c r="J15" s="16">
        <f t="shared" si="2"/>
        <v>0</v>
      </c>
      <c r="K15" s="25" t="s">
        <v>182</v>
      </c>
      <c r="L15" s="46"/>
      <c r="M15" s="11"/>
      <c r="N15" s="19" t="s">
        <v>183</v>
      </c>
      <c r="O15" s="14" t="s">
        <v>184</v>
      </c>
      <c r="P15" s="36">
        <v>1</v>
      </c>
      <c r="Q15" s="25" t="s">
        <v>185</v>
      </c>
      <c r="R15" s="26"/>
    </row>
    <row r="16" ht="36" customHeight="1" spans="1:18">
      <c r="A16" s="5"/>
      <c r="B16" s="37"/>
      <c r="C16" s="14" t="s">
        <v>186</v>
      </c>
      <c r="D16" s="15"/>
      <c r="E16" s="16" t="e">
        <f>E9+E10+E11+E12+E13+E14+E15-E7-E8</f>
        <v>#REF!</v>
      </c>
      <c r="F16" s="16" t="e">
        <f>+E16+F9+F10+F11+F12+F13+F14+F15-F7-F8</f>
        <v>#REF!</v>
      </c>
      <c r="G16" s="30" t="e">
        <f>+F16+G9+G10+G11+G12+G13+G14+G15-G7-G8</f>
        <v>#REF!</v>
      </c>
      <c r="H16" s="30" t="e">
        <f>G16+H9+H10+H11+H12+H13+H14+H15-H7-H8</f>
        <v>#REF!</v>
      </c>
      <c r="I16" s="30" t="e">
        <f>H16+I9+I10+I11+I12+I13+I14+I15-I7-I8</f>
        <v>#REF!</v>
      </c>
      <c r="J16" s="30"/>
      <c r="K16" s="44"/>
      <c r="L16" s="45"/>
      <c r="M16" s="11"/>
      <c r="N16" s="19" t="s">
        <v>187</v>
      </c>
      <c r="O16" s="14" t="s">
        <v>188</v>
      </c>
      <c r="P16" s="36">
        <v>1000</v>
      </c>
      <c r="Q16" s="25" t="s">
        <v>189</v>
      </c>
      <c r="R16" s="46"/>
    </row>
    <row r="17" ht="36" customHeight="1" spans="1:18">
      <c r="A17" s="5"/>
      <c r="B17" s="37"/>
      <c r="C17" s="14" t="s">
        <v>190</v>
      </c>
      <c r="D17" s="15" t="e">
        <f>SUM(E17:I17)</f>
        <v>#REF!</v>
      </c>
      <c r="E17" s="16" t="e">
        <f>IF(E16*$P$21&gt;0,E16*$P$21,0)</f>
        <v>#REF!</v>
      </c>
      <c r="F17" s="16" t="e">
        <f>IF(F16*$P$21&gt;0,F16*$P$21,0)</f>
        <v>#REF!</v>
      </c>
      <c r="G17" s="16" t="e">
        <f>IF(G16*$P$21&gt;0,G16*$P$21,0)</f>
        <v>#REF!</v>
      </c>
      <c r="H17" s="16" t="e">
        <f>IF(H16*$P$21&gt;0,H16*$P$21,0)</f>
        <v>#REF!</v>
      </c>
      <c r="I17" s="16" t="e">
        <f>IF(I16*$P$21&gt;0,I16*$P$21,0)</f>
        <v>#REF!</v>
      </c>
      <c r="J17" s="16"/>
      <c r="K17" s="44"/>
      <c r="L17" s="45"/>
      <c r="M17" s="11"/>
      <c r="N17" s="19" t="s">
        <v>191</v>
      </c>
      <c r="O17" s="14" t="s">
        <v>192</v>
      </c>
      <c r="P17" s="36">
        <v>300</v>
      </c>
      <c r="Q17" s="25" t="s">
        <v>193</v>
      </c>
      <c r="R17" s="26"/>
    </row>
    <row r="18" ht="36" customHeight="1" spans="1:18">
      <c r="A18" s="5"/>
      <c r="B18" s="47" t="s">
        <v>194</v>
      </c>
      <c r="C18" s="48"/>
      <c r="D18" s="49" t="e">
        <f>D7+D8-D9-D10-D11-D12-D13-D14-D15-D17</f>
        <v>#REF!</v>
      </c>
      <c r="E18" s="49"/>
      <c r="F18" s="50" t="s">
        <v>195</v>
      </c>
      <c r="G18" s="51"/>
      <c r="H18" s="52" t="e">
        <f>D18/(D7+D8)</f>
        <v>#REF!</v>
      </c>
      <c r="I18" s="53"/>
      <c r="J18" s="54" t="s">
        <v>196</v>
      </c>
      <c r="K18" s="48"/>
      <c r="L18" s="55" t="e">
        <f>(D18/(D9+D10+D11+D12+D13+D14+D15+D17))/P13</f>
        <v>#REF!</v>
      </c>
      <c r="M18" s="56"/>
      <c r="N18" s="19" t="s">
        <v>197</v>
      </c>
      <c r="O18" s="14" t="s">
        <v>198</v>
      </c>
      <c r="P18" s="36">
        <v>50</v>
      </c>
      <c r="Q18" s="25" t="s">
        <v>199</v>
      </c>
      <c r="R18" s="26"/>
    </row>
    <row r="19" ht="36" customHeight="1" spans="1:18">
      <c r="A19" s="5"/>
      <c r="B19" s="57" t="s">
        <v>200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11"/>
      <c r="N19" s="19" t="s">
        <v>201</v>
      </c>
      <c r="O19" s="14" t="s">
        <v>202</v>
      </c>
      <c r="P19" s="58">
        <v>0.05</v>
      </c>
      <c r="Q19" s="25"/>
      <c r="R19" s="22" t="s">
        <v>133</v>
      </c>
    </row>
    <row r="20" ht="36" customHeight="1" spans="1:18">
      <c r="A20" s="5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11"/>
      <c r="N20" s="19" t="s">
        <v>203</v>
      </c>
      <c r="O20" s="14" t="s">
        <v>204</v>
      </c>
      <c r="P20" s="59">
        <v>0.09</v>
      </c>
      <c r="Q20" s="25"/>
      <c r="R20" s="26"/>
    </row>
    <row r="21" ht="36" customHeight="1" spans="1:18">
      <c r="A21" s="5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1"/>
      <c r="N21" s="60" t="s">
        <v>205</v>
      </c>
      <c r="O21" s="61" t="s">
        <v>206</v>
      </c>
      <c r="P21" s="62">
        <v>0.05</v>
      </c>
      <c r="Q21" s="63"/>
      <c r="R21" s="64"/>
    </row>
  </sheetData>
  <sheetProtection formatCells="0" formatColumns="0" formatRows="0" insertRows="0" insertColumns="0" insertHyperlinks="0" deleteColumns="0" deleteRows="0" sort="0" autoFilter="0" pivotTables="0"/>
  <mergeCells count="25">
    <mergeCell ref="B1:K1"/>
    <mergeCell ref="B2:L2"/>
    <mergeCell ref="B3:C3"/>
    <mergeCell ref="K3:L3"/>
    <mergeCell ref="K4:L4"/>
    <mergeCell ref="K5:L5"/>
    <mergeCell ref="K7:L7"/>
    <mergeCell ref="K8:L8"/>
    <mergeCell ref="K9:L9"/>
    <mergeCell ref="K10:L10"/>
    <mergeCell ref="K11:L11"/>
    <mergeCell ref="K12:L12"/>
    <mergeCell ref="K13:L13"/>
    <mergeCell ref="K14:L14"/>
    <mergeCell ref="K16:L16"/>
    <mergeCell ref="K17:L17"/>
    <mergeCell ref="B18:C18"/>
    <mergeCell ref="D18:E18"/>
    <mergeCell ref="F18:G18"/>
    <mergeCell ref="H18:I18"/>
    <mergeCell ref="J18:K18"/>
    <mergeCell ref="B4:B6"/>
    <mergeCell ref="B7:B8"/>
    <mergeCell ref="B9:B17"/>
    <mergeCell ref="B19:L21"/>
  </mergeCells>
  <conditionalFormatting sqref="B3:K3">
    <cfRule type="cellIs" dxfId="1" priority="13" stopIfTrue="1" operator="greaterThan">
      <formula>0</formula>
    </cfRule>
  </conditionalFormatting>
  <conditionalFormatting sqref="O3:R3">
    <cfRule type="cellIs" dxfId="1" priority="3" stopIfTrue="1" operator="greaterThan">
      <formula>0</formula>
    </cfRule>
  </conditionalFormatting>
  <conditionalFormatting sqref="K6">
    <cfRule type="cellIs" dxfId="1" priority="5" stopIfTrue="1" operator="greaterThan">
      <formula>0</formula>
    </cfRule>
  </conditionalFormatting>
  <conditionalFormatting sqref="B18">
    <cfRule type="cellIs" dxfId="1" priority="11" stopIfTrue="1" operator="greaterThan">
      <formula>0</formula>
    </cfRule>
  </conditionalFormatting>
  <conditionalFormatting sqref="F18">
    <cfRule type="cellIs" dxfId="1" priority="10" stopIfTrue="1" operator="greaterThan">
      <formula>0</formula>
    </cfRule>
  </conditionalFormatting>
  <conditionalFormatting sqref="J18">
    <cfRule type="cellIs" dxfId="1" priority="8" stopIfTrue="1" operator="greaterThan">
      <formula>0</formula>
    </cfRule>
  </conditionalFormatting>
  <conditionalFormatting sqref="L18">
    <cfRule type="cellIs" dxfId="2" priority="7" stopIfTrue="1" operator="greaterThan">
      <formula>0.1</formula>
    </cfRule>
  </conditionalFormatting>
  <conditionalFormatting sqref="N3:N21">
    <cfRule type="cellIs" dxfId="1" priority="12" stopIfTrue="1" operator="greaterThan">
      <formula>0</formula>
    </cfRule>
  </conditionalFormatting>
  <conditionalFormatting sqref="O4:O21">
    <cfRule type="cellIs" dxfId="1" priority="2" stopIfTrue="1" operator="greaterThan">
      <formula>0</formula>
    </cfRule>
  </conditionalFormatting>
  <conditionalFormatting sqref="P4:P10">
    <cfRule type="cellIs" dxfId="3" priority="6" stopIfTrue="1" operator="greaterThanOrEqual">
      <formula>0</formula>
    </cfRule>
  </conditionalFormatting>
  <conditionalFormatting sqref="C4:D17">
    <cfRule type="cellIs" dxfId="1" priority="4" stopIfTrue="1" operator="greaterThan">
      <formula>0</formula>
    </cfRule>
  </conditionalFormatting>
  <conditionalFormatting sqref="P12 P19">
    <cfRule type="cellIs" dxfId="3" priority="9" stopIfTrue="1" operator="greaterThanOrEqual">
      <formula>0</formula>
    </cfRule>
  </conditionalFormatting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dvExts xmlns="http://www.wps.cn/et/2023/dataValidationExt" xmlns:s="http://schemas.openxmlformats.org/spreadsheetml/2006/main">
  <dvExt uuid="{35baa39d-8e54-416b-afe9-911fa58d0b93}">
    <list multiSupport="0" colorSupport="0"/>
  </dvExt>
</dvExts>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1.项目基本信息</vt:lpstr>
      <vt:lpstr>2.测算工具（金额券）</vt:lpstr>
      <vt:lpstr>折扣采买测算表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风飞沙@</cp:lastModifiedBy>
  <dcterms:created xsi:type="dcterms:W3CDTF">2025-04-24T12:46:00Z</dcterms:created>
  <dcterms:modified xsi:type="dcterms:W3CDTF">2026-04-22T11:23:43Z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B641FFF5E79149AEB22678B43792CCAE_13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