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车位置换项目准入自查表" sheetId="2" state="hidden" r:id="rId1"/>
    <sheet name="车位置换运营 测算表" sheetId="3" state="hidden" r:id="rId2"/>
    <sheet name="测算表" sheetId="4" state="hidden" r:id="rId3"/>
    <sheet name="项目信息收集表" sheetId="5" r:id="rId4"/>
    <sheet name="车位置换测算表-020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<sst xmlns="http://schemas.openxmlformats.org/spreadsheetml/2006/main" count="343" uniqueCount="244">
  <si>
    <t>***项目 车位置换租赁项目准入筛选表</t>
  </si>
  <si>
    <t>序号</t>
  </si>
  <si>
    <t>准入门槛</t>
  </si>
  <si>
    <t>具体要求</t>
  </si>
  <si>
    <t>是/否符合</t>
  </si>
  <si>
    <t>车场要求</t>
  </si>
  <si>
    <t>车场管理</t>
  </si>
  <si>
    <t>外部车辆准入的经营型收费停车场</t>
  </si>
  <si>
    <t>√</t>
  </si>
  <si>
    <t>车场业态</t>
  </si>
  <si>
    <t>商业/写字楼/园区/综合体/交通枢纽</t>
  </si>
  <si>
    <t>合作客户主体</t>
  </si>
  <si>
    <t>合作客户是车场的产权方或承包方</t>
  </si>
  <si>
    <t>经营期限</t>
  </si>
  <si>
    <t>客户的车场经营期限≥置换合作期限</t>
  </si>
  <si>
    <t>车位利用率</t>
  </si>
  <si>
    <t>忙时车场车位利用率≥30%</t>
  </si>
  <si>
    <t>周边业态</t>
  </si>
  <si>
    <t>周边区域具有较高停车需求或互补业态的车场</t>
  </si>
  <si>
    <t>结算模式</t>
  </si>
  <si>
    <t>车场结算模式必须为艾支付模式</t>
  </si>
  <si>
    <t>车位要求</t>
  </si>
  <si>
    <t>租赁车位数</t>
  </si>
  <si>
    <t>合作车位数要求不超过20个或者总车位数*0.05，取两者的较小值</t>
  </si>
  <si>
    <t>车位形式</t>
  </si>
  <si>
    <t>固定车位，允许我司在租赁的车位上投建充电桩、车位锁、视频设备等运营设备</t>
  </si>
  <si>
    <t>楼层</t>
  </si>
  <si>
    <t>地面/负一层</t>
  </si>
  <si>
    <t>位置</t>
  </si>
  <si>
    <t>车位距离停车场入口/电梯口，不超过200米</t>
  </si>
  <si>
    <t>分布</t>
  </si>
  <si>
    <t>车位聚集不分散，容易找</t>
  </si>
  <si>
    <t>车位置换/租赁 测算工具V3.1</t>
  </si>
  <si>
    <t>项目名称</t>
  </si>
  <si>
    <t>填写说明</t>
  </si>
  <si>
    <t>业态</t>
  </si>
  <si>
    <t>要填写的值</t>
  </si>
  <si>
    <t>项目地址</t>
  </si>
  <si>
    <t>自动测算得出的值</t>
  </si>
  <si>
    <t>测算结果</t>
  </si>
  <si>
    <t>项目</t>
  </si>
  <si>
    <t>内容</t>
  </si>
  <si>
    <t>值</t>
  </si>
  <si>
    <t>解释备注：</t>
  </si>
  <si>
    <t>以下运营率、增量系数均为捷顺经验值</t>
  </si>
  <si>
    <t>合同信息</t>
  </si>
  <si>
    <t>设备/服务价格（元）</t>
  </si>
  <si>
    <t>从 CRM报价</t>
  </si>
  <si>
    <t>车位运营率-年份</t>
  </si>
  <si>
    <t>车位运营率-折扣</t>
  </si>
  <si>
    <t>工程费（元）</t>
  </si>
  <si>
    <t>尽量不要打包工程费</t>
  </si>
  <si>
    <t>年份</t>
  </si>
  <si>
    <t>当年运营率</t>
  </si>
  <si>
    <t>年均运营率</t>
  </si>
  <si>
    <t>折扣</t>
  </si>
  <si>
    <t>车位运营增量系数</t>
  </si>
  <si>
    <t>其他费用（元）</t>
  </si>
  <si>
    <t>软件、电脑、服务器、等其他费用</t>
  </si>
  <si>
    <t>合作周期（年）</t>
  </si>
  <si>
    <t>合作周期不低于3年，尽量不超过5年</t>
  </si>
  <si>
    <t>合同成本（元）</t>
  </si>
  <si>
    <t>设备/服务价格 + 工程费</t>
  </si>
  <si>
    <t>利息（元）</t>
  </si>
  <si>
    <t>合同成本*合作年限*3.1%</t>
  </si>
  <si>
    <t>开票税率（%）</t>
  </si>
  <si>
    <t>客户向我司的开票税率，低于9%会产生税金成本</t>
  </si>
  <si>
    <t>合同税金成本（元）</t>
  </si>
  <si>
    <t>合同成本*（9%-开票税率）</t>
  </si>
  <si>
    <t>合同总金额（元）</t>
  </si>
  <si>
    <t>合同成本+利息+税金成本</t>
  </si>
  <si>
    <t>车位价值测算</t>
  </si>
  <si>
    <t>月卡费用（元/月）</t>
  </si>
  <si>
    <t>停车场对外办理的线下月卡收费标准；</t>
  </si>
  <si>
    <t>停车场总收入（元/年）</t>
  </si>
  <si>
    <t>停车场近1年停车费总收入（月卡+临停）</t>
  </si>
  <si>
    <t>总车位数（个）</t>
  </si>
  <si>
    <t>停车场的总车位数（地面+地库）</t>
  </si>
  <si>
    <t>单车位月均产值（元/月）</t>
  </si>
  <si>
    <t>停车场总收入 / 总车位数 / 12个月 得出</t>
  </si>
  <si>
    <t>确定单车位价值（元/月）</t>
  </si>
  <si>
    <t>月卡费用与单车位月均产值，二者选其一</t>
  </si>
  <si>
    <t>车位费用折扣（折）</t>
  </si>
  <si>
    <r>
      <rPr>
        <sz val="9.75"/>
        <color rgb="FF000000"/>
        <rFont val="Calibri"/>
        <charset val="134"/>
      </rPr>
      <t xml:space="preserve">考虑我方实际收益与车位运营率的关系，需要甲方给予一定比例折扣。折扣越低，运营难度越大
</t>
    </r>
    <r>
      <rPr>
        <sz val="9.75"/>
        <color rgb="FFFF0000"/>
        <rFont val="Calibri"/>
        <charset val="134"/>
      </rPr>
      <t>根据项目的实际情况，及不同合作周期，建议折扣6-8折</t>
    </r>
  </si>
  <si>
    <t>平均车位运营率（%）</t>
  </si>
  <si>
    <t>受合作周期、车位费用折扣影响</t>
  </si>
  <si>
    <t>车位最终的合作单价（元/月）</t>
  </si>
  <si>
    <t>单车位价值 * 车位费用折扣</t>
  </si>
  <si>
    <t>置换车位数量及成本测算</t>
  </si>
  <si>
    <t>置换比例（%）</t>
  </si>
  <si>
    <t>合同金额的*%通过置换车位的方式支付</t>
  </si>
  <si>
    <t>置换合同金额（元）</t>
  </si>
  <si>
    <t>置换车位的合同金额</t>
  </si>
  <si>
    <t>最少置换车位数（个）</t>
  </si>
  <si>
    <r>
      <rPr>
        <sz val="9.75"/>
        <color rgb="FF000000"/>
        <rFont val="Calibri"/>
        <charset val="134"/>
      </rPr>
      <t xml:space="preserve">仅考虑成本回收，需要置换的最少车位数；
</t>
    </r>
    <r>
      <rPr>
        <sz val="9.75"/>
        <color rgb="FFFF0000"/>
        <rFont val="Calibri"/>
        <charset val="134"/>
      </rPr>
      <t>考虑业务实际情况，最小值为1；</t>
    </r>
  </si>
  <si>
    <t xml:space="preserve"> </t>
  </si>
  <si>
    <t>额外置换/租赁车位数（个）</t>
  </si>
  <si>
    <r>
      <rPr>
        <sz val="9.75"/>
        <color rgb="FF000000"/>
        <rFont val="Calibri"/>
        <charset val="134"/>
      </rPr>
      <t xml:space="preserve">合同金额外要置换或租赁的车位数；
</t>
    </r>
    <r>
      <rPr>
        <sz val="9.75"/>
        <color rgb="FFFF0000"/>
        <rFont val="Calibri"/>
        <charset val="134"/>
      </rPr>
      <t>填0则代表不额外置换或租赁车位；</t>
    </r>
  </si>
  <si>
    <t>额外置换车位税金成本（元）</t>
  </si>
  <si>
    <t>当车场不能开取9%增值税发票，我司承担的成本</t>
  </si>
  <si>
    <t>单车位成本（元/月）</t>
  </si>
  <si>
    <t>车位置换单价+车位改造成本</t>
  </si>
  <si>
    <t>车位总成本（元）</t>
  </si>
  <si>
    <t>所有置换或租赁的车位的总成本</t>
  </si>
  <si>
    <t>我司车位运营目标单价系数</t>
  </si>
  <si>
    <t>回本后甲方分润比例（%）</t>
  </si>
  <si>
    <t>合作期内，回本后，甲方可分享的分润比例</t>
  </si>
  <si>
    <t>测算结果汇总</t>
  </si>
  <si>
    <t>总合作车位数（个）</t>
  </si>
  <si>
    <t>最少置换车位数+额外置换/租赁车位数</t>
  </si>
  <si>
    <t>车位采购单价（元/月）</t>
  </si>
  <si>
    <t>车位置换单价</t>
  </si>
  <si>
    <t>车位运营目标单价（元/月）</t>
  </si>
  <si>
    <t>单车位价值*车位运营增量系数</t>
  </si>
  <si>
    <t>回本周期（月）</t>
  </si>
  <si>
    <t>车位总成本/总置换车位数/车位运营单价</t>
  </si>
  <si>
    <t>我司总收入（元）</t>
  </si>
  <si>
    <t>总置换车位数*车位运营单价*12*合作周期*平均车位运营率</t>
  </si>
  <si>
    <t>我司利润额（元）</t>
  </si>
  <si>
    <t>我司总收入-车位总成本-客户利润额</t>
  </si>
  <si>
    <t>我司利润率（%）</t>
  </si>
  <si>
    <t>我司利润额/车位总成本</t>
  </si>
  <si>
    <t>客户利润额（元）</t>
  </si>
  <si>
    <t>（我司总收入-车位置换单价*置换车位数*12*合作年限）*回本后甲方分润比例</t>
  </si>
  <si>
    <t>年收益预估</t>
  </si>
  <si>
    <t>合作第*年</t>
  </si>
  <si>
    <t>总收入（元）</t>
  </si>
  <si>
    <t>一点停收入</t>
  </si>
  <si>
    <t>客户分润（元）</t>
  </si>
  <si>
    <t>运营率</t>
  </si>
  <si>
    <t>汇总</t>
  </si>
  <si>
    <t>最少置换车位数</t>
  </si>
  <si>
    <t>即CRM报价单总金额</t>
  </si>
  <si>
    <t>现金采买金额（元）</t>
  </si>
  <si>
    <t>单独现金采买部分，若无则填0</t>
  </si>
  <si>
    <t>合同成本</t>
  </si>
  <si>
    <t>设备价格+现金采买金额</t>
  </si>
  <si>
    <t>车位总成本/(总置换车位数*车位运营单价)</t>
  </si>
  <si>
    <t>合作周期尽量为5年</t>
  </si>
  <si>
    <t>合同成本+税金成本</t>
  </si>
  <si>
    <t>1、上传的车场信息需要准确（照片、流水、周边车场的情况入住率）是否真的有停车需求</t>
  </si>
  <si>
    <t>2、月票的有效期来计算每日运营的车位数，超出运营数按照单日的月租费用进行结算。</t>
  </si>
  <si>
    <t>仅考虑成本回收，需要置换的最少车位数；
考虑业务实际情况，最小值为1；</t>
  </si>
  <si>
    <t>单车位成本（元）</t>
  </si>
  <si>
    <t>项目信息收集表</t>
  </si>
  <si>
    <t>填写黄色部分</t>
  </si>
  <si>
    <t>车场名称</t>
  </si>
  <si>
    <t>伟业兴隆广场</t>
  </si>
  <si>
    <t>车场地址</t>
  </si>
  <si>
    <t>佛山市南海区大沥镇振兴路13号伟业兴隆广场</t>
  </si>
  <si>
    <t>1、停车场基础信息收集</t>
  </si>
  <si>
    <t>具体明细</t>
  </si>
  <si>
    <t>基本情况</t>
  </si>
  <si>
    <t>附：停车场公示的收费规则照片</t>
  </si>
  <si>
    <t>商业</t>
  </si>
  <si>
    <t>产权方</t>
  </si>
  <si>
    <t>产权方/承包方</t>
  </si>
  <si>
    <t>承包到期日期</t>
  </si>
  <si>
    <t>年 月 日</t>
  </si>
  <si>
    <t>示例：2023年7月8日（合作客户为承包方必填）</t>
  </si>
  <si>
    <t>停车场收费规则</t>
  </si>
  <si>
    <t>30分钟免费，半小时-1小时：5元。每小时5元，50元封顶。</t>
  </si>
  <si>
    <t>示例：8元/小时（8:00-21:00），64元封顶；夜间停车4元/小时（21：00-8：00），包夜15元（22:00-8:00），并附照片</t>
  </si>
  <si>
    <t>车位占用率</t>
  </si>
  <si>
    <t>停车场忙时的车位占用率</t>
  </si>
  <si>
    <t>是否允许张贴物料</t>
  </si>
  <si>
    <t>是</t>
  </si>
  <si>
    <t>是/否；如允许勾选通道&amp;岗亭、场内物料</t>
  </si>
  <si>
    <t xml:space="preserve"> 结算模式</t>
  </si>
  <si>
    <t>是否接入艾支付</t>
  </si>
  <si>
    <t>2、停车场收益情况</t>
  </si>
  <si>
    <t>月份</t>
  </si>
  <si>
    <t>临停收费金额（元）</t>
  </si>
  <si>
    <t>月租收入（元)</t>
  </si>
  <si>
    <t>备注</t>
  </si>
  <si>
    <t>若前期为非艾科车场，请提供系统近一年的流水数据为佐证。</t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</si>
  <si>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</si>
  <si>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</si>
  <si>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</si>
  <si>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</si>
  <si>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</si>
  <si>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</si>
  <si>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</si>
  <si>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</si>
  <si>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</si>
  <si>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佛山三区</t>
  </si>
  <si>
    <t>提交人</t>
  </si>
  <si>
    <t>周赞添</t>
  </si>
  <si>
    <t>需填写</t>
  </si>
  <si>
    <t>商机名称</t>
  </si>
  <si>
    <t>CRM报价单号</t>
  </si>
  <si>
    <t>BJD26035661</t>
  </si>
  <si>
    <t>CRM报价单M系数</t>
  </si>
  <si>
    <t>采购折扣</t>
  </si>
  <si>
    <t>CRM结算价合计</t>
  </si>
  <si>
    <t>CRM专项服务费</t>
  </si>
  <si>
    <t>整体评估情况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</si>
  <si>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</si>
  <si>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</si>
  <si>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</si>
  <si>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</si>
  <si>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</si>
  <si>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</si>
  <si>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增值税专用发票</t>
  </si>
  <si>
    <t>停车场开具给艾科的发票</t>
  </si>
  <si>
    <t>0.9＞X≥0.85</t>
  </si>
  <si>
    <t>对外办理月卡费用（元/月）</t>
  </si>
  <si>
    <t>停车场对外办理的线下月卡收费标准，月销量10张+；</t>
  </si>
  <si>
    <t>0.85＞X≥0.8</t>
  </si>
  <si>
    <t>置换车位数</t>
  </si>
  <si>
    <t>置换的总车位数</t>
  </si>
  <si>
    <t>0.8＞X≥0.75</t>
  </si>
  <si>
    <t>回本后甲方分润比例</t>
  </si>
  <si>
    <t>0.75＞X≥0.7</t>
  </si>
  <si>
    <t>合同有效年限（月）</t>
  </si>
  <si>
    <t>合同周期不低于3年，尽量不超过5年</t>
  </si>
  <si>
    <t>0.7＞X≥0.65</t>
  </si>
  <si>
    <t>单车位月均收入（元/月）</t>
  </si>
  <si>
    <t>综合车位空置率、前期引流补贴等费用月均单车位收入。</t>
  </si>
  <si>
    <t>不可编辑</t>
  </si>
  <si>
    <t>0.65＞X≥0.6</t>
  </si>
  <si>
    <t>置换金额/合作周期/置换车位数</t>
  </si>
  <si>
    <t>3年不高于8折，4年不高于7折，5年不高于65折；
不鼓励超过5年的业务，</t>
  </si>
  <si>
    <t>税金成本</t>
  </si>
  <si>
    <t>项目总成本</t>
  </si>
  <si>
    <t>合作期间内车位总成本</t>
  </si>
  <si>
    <t>我司总收入</t>
  </si>
  <si>
    <t>总置换车位数*车位运营单价*12*合作周期</t>
  </si>
  <si>
    <t>车位置换业务提成总计</t>
  </si>
  <si>
    <t>我司利润额（元)</t>
  </si>
  <si>
    <t>(我司总收入-车位置换单价*置换车位数*12*合作年限)*回本后甲方分润比例</t>
  </si>
  <si>
    <t>所属类别</t>
  </si>
  <si>
    <t>得分</t>
  </si>
  <si>
    <t>是否佛山市内</t>
  </si>
  <si>
    <t>该车场的数据完整度10，周边车场数据完整度5
（临停/月租流水、周边情况等信息）</t>
  </si>
  <si>
    <t>本车场</t>
  </si>
  <si>
    <t>车位占有率&gt;80%</t>
  </si>
  <si>
    <t>否</t>
  </si>
  <si>
    <t>是否允许粘贴物料</t>
  </si>
  <si>
    <t>周边差异化业态</t>
  </si>
  <si>
    <t>是否有完整的捷顺方案</t>
  </si>
  <si>
    <t>入住率是否≥80%</t>
  </si>
  <si>
    <t>合作客户是否央企/国企/标杆等性质</t>
  </si>
  <si>
    <t>风险评分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</si>
</sst>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&quot;￥&quot;#,##0_);[Red]\(&quot;￥&quot;#,##0\)"/>
    <numFmt numFmtId="178" formatCode="_ * #,##0_ ;_ * \-#,##0_ ;_ * &quot;-&quot;??_ ;_ @_ "/>
    <numFmt numFmtId="179" formatCode="0.0_);[Red]\(0.0\)"/>
    <numFmt numFmtId="180" formatCode="#,##0_);[Red]\(#,##0\)"/>
    <numFmt numFmtId="181" formatCode="0.00000%"/>
    <numFmt numFmtId="182" formatCode="0_);[Red]\(0\)"/>
  </numFmts>
  <fonts count="54">
    <font>
      <sz val="10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9"/>
      <color rgb="FFFF0000"/>
      <name val="等线"/>
      <charset val="134"/>
      <scheme val="minor"/>
    </font>
    <font>
      <b/>
      <sz val="11"/>
      <color rgb="FF2EA121"/>
      <name val="等线"/>
      <charset val="134"/>
      <scheme val="minor"/>
    </font>
    <font>
      <sz val="10"/>
      <color rgb="FFFFFFFF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rgb="FFF54A45"/>
      <name val="等线"/>
      <charset val="134"/>
      <scheme val="minor"/>
    </font>
    <font>
      <sz val="10"/>
      <color rgb="FFF54A45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b/>
      <sz val="9"/>
      <color rgb="FFC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9"/>
      <color rgb="FF1F2329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"/>
      <color rgb="FFFFFFFF"/>
      <name val="等线"/>
      <charset val="134"/>
      <scheme val="minor"/>
    </font>
    <font>
      <sz val="9"/>
      <color rgb="FF417FF9"/>
      <name val="等线"/>
      <charset val="134"/>
      <scheme val="minor"/>
    </font>
    <font>
      <b/>
      <sz val="13"/>
      <color rgb="FF000000"/>
      <name val="等线"/>
      <charset val="134"/>
      <scheme val="minor"/>
    </font>
    <font>
      <b/>
      <sz val="20"/>
      <color rgb="FF00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20"/>
      <color rgb="FFFF0000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1"/>
      <color rgb="FFFFFFFF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F0000"/>
      <name val="Calibri"/>
      <charset val="134"/>
    </font>
  </fonts>
  <fills count="50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5DEB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9" borderId="4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0" borderId="52" applyNumberFormat="0" applyAlignment="0" applyProtection="0">
      <alignment vertical="center"/>
    </xf>
    <xf numFmtId="0" fontId="42" fillId="21" borderId="53" applyNumberFormat="0" applyAlignment="0" applyProtection="0">
      <alignment vertical="center"/>
    </xf>
    <xf numFmtId="0" fontId="43" fillId="21" borderId="52" applyNumberFormat="0" applyAlignment="0" applyProtection="0">
      <alignment vertical="center"/>
    </xf>
    <xf numFmtId="0" fontId="44" fillId="22" borderId="54" applyNumberFormat="0" applyAlignment="0" applyProtection="0">
      <alignment vertical="center"/>
    </xf>
    <xf numFmtId="0" fontId="45" fillId="0" borderId="55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</cellStyleXfs>
  <cellXfs count="253">
    <xf numFmtId="0" fontId="0" fillId="0" borderId="0" xfId="0" applyAlignment="1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9" fillId="5" borderId="2" xfId="0" applyFont="1" applyFill="1" applyBorder="1" applyAlignment="1">
      <alignment horizontal="right" vertical="center"/>
    </xf>
    <xf numFmtId="0" fontId="10" fillId="7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/>
    </xf>
    <xf numFmtId="0" fontId="1" fillId="0" borderId="1" xfId="0" applyFont="1" applyBorder="1" applyAlignment="1"/>
    <xf numFmtId="9" fontId="1" fillId="0" borderId="0" xfId="0" applyNumberFormat="1" applyFont="1" applyAlignment="1"/>
    <xf numFmtId="0" fontId="4" fillId="3" borderId="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9" fontId="3" fillId="9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9" fontId="12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8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8" fillId="10" borderId="3" xfId="0" applyFont="1" applyFill="1" applyBorder="1" applyAlignment="1">
      <alignment horizontal="center" vertical="center"/>
    </xf>
    <xf numFmtId="0" fontId="11" fillId="0" borderId="0" xfId="0" applyFont="1" applyAlignment="1"/>
    <xf numFmtId="1" fontId="3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top" wrapText="1"/>
    </xf>
    <xf numFmtId="0" fontId="3" fillId="0" borderId="2" xfId="0" applyNumberFormat="1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0" fontId="17" fillId="0" borderId="0" xfId="0" applyFont="1" applyAlignment="1"/>
    <xf numFmtId="0" fontId="24" fillId="5" borderId="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19" fillId="11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4" fillId="11" borderId="2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4" fillId="11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2" borderId="2" xfId="0" applyFont="1" applyFill="1" applyBorder="1" applyAlignment="1"/>
    <xf numFmtId="0" fontId="28" fillId="0" borderId="2" xfId="0" applyFont="1" applyBorder="1" applyAlignment="1">
      <alignment horizontal="left" vertical="center" wrapText="1"/>
    </xf>
    <xf numFmtId="3" fontId="15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right" vertical="center"/>
    </xf>
    <xf numFmtId="0" fontId="17" fillId="7" borderId="2" xfId="0" applyFont="1" applyFill="1" applyBorder="1" applyAlignment="1">
      <alignment horizontal="right" vertical="center"/>
    </xf>
    <xf numFmtId="0" fontId="17" fillId="7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right" vertical="center"/>
    </xf>
    <xf numFmtId="0" fontId="17" fillId="4" borderId="2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7" fillId="0" borderId="0" xfId="0" applyFont="1" applyAlignment="1"/>
    <xf numFmtId="0" fontId="10" fillId="0" borderId="0" xfId="0" applyFont="1" applyAlignment="1">
      <alignment horizontal="center" vertical="center"/>
    </xf>
    <xf numFmtId="1" fontId="17" fillId="7" borderId="2" xfId="0" applyNumberFormat="1" applyFont="1" applyFill="1" applyBorder="1" applyAlignment="1">
      <alignment horizontal="right" vertical="center"/>
    </xf>
    <xf numFmtId="10" fontId="10" fillId="0" borderId="0" xfId="0" applyNumberFormat="1" applyFont="1" applyAlignment="1">
      <alignment horizontal="center" vertical="center"/>
    </xf>
    <xf numFmtId="10" fontId="27" fillId="0" borderId="0" xfId="0" applyNumberFormat="1" applyFont="1" applyAlignment="1"/>
    <xf numFmtId="0" fontId="17" fillId="7" borderId="2" xfId="0" applyFont="1" applyFill="1" applyBorder="1" applyAlignment="1">
      <alignment horizontal="left" vertical="center" wrapText="1"/>
    </xf>
    <xf numFmtId="9" fontId="17" fillId="4" borderId="2" xfId="0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176" fontId="17" fillId="7" borderId="2" xfId="0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right" vertical="center"/>
    </xf>
    <xf numFmtId="1" fontId="17" fillId="0" borderId="6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right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/>
    </xf>
    <xf numFmtId="9" fontId="27" fillId="0" borderId="0" xfId="0" applyNumberFormat="1" applyFont="1" applyAlignme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9" fillId="13" borderId="2" xfId="0" applyFont="1" applyFill="1" applyBorder="1" applyAlignment="1">
      <alignment horizontal="center" vertical="center"/>
    </xf>
    <xf numFmtId="0" fontId="30" fillId="0" borderId="0" xfId="0" applyFont="1" applyAlignment="1"/>
    <xf numFmtId="0" fontId="29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177" fontId="10" fillId="15" borderId="16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7" fillId="0" borderId="22" xfId="0" applyFont="1" applyBorder="1" applyAlignment="1"/>
    <xf numFmtId="0" fontId="10" fillId="0" borderId="23" xfId="0" applyFont="1" applyBorder="1" applyAlignment="1">
      <alignment horizontal="center" vertical="center"/>
    </xf>
    <xf numFmtId="0" fontId="11" fillId="0" borderId="23" xfId="0" applyFont="1" applyBorder="1" applyAlignment="1"/>
    <xf numFmtId="0" fontId="4" fillId="17" borderId="24" xfId="0" applyFont="1" applyFill="1" applyBorder="1" applyAlignment="1">
      <alignment horizontal="center"/>
    </xf>
    <xf numFmtId="0" fontId="5" fillId="17" borderId="25" xfId="0" applyFont="1" applyFill="1" applyBorder="1" applyAlignment="1">
      <alignment horizontal="center" vertical="center"/>
    </xf>
    <xf numFmtId="0" fontId="27" fillId="7" borderId="16" xfId="0" applyFont="1" applyFill="1" applyBorder="1" applyAlignment="1"/>
    <xf numFmtId="0" fontId="10" fillId="0" borderId="16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right" vertical="center"/>
    </xf>
    <xf numFmtId="178" fontId="17" fillId="14" borderId="26" xfId="0" applyNumberFormat="1" applyFont="1" applyFill="1" applyBorder="1" applyAlignment="1">
      <alignment horizontal="right" vertical="center"/>
    </xf>
    <xf numFmtId="0" fontId="17" fillId="0" borderId="27" xfId="0" applyFont="1" applyBorder="1" applyAlignment="1">
      <alignment horizontal="left" vertical="center"/>
    </xf>
    <xf numFmtId="0" fontId="27" fillId="0" borderId="28" xfId="0" applyFont="1" applyBorder="1" applyAlignment="1"/>
    <xf numFmtId="0" fontId="8" fillId="0" borderId="0" xfId="0" applyFont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right" vertical="center"/>
    </xf>
    <xf numFmtId="178" fontId="17" fillId="14" borderId="30" xfId="0" applyNumberFormat="1" applyFont="1" applyFill="1" applyBorder="1" applyAlignment="1">
      <alignment horizontal="right" vertical="center"/>
    </xf>
    <xf numFmtId="0" fontId="17" fillId="0" borderId="31" xfId="0" applyFont="1" applyBorder="1" applyAlignment="1">
      <alignment horizontal="left" vertical="center"/>
    </xf>
    <xf numFmtId="179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30" fillId="0" borderId="0" xfId="0" applyNumberFormat="1" applyFont="1" applyAlignment="1"/>
    <xf numFmtId="10" fontId="11" fillId="0" borderId="0" xfId="0" applyNumberFormat="1" applyFont="1" applyAlignment="1"/>
    <xf numFmtId="180" fontId="17" fillId="14" borderId="30" xfId="0" applyNumberFormat="1" applyFont="1" applyFill="1" applyBorder="1" applyAlignment="1">
      <alignment horizontal="right" vertical="center"/>
    </xf>
    <xf numFmtId="178" fontId="17" fillId="16" borderId="30" xfId="0" applyNumberFormat="1" applyFont="1" applyFill="1" applyBorder="1" applyAlignment="1">
      <alignment horizontal="right" vertical="center"/>
    </xf>
    <xf numFmtId="178" fontId="31" fillId="16" borderId="30" xfId="0" applyNumberFormat="1" applyFont="1" applyFill="1" applyBorder="1" applyAlignment="1">
      <alignment horizontal="right" vertical="center"/>
    </xf>
    <xf numFmtId="9" fontId="17" fillId="14" borderId="30" xfId="0" applyNumberFormat="1" applyFont="1" applyFill="1" applyBorder="1" applyAlignment="1">
      <alignment horizontal="right" vertical="center"/>
    </xf>
    <xf numFmtId="0" fontId="15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right" vertical="center"/>
    </xf>
    <xf numFmtId="178" fontId="17" fillId="16" borderId="33" xfId="0" applyNumberFormat="1" applyFont="1" applyFill="1" applyBorder="1" applyAlignment="1">
      <alignment horizontal="right" vertical="center"/>
    </xf>
    <xf numFmtId="0" fontId="17" fillId="0" borderId="34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30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/>
    <xf numFmtId="9" fontId="11" fillId="0" borderId="0" xfId="0" applyNumberFormat="1" applyFont="1" applyAlignment="1">
      <alignment horizontal="center"/>
    </xf>
    <xf numFmtId="0" fontId="17" fillId="14" borderId="30" xfId="0" applyFont="1" applyFill="1" applyBorder="1" applyAlignment="1">
      <alignment horizontal="right" vertical="center"/>
    </xf>
    <xf numFmtId="9" fontId="17" fillId="16" borderId="30" xfId="0" applyNumberFormat="1" applyFont="1" applyFill="1" applyBorder="1" applyAlignment="1">
      <alignment horizontal="right" vertical="center"/>
    </xf>
    <xf numFmtId="0" fontId="17" fillId="0" borderId="33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center" vertical="center" wrapText="1"/>
    </xf>
    <xf numFmtId="9" fontId="17" fillId="14" borderId="26" xfId="0" applyNumberFormat="1" applyFont="1" applyFill="1" applyBorder="1" applyAlignment="1">
      <alignment horizontal="right" vertical="center"/>
    </xf>
    <xf numFmtId="0" fontId="15" fillId="0" borderId="30" xfId="0" applyFont="1" applyBorder="1" applyAlignment="1">
      <alignment horizontal="center" vertical="center" wrapText="1"/>
    </xf>
    <xf numFmtId="181" fontId="11" fillId="0" borderId="0" xfId="0" applyNumberFormat="1" applyFont="1" applyAlignment="1"/>
    <xf numFmtId="0" fontId="17" fillId="16" borderId="30" xfId="0" applyFont="1" applyFill="1" applyBorder="1" applyAlignment="1">
      <alignment horizontal="right" vertical="center"/>
    </xf>
    <xf numFmtId="0" fontId="10" fillId="0" borderId="30" xfId="0" applyFont="1" applyBorder="1" applyAlignment="1">
      <alignment horizontal="left" vertical="center"/>
    </xf>
    <xf numFmtId="0" fontId="15" fillId="0" borderId="35" xfId="0" applyFont="1" applyBorder="1" applyAlignment="1">
      <alignment horizontal="center" vertical="center" wrapText="1"/>
    </xf>
    <xf numFmtId="43" fontId="17" fillId="16" borderId="30" xfId="0" applyNumberFormat="1" applyFont="1" applyFill="1" applyBorder="1" applyAlignment="1">
      <alignment horizontal="right" vertical="center"/>
    </xf>
    <xf numFmtId="0" fontId="15" fillId="0" borderId="33" xfId="0" applyFont="1" applyBorder="1" applyAlignment="1">
      <alignment horizontal="center" vertical="center" wrapText="1"/>
    </xf>
    <xf numFmtId="9" fontId="17" fillId="14" borderId="33" xfId="0" applyNumberFormat="1" applyFont="1" applyFill="1" applyBorder="1" applyAlignment="1">
      <alignment horizontal="right" vertical="center"/>
    </xf>
    <xf numFmtId="0" fontId="17" fillId="0" borderId="33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9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5" fillId="7" borderId="26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right" vertical="center"/>
    </xf>
    <xf numFmtId="182" fontId="17" fillId="7" borderId="36" xfId="0" applyNumberFormat="1" applyFont="1" applyFill="1" applyBorder="1" applyAlignment="1">
      <alignment horizontal="right" vertical="center"/>
    </xf>
    <xf numFmtId="0" fontId="17" fillId="7" borderId="10" xfId="0" applyFont="1" applyFill="1" applyBorder="1" applyAlignment="1">
      <alignment horizontal="left" vertical="center"/>
    </xf>
    <xf numFmtId="178" fontId="27" fillId="0" borderId="0" xfId="0" applyNumberFormat="1" applyFont="1" applyAlignment="1"/>
    <xf numFmtId="0" fontId="15" fillId="7" borderId="30" xfId="0" applyFont="1" applyFill="1" applyBorder="1" applyAlignment="1">
      <alignment horizontal="center" vertical="center" wrapText="1"/>
    </xf>
    <xf numFmtId="180" fontId="17" fillId="7" borderId="2" xfId="0" applyNumberFormat="1" applyFont="1" applyFill="1" applyBorder="1" applyAlignment="1">
      <alignment horizontal="right" vertical="center"/>
    </xf>
    <xf numFmtId="0" fontId="17" fillId="7" borderId="15" xfId="0" applyFont="1" applyFill="1" applyBorder="1" applyAlignment="1">
      <alignment horizontal="left" vertical="center"/>
    </xf>
    <xf numFmtId="178" fontId="17" fillId="7" borderId="2" xfId="0" applyNumberFormat="1" applyFont="1" applyFill="1" applyBorder="1" applyAlignment="1">
      <alignment horizontal="right" vertical="center"/>
    </xf>
    <xf numFmtId="0" fontId="17" fillId="7" borderId="15" xfId="0" applyFont="1" applyFill="1" applyBorder="1" applyAlignment="1">
      <alignment horizontal="left" vertical="center" wrapText="1"/>
    </xf>
    <xf numFmtId="10" fontId="17" fillId="7" borderId="2" xfId="0" applyNumberFormat="1" applyFont="1" applyFill="1" applyBorder="1" applyAlignment="1">
      <alignment horizontal="right" vertical="center"/>
    </xf>
    <xf numFmtId="0" fontId="15" fillId="7" borderId="33" xfId="0" applyFont="1" applyFill="1" applyBorder="1" applyAlignment="1">
      <alignment horizontal="center" vertical="center" wrapText="1"/>
    </xf>
    <xf numFmtId="0" fontId="17" fillId="7" borderId="20" xfId="0" applyFont="1" applyFill="1" applyBorder="1" applyAlignment="1">
      <alignment horizontal="right" vertical="center"/>
    </xf>
    <xf numFmtId="178" fontId="17" fillId="7" borderId="37" xfId="0" applyNumberFormat="1" applyFont="1" applyFill="1" applyBorder="1" applyAlignment="1">
      <alignment horizontal="right" vertical="center"/>
    </xf>
    <xf numFmtId="0" fontId="17" fillId="7" borderId="19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right"/>
    </xf>
    <xf numFmtId="0" fontId="19" fillId="17" borderId="38" xfId="0" applyFont="1" applyFill="1" applyBorder="1" applyAlignment="1">
      <alignment horizontal="center"/>
    </xf>
    <xf numFmtId="0" fontId="19" fillId="17" borderId="24" xfId="0" applyFont="1" applyFill="1" applyBorder="1" applyAlignment="1">
      <alignment horizontal="center"/>
    </xf>
    <xf numFmtId="0" fontId="19" fillId="17" borderId="39" xfId="0" applyFont="1" applyFill="1" applyBorder="1" applyAlignment="1">
      <alignment horizontal="center"/>
    </xf>
    <xf numFmtId="0" fontId="19" fillId="17" borderId="40" xfId="0" applyFont="1" applyFill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/>
    </xf>
    <xf numFmtId="178" fontId="15" fillId="0" borderId="30" xfId="0" applyNumberFormat="1" applyFont="1" applyBorder="1" applyAlignment="1">
      <alignment horizontal="center" vertical="center"/>
    </xf>
    <xf numFmtId="178" fontId="15" fillId="0" borderId="30" xfId="0" applyNumberFormat="1" applyFont="1" applyBorder="1" applyAlignment="1">
      <alignment horizontal="right"/>
    </xf>
    <xf numFmtId="2" fontId="30" fillId="0" borderId="0" xfId="0" applyNumberFormat="1" applyFont="1" applyAlignment="1"/>
    <xf numFmtId="0" fontId="15" fillId="0" borderId="35" xfId="0" applyFont="1" applyBorder="1" applyAlignment="1">
      <alignment horizontal="center" vertical="center"/>
    </xf>
    <xf numFmtId="178" fontId="15" fillId="0" borderId="35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78" fontId="15" fillId="0" borderId="33" xfId="0" applyNumberFormat="1" applyFont="1" applyBorder="1" applyAlignment="1">
      <alignment horizontal="center" vertical="center"/>
    </xf>
    <xf numFmtId="178" fontId="15" fillId="0" borderId="33" xfId="0" applyNumberFormat="1" applyFont="1" applyBorder="1" applyAlignment="1">
      <alignment horizontal="right"/>
    </xf>
    <xf numFmtId="0" fontId="4" fillId="0" borderId="41" xfId="0" applyFont="1" applyBorder="1" applyAlignment="1">
      <alignment horizontal="center" vertical="center"/>
    </xf>
    <xf numFmtId="178" fontId="4" fillId="0" borderId="42" xfId="0" applyNumberFormat="1" applyFont="1" applyBorder="1" applyAlignment="1">
      <alignment horizontal="center" vertical="center"/>
    </xf>
    <xf numFmtId="178" fontId="4" fillId="0" borderId="38" xfId="0" applyNumberFormat="1" applyFont="1" applyBorder="1" applyAlignment="1">
      <alignment horizontal="right" vertical="center"/>
    </xf>
    <xf numFmtId="178" fontId="4" fillId="0" borderId="43" xfId="0" applyNumberFormat="1" applyFont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 wrapText="1"/>
    </xf>
    <xf numFmtId="0" fontId="19" fillId="17" borderId="44" xfId="0" applyFont="1" applyFill="1" applyBorder="1" applyAlignment="1">
      <alignment horizontal="center" vertical="center" wrapText="1"/>
    </xf>
    <xf numFmtId="0" fontId="19" fillId="17" borderId="0" xfId="0" applyFont="1" applyFill="1" applyAlignment="1">
      <alignment horizontal="center" vertical="center" wrapText="1"/>
    </xf>
    <xf numFmtId="0" fontId="19" fillId="17" borderId="45" xfId="0" applyFont="1" applyFill="1" applyBorder="1" applyAlignment="1">
      <alignment horizontal="center" vertical="center" wrapText="1"/>
    </xf>
    <xf numFmtId="0" fontId="19" fillId="18" borderId="5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19" fillId="18" borderId="2" xfId="0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11" borderId="46" xfId="0" applyFont="1" applyFill="1" applyBorder="1" applyAlignment="1">
      <alignment horizontal="center" vertical="center" wrapText="1"/>
    </xf>
    <xf numFmtId="0" fontId="19" fillId="11" borderId="47" xfId="0" applyFont="1" applyFill="1" applyBorder="1" applyAlignment="1">
      <alignment horizontal="center" vertical="center" wrapText="1"/>
    </xf>
    <xf numFmtId="0" fontId="19" fillId="11" borderId="48" xfId="0" applyFont="1" applyFill="1" applyBorder="1" applyAlignment="1">
      <alignment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895350</xdr:colOff>
      <xdr:row>5</xdr:row>
      <xdr:rowOff>19050</xdr:rowOff>
    </xdr:from>
    <xdr:to>
      <xdr:col>11</xdr:col>
      <xdr:colOff>210185</xdr:colOff>
      <xdr:row>26</xdr:row>
      <xdr:rowOff>49530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96375" y="1222375"/>
          <a:ext cx="5848985" cy="4380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workbookViewId="0">
      <selection activeCell="A1" sqref="A1:E1"/>
    </sheetView>
  </sheetViews>
  <sheetFormatPr defaultColWidth="14" defaultRowHeight="12.75"/>
  <cols>
    <col min="1" max="1" width="7" customWidth="1"/>
    <col min="2" max="2" width="25" customWidth="1"/>
    <col min="3" max="3" width="34" customWidth="1"/>
    <col min="4" max="4" width="65" customWidth="1"/>
    <col min="5" max="5" width="14" customWidth="1"/>
    <col min="6" max="6" width="24" customWidth="1"/>
    <col min="7" max="7" width="21" customWidth="1"/>
    <col min="8" max="12" width="14" customWidth="1"/>
    <col min="13" max="13" width="12" customWidth="1"/>
    <col min="14" max="20" width="10" customWidth="1"/>
  </cols>
  <sheetData>
    <row r="1" ht="36" customHeight="1" spans="1:6">
      <c r="A1" s="232" t="s">
        <v>0</v>
      </c>
      <c r="B1" s="232"/>
      <c r="C1" s="232"/>
      <c r="D1" s="232"/>
      <c r="E1" s="232"/>
    </row>
    <row r="2" ht="24" customHeight="1" spans="1:6">
      <c r="A2" s="233" t="s">
        <v>1</v>
      </c>
      <c r="B2" s="234" t="s">
        <v>2</v>
      </c>
      <c r="C2" s="235" t="s">
        <v>3</v>
      </c>
      <c r="D2" s="236"/>
      <c r="E2" s="237" t="s">
        <v>4</v>
      </c>
    </row>
    <row r="3" ht="24" customHeight="1" spans="1:6">
      <c r="A3" s="238"/>
      <c r="B3" s="239"/>
      <c r="C3" s="238" t="s">
        <v>5</v>
      </c>
      <c r="D3" s="239"/>
      <c r="E3" s="240"/>
    </row>
    <row r="4" ht="24" customHeight="1" spans="1:6">
      <c r="A4" s="241">
        <v>1</v>
      </c>
      <c r="B4" s="242" t="s">
        <v>6</v>
      </c>
      <c r="C4" s="241" t="s">
        <v>7</v>
      </c>
      <c r="D4" s="241"/>
      <c r="E4" s="243" t="s">
        <v>8</v>
      </c>
    </row>
    <row r="5" ht="24" customHeight="1" spans="1:6">
      <c r="A5" s="241">
        <v>2</v>
      </c>
      <c r="B5" s="242" t="s">
        <v>9</v>
      </c>
      <c r="C5" s="241" t="s">
        <v>10</v>
      </c>
      <c r="D5" s="241"/>
      <c r="E5" s="243" t="s">
        <v>8</v>
      </c>
    </row>
    <row r="6" ht="24" customHeight="1" spans="1:6">
      <c r="A6" s="241">
        <v>3</v>
      </c>
      <c r="B6" s="242" t="s">
        <v>11</v>
      </c>
      <c r="C6" s="241" t="s">
        <v>12</v>
      </c>
      <c r="D6" s="241"/>
      <c r="E6" s="243" t="s">
        <v>8</v>
      </c>
    </row>
    <row r="7" ht="24" customHeight="1" spans="1:6">
      <c r="A7" s="241">
        <v>4</v>
      </c>
      <c r="B7" s="242" t="s">
        <v>13</v>
      </c>
      <c r="C7" s="241" t="s">
        <v>14</v>
      </c>
      <c r="D7" s="241"/>
      <c r="E7" s="243" t="s">
        <v>8</v>
      </c>
    </row>
    <row r="8" ht="24" customHeight="1" spans="1:6">
      <c r="A8" s="241">
        <v>5</v>
      </c>
      <c r="B8" s="242" t="s">
        <v>15</v>
      </c>
      <c r="C8" s="241" t="s">
        <v>16</v>
      </c>
      <c r="D8" s="241"/>
      <c r="E8" s="243" t="s">
        <v>8</v>
      </c>
    </row>
    <row r="9" ht="24" customHeight="1" spans="1:6">
      <c r="A9" s="243">
        <v>6</v>
      </c>
      <c r="B9" s="242" t="s">
        <v>17</v>
      </c>
      <c r="C9" s="244" t="s">
        <v>18</v>
      </c>
      <c r="D9" s="245"/>
      <c r="E9" s="243" t="s">
        <v>8</v>
      </c>
    </row>
    <row r="10" ht="24" customHeight="1" spans="1:6">
      <c r="A10" s="243">
        <v>7</v>
      </c>
      <c r="B10" s="242" t="s">
        <v>19</v>
      </c>
      <c r="C10" s="244" t="s">
        <v>20</v>
      </c>
      <c r="D10" s="245"/>
      <c r="E10" s="243" t="s">
        <v>8</v>
      </c>
    </row>
    <row r="11" ht="24" customHeight="1" spans="1:6">
      <c r="A11" s="246"/>
      <c r="B11" s="247"/>
      <c r="C11" s="247" t="s">
        <v>21</v>
      </c>
      <c r="D11" s="247"/>
      <c r="E11" s="248"/>
    </row>
    <row r="12" ht="24" customHeight="1" spans="1:6">
      <c r="A12" s="241">
        <v>1</v>
      </c>
      <c r="B12" s="242" t="s">
        <v>22</v>
      </c>
      <c r="C12" s="241" t="s">
        <v>23</v>
      </c>
      <c r="D12" s="241"/>
      <c r="E12" s="243" t="s">
        <v>8</v>
      </c>
    </row>
    <row r="13" ht="24" customHeight="1" spans="1:6">
      <c r="A13" s="241">
        <v>2</v>
      </c>
      <c r="B13" s="242" t="s">
        <v>24</v>
      </c>
      <c r="C13" s="243" t="s">
        <v>25</v>
      </c>
      <c r="D13" s="243"/>
      <c r="E13" s="243" t="s">
        <v>8</v>
      </c>
    </row>
    <row r="14" ht="24" customHeight="1" spans="1:6">
      <c r="A14" s="241">
        <v>3</v>
      </c>
      <c r="B14" s="242" t="s">
        <v>26</v>
      </c>
      <c r="C14" s="249" t="s">
        <v>27</v>
      </c>
      <c r="D14" s="250"/>
      <c r="E14" s="243" t="s">
        <v>8</v>
      </c>
      <c r="F14" s="251"/>
    </row>
    <row r="15" ht="24" customHeight="1" spans="1:6">
      <c r="A15" s="241">
        <v>4</v>
      </c>
      <c r="B15" s="242" t="s">
        <v>28</v>
      </c>
      <c r="C15" s="249" t="s">
        <v>29</v>
      </c>
      <c r="D15" s="250"/>
      <c r="E15" s="243" t="s">
        <v>8</v>
      </c>
      <c r="F15" s="251"/>
    </row>
    <row r="16" ht="24" customHeight="1" spans="1:6">
      <c r="A16" s="241">
        <v>5</v>
      </c>
      <c r="B16" s="242" t="s">
        <v>30</v>
      </c>
      <c r="C16" s="249" t="s">
        <v>31</v>
      </c>
      <c r="D16" s="250"/>
      <c r="E16" s="243" t="s">
        <v>8</v>
      </c>
      <c r="F16" s="251"/>
    </row>
    <row r="17" ht="24" customHeight="1" spans="5:15">
      <c r="E17" s="251"/>
      <c r="F17" s="251"/>
      <c r="M17" s="252"/>
      <c r="N17" s="252"/>
      <c r="O17" s="252"/>
    </row>
    <row r="18" ht="24" customHeight="1" spans="5:15">
      <c r="E18" s="251"/>
      <c r="F18" s="251"/>
      <c r="M18" s="252"/>
      <c r="N18" s="252"/>
      <c r="O18" s="252"/>
    </row>
    <row r="19" ht="24" customHeight="1" spans="5:15">
      <c r="E19" s="251"/>
      <c r="F19" s="251"/>
      <c r="M19" s="252"/>
      <c r="N19" s="252"/>
      <c r="O19" s="252"/>
    </row>
    <row r="20" ht="24" customHeight="1" spans="5:15">
      <c r="E20" s="251"/>
      <c r="F20" s="251"/>
      <c r="M20" s="252"/>
      <c r="N20" s="252"/>
      <c r="O20" s="252"/>
    </row>
  </sheetData>
  <mergeCells count="18">
    <mergeCell ref="A1:E1"/>
    <mergeCell ref="C2:D2"/>
    <mergeCell ref="A3:B3"/>
    <mergeCell ref="C3:D3"/>
    <mergeCell ref="C4:D4"/>
    <mergeCell ref="C5:D5"/>
    <mergeCell ref="C6:D6"/>
    <mergeCell ref="C7:D7"/>
    <mergeCell ref="C8:D8"/>
    <mergeCell ref="C9:D9"/>
    <mergeCell ref="C10:D10"/>
    <mergeCell ref="A11:B11"/>
    <mergeCell ref="C11:D11"/>
    <mergeCell ref="C12:D12"/>
    <mergeCell ref="C13:D13"/>
    <mergeCell ref="C14:D14"/>
    <mergeCell ref="C15:D15"/>
    <mergeCell ref="C16:D16"/>
  </mergeCells>
  <dataValidations count="1">
    <dataValidation type="list" allowBlank="1" showErrorMessage="1" sqref="E4:E10 E12:E16">
      <formula1>"√,X"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BR57"/>
  <sheetViews>
    <sheetView workbookViewId="0">
      <selection activeCell="A1" sqref="A1"/>
    </sheetView>
  </sheetViews>
  <sheetFormatPr defaultColWidth="14" defaultRowHeight="12.75"/>
  <cols>
    <col min="1" max="1" width="7" customWidth="1"/>
    <col min="2" max="2" width="14" customWidth="1"/>
    <col min="3" max="3" width="26" customWidth="1"/>
    <col min="4" max="4" width="21" customWidth="1"/>
    <col min="5" max="5" width="40" customWidth="1"/>
    <col min="6" max="6" width="10" customWidth="1"/>
    <col min="7" max="7" width="13" customWidth="1"/>
    <col min="8" max="8" width="16" customWidth="1"/>
    <col min="9" max="59" width="8" customWidth="1"/>
    <col min="60" max="61" width="11" customWidth="1"/>
    <col min="62" max="62" width="3" customWidth="1"/>
    <col min="63" max="63" width="13" customWidth="1"/>
    <col min="64" max="64" width="11" customWidth="1"/>
    <col min="65" max="65" width="3" customWidth="1"/>
    <col min="66" max="66" width="16" customWidth="1"/>
    <col min="67" max="67" width="12" customWidth="1"/>
    <col min="68" max="70" width="10" customWidth="1"/>
  </cols>
  <sheetData>
    <row r="1" ht="12" customHeight="1" spans="2:70"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N1" s="120"/>
    </row>
    <row r="2" ht="24" customHeight="1" spans="2:70">
      <c r="B2" s="121" t="s">
        <v>32</v>
      </c>
      <c r="C2" s="121"/>
      <c r="D2" s="121"/>
      <c r="E2" s="12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122"/>
      <c r="BN2" s="41"/>
      <c r="BO2" s="122"/>
      <c r="BP2" s="122"/>
      <c r="BQ2" s="97"/>
    </row>
    <row r="3" ht="11" customHeight="1" spans="2:70">
      <c r="B3" s="123"/>
      <c r="C3" s="123"/>
      <c r="D3" s="123"/>
      <c r="E3" s="123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122"/>
      <c r="BN3" s="41"/>
      <c r="BO3" s="122"/>
      <c r="BP3" s="122"/>
      <c r="BQ3" s="97"/>
    </row>
    <row r="4" ht="26" customHeight="1" spans="2:70">
      <c r="B4" s="124" t="s">
        <v>33</v>
      </c>
      <c r="C4" s="125"/>
      <c r="D4" s="126"/>
      <c r="E4" s="127"/>
      <c r="G4" s="128" t="s">
        <v>34</v>
      </c>
      <c r="H4" s="129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122"/>
      <c r="BN4" s="41"/>
      <c r="BO4" s="122"/>
      <c r="BP4" s="122"/>
      <c r="BQ4" s="97"/>
      <c r="BR4" s="97"/>
    </row>
    <row r="5" ht="26" customHeight="1" spans="2:70">
      <c r="B5" s="130" t="s">
        <v>35</v>
      </c>
      <c r="C5" s="131" t="s">
        <v>35</v>
      </c>
      <c r="D5" s="132"/>
      <c r="E5" s="133"/>
      <c r="G5" s="134"/>
      <c r="H5" s="135" t="s">
        <v>36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122"/>
      <c r="BN5" s="41"/>
      <c r="BO5" s="122"/>
      <c r="BP5" s="122"/>
      <c r="BQ5" s="97"/>
      <c r="BR5" s="97"/>
    </row>
    <row r="6" ht="26" customHeight="1" spans="2:70">
      <c r="B6" s="136" t="s">
        <v>37</v>
      </c>
      <c r="C6" s="137" t="s">
        <v>37</v>
      </c>
      <c r="D6" s="138"/>
      <c r="E6" s="139"/>
      <c r="G6" s="140"/>
      <c r="H6" s="141" t="s">
        <v>38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122"/>
      <c r="BN6" s="41"/>
      <c r="BO6" s="122"/>
      <c r="BP6" s="122"/>
      <c r="BQ6" s="97"/>
      <c r="BR6" s="97"/>
    </row>
    <row r="7" ht="10" customHeight="1" spans="2:70">
      <c r="B7" s="142"/>
      <c r="C7" s="142"/>
      <c r="D7" s="142"/>
      <c r="E7" s="142"/>
      <c r="G7" s="143"/>
      <c r="H7" s="144" t="s">
        <v>39</v>
      </c>
      <c r="BG7" s="145"/>
      <c r="BH7" s="41"/>
      <c r="BI7" s="41"/>
      <c r="BJ7" s="41"/>
      <c r="BK7" s="41"/>
      <c r="BL7" s="41"/>
      <c r="BM7" s="122"/>
      <c r="BN7" s="41"/>
      <c r="BO7" s="122"/>
      <c r="BP7" s="122"/>
      <c r="BQ7" s="97"/>
      <c r="BR7" s="97"/>
    </row>
    <row r="8" ht="24" customHeight="1" spans="2:70">
      <c r="B8" s="146" t="s">
        <v>40</v>
      </c>
      <c r="C8" s="147" t="s">
        <v>41</v>
      </c>
      <c r="D8" s="147" t="s">
        <v>42</v>
      </c>
      <c r="E8" s="147" t="s">
        <v>43</v>
      </c>
      <c r="G8" s="148"/>
      <c r="H8" s="149"/>
      <c r="BG8" s="23" t="s">
        <v>44</v>
      </c>
      <c r="BH8" s="23"/>
      <c r="BI8" s="23"/>
      <c r="BJ8" s="23"/>
      <c r="BK8" s="23"/>
      <c r="BL8" s="23"/>
      <c r="BM8" s="23"/>
      <c r="BN8" s="23"/>
      <c r="BO8" s="122"/>
      <c r="BP8" s="122"/>
      <c r="BQ8" s="97"/>
      <c r="BR8" s="97"/>
    </row>
    <row r="9" ht="24" customHeight="1" spans="2:70">
      <c r="B9" s="150" t="s">
        <v>45</v>
      </c>
      <c r="C9" s="151" t="s">
        <v>46</v>
      </c>
      <c r="D9" s="152">
        <v>15000</v>
      </c>
      <c r="E9" s="153" t="s">
        <v>47</v>
      </c>
      <c r="G9" s="154"/>
      <c r="H9" s="154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 t="s">
        <v>48</v>
      </c>
      <c r="BH9" s="29"/>
      <c r="BI9" s="29"/>
      <c r="BJ9" s="41"/>
      <c r="BK9" s="29" t="s">
        <v>49</v>
      </c>
      <c r="BL9" s="29"/>
      <c r="BM9" s="122"/>
      <c r="BN9" s="41"/>
      <c r="BO9" s="155"/>
      <c r="BP9" s="122"/>
      <c r="BQ9" s="97"/>
      <c r="BR9" s="97"/>
    </row>
    <row r="10" ht="24" customHeight="1" spans="2:70">
      <c r="B10" s="156"/>
      <c r="C10" s="157" t="s">
        <v>50</v>
      </c>
      <c r="D10" s="158">
        <v>0</v>
      </c>
      <c r="E10" s="159" t="s">
        <v>51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 t="s">
        <v>52</v>
      </c>
      <c r="BH10" s="28" t="s">
        <v>53</v>
      </c>
      <c r="BI10" s="28" t="s">
        <v>54</v>
      </c>
      <c r="BJ10" s="41"/>
      <c r="BK10" s="28" t="s">
        <v>55</v>
      </c>
      <c r="BL10" s="28" t="s">
        <v>53</v>
      </c>
      <c r="BM10" s="122"/>
      <c r="BN10" s="41" t="s">
        <v>56</v>
      </c>
      <c r="BO10" s="122"/>
      <c r="BP10" s="122"/>
      <c r="BQ10" s="97"/>
      <c r="BR10" s="97"/>
    </row>
    <row r="11" ht="24" customHeight="1" spans="2:70">
      <c r="B11" s="156"/>
      <c r="C11" s="157" t="s">
        <v>57</v>
      </c>
      <c r="D11" s="158">
        <v>0</v>
      </c>
      <c r="E11" s="159" t="s">
        <v>58</v>
      </c>
      <c r="H11" s="97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>
        <v>1</v>
      </c>
      <c r="BH11" s="34">
        <v>0.8</v>
      </c>
      <c r="BI11" s="34">
        <v>0.8</v>
      </c>
      <c r="BJ11" s="41"/>
      <c r="BK11" s="160">
        <v>4</v>
      </c>
      <c r="BL11" s="161">
        <v>0.99</v>
      </c>
      <c r="BM11" s="162"/>
      <c r="BN11" s="163">
        <v>1.1</v>
      </c>
      <c r="BO11" s="122"/>
      <c r="BP11" s="122"/>
      <c r="BQ11" s="97"/>
      <c r="BR11" s="97"/>
    </row>
    <row r="12" ht="25" customHeight="1" spans="2:70">
      <c r="B12" s="156"/>
      <c r="C12" s="157" t="s">
        <v>59</v>
      </c>
      <c r="D12" s="164">
        <v>5</v>
      </c>
      <c r="E12" s="159" t="s">
        <v>60</v>
      </c>
      <c r="H12" s="97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>
        <v>2</v>
      </c>
      <c r="BH12" s="34">
        <v>0.92</v>
      </c>
      <c r="BI12" s="34">
        <v>0.86</v>
      </c>
      <c r="BJ12" s="41"/>
      <c r="BK12" s="160">
        <v>4.5</v>
      </c>
      <c r="BL12" s="161">
        <v>0.985</v>
      </c>
      <c r="BM12" s="162"/>
      <c r="BN12" s="163">
        <v>1.15</v>
      </c>
      <c r="BO12" s="122"/>
      <c r="BP12" s="122"/>
      <c r="BQ12" s="97"/>
      <c r="BR12" s="97"/>
    </row>
    <row r="13" ht="24" hidden="1" customHeight="1" spans="2:70">
      <c r="B13" s="156"/>
      <c r="C13" s="157" t="s">
        <v>61</v>
      </c>
      <c r="D13" s="165">
        <f>SUM(D9:D11)</f>
        <v>15000</v>
      </c>
      <c r="E13" s="159" t="s">
        <v>62</v>
      </c>
      <c r="H13" s="9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>
        <v>3</v>
      </c>
      <c r="BH13" s="34">
        <v>1</v>
      </c>
      <c r="BI13" s="34">
        <v>0.91</v>
      </c>
      <c r="BJ13" s="41"/>
      <c r="BK13" s="160">
        <v>5</v>
      </c>
      <c r="BL13" s="161">
        <v>0.98</v>
      </c>
      <c r="BM13" s="162"/>
      <c r="BN13" s="163">
        <v>1.2</v>
      </c>
      <c r="BO13" s="122"/>
      <c r="BP13" s="122"/>
      <c r="BQ13" s="97"/>
      <c r="BR13" s="97"/>
    </row>
    <row r="14" ht="24" hidden="1" customHeight="1" spans="2:70">
      <c r="B14" s="156"/>
      <c r="C14" s="157" t="s">
        <v>63</v>
      </c>
      <c r="D14" s="166">
        <f>D13*D12*3.1%</f>
        <v>2325</v>
      </c>
      <c r="E14" s="159" t="s">
        <v>64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>
        <v>4</v>
      </c>
      <c r="BH14" s="34">
        <v>1</v>
      </c>
      <c r="BI14" s="34">
        <v>0.93</v>
      </c>
      <c r="BJ14" s="41"/>
      <c r="BK14" s="160">
        <v>5.5</v>
      </c>
      <c r="BL14" s="161">
        <v>0.975</v>
      </c>
      <c r="BM14" s="162"/>
      <c r="BN14" s="163">
        <v>1.25</v>
      </c>
      <c r="BO14" s="122"/>
      <c r="BP14" s="122"/>
      <c r="BQ14" s="97"/>
      <c r="BR14" s="97"/>
    </row>
    <row r="15" ht="24" hidden="1" customHeight="1" spans="2:70">
      <c r="B15" s="156"/>
      <c r="C15" s="157" t="s">
        <v>65</v>
      </c>
      <c r="D15" s="167">
        <v>0.09</v>
      </c>
      <c r="E15" s="159" t="s">
        <v>66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>
        <v>5</v>
      </c>
      <c r="BH15" s="34">
        <v>1</v>
      </c>
      <c r="BI15" s="34">
        <v>0.94</v>
      </c>
      <c r="BJ15" s="41"/>
      <c r="BK15" s="160">
        <v>6</v>
      </c>
      <c r="BL15" s="161">
        <v>0.97</v>
      </c>
      <c r="BM15" s="162"/>
      <c r="BN15" s="163">
        <v>1.28</v>
      </c>
      <c r="BO15" s="122"/>
      <c r="BP15" s="122"/>
      <c r="BQ15" s="97"/>
      <c r="BR15" s="97"/>
    </row>
    <row r="16" ht="24" hidden="1" customHeight="1" spans="2:70">
      <c r="B16" s="156"/>
      <c r="C16" s="157" t="s">
        <v>67</v>
      </c>
      <c r="D16" s="165">
        <f>(9%-D15)*D13</f>
        <v>0</v>
      </c>
      <c r="E16" s="159" t="s">
        <v>68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>
        <v>6</v>
      </c>
      <c r="BH16" s="34">
        <v>1</v>
      </c>
      <c r="BI16" s="34">
        <v>0.95</v>
      </c>
      <c r="BJ16" s="41"/>
      <c r="BK16" s="160">
        <v>6.5</v>
      </c>
      <c r="BL16" s="161">
        <v>0.94</v>
      </c>
      <c r="BM16" s="162"/>
      <c r="BN16" s="163">
        <v>1.3</v>
      </c>
      <c r="BO16" s="122"/>
      <c r="BP16" s="122"/>
      <c r="BQ16" s="97"/>
      <c r="BR16" s="97"/>
    </row>
    <row r="17" ht="24" hidden="1" customHeight="1" spans="2:70">
      <c r="B17" s="168"/>
      <c r="C17" s="169" t="s">
        <v>69</v>
      </c>
      <c r="D17" s="170">
        <f>D16+D14+D13</f>
        <v>17325</v>
      </c>
      <c r="E17" s="171" t="s">
        <v>70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>
        <v>7</v>
      </c>
      <c r="BH17" s="34">
        <v>1</v>
      </c>
      <c r="BI17" s="34">
        <v>0.96</v>
      </c>
      <c r="BJ17" s="41"/>
      <c r="BK17" s="160">
        <v>7</v>
      </c>
      <c r="BL17" s="161">
        <v>0.935</v>
      </c>
      <c r="BM17" s="162"/>
      <c r="BN17" s="163">
        <v>1.33</v>
      </c>
      <c r="BO17" s="122"/>
      <c r="BP17" s="122"/>
      <c r="BQ17" s="97"/>
      <c r="BR17" s="97"/>
    </row>
    <row r="18" ht="24" hidden="1" customHeight="1" spans="2:70">
      <c r="B18" s="150" t="s">
        <v>71</v>
      </c>
      <c r="C18" s="151" t="s">
        <v>72</v>
      </c>
      <c r="D18" s="152">
        <v>500</v>
      </c>
      <c r="E18" s="172" t="s">
        <v>73</v>
      </c>
      <c r="G18" s="173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>
        <v>8</v>
      </c>
      <c r="BH18" s="34">
        <v>1</v>
      </c>
      <c r="BI18" s="34">
        <v>0.97</v>
      </c>
      <c r="BJ18" s="41"/>
      <c r="BK18" s="160">
        <v>7.5</v>
      </c>
      <c r="BL18" s="161">
        <v>0.92</v>
      </c>
      <c r="BM18" s="162"/>
      <c r="BN18" s="163">
        <v>1.35</v>
      </c>
      <c r="BO18" s="122"/>
      <c r="BP18" s="122"/>
      <c r="BQ18" s="97"/>
      <c r="BR18" s="97"/>
    </row>
    <row r="19" ht="24" hidden="1" customHeight="1" spans="2:70">
      <c r="B19" s="156"/>
      <c r="C19" s="157" t="s">
        <v>74</v>
      </c>
      <c r="D19" s="158">
        <v>200000</v>
      </c>
      <c r="E19" s="174" t="s">
        <v>75</v>
      </c>
      <c r="G19" s="173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>
        <v>9</v>
      </c>
      <c r="BH19" s="34">
        <v>1</v>
      </c>
      <c r="BI19" s="34">
        <v>0.97</v>
      </c>
      <c r="BJ19" s="41"/>
      <c r="BK19" s="160">
        <v>8</v>
      </c>
      <c r="BL19" s="161">
        <v>0.915</v>
      </c>
      <c r="BM19" s="162"/>
      <c r="BN19" s="163">
        <v>1.4</v>
      </c>
      <c r="BO19" s="122"/>
      <c r="BP19" s="122"/>
      <c r="BQ19" s="97"/>
      <c r="BR19" s="97"/>
    </row>
    <row r="20" ht="24" hidden="1" customHeight="1" spans="2:70">
      <c r="B20" s="156"/>
      <c r="C20" s="157" t="s">
        <v>76</v>
      </c>
      <c r="D20" s="164">
        <v>100</v>
      </c>
      <c r="E20" s="175" t="s">
        <v>77</v>
      </c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>
        <v>10</v>
      </c>
      <c r="BH20" s="34">
        <v>1</v>
      </c>
      <c r="BI20" s="34">
        <v>0.97</v>
      </c>
      <c r="BJ20" s="41"/>
      <c r="BK20" s="160">
        <v>8.5</v>
      </c>
      <c r="BL20" s="161">
        <v>0.91</v>
      </c>
      <c r="BM20" s="162"/>
      <c r="BN20" s="163">
        <v>1.45</v>
      </c>
      <c r="BO20" s="122"/>
      <c r="BP20" s="122"/>
      <c r="BQ20" s="97"/>
      <c r="BR20" s="97"/>
    </row>
    <row r="21" ht="24" hidden="1" customHeight="1" spans="2:70">
      <c r="B21" s="156"/>
      <c r="C21" s="157" t="s">
        <v>78</v>
      </c>
      <c r="D21" s="165">
        <f>D19/D20/12</f>
        <v>166.666666666667</v>
      </c>
      <c r="E21" s="175" t="s">
        <v>79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160">
        <v>9</v>
      </c>
      <c r="BL21" s="161">
        <v>0.905</v>
      </c>
      <c r="BM21" s="122"/>
      <c r="BN21" s="177">
        <v>1.48</v>
      </c>
      <c r="BO21" s="122"/>
      <c r="BP21" s="122"/>
      <c r="BQ21" s="97"/>
      <c r="BR21" s="97"/>
    </row>
    <row r="22" ht="24" customHeight="1" spans="2:70">
      <c r="B22" s="156"/>
      <c r="C22" s="157" t="s">
        <v>80</v>
      </c>
      <c r="D22" s="164">
        <v>400</v>
      </c>
      <c r="E22" s="175" t="s">
        <v>81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160">
        <v>9.5</v>
      </c>
      <c r="BL22" s="178">
        <v>0.9</v>
      </c>
      <c r="BM22" s="122"/>
      <c r="BN22" s="177">
        <v>1.5</v>
      </c>
      <c r="BO22" s="122"/>
      <c r="BP22" s="122"/>
      <c r="BQ22" s="97"/>
      <c r="BR22" s="97"/>
    </row>
    <row r="23" ht="80" customHeight="1" spans="2:70">
      <c r="B23" s="156"/>
      <c r="C23" s="157" t="s">
        <v>82</v>
      </c>
      <c r="D23" s="179">
        <v>7</v>
      </c>
      <c r="E23" s="174" t="s">
        <v>83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122"/>
      <c r="BN23" s="41"/>
      <c r="BO23" s="122"/>
      <c r="BP23" s="122"/>
      <c r="BQ23" s="97"/>
      <c r="BR23" s="97"/>
    </row>
    <row r="24" ht="24" customHeight="1" spans="2:70">
      <c r="B24" s="156"/>
      <c r="C24" s="157" t="s">
        <v>84</v>
      </c>
      <c r="D24" s="180" t="e">
        <f>VLOOKUP(D17/12,BG:BI,3,0)*VLOOKUP($D$23,BK:BL,2,0)</f>
        <v>#N/A</v>
      </c>
      <c r="E24" s="175" t="s">
        <v>85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122"/>
      <c r="BN24" s="41"/>
      <c r="BO24" s="122"/>
      <c r="BP24" s="122"/>
      <c r="BQ24" s="97"/>
      <c r="BR24" s="97"/>
    </row>
    <row r="25" ht="24" customHeight="1" spans="2:70">
      <c r="B25" s="156"/>
      <c r="C25" s="169" t="s">
        <v>86</v>
      </c>
      <c r="D25" s="170">
        <f>D22*D23*0.1</f>
        <v>280</v>
      </c>
      <c r="E25" s="181" t="s">
        <v>87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122"/>
      <c r="BN25" s="41"/>
      <c r="BO25" s="122"/>
      <c r="BP25" s="122"/>
      <c r="BQ25" s="97"/>
      <c r="BR25" s="97"/>
    </row>
    <row r="26" ht="24" customHeight="1" spans="2:70">
      <c r="B26" s="182" t="s">
        <v>88</v>
      </c>
      <c r="C26" s="151" t="s">
        <v>89</v>
      </c>
      <c r="D26" s="183">
        <v>1</v>
      </c>
      <c r="E26" s="172" t="s">
        <v>90</v>
      </c>
      <c r="F26" s="97"/>
      <c r="G26" s="97"/>
      <c r="H26" s="97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122"/>
      <c r="BN26" s="41"/>
      <c r="BO26" s="122"/>
      <c r="BP26" s="122"/>
      <c r="BQ26" s="97"/>
      <c r="BR26" s="97"/>
    </row>
    <row r="27" ht="24" hidden="1" customHeight="1" spans="2:70">
      <c r="B27" s="184"/>
      <c r="C27" s="157" t="s">
        <v>91</v>
      </c>
      <c r="D27" s="165">
        <f>D17*D26</f>
        <v>17325</v>
      </c>
      <c r="E27" s="175" t="s">
        <v>92</v>
      </c>
      <c r="F27" s="97"/>
      <c r="G27" s="97"/>
      <c r="H27" s="97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185"/>
      <c r="BL27" s="41"/>
      <c r="BM27" s="122"/>
      <c r="BN27" s="41"/>
      <c r="BO27" s="122"/>
      <c r="BP27" s="122"/>
      <c r="BQ27" s="97"/>
      <c r="BR27" s="97"/>
    </row>
    <row r="28" ht="32" hidden="1" customHeight="1" spans="2:70">
      <c r="B28" s="184"/>
      <c r="C28" s="157" t="s">
        <v>93</v>
      </c>
      <c r="D28" s="186">
        <f>IF(ROUNDUP(D27/D12/12/D25,0)=0,1,ROUNDUP(D27/D12/12/D25,0))</f>
        <v>2</v>
      </c>
      <c r="E28" s="174" t="s">
        <v>94</v>
      </c>
      <c r="F28" s="97"/>
      <c r="G28" s="97" t="s">
        <v>95</v>
      </c>
      <c r="H28" s="97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122"/>
      <c r="BN28" s="41"/>
      <c r="BO28" s="122"/>
      <c r="BP28" s="122"/>
      <c r="BQ28" s="97"/>
      <c r="BR28" s="97"/>
    </row>
    <row r="29" ht="32" hidden="1" customHeight="1" spans="2:70">
      <c r="B29" s="184"/>
      <c r="C29" s="157" t="s">
        <v>96</v>
      </c>
      <c r="D29" s="179">
        <v>0</v>
      </c>
      <c r="E29" s="174" t="s">
        <v>97</v>
      </c>
      <c r="F29" s="97"/>
      <c r="G29" s="97"/>
      <c r="H29" s="97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122"/>
      <c r="BN29" s="41"/>
      <c r="BO29" s="122"/>
      <c r="BP29" s="122"/>
      <c r="BQ29" s="97"/>
      <c r="BR29" s="97"/>
    </row>
    <row r="30" ht="33" hidden="1" customHeight="1" spans="2:70">
      <c r="B30" s="184"/>
      <c r="C30" s="157" t="s">
        <v>98</v>
      </c>
      <c r="D30" s="165">
        <f>D29*D25*D12*12*(9%-D15)</f>
        <v>0</v>
      </c>
      <c r="E30" s="187" t="s">
        <v>99</v>
      </c>
      <c r="F30" s="97"/>
      <c r="G30" s="97"/>
      <c r="H30" s="97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122"/>
      <c r="BN30" s="41"/>
      <c r="BO30" s="122"/>
      <c r="BP30" s="122"/>
      <c r="BQ30" s="97"/>
      <c r="BR30" s="97"/>
    </row>
    <row r="31" ht="33" hidden="1" customHeight="1" spans="2:70">
      <c r="B31" s="184"/>
      <c r="C31" s="157" t="s">
        <v>100</v>
      </c>
      <c r="D31" s="165">
        <f>D25+((D28+D29)*1900+(D28+D29)*6100*0.3)/12/D12/(D28+D29)</f>
        <v>342.166666666667</v>
      </c>
      <c r="E31" s="175" t="s">
        <v>101</v>
      </c>
      <c r="F31" s="97"/>
      <c r="G31" s="97"/>
      <c r="H31" s="97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122"/>
      <c r="BN31" s="41"/>
      <c r="BO31" s="122"/>
      <c r="BP31" s="122"/>
      <c r="BQ31" s="97"/>
      <c r="BR31" s="97"/>
    </row>
    <row r="32" ht="24" hidden="1" customHeight="1" spans="2:70">
      <c r="B32" s="184"/>
      <c r="C32" s="157" t="s">
        <v>102</v>
      </c>
      <c r="D32" s="165">
        <f>(D28+D29)*D31*12*D12+D30</f>
        <v>41060</v>
      </c>
      <c r="E32" s="175" t="s">
        <v>103</v>
      </c>
      <c r="F32" s="97"/>
      <c r="G32" s="97"/>
      <c r="H32" s="97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122"/>
      <c r="BN32" s="41"/>
      <c r="BO32" s="122"/>
      <c r="BP32" s="122"/>
      <c r="BQ32" s="97"/>
      <c r="BR32" s="97"/>
    </row>
    <row r="33" ht="24" hidden="1" customHeight="1" spans="2:70">
      <c r="B33" s="188"/>
      <c r="C33" s="157" t="s">
        <v>56</v>
      </c>
      <c r="D33" s="189">
        <f>VLOOKUP($D$23,BK:BN,4,0)</f>
        <v>1.33</v>
      </c>
      <c r="E33" s="175" t="s">
        <v>104</v>
      </c>
      <c r="F33" s="97"/>
      <c r="G33" s="97"/>
      <c r="H33" s="97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122"/>
      <c r="BN33" s="41"/>
      <c r="BO33" s="122"/>
      <c r="BP33" s="122"/>
      <c r="BQ33" s="97"/>
      <c r="BR33" s="97"/>
    </row>
    <row r="34" ht="22" customHeight="1" spans="2:70">
      <c r="B34" s="190"/>
      <c r="C34" s="169" t="s">
        <v>105</v>
      </c>
      <c r="D34" s="191">
        <v>0</v>
      </c>
      <c r="E34" s="192" t="s">
        <v>106</v>
      </c>
      <c r="F34" s="97"/>
      <c r="G34" s="97"/>
      <c r="H34" s="97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122"/>
      <c r="BN34" s="41"/>
      <c r="BO34" s="122"/>
      <c r="BP34" s="122"/>
      <c r="BQ34" s="97"/>
      <c r="BR34" s="97"/>
    </row>
    <row r="35" ht="15" customHeight="1" spans="2:70">
      <c r="B35" s="193"/>
      <c r="C35" s="194"/>
      <c r="D35" s="195"/>
      <c r="E35" s="196"/>
      <c r="F35" s="97"/>
      <c r="G35" s="97"/>
      <c r="H35" s="97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122"/>
      <c r="BN35" s="41"/>
      <c r="BO35" s="122"/>
      <c r="BP35" s="122"/>
      <c r="BQ35" s="97"/>
      <c r="BR35" s="97"/>
    </row>
    <row r="36" ht="24" customHeight="1" spans="2:70">
      <c r="B36" s="197" t="s">
        <v>107</v>
      </c>
      <c r="C36" s="198" t="s">
        <v>108</v>
      </c>
      <c r="D36" s="199">
        <f>D28+D29</f>
        <v>2</v>
      </c>
      <c r="E36" s="200" t="s">
        <v>109</v>
      </c>
      <c r="F36" s="201"/>
      <c r="G36" s="97"/>
      <c r="H36" s="97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122"/>
      <c r="BN36" s="41"/>
      <c r="BO36" s="122"/>
      <c r="BP36" s="122"/>
      <c r="BQ36" s="97"/>
      <c r="BR36" s="97"/>
    </row>
    <row r="37" ht="24" customHeight="1" spans="2:70">
      <c r="B37" s="202"/>
      <c r="C37" s="89" t="s">
        <v>110</v>
      </c>
      <c r="D37" s="203">
        <f>D25</f>
        <v>280</v>
      </c>
      <c r="E37" s="204" t="s">
        <v>111</v>
      </c>
      <c r="F37" s="97"/>
      <c r="G37" s="97"/>
      <c r="H37" s="97"/>
      <c r="I37" s="41"/>
      <c r="J37" s="41"/>
      <c r="K37" s="41"/>
      <c r="L37" s="41" t="s">
        <v>95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122"/>
      <c r="BN37" s="41"/>
      <c r="BO37" s="122"/>
      <c r="BP37" s="122"/>
      <c r="BQ37" s="97"/>
      <c r="BR37" s="97"/>
    </row>
    <row r="38" ht="24" customHeight="1" spans="2:70">
      <c r="B38" s="202"/>
      <c r="C38" s="89" t="s">
        <v>112</v>
      </c>
      <c r="D38" s="99">
        <f>D22*D33</f>
        <v>532</v>
      </c>
      <c r="E38" s="204" t="s">
        <v>113</v>
      </c>
      <c r="F38" s="97"/>
      <c r="G38" s="97"/>
      <c r="H38" s="97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122"/>
      <c r="BN38" s="41"/>
      <c r="BO38" s="122"/>
      <c r="BP38" s="122"/>
      <c r="BQ38" s="97"/>
      <c r="BR38" s="97"/>
    </row>
    <row r="39" ht="24" customHeight="1" spans="2:70">
      <c r="B39" s="202"/>
      <c r="C39" s="89" t="s">
        <v>114</v>
      </c>
      <c r="D39" s="99">
        <f>D32/(D38*D36)</f>
        <v>38.5902255639098</v>
      </c>
      <c r="E39" s="204" t="s">
        <v>115</v>
      </c>
      <c r="F39" s="97"/>
      <c r="G39" s="97"/>
      <c r="H39" s="97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122"/>
      <c r="BN39" s="41"/>
      <c r="BO39" s="122"/>
      <c r="BP39" s="122"/>
      <c r="BQ39" s="97"/>
      <c r="BR39" s="97"/>
    </row>
    <row r="40" ht="32" customHeight="1" spans="2:70">
      <c r="B40" s="202"/>
      <c r="C40" s="89" t="s">
        <v>116</v>
      </c>
      <c r="D40" s="205" t="e">
        <f>D38*D36*12*D12*D24</f>
        <v>#N/A</v>
      </c>
      <c r="E40" s="206" t="s">
        <v>117</v>
      </c>
      <c r="F40" s="97"/>
      <c r="G40" s="97"/>
      <c r="H40" s="97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122"/>
      <c r="BN40" s="41"/>
      <c r="BO40" s="122"/>
      <c r="BP40" s="122"/>
      <c r="BQ40" s="97"/>
      <c r="BR40" s="97"/>
    </row>
    <row r="41" ht="35" customHeight="1" spans="2:70">
      <c r="B41" s="202"/>
      <c r="C41" s="89" t="s">
        <v>118</v>
      </c>
      <c r="D41" s="205" t="e">
        <f>D40-D32-D43</f>
        <v>#N/A</v>
      </c>
      <c r="E41" s="206" t="s">
        <v>119</v>
      </c>
      <c r="F41" s="97"/>
      <c r="G41" s="97"/>
      <c r="H41" s="97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122"/>
      <c r="BN41" s="41"/>
      <c r="BO41" s="122"/>
      <c r="BP41" s="122"/>
      <c r="BQ41" s="97"/>
      <c r="BR41" s="97"/>
    </row>
    <row r="42" ht="24" customHeight="1" spans="2:70">
      <c r="B42" s="202"/>
      <c r="C42" s="89" t="s">
        <v>120</v>
      </c>
      <c r="D42" s="207" t="e">
        <f>D41/D32</f>
        <v>#N/A</v>
      </c>
      <c r="E42" s="204" t="s">
        <v>121</v>
      </c>
      <c r="F42" s="97"/>
      <c r="G42" s="97"/>
      <c r="H42" s="97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122"/>
      <c r="BN42" s="41"/>
      <c r="BO42" s="122"/>
      <c r="BP42" s="122"/>
      <c r="BQ42" s="97"/>
      <c r="BR42" s="97"/>
    </row>
    <row r="43" ht="33" customHeight="1" spans="2:70">
      <c r="B43" s="208"/>
      <c r="C43" s="209" t="s">
        <v>122</v>
      </c>
      <c r="D43" s="210" t="e">
        <f>IF((D40-(D36*D25*12*D12))*D34&gt;0,(D40-(D36*D25*12*D12))*D34,0)</f>
        <v>#N/A</v>
      </c>
      <c r="E43" s="211" t="s">
        <v>123</v>
      </c>
      <c r="F43" s="97"/>
      <c r="G43" s="97"/>
      <c r="H43" s="97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122"/>
      <c r="BN43" s="41"/>
      <c r="BO43" s="122"/>
      <c r="BP43" s="122"/>
      <c r="BQ43" s="97"/>
      <c r="BR43" s="97"/>
    </row>
    <row r="44" ht="13" customHeight="1" spans="2:70">
      <c r="B44" s="97"/>
      <c r="C44" s="97"/>
      <c r="D44" s="212"/>
      <c r="E44" s="97"/>
      <c r="F44" s="97"/>
      <c r="G44" s="97"/>
      <c r="H44" s="97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122"/>
      <c r="BN44" s="41"/>
      <c r="BO44" s="122"/>
      <c r="BP44" s="122"/>
      <c r="BQ44" s="97"/>
      <c r="BR44" s="97"/>
    </row>
    <row r="45" ht="24" customHeight="1" spans="2:70">
      <c r="B45" s="213" t="s">
        <v>124</v>
      </c>
      <c r="C45" s="214"/>
      <c r="D45" s="215"/>
      <c r="E45" s="216"/>
      <c r="F45" s="97"/>
      <c r="G45" s="97"/>
      <c r="H45" s="97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122"/>
      <c r="BN45" s="41"/>
      <c r="BO45" s="122"/>
      <c r="BP45" s="122"/>
      <c r="BQ45" s="97"/>
      <c r="BR45" s="97"/>
    </row>
    <row r="46" ht="24" customHeight="1" spans="2:70">
      <c r="B46" s="217" t="s">
        <v>125</v>
      </c>
      <c r="C46" s="217" t="s">
        <v>126</v>
      </c>
      <c r="D46" s="218" t="s">
        <v>127</v>
      </c>
      <c r="E46" s="217" t="s">
        <v>128</v>
      </c>
      <c r="F46" s="122" t="s">
        <v>129</v>
      </c>
      <c r="G46" s="122"/>
      <c r="H46" s="122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122"/>
      <c r="BN46" s="41"/>
      <c r="BO46" s="122"/>
      <c r="BP46" s="122"/>
      <c r="BQ46" s="97"/>
      <c r="BR46" s="97"/>
    </row>
    <row r="47" ht="24" customHeight="1" spans="2:70">
      <c r="B47" s="219">
        <v>1</v>
      </c>
      <c r="C47" s="220">
        <f t="shared" ref="C47:C56" si="0">IF($D$12&gt;=B47,$D$38*F47*$D$36*12,0)</f>
        <v>9550.464</v>
      </c>
      <c r="D47" s="221">
        <f t="shared" ref="D47:D56" si="1">C47-E47</f>
        <v>9550.464</v>
      </c>
      <c r="E47" s="220">
        <f>IF($D$12&gt;=B47,IF(SUM($C$47:C47)-($D$36*$D$37*12*$D$12)&gt;0,(SUM($C$47:C47)-($D$36*$D$37*12*$D$12))*$D$34,0),0)</f>
        <v>0</v>
      </c>
      <c r="F47" s="222">
        <f t="shared" ref="F47:F56" si="2">VLOOKUP($D$23,BK:BL,2,0)*VLOOKUP(B47,BG:BL,2,0)</f>
        <v>0.748</v>
      </c>
      <c r="G47" s="122"/>
      <c r="H47" s="122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122"/>
      <c r="BN47" s="41"/>
      <c r="BO47" s="122"/>
      <c r="BP47" s="122"/>
      <c r="BQ47" s="97"/>
      <c r="BR47" s="97"/>
    </row>
    <row r="48" ht="24" customHeight="1" spans="2:70">
      <c r="B48" s="219">
        <v>2</v>
      </c>
      <c r="C48" s="220">
        <f t="shared" si="0"/>
        <v>10983.0336</v>
      </c>
      <c r="D48" s="221">
        <f t="shared" si="1"/>
        <v>10983.0336</v>
      </c>
      <c r="E48" s="220">
        <f>IF($D$12&gt;=B48,IF(SUM($C$47:C48)-($D$36*$D$37*12*$D$12)&gt;0,(SUM($C$47:C48)-($D$36*$D$37*12*$D$12))*$D$34-SUM($E$47:E47),0),0)</f>
        <v>0</v>
      </c>
      <c r="F48" s="222">
        <f t="shared" si="2"/>
        <v>0.8602</v>
      </c>
      <c r="G48" s="122"/>
      <c r="H48" s="122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122"/>
      <c r="BN48" s="41"/>
      <c r="BO48" s="122"/>
      <c r="BP48" s="122"/>
      <c r="BQ48" s="97"/>
      <c r="BR48" s="97"/>
    </row>
    <row r="49" ht="24" customHeight="1" spans="2:70">
      <c r="B49" s="219">
        <v>3</v>
      </c>
      <c r="C49" s="220">
        <f t="shared" si="0"/>
        <v>11938.08</v>
      </c>
      <c r="D49" s="221">
        <f t="shared" si="1"/>
        <v>11938.08</v>
      </c>
      <c r="E49" s="220">
        <f>IF($D$12&gt;=B49,IF(SUM($C$47:C49)-($D$36*$D$37*12*$D$12)&gt;0,(SUM($C$47:C49)-($D$36*$D$37*12*$D$12))*$D$34-SUM($E$47:E48),0),0)</f>
        <v>0</v>
      </c>
      <c r="F49" s="222">
        <f t="shared" si="2"/>
        <v>0.935</v>
      </c>
      <c r="G49" s="122"/>
      <c r="H49" s="122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122"/>
      <c r="BN49" s="41"/>
      <c r="BO49" s="122"/>
      <c r="BP49" s="122"/>
      <c r="BQ49" s="97"/>
      <c r="BR49" s="97"/>
    </row>
    <row r="50" ht="24" customHeight="1" spans="2:70">
      <c r="B50" s="219">
        <v>4</v>
      </c>
      <c r="C50" s="220">
        <f t="shared" si="0"/>
        <v>11938.08</v>
      </c>
      <c r="D50" s="221">
        <f t="shared" si="1"/>
        <v>11938.08</v>
      </c>
      <c r="E50" s="220">
        <f>IF($D$12&gt;=B50,IF(SUM($C$47:C50)-($D$36*$D$37*12*$D$12)&gt;0,(SUM($C$47:C50)-($D$36*$D$37*12*$D$12))*$D$34-SUM($E$47:E49),0),0)</f>
        <v>0</v>
      </c>
      <c r="F50" s="222">
        <f t="shared" si="2"/>
        <v>0.935</v>
      </c>
      <c r="G50" s="122"/>
      <c r="H50" s="122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122"/>
      <c r="BN50" s="41"/>
      <c r="BO50" s="122"/>
      <c r="BP50" s="122"/>
      <c r="BQ50" s="97"/>
      <c r="BR50" s="97"/>
    </row>
    <row r="51" ht="24" customHeight="1" spans="2:70">
      <c r="B51" s="219">
        <v>5</v>
      </c>
      <c r="C51" s="220">
        <f t="shared" si="0"/>
        <v>11938.08</v>
      </c>
      <c r="D51" s="221">
        <f t="shared" si="1"/>
        <v>11938.08</v>
      </c>
      <c r="E51" s="220">
        <f>IF($D$12&gt;=B51,IF(SUM($C$47:C51)-($D$36*$D$37*12*$D$12)&gt;0,(SUM($C$47:C51)-($D$36*$D$37*12*$D$12))*$D$34-SUM($E$47:E50),0),0)</f>
        <v>0</v>
      </c>
      <c r="F51" s="222">
        <f t="shared" si="2"/>
        <v>0.935</v>
      </c>
      <c r="G51" s="122"/>
      <c r="H51" s="122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122"/>
      <c r="BN51" s="41"/>
      <c r="BO51" s="122"/>
      <c r="BP51" s="122"/>
      <c r="BQ51" s="97"/>
      <c r="BR51" s="97"/>
    </row>
    <row r="52" ht="24" customHeight="1" spans="2:70">
      <c r="B52" s="219">
        <v>6</v>
      </c>
      <c r="C52" s="220">
        <f t="shared" si="0"/>
        <v>0</v>
      </c>
      <c r="D52" s="221">
        <f t="shared" si="1"/>
        <v>0</v>
      </c>
      <c r="E52" s="220">
        <f>IF($D$12&gt;=B52,IF(SUM($C$47:C52)-($D$36*$D$37*12*$D$12)&gt;0,(SUM($C$47:C52)-($D$36*$D$37*12*$D$12))*$D$34-SUM($E$47:E51),0),0)</f>
        <v>0</v>
      </c>
      <c r="F52" s="222">
        <f t="shared" si="2"/>
        <v>0.935</v>
      </c>
      <c r="G52" s="122"/>
      <c r="H52" s="122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122"/>
      <c r="BN52" s="41"/>
      <c r="BO52" s="122"/>
      <c r="BP52" s="122"/>
      <c r="BQ52" s="97"/>
      <c r="BR52" s="97"/>
    </row>
    <row r="53" ht="24" customHeight="1" spans="2:70">
      <c r="B53" s="223">
        <v>7</v>
      </c>
      <c r="C53" s="224">
        <f t="shared" si="0"/>
        <v>0</v>
      </c>
      <c r="D53" s="221">
        <f t="shared" si="1"/>
        <v>0</v>
      </c>
      <c r="E53" s="220">
        <f>IF($D$12&gt;=B53,IF(SUM($C$47:C53)-($D$36*$D$37*12*$D$12)&gt;0,(SUM($C$47:C53)-($D$36*$D$37*12*$D$12))*$D$34-SUM($E$47:E52),0),0)</f>
        <v>0</v>
      </c>
      <c r="F53" s="222">
        <f t="shared" si="2"/>
        <v>0.935</v>
      </c>
      <c r="G53" s="122"/>
      <c r="H53" s="122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41"/>
      <c r="BK53" s="41"/>
      <c r="BL53" s="41"/>
      <c r="BM53" s="122"/>
      <c r="BN53" s="41"/>
      <c r="BO53" s="122"/>
      <c r="BP53" s="122"/>
      <c r="BQ53" s="97"/>
      <c r="BR53" s="97"/>
    </row>
    <row r="54" ht="24" customHeight="1" spans="2:70">
      <c r="B54" s="223">
        <v>8</v>
      </c>
      <c r="C54" s="224">
        <f t="shared" si="0"/>
        <v>0</v>
      </c>
      <c r="D54" s="221">
        <f t="shared" si="1"/>
        <v>0</v>
      </c>
      <c r="E54" s="220">
        <f>IF($D$12&gt;=B54,IF(SUM($C$47:C54)-($D$36*$D$37*12*$D$12)&gt;0,(SUM($C$47:C54)-($D$36*$D$37*12*$D$12))*$D$34-SUM($E$47:E53),0),0)</f>
        <v>0</v>
      </c>
      <c r="F54" s="222">
        <f t="shared" si="2"/>
        <v>0.935</v>
      </c>
      <c r="G54" s="122"/>
      <c r="H54" s="122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41"/>
      <c r="BK54" s="41"/>
      <c r="BL54" s="41"/>
      <c r="BM54" s="122"/>
      <c r="BN54" s="41"/>
      <c r="BO54" s="122"/>
      <c r="BP54" s="122"/>
      <c r="BQ54" s="97"/>
      <c r="BR54" s="97"/>
    </row>
    <row r="55" ht="24" customHeight="1" spans="2:70">
      <c r="B55" s="223">
        <v>9</v>
      </c>
      <c r="C55" s="224">
        <f t="shared" si="0"/>
        <v>0</v>
      </c>
      <c r="D55" s="221">
        <f t="shared" si="1"/>
        <v>0</v>
      </c>
      <c r="E55" s="220">
        <f>IF($D$12&gt;=B55,IF(SUM($C$47:C55)-($D$36*$D$37*12*$D$12)&gt;0,(SUM($C$47:C55)-($D$36*$D$37*12*$D$12))*$D$34-SUM($E$47:E54),0),0)</f>
        <v>0</v>
      </c>
      <c r="F55" s="222">
        <f t="shared" si="2"/>
        <v>0.935</v>
      </c>
      <c r="G55" s="122"/>
      <c r="H55" s="122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41"/>
      <c r="BK55" s="41"/>
      <c r="BL55" s="41"/>
      <c r="BM55" s="122"/>
      <c r="BN55" s="41"/>
      <c r="BO55" s="122"/>
      <c r="BP55" s="122"/>
      <c r="BQ55" s="97"/>
      <c r="BR55" s="97"/>
    </row>
    <row r="56" ht="24" customHeight="1" spans="2:70">
      <c r="B56" s="225">
        <v>10</v>
      </c>
      <c r="C56" s="226">
        <f t="shared" si="0"/>
        <v>0</v>
      </c>
      <c r="D56" s="227">
        <f t="shared" si="1"/>
        <v>0</v>
      </c>
      <c r="E56" s="226">
        <f>IF($D$12&gt;=B56,IF(SUM($C$47:C56)-($D$36*$D$37*12*$D$12)&gt;0,(SUM($C$47:C56)-($D$36*$D$37*12*$D$12))*$D$34-SUM($E$47:E55),0),0)</f>
        <v>0</v>
      </c>
      <c r="F56" s="222">
        <f t="shared" si="2"/>
        <v>0.935</v>
      </c>
      <c r="G56" s="122"/>
      <c r="H56" s="122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41"/>
      <c r="BK56" s="41"/>
      <c r="BL56" s="41"/>
      <c r="BM56" s="122"/>
      <c r="BN56" s="41"/>
      <c r="BO56" s="122"/>
      <c r="BP56" s="122"/>
      <c r="BQ56" s="97"/>
      <c r="BR56" s="97"/>
    </row>
    <row r="57" ht="24" customHeight="1" spans="2:70">
      <c r="B57" s="228" t="s">
        <v>130</v>
      </c>
      <c r="C57" s="229">
        <f>SUM(C47:C56)</f>
        <v>56347.7376</v>
      </c>
      <c r="D57" s="230">
        <f>SUM(D47:D52)</f>
        <v>56347.7376</v>
      </c>
      <c r="E57" s="231">
        <f>SUM(E47:E52)</f>
        <v>0</v>
      </c>
      <c r="F57" s="122"/>
      <c r="G57" s="122"/>
      <c r="H57" s="122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41"/>
      <c r="BK57" s="41"/>
      <c r="BL57" s="41"/>
      <c r="BM57" s="122"/>
      <c r="BN57" s="41"/>
      <c r="BO57" s="122"/>
      <c r="BP57" s="122"/>
      <c r="BQ57" s="97"/>
      <c r="BR57" s="97"/>
    </row>
  </sheetData>
  <mergeCells count="18">
    <mergeCell ref="B2:E2"/>
    <mergeCell ref="B3:E3"/>
    <mergeCell ref="B4:C4"/>
    <mergeCell ref="D4:E4"/>
    <mergeCell ref="G4:H4"/>
    <mergeCell ref="B5:C5"/>
    <mergeCell ref="D5:E5"/>
    <mergeCell ref="B6:C6"/>
    <mergeCell ref="D6:E6"/>
    <mergeCell ref="B7:E7"/>
    <mergeCell ref="BG8:BN8"/>
    <mergeCell ref="BG9:BI9"/>
    <mergeCell ref="BK9:BL9"/>
    <mergeCell ref="B9:B17"/>
    <mergeCell ref="B18:B25"/>
    <mergeCell ref="B26:B34"/>
    <mergeCell ref="B36:B43"/>
    <mergeCell ref="H7:H8"/>
  </mergeCells>
  <dataValidations count="6">
    <dataValidation type="list" allowBlank="1" showErrorMessage="1" sqref="D12">
      <formula1>"3,4,5,6,7,8,9,10"</formula1>
    </dataValidation>
    <dataValidation type="list" allowBlank="1" showErrorMessage="1" sqref="D15">
      <formula1>"1%,3%,5%,6%,9%"</formula1>
    </dataValidation>
    <dataValidation type="list" allowBlank="1" showErrorMessage="1" sqref="D23">
      <formula1>$BK$11:$BK$22</formula1>
    </dataValidation>
    <dataValidation type="list" allowBlank="1" showErrorMessage="1" sqref="D26">
      <formula1>"0%,10%,20%,30%,40%,50%,60%,70%,80%,90%,100%"</formula1>
    </dataValidation>
    <dataValidation type="list" allowBlank="1" showErrorMessage="1" sqref="D34">
      <formula1>"0%,20%,30%,40%,50%,60%,70%,80%"</formula1>
    </dataValidation>
    <dataValidation type="list" allowBlank="1" showErrorMessage="1" sqref="D35">
      <formula1>"20%,30%,40%,50%,60%,70%,80%"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4:N22"/>
  <sheetViews>
    <sheetView workbookViewId="0">
      <selection activeCell="A1" sqref="A1"/>
    </sheetView>
  </sheetViews>
  <sheetFormatPr defaultColWidth="14" defaultRowHeight="12.75"/>
  <cols>
    <col min="2" max="2" width="24" customWidth="1"/>
    <col min="4" max="4" width="45" customWidth="1"/>
    <col min="5" max="5" width="10" customWidth="1"/>
    <col min="6" max="6" width="13" customWidth="1"/>
    <col min="7" max="7" width="22" customWidth="1"/>
    <col min="8" max="8" width="14" customWidth="1"/>
    <col min="9" max="9" width="35" customWidth="1"/>
    <col min="10" max="11" width="14" customWidth="1"/>
  </cols>
  <sheetData>
    <row r="4" ht="14.25" spans="1:14">
      <c r="A4" s="85" t="s">
        <v>40</v>
      </c>
      <c r="B4" s="86" t="s">
        <v>41</v>
      </c>
      <c r="C4" s="87" t="s">
        <v>42</v>
      </c>
      <c r="D4" s="87" t="s">
        <v>43</v>
      </c>
      <c r="F4" s="88" t="s">
        <v>107</v>
      </c>
      <c r="G4" s="89" t="s">
        <v>108</v>
      </c>
      <c r="H4" s="90">
        <f>C19</f>
        <v>9</v>
      </c>
      <c r="I4" s="91" t="s">
        <v>131</v>
      </c>
    </row>
    <row r="5" ht="14.25" spans="1:14">
      <c r="A5" s="92" t="s">
        <v>45</v>
      </c>
      <c r="B5" s="93" t="s">
        <v>46</v>
      </c>
      <c r="C5" s="94">
        <v>142858</v>
      </c>
      <c r="D5" s="95" t="s">
        <v>132</v>
      </c>
      <c r="F5" s="88"/>
      <c r="G5" s="89" t="s">
        <v>110</v>
      </c>
      <c r="H5" s="90">
        <f>C18</f>
        <v>280</v>
      </c>
      <c r="I5" s="91" t="s">
        <v>111</v>
      </c>
      <c r="J5" s="96"/>
      <c r="K5" s="96"/>
      <c r="L5" s="96" t="s">
        <v>49</v>
      </c>
      <c r="M5" s="96"/>
      <c r="N5" s="97"/>
    </row>
    <row r="6" ht="19" customHeight="1" spans="1:14">
      <c r="A6" s="92"/>
      <c r="B6" s="93" t="s">
        <v>133</v>
      </c>
      <c r="C6" s="94">
        <v>0</v>
      </c>
      <c r="D6" s="95" t="s">
        <v>134</v>
      </c>
      <c r="F6" s="88"/>
      <c r="G6" s="89" t="s">
        <v>112</v>
      </c>
      <c r="H6" s="90">
        <f>C16*C22</f>
        <v>532</v>
      </c>
      <c r="I6" s="91" t="s">
        <v>113</v>
      </c>
      <c r="J6" s="98"/>
      <c r="K6" s="98"/>
      <c r="L6" s="98" t="s">
        <v>55</v>
      </c>
      <c r="M6" s="98" t="s">
        <v>53</v>
      </c>
      <c r="N6" s="97" t="s">
        <v>56</v>
      </c>
    </row>
    <row r="7" ht="19" customHeight="1" spans="1:14">
      <c r="A7" s="92"/>
      <c r="B7" s="93" t="s">
        <v>135</v>
      </c>
      <c r="C7" s="94">
        <f>C6+C5</f>
        <v>142858</v>
      </c>
      <c r="D7" s="95" t="s">
        <v>136</v>
      </c>
      <c r="F7" s="88"/>
      <c r="G7" s="89" t="s">
        <v>114</v>
      </c>
      <c r="H7" s="99">
        <f>C21/(H6*C19)</f>
        <v>36.9548872180451</v>
      </c>
      <c r="I7" s="91" t="s">
        <v>137</v>
      </c>
      <c r="J7" s="98"/>
      <c r="K7" s="98"/>
      <c r="L7" s="98">
        <v>4</v>
      </c>
      <c r="M7" s="100">
        <v>0.99</v>
      </c>
      <c r="N7" s="101">
        <v>1.1</v>
      </c>
    </row>
    <row r="8" ht="25.5" spans="1:14">
      <c r="A8" s="92"/>
      <c r="B8" s="93" t="s">
        <v>59</v>
      </c>
      <c r="C8" s="94">
        <v>5</v>
      </c>
      <c r="D8" s="95" t="s">
        <v>138</v>
      </c>
      <c r="F8" s="88"/>
      <c r="G8" s="89" t="s">
        <v>116</v>
      </c>
      <c r="H8" s="99">
        <f>C19*H6*12*C8*65%</f>
        <v>186732</v>
      </c>
      <c r="I8" s="102" t="s">
        <v>117</v>
      </c>
      <c r="J8" s="98"/>
      <c r="K8" s="98"/>
      <c r="L8" s="98">
        <v>4.5</v>
      </c>
      <c r="M8" s="100">
        <v>0.985</v>
      </c>
      <c r="N8" s="101">
        <v>1.15</v>
      </c>
    </row>
    <row r="9" ht="14.25" spans="1:14">
      <c r="A9" s="92"/>
      <c r="B9" s="93" t="s">
        <v>65</v>
      </c>
      <c r="C9" s="103">
        <v>0.05</v>
      </c>
      <c r="D9" s="95" t="s">
        <v>66</v>
      </c>
      <c r="F9" s="88"/>
      <c r="G9" s="89" t="s">
        <v>118</v>
      </c>
      <c r="H9" s="99">
        <f>H8-C21</f>
        <v>9792</v>
      </c>
      <c r="I9" s="102" t="s">
        <v>119</v>
      </c>
      <c r="J9" s="98"/>
      <c r="K9" s="98"/>
      <c r="L9" s="98">
        <v>5</v>
      </c>
      <c r="M9" s="100">
        <v>0.98</v>
      </c>
      <c r="N9" s="101">
        <v>1.2</v>
      </c>
    </row>
    <row r="10" ht="19" customHeight="1" spans="1:14">
      <c r="A10" s="92"/>
      <c r="B10" s="93" t="s">
        <v>67</v>
      </c>
      <c r="C10" s="104">
        <f>(9%-C9)*C7</f>
        <v>5714.32</v>
      </c>
      <c r="D10" s="105" t="s">
        <v>68</v>
      </c>
      <c r="F10" s="88"/>
      <c r="G10" s="89" t="s">
        <v>120</v>
      </c>
      <c r="H10" s="106">
        <f>H9/C21</f>
        <v>0.0553407934893184</v>
      </c>
      <c r="I10" s="91" t="s">
        <v>121</v>
      </c>
      <c r="J10" s="98"/>
      <c r="K10" s="98"/>
      <c r="L10" s="98">
        <v>5.5</v>
      </c>
      <c r="M10" s="100">
        <v>0.975</v>
      </c>
      <c r="N10" s="101">
        <v>1.25</v>
      </c>
    </row>
    <row r="11" ht="14.25" spans="1:14">
      <c r="A11" s="107"/>
      <c r="B11" s="108" t="s">
        <v>69</v>
      </c>
      <c r="C11" s="109">
        <f>C10+C7</f>
        <v>148572.32</v>
      </c>
      <c r="D11" s="105" t="s">
        <v>139</v>
      </c>
      <c r="J11" s="98"/>
      <c r="K11" s="98"/>
      <c r="L11" s="98">
        <v>6</v>
      </c>
      <c r="M11" s="100">
        <v>0.97</v>
      </c>
      <c r="N11" s="101">
        <v>1.28</v>
      </c>
    </row>
    <row r="12" ht="14.25" spans="1:14">
      <c r="A12" s="110" t="s">
        <v>71</v>
      </c>
      <c r="B12" s="111" t="s">
        <v>72</v>
      </c>
      <c r="C12" s="112">
        <v>400</v>
      </c>
      <c r="D12" s="113" t="s">
        <v>73</v>
      </c>
      <c r="G12" s="98"/>
      <c r="H12" s="98"/>
      <c r="I12" s="98"/>
      <c r="J12" s="98"/>
      <c r="K12" s="98"/>
      <c r="L12" s="98">
        <v>6.5</v>
      </c>
      <c r="M12" s="100">
        <v>0.94</v>
      </c>
      <c r="N12" s="101">
        <v>1.3</v>
      </c>
    </row>
    <row r="13" ht="14.25" spans="1:14">
      <c r="A13" s="110"/>
      <c r="B13" s="111" t="s">
        <v>74</v>
      </c>
      <c r="C13" s="112">
        <f>8000*12</f>
        <v>96000</v>
      </c>
      <c r="D13" s="114" t="s">
        <v>75</v>
      </c>
      <c r="G13" s="115" t="s">
        <v>140</v>
      </c>
      <c r="H13" s="98"/>
      <c r="I13" s="98"/>
      <c r="J13" s="98"/>
      <c r="K13" s="98"/>
      <c r="L13" s="98">
        <v>7</v>
      </c>
      <c r="M13" s="100">
        <v>0.935</v>
      </c>
      <c r="N13" s="101">
        <v>1.33</v>
      </c>
    </row>
    <row r="14" ht="14.25" spans="1:14">
      <c r="A14" s="110"/>
      <c r="B14" s="111" t="s">
        <v>76</v>
      </c>
      <c r="C14" s="112">
        <v>50</v>
      </c>
      <c r="D14" s="113" t="s">
        <v>77</v>
      </c>
      <c r="G14" s="115" t="s">
        <v>141</v>
      </c>
      <c r="H14" s="98"/>
      <c r="I14" s="98"/>
      <c r="J14" s="98"/>
      <c r="K14" s="98"/>
      <c r="L14" s="98">
        <v>7.5</v>
      </c>
      <c r="M14" s="100">
        <v>0.92</v>
      </c>
      <c r="N14" s="101">
        <v>1.35</v>
      </c>
    </row>
    <row r="15" ht="14.25" spans="1:14">
      <c r="A15" s="110"/>
      <c r="B15" s="111" t="s">
        <v>78</v>
      </c>
      <c r="C15" s="116">
        <f>C13/C14/12</f>
        <v>160</v>
      </c>
      <c r="D15" s="113" t="s">
        <v>79</v>
      </c>
      <c r="G15" s="98"/>
      <c r="H15" s="98"/>
      <c r="I15" s="98"/>
      <c r="J15" s="98"/>
      <c r="K15" s="98"/>
      <c r="L15" s="98">
        <v>8</v>
      </c>
      <c r="M15" s="100">
        <v>0.915</v>
      </c>
      <c r="N15" s="101">
        <v>1.4</v>
      </c>
    </row>
    <row r="16" ht="14.25" spans="1:14">
      <c r="A16" s="110"/>
      <c r="B16" s="111" t="s">
        <v>80</v>
      </c>
      <c r="C16" s="112">
        <v>400</v>
      </c>
      <c r="D16" s="113" t="s">
        <v>81</v>
      </c>
      <c r="G16" s="98"/>
      <c r="H16" s="98"/>
      <c r="I16" s="98"/>
      <c r="J16" s="98"/>
      <c r="K16" s="98"/>
      <c r="L16" s="98">
        <v>8.5</v>
      </c>
      <c r="M16" s="100">
        <v>0.91</v>
      </c>
      <c r="N16" s="101">
        <v>1.45</v>
      </c>
    </row>
    <row r="17" ht="49.5" spans="1:14">
      <c r="A17" s="110"/>
      <c r="B17" s="111" t="s">
        <v>82</v>
      </c>
      <c r="C17" s="112">
        <v>7</v>
      </c>
      <c r="D17" s="114" t="s">
        <v>83</v>
      </c>
      <c r="H17" s="98"/>
      <c r="I17" s="98"/>
      <c r="J17" s="98"/>
      <c r="K17" s="98"/>
      <c r="L17" s="98">
        <v>9</v>
      </c>
      <c r="M17" s="100">
        <v>0.905</v>
      </c>
      <c r="N17" s="117">
        <v>1.48</v>
      </c>
    </row>
    <row r="18" ht="14.25" spans="1:14">
      <c r="A18" s="110"/>
      <c r="B18" s="111" t="s">
        <v>86</v>
      </c>
      <c r="C18" s="118">
        <f>C16*C17*0.1</f>
        <v>280</v>
      </c>
      <c r="D18" s="114" t="s">
        <v>87</v>
      </c>
      <c r="H18" s="98"/>
      <c r="I18" s="98"/>
      <c r="J18" s="98"/>
      <c r="K18" s="98"/>
      <c r="L18" s="98">
        <v>9.5</v>
      </c>
      <c r="M18" s="100">
        <v>0.9</v>
      </c>
      <c r="N18" s="117">
        <v>1.5</v>
      </c>
    </row>
    <row r="19" spans="1:14">
      <c r="A19" s="119" t="s">
        <v>88</v>
      </c>
      <c r="B19" s="111" t="s">
        <v>93</v>
      </c>
      <c r="C19" s="118">
        <f>IF(ROUNDUP(C11/C8/12/C18,0)=0,1,ROUNDUP(C11/C8/12/C18,0))</f>
        <v>9</v>
      </c>
      <c r="D19" s="113" t="s">
        <v>142</v>
      </c>
    </row>
    <row r="20" spans="1:14">
      <c r="A20" s="119"/>
      <c r="B20" s="111" t="s">
        <v>143</v>
      </c>
      <c r="C20" s="116">
        <f>C18+(C19*2060+C19*800)/12/C8/C19</f>
        <v>327.666666666667</v>
      </c>
      <c r="D20" s="113" t="s">
        <v>101</v>
      </c>
    </row>
    <row r="21" spans="1:14">
      <c r="A21" s="119"/>
      <c r="B21" s="111" t="s">
        <v>102</v>
      </c>
      <c r="C21" s="118">
        <f>C19*C20*12*C8</f>
        <v>176940</v>
      </c>
      <c r="D21" s="113" t="s">
        <v>103</v>
      </c>
    </row>
    <row r="22" spans="1:14">
      <c r="A22" s="119"/>
      <c r="B22" s="111" t="s">
        <v>56</v>
      </c>
      <c r="C22" s="118">
        <f>VLOOKUP(C17,L:N,3,0)</f>
        <v>1.33</v>
      </c>
      <c r="D22" s="113" t="s">
        <v>104</v>
      </c>
    </row>
  </sheetData>
  <mergeCells count="5">
    <mergeCell ref="L5:M5"/>
    <mergeCell ref="A5:A11"/>
    <mergeCell ref="A12:A18"/>
    <mergeCell ref="A19:A22"/>
    <mergeCell ref="F4:F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9"/>
  <sheetViews>
    <sheetView workbookViewId="0">
      <selection activeCell="E28" sqref="E28"/>
    </sheetView>
  </sheetViews>
  <sheetFormatPr defaultColWidth="14" defaultRowHeight="12.75"/>
  <cols>
    <col min="2" max="2" width="27" customWidth="1"/>
    <col min="3" max="3" width="33" customWidth="1"/>
    <col min="4" max="4" width="49" customWidth="1"/>
  </cols>
  <sheetData>
    <row r="1" ht="25.5" spans="1:13">
      <c r="A1" s="62" t="s">
        <v>144</v>
      </c>
      <c r="B1" s="62"/>
      <c r="C1" s="62"/>
      <c r="D1" s="62"/>
      <c r="F1" s="63" t="s">
        <v>145</v>
      </c>
      <c r="G1" s="64"/>
      <c r="H1" s="64"/>
      <c r="I1" s="64"/>
      <c r="J1" s="60"/>
      <c r="K1" s="60"/>
      <c r="L1" s="60"/>
      <c r="M1" s="60"/>
    </row>
    <row r="2" ht="15.75" spans="1:13">
      <c r="A2" s="65" t="s">
        <v>146</v>
      </c>
      <c r="B2" s="66" t="s">
        <v>147</v>
      </c>
      <c r="C2" s="66"/>
      <c r="D2" s="66"/>
      <c r="F2" s="63"/>
      <c r="G2" s="64"/>
      <c r="H2" s="64"/>
      <c r="I2" s="64"/>
      <c r="J2" s="60"/>
      <c r="K2" s="60"/>
      <c r="L2" s="60"/>
      <c r="M2" s="60"/>
    </row>
    <row r="3" ht="15.75" spans="1:13">
      <c r="A3" s="65" t="s">
        <v>148</v>
      </c>
      <c r="B3" s="66" t="s">
        <v>149</v>
      </c>
      <c r="C3" s="66"/>
      <c r="D3" s="66"/>
      <c r="F3" s="67"/>
      <c r="G3" s="67"/>
      <c r="H3" s="67"/>
      <c r="I3" s="67"/>
      <c r="J3" s="67"/>
      <c r="K3" s="67"/>
      <c r="L3" s="67"/>
      <c r="M3" s="67"/>
    </row>
    <row r="4" ht="22" customHeight="1" spans="1:13">
      <c r="A4" s="68" t="s">
        <v>150</v>
      </c>
      <c r="B4" s="68"/>
      <c r="C4" s="68"/>
      <c r="D4" s="68"/>
      <c r="F4" s="69"/>
      <c r="G4" s="60"/>
      <c r="H4" s="60"/>
      <c r="I4" s="60"/>
      <c r="J4" s="60"/>
      <c r="K4" s="60"/>
      <c r="L4" s="60"/>
      <c r="M4" s="60"/>
    </row>
    <row r="5" ht="15.75" spans="1:13">
      <c r="A5" s="70" t="s">
        <v>1</v>
      </c>
      <c r="B5" s="70" t="s">
        <v>151</v>
      </c>
      <c r="C5" s="70" t="s">
        <v>152</v>
      </c>
      <c r="D5" s="70" t="s">
        <v>34</v>
      </c>
      <c r="F5" s="69" t="s">
        <v>153</v>
      </c>
      <c r="G5" s="60"/>
      <c r="H5" s="60"/>
      <c r="I5" s="60"/>
      <c r="J5" s="60"/>
      <c r="K5" s="60"/>
      <c r="L5" s="60"/>
      <c r="M5" s="60"/>
    </row>
    <row r="6" ht="15.75" spans="1:13">
      <c r="A6" s="56">
        <v>1.1</v>
      </c>
      <c r="B6" s="71" t="s">
        <v>9</v>
      </c>
      <c r="C6" s="72" t="s">
        <v>154</v>
      </c>
      <c r="D6" s="71" t="s">
        <v>10</v>
      </c>
      <c r="F6" s="64"/>
      <c r="G6" s="64"/>
      <c r="H6" s="64"/>
      <c r="I6" s="64"/>
      <c r="J6" s="64"/>
      <c r="K6" s="64"/>
      <c r="L6" s="64"/>
      <c r="M6" s="64"/>
    </row>
    <row r="7" ht="15.75" spans="1:13">
      <c r="A7" s="56">
        <v>1.2</v>
      </c>
      <c r="B7" s="71" t="s">
        <v>11</v>
      </c>
      <c r="C7" s="72" t="s">
        <v>155</v>
      </c>
      <c r="D7" s="71" t="s">
        <v>156</v>
      </c>
      <c r="F7" s="64"/>
      <c r="G7" s="64"/>
      <c r="H7" s="64"/>
      <c r="I7" s="64"/>
      <c r="J7" s="64"/>
      <c r="K7" s="64"/>
      <c r="L7" s="64"/>
      <c r="M7" s="64"/>
    </row>
    <row r="8" ht="15.75" spans="1:13">
      <c r="A8" s="56">
        <v>1.3</v>
      </c>
      <c r="B8" s="71" t="s">
        <v>157</v>
      </c>
      <c r="C8" s="73" t="s">
        <v>158</v>
      </c>
      <c r="D8" s="71" t="s">
        <v>159</v>
      </c>
      <c r="F8" s="64"/>
      <c r="G8" s="64"/>
      <c r="H8" s="64"/>
      <c r="I8" s="64"/>
      <c r="J8" s="64"/>
      <c r="K8" s="64"/>
      <c r="L8" s="64"/>
      <c r="M8" s="64"/>
    </row>
    <row r="9" ht="42.75" spans="1:13">
      <c r="A9" s="56">
        <v>1.4</v>
      </c>
      <c r="B9" s="71" t="s">
        <v>160</v>
      </c>
      <c r="C9" s="74" t="s">
        <v>161</v>
      </c>
      <c r="D9" s="71" t="s">
        <v>162</v>
      </c>
      <c r="F9" s="64"/>
      <c r="G9" s="64"/>
      <c r="H9" s="64"/>
      <c r="I9" s="64"/>
      <c r="J9" s="64"/>
      <c r="K9" s="64"/>
      <c r="L9" s="64"/>
      <c r="M9" s="64"/>
    </row>
    <row r="10" ht="20" customHeight="1" spans="1:13">
      <c r="A10" s="56">
        <v>1.5</v>
      </c>
      <c r="B10" s="75" t="s">
        <v>163</v>
      </c>
      <c r="C10" s="76"/>
      <c r="D10" s="75" t="s">
        <v>164</v>
      </c>
      <c r="F10" s="64"/>
      <c r="G10" s="64"/>
      <c r="H10" s="64"/>
      <c r="I10" s="64"/>
      <c r="J10" s="64"/>
      <c r="K10" s="64"/>
      <c r="L10" s="64"/>
      <c r="M10" s="64"/>
    </row>
    <row r="11" ht="15.75" spans="1:13">
      <c r="A11" s="56">
        <v>1.6</v>
      </c>
      <c r="B11" s="75" t="s">
        <v>165</v>
      </c>
      <c r="C11" s="76" t="s">
        <v>166</v>
      </c>
      <c r="D11" s="75" t="s">
        <v>167</v>
      </c>
      <c r="F11" s="64"/>
      <c r="G11" s="64"/>
      <c r="H11" s="64"/>
      <c r="I11" s="64"/>
      <c r="J11" s="64"/>
      <c r="K11" s="64"/>
      <c r="L11" s="64"/>
      <c r="M11" s="64"/>
    </row>
    <row r="12" ht="15.75" spans="1:13">
      <c r="A12" s="56">
        <v>1.7</v>
      </c>
      <c r="B12" s="75" t="s">
        <v>168</v>
      </c>
      <c r="C12" s="76" t="s">
        <v>166</v>
      </c>
      <c r="D12" s="75" t="s">
        <v>169</v>
      </c>
      <c r="F12" s="64"/>
      <c r="G12" s="64"/>
      <c r="H12" s="64"/>
      <c r="I12" s="64"/>
      <c r="J12" s="64"/>
      <c r="K12" s="64"/>
      <c r="L12" s="64"/>
      <c r="M12" s="64"/>
    </row>
    <row r="13" ht="15.75" spans="1:13">
      <c r="A13" s="68" t="s">
        <v>170</v>
      </c>
      <c r="B13" s="68"/>
      <c r="C13" s="68"/>
      <c r="D13" s="68"/>
      <c r="F13" s="69"/>
      <c r="G13" s="60"/>
      <c r="H13" s="60"/>
      <c r="I13" s="60"/>
      <c r="J13" s="60"/>
      <c r="K13" s="60"/>
      <c r="L13" s="60"/>
      <c r="M13" s="60"/>
    </row>
    <row r="14" ht="14.25" spans="1:13">
      <c r="A14" s="77" t="s">
        <v>171</v>
      </c>
      <c r="B14" s="77" t="s">
        <v>172</v>
      </c>
      <c r="C14" s="78" t="s">
        <v>173</v>
      </c>
      <c r="D14" s="77" t="s">
        <v>174</v>
      </c>
    </row>
    <row r="15" ht="14.25" spans="1:13">
      <c r="A15" s="79">
        <v>1</v>
      </c>
      <c r="B15" s="80"/>
      <c r="C15" s="80"/>
      <c r="D15" s="81" t="s">
        <v>175</v>
      </c>
    </row>
    <row r="16" ht="14.25" spans="1:13">
      <c r="A16" s="79">
        <v>2</v>
      </c>
      <c r="B16" s="80"/>
      <c r="C16" s="80"/>
      <c r="D16" s="81"/>
    </row>
    <row r="17" ht="14.25" spans="1:4">
      <c r="A17" s="79">
        <v>3</v>
      </c>
      <c r="B17" s="80"/>
      <c r="C17" s="80"/>
      <c r="D17" s="81"/>
    </row>
    <row r="18" ht="14.25" spans="1:4">
      <c r="A18" s="79">
        <v>4</v>
      </c>
      <c r="B18" s="80"/>
      <c r="C18" s="80"/>
      <c r="D18" s="81"/>
    </row>
    <row r="19" ht="14.25" spans="1:4">
      <c r="A19" s="79">
        <v>5</v>
      </c>
      <c r="B19" s="80"/>
      <c r="C19" s="80"/>
      <c r="D19" s="81"/>
    </row>
    <row r="20" ht="14.25" spans="1:4">
      <c r="A20" s="79">
        <v>6</v>
      </c>
      <c r="B20" s="80"/>
      <c r="C20" s="80"/>
      <c r="D20" s="81"/>
    </row>
    <row r="21" ht="14.25" spans="1:4">
      <c r="A21" s="79">
        <v>7</v>
      </c>
      <c r="B21" s="80"/>
      <c r="C21" s="80"/>
      <c r="D21" s="81"/>
    </row>
    <row r="22" ht="14.25" spans="1:4">
      <c r="A22" s="79">
        <v>8</v>
      </c>
      <c r="B22" s="80"/>
      <c r="C22" s="80"/>
      <c r="D22" s="81"/>
    </row>
    <row r="23" ht="14.25" spans="1:4">
      <c r="A23" s="79">
        <v>9</v>
      </c>
      <c r="B23" s="80"/>
      <c r="C23" s="80"/>
      <c r="D23" s="81"/>
    </row>
    <row r="24" ht="14.25" spans="1:4">
      <c r="A24" s="79">
        <v>10</v>
      </c>
      <c r="B24" s="80"/>
      <c r="C24" s="80"/>
      <c r="D24" s="81"/>
    </row>
    <row r="25" ht="14.25" spans="1:4">
      <c r="A25" s="79">
        <v>11</v>
      </c>
      <c r="B25" s="80"/>
      <c r="C25" s="80"/>
      <c r="D25" s="81"/>
    </row>
    <row r="26" ht="14.25" spans="1:4">
      <c r="A26" s="79">
        <v>12</v>
      </c>
      <c r="B26" s="80"/>
      <c r="C26" s="80"/>
      <c r="D26" s="81"/>
    </row>
    <row r="27" ht="14.25" spans="1:4">
      <c r="A27" s="79" t="s">
        <v>176</v>
      </c>
      <c r="B27" s="82" t="e">
        <f>SUM(B15:B26)/COUNTIF(B15:B26,"&gt;0")</f>
        <v>#DIV/0!</v>
      </c>
      <c r="C27" s="82" t="e">
        <f>SUM(C15:C26)/COUNTIF(C15:C26,"&gt;0")</f>
        <v>#DIV/0!</v>
      </c>
      <c r="D27" s="83" t="s">
        <v>177</v>
      </c>
    </row>
    <row r="28" ht="14.25" spans="1:4">
      <c r="A28" s="56" t="s">
        <v>178</v>
      </c>
      <c r="B28" s="84" t="s">
        <v>179</v>
      </c>
      <c r="C28" s="84"/>
      <c r="D28" s="84"/>
    </row>
    <row r="29" ht="14.25" spans="1:4">
      <c r="A29" s="56"/>
      <c r="B29" s="84" t="s">
        <v>180</v>
      </c>
      <c r="C29" s="84"/>
      <c r="D29" s="84"/>
    </row>
  </sheetData>
  <mergeCells count="9">
    <mergeCell ref="A1:D1"/>
    <mergeCell ref="B2:D2"/>
    <mergeCell ref="B3:D3"/>
    <mergeCell ref="A4:D4"/>
    <mergeCell ref="A13:D13"/>
    <mergeCell ref="B28:D28"/>
    <mergeCell ref="B29:D29"/>
    <mergeCell ref="A28:A29"/>
    <mergeCell ref="D15:D26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03"/>
  <sheetViews>
    <sheetView tabSelected="1" workbookViewId="0">
      <selection activeCell="E16" sqref="E16"/>
    </sheetView>
  </sheetViews>
  <sheetFormatPr defaultColWidth="14" defaultRowHeight="12.75"/>
  <cols>
    <col min="1" max="1" width="2" customWidth="1"/>
    <col min="2" max="2" width="17" customWidth="1"/>
    <col min="3" max="3" width="18" customWidth="1"/>
    <col min="4" max="4" width="14" customWidth="1"/>
    <col min="5" max="5" width="57" customWidth="1"/>
    <col min="6" max="7" width="7" customWidth="1"/>
    <col min="8" max="9" width="15" customWidth="1"/>
    <col min="10" max="10" width="26" customWidth="1"/>
    <col min="11" max="13" width="15" customWidth="1"/>
    <col min="14" max="15" width="14" customWidth="1"/>
    <col min="16" max="18" width="15" customWidth="1"/>
    <col min="19" max="21" width="12" hidden="1" customWidth="1"/>
  </cols>
  <sheetData>
    <row r="1" ht="14.25" spans="1:23">
      <c r="A1" s="1"/>
      <c r="B1" s="2" t="s">
        <v>181</v>
      </c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</row>
    <row r="2" ht="14.25" spans="1:23">
      <c r="A2" s="1"/>
      <c r="B2" s="4" t="s">
        <v>182</v>
      </c>
      <c r="C2" s="1"/>
      <c r="D2" s="1"/>
      <c r="E2" s="1"/>
      <c r="G2" s="1"/>
      <c r="H2" s="5" t="s">
        <v>183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</row>
    <row r="3" ht="21" customHeight="1" spans="1:23">
      <c r="A3" s="1"/>
      <c r="B3" s="6" t="s">
        <v>184</v>
      </c>
      <c r="C3" s="7" t="s">
        <v>185</v>
      </c>
      <c r="D3" s="6" t="s">
        <v>186</v>
      </c>
      <c r="E3" s="7" t="s">
        <v>187</v>
      </c>
      <c r="F3" s="8" t="s">
        <v>188</v>
      </c>
      <c r="G3" s="1"/>
      <c r="H3" s="9" t="s">
        <v>114</v>
      </c>
      <c r="I3" s="10">
        <f>D18/D12/D15</f>
        <v>30.3793271683673</v>
      </c>
      <c r="J3" s="11" t="str">
        <f>IF(I3&lt;=0,"需调整车位数/设备金额",IF(I3&lt;=12,IF(I4&gt;=0.1,"OK","需调整车位数/设备金额"),IF(I3&lt;=24,IF(I4&gt;=0.16,"OK","需调整车位数/设备金额"),IF(I3&lt;=36,IF(I4&gt;=0.22,"OK","需调整车位数/设备金额"),IF(I3&lt;=48,IF(I4&gt;=0.28,"OK","需调整车位数/设备金额"),IF(I3&lt;=60,IF(I4&gt;=0.34,"OK","需调整车位数/设备金额"),"需调整车位数/设备金额"))))))</f>
        <v>OK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</row>
    <row r="4" ht="21" customHeight="1" spans="1:23">
      <c r="A4" s="1"/>
      <c r="B4" s="6" t="s">
        <v>189</v>
      </c>
      <c r="C4" s="12" t="s">
        <v>147</v>
      </c>
      <c r="D4" s="12"/>
      <c r="E4" s="12"/>
      <c r="F4" s="8"/>
      <c r="H4" s="9" t="s">
        <v>120</v>
      </c>
      <c r="I4" s="13">
        <f>D20/D19</f>
        <v>0.493677880527211</v>
      </c>
      <c r="J4" s="11" t="str">
        <f>IF(I3&lt;=0,"需调整车位数/设备金额",IF(I3&lt;=12,IF(I4&gt;=0.1,"OK","需调整车位数/设备金额"),IF(I3&lt;=24,IF(I4&gt;=0.16,"OK","需调整车位数/设备金额"),IF(I3&lt;=36,IF(I4&gt;=0.22,"OK","需调整车位数/设备金额"),IF(I3&lt;=48,IF(I4&gt;=0.28,"OK","需调整车位数/设备金额"),IF(I3&lt;=60,IF(I4&gt;=0.34,"OK","需调整车位数/设备金额"),"需调整车位数/设备金额"))))))</f>
        <v>OK</v>
      </c>
      <c r="K4" s="3"/>
      <c r="L4" s="3"/>
      <c r="M4" s="3"/>
      <c r="N4" s="3"/>
      <c r="O4" s="3"/>
      <c r="P4" s="3"/>
      <c r="Q4" s="3"/>
      <c r="R4" s="3"/>
      <c r="S4" s="3"/>
      <c r="T4" s="1"/>
      <c r="U4" s="1"/>
      <c r="V4" s="3"/>
      <c r="W4" s="3"/>
    </row>
    <row r="5" ht="21" customHeight="1" spans="1:23">
      <c r="A5" s="1"/>
      <c r="B5" s="6" t="s">
        <v>190</v>
      </c>
      <c r="C5" s="12" t="s">
        <v>191</v>
      </c>
      <c r="D5" s="6" t="s">
        <v>192</v>
      </c>
      <c r="E5" s="7">
        <v>1.66</v>
      </c>
      <c r="F5" s="8"/>
      <c r="H5" s="9" t="s">
        <v>193</v>
      </c>
      <c r="I5" s="14">
        <f>D18/D19</f>
        <v>0.506322119472789</v>
      </c>
      <c r="J5" s="11" t="str">
        <f>IF(I5&lt;80%,"OK","需调整置换车位数/设备金额")</f>
        <v>OK</v>
      </c>
      <c r="K5" s="15" t="str">
        <f>IF(I5&gt;0.9,"0",IF(I5&gt;=0.85,"0.9＞X≥0.85",IF(I5&gt;=0.8,"0.85＞X≥0.8",IF(I5&gt;=0.75,"0.8＞X≥0.75",IF(I5&gt;=0.7,"0.75＞X≥0.7",IF(I5&gt;=0.65,"0.7＞X≥0.65",IF(I5&gt;=0.6,"0.65＞X≥0.6","采买折扣不在范围内")))))))</f>
        <v>采买折扣不在范围内</v>
      </c>
      <c r="L5" s="1"/>
      <c r="M5" s="16"/>
      <c r="N5" s="16"/>
      <c r="O5" s="1"/>
      <c r="P5" s="1"/>
      <c r="Q5" s="1"/>
      <c r="R5" s="1"/>
      <c r="S5" s="1"/>
      <c r="T5" s="1"/>
      <c r="U5" s="1"/>
      <c r="V5" s="3"/>
      <c r="W5" s="3"/>
    </row>
    <row r="6" ht="20" customHeight="1" spans="1:23">
      <c r="A6" s="1"/>
      <c r="B6" s="6" t="s">
        <v>194</v>
      </c>
      <c r="C6" s="12">
        <v>85525.3</v>
      </c>
      <c r="D6" s="6" t="s">
        <v>195</v>
      </c>
      <c r="E6" s="7">
        <v>11111</v>
      </c>
      <c r="F6" s="8"/>
      <c r="G6" s="1"/>
      <c r="H6" s="17" t="s">
        <v>196</v>
      </c>
      <c r="I6" s="18" t="str">
        <f>IF(OR(ROUNDUP(I3/12,0)&lt;1,ROUNDUP(I3/12,0)&gt;5),"未达标",IF(CHOOSE(ROUNDUP(I3/12,0),0.1,0.16,0.22,0.28,0.34)&gt;I4,IF(M29="风险高","利润低风险高-大区经理复核","利润低风险可控-大区经理复核"),IF(M29="风险高","利润高风险高-大区经理复核","利润高风险可控")))</f>
        <v>利润高风险可控</v>
      </c>
      <c r="J6" s="18"/>
      <c r="K6" s="1"/>
      <c r="L6" s="1"/>
      <c r="M6" s="16"/>
      <c r="N6" s="19"/>
      <c r="O6" s="1"/>
      <c r="P6" s="1"/>
      <c r="Q6" s="1"/>
      <c r="R6" s="1"/>
      <c r="S6" s="1"/>
      <c r="T6" s="1"/>
      <c r="U6" s="1"/>
      <c r="V6" s="3"/>
      <c r="W6" s="3"/>
    </row>
    <row r="7" spans="1:23">
      <c r="A7" s="1"/>
      <c r="B7" s="20"/>
      <c r="C7" s="20"/>
      <c r="D7" s="20"/>
      <c r="E7" s="20"/>
      <c r="F7" s="8"/>
      <c r="G7" s="1"/>
      <c r="L7" s="1"/>
      <c r="M7" s="16"/>
      <c r="N7" s="19"/>
      <c r="O7" s="21"/>
      <c r="P7" s="1"/>
      <c r="Q7" s="1"/>
      <c r="R7" s="1"/>
      <c r="S7" s="1"/>
      <c r="T7" s="1"/>
      <c r="U7" s="1"/>
      <c r="V7" s="3"/>
      <c r="W7" s="3"/>
    </row>
    <row r="8" ht="23" customHeight="1" spans="1:23">
      <c r="A8" s="3"/>
      <c r="B8" s="6" t="s">
        <v>40</v>
      </c>
      <c r="C8" s="6"/>
      <c r="D8" s="6" t="s">
        <v>197</v>
      </c>
      <c r="E8" s="6" t="s">
        <v>174</v>
      </c>
      <c r="F8" s="8"/>
      <c r="H8" s="22" t="s">
        <v>198</v>
      </c>
      <c r="I8" s="22" t="s">
        <v>199</v>
      </c>
      <c r="J8" s="22"/>
      <c r="K8" s="22"/>
      <c r="L8" s="22"/>
      <c r="M8" s="22"/>
      <c r="N8" s="19"/>
      <c r="O8" s="21"/>
      <c r="P8" s="1"/>
      <c r="Q8" s="1"/>
      <c r="R8" s="1"/>
      <c r="S8" s="23" t="s">
        <v>44</v>
      </c>
      <c r="T8" s="23"/>
      <c r="U8" s="23"/>
      <c r="V8" s="3"/>
      <c r="W8" s="3"/>
    </row>
    <row r="9" ht="23" customHeight="1" spans="1:23">
      <c r="A9" s="3"/>
      <c r="B9" s="24" t="s">
        <v>200</v>
      </c>
      <c r="C9" s="24"/>
      <c r="D9" s="25">
        <v>150000</v>
      </c>
      <c r="E9" s="26" t="s">
        <v>201</v>
      </c>
      <c r="F9" s="8"/>
      <c r="H9" s="27" t="s">
        <v>202</v>
      </c>
      <c r="I9" s="27">
        <v>1</v>
      </c>
      <c r="J9" s="27">
        <v>2</v>
      </c>
      <c r="K9" s="27">
        <v>3</v>
      </c>
      <c r="L9" s="27">
        <v>4</v>
      </c>
      <c r="M9" s="27">
        <v>5</v>
      </c>
      <c r="N9" s="28"/>
      <c r="O9" s="21"/>
      <c r="P9" s="1"/>
      <c r="Q9" s="1"/>
      <c r="R9" s="1"/>
      <c r="S9" s="29" t="s">
        <v>48</v>
      </c>
      <c r="T9" s="29"/>
      <c r="U9" s="29"/>
      <c r="V9" s="3"/>
      <c r="W9" s="3"/>
    </row>
    <row r="10" ht="23" customHeight="1" spans="1:23">
      <c r="A10" s="3"/>
      <c r="B10" s="30" t="s">
        <v>203</v>
      </c>
      <c r="C10" s="30"/>
      <c r="D10" s="31">
        <v>0.09</v>
      </c>
      <c r="E10" s="26" t="s">
        <v>204</v>
      </c>
      <c r="F10" s="8"/>
      <c r="H10" s="32" t="s">
        <v>205</v>
      </c>
      <c r="I10" s="32">
        <v>0.8</v>
      </c>
      <c r="J10" s="32"/>
      <c r="K10" s="32"/>
      <c r="L10" s="32"/>
      <c r="M10" s="32"/>
      <c r="N10" s="28"/>
      <c r="O10" s="21"/>
      <c r="P10" s="1"/>
      <c r="Q10" s="1"/>
      <c r="R10" s="1"/>
      <c r="S10" s="28" t="s">
        <v>52</v>
      </c>
      <c r="T10" s="28" t="s">
        <v>53</v>
      </c>
      <c r="U10" s="28" t="s">
        <v>54</v>
      </c>
      <c r="V10" s="3"/>
      <c r="W10" s="3"/>
    </row>
    <row r="11" ht="26" customHeight="1" spans="1:23">
      <c r="A11" s="3"/>
      <c r="B11" s="24" t="s">
        <v>206</v>
      </c>
      <c r="C11" s="24"/>
      <c r="D11" s="25">
        <v>400</v>
      </c>
      <c r="E11" s="33" t="s">
        <v>207</v>
      </c>
      <c r="F11" s="8"/>
      <c r="H11" s="32" t="s">
        <v>208</v>
      </c>
      <c r="I11" s="32">
        <v>1</v>
      </c>
      <c r="J11" s="32">
        <v>0.8</v>
      </c>
      <c r="K11" s="32"/>
      <c r="L11" s="32"/>
      <c r="M11" s="32"/>
      <c r="N11" s="28"/>
      <c r="O11" s="28"/>
      <c r="P11" s="28"/>
      <c r="Q11" s="28"/>
      <c r="R11" s="28"/>
      <c r="S11" s="28">
        <v>3</v>
      </c>
      <c r="T11" s="34">
        <v>1</v>
      </c>
      <c r="U11" s="34">
        <v>0.84</v>
      </c>
      <c r="V11" s="3"/>
      <c r="W11" s="3"/>
    </row>
    <row r="12" ht="26" customHeight="1" spans="1:23">
      <c r="A12" s="3"/>
      <c r="B12" s="24" t="s">
        <v>209</v>
      </c>
      <c r="C12" s="24"/>
      <c r="D12" s="25">
        <v>14</v>
      </c>
      <c r="E12" s="26" t="s">
        <v>210</v>
      </c>
      <c r="F12" s="8"/>
      <c r="H12" s="32" t="s">
        <v>211</v>
      </c>
      <c r="I12" s="32">
        <v>1.2</v>
      </c>
      <c r="J12" s="32">
        <v>1</v>
      </c>
      <c r="K12" s="32">
        <v>0.8</v>
      </c>
      <c r="L12" s="32"/>
      <c r="M12" s="32"/>
      <c r="N12" s="28"/>
      <c r="O12" s="28"/>
      <c r="P12" s="28"/>
      <c r="Q12" s="28"/>
      <c r="R12" s="28"/>
      <c r="S12" s="28">
        <v>4</v>
      </c>
      <c r="T12" s="34">
        <v>1</v>
      </c>
      <c r="U12" s="34">
        <v>0.87</v>
      </c>
      <c r="V12" s="3"/>
      <c r="W12" s="3"/>
    </row>
    <row r="13" ht="26" customHeight="1" spans="1:23">
      <c r="A13" s="3"/>
      <c r="B13" s="24" t="s">
        <v>212</v>
      </c>
      <c r="C13" s="24"/>
      <c r="D13" s="31">
        <v>0</v>
      </c>
      <c r="E13" s="35" t="s">
        <v>106</v>
      </c>
      <c r="F13" s="8"/>
      <c r="H13" s="32" t="s">
        <v>213</v>
      </c>
      <c r="I13" s="32">
        <v>1.45</v>
      </c>
      <c r="J13" s="32">
        <v>1.2</v>
      </c>
      <c r="K13" s="32">
        <v>1</v>
      </c>
      <c r="L13" s="32">
        <v>0.8</v>
      </c>
      <c r="M13" s="32"/>
      <c r="N13" s="28"/>
      <c r="O13" s="28"/>
      <c r="P13" s="28"/>
      <c r="Q13" s="28"/>
      <c r="R13" s="28"/>
      <c r="S13" s="28">
        <v>5</v>
      </c>
      <c r="T13" s="34">
        <v>1</v>
      </c>
      <c r="U13" s="34">
        <v>0.89</v>
      </c>
      <c r="V13" s="3"/>
      <c r="W13" s="3"/>
    </row>
    <row r="14" ht="26" customHeight="1" spans="1:23">
      <c r="B14" s="36" t="s">
        <v>214</v>
      </c>
      <c r="C14" s="36"/>
      <c r="D14" s="25">
        <v>60</v>
      </c>
      <c r="E14" s="26" t="s">
        <v>215</v>
      </c>
      <c r="F14" s="8"/>
      <c r="H14" s="32" t="s">
        <v>216</v>
      </c>
      <c r="I14" s="32">
        <v>1.65</v>
      </c>
      <c r="J14" s="32">
        <v>1.45</v>
      </c>
      <c r="K14" s="32">
        <v>1.2</v>
      </c>
      <c r="L14" s="32">
        <v>1</v>
      </c>
      <c r="M14" s="32">
        <v>0.8</v>
      </c>
      <c r="N14" s="28"/>
      <c r="O14" s="28"/>
      <c r="P14" s="28"/>
      <c r="Q14" s="28"/>
      <c r="R14" s="28"/>
      <c r="S14" s="28">
        <v>6</v>
      </c>
      <c r="T14" s="34">
        <v>1</v>
      </c>
      <c r="U14" s="34">
        <v>0.9</v>
      </c>
    </row>
    <row r="15" ht="26" customHeight="1" spans="1:23">
      <c r="A15" s="3"/>
      <c r="B15" s="37" t="s">
        <v>217</v>
      </c>
      <c r="C15" s="37"/>
      <c r="D15" s="38">
        <f>D11*0.7</f>
        <v>280</v>
      </c>
      <c r="E15" s="39" t="s">
        <v>218</v>
      </c>
      <c r="F15" s="40" t="s">
        <v>219</v>
      </c>
      <c r="H15" s="32" t="s">
        <v>220</v>
      </c>
      <c r="I15" s="32">
        <v>1.95</v>
      </c>
      <c r="J15" s="32">
        <v>1.65</v>
      </c>
      <c r="K15" s="32">
        <v>1.45</v>
      </c>
      <c r="L15" s="32">
        <v>1.2</v>
      </c>
      <c r="M15" s="32">
        <v>1</v>
      </c>
      <c r="N15" s="41"/>
      <c r="O15" s="28"/>
      <c r="P15" s="28"/>
      <c r="Q15" s="28"/>
      <c r="R15" s="28"/>
      <c r="S15" s="28">
        <v>7</v>
      </c>
      <c r="T15" s="34">
        <v>1</v>
      </c>
      <c r="U15" s="34">
        <v>0.91</v>
      </c>
      <c r="V15" s="3"/>
      <c r="W15" s="3"/>
    </row>
    <row r="16" ht="26" customHeight="1" spans="1:23">
      <c r="B16" s="37" t="s">
        <v>110</v>
      </c>
      <c r="C16" s="37"/>
      <c r="D16" s="42">
        <f>(C6+E6+D17)/D14/D12</f>
        <v>115.043214285714</v>
      </c>
      <c r="E16" s="43" t="s">
        <v>221</v>
      </c>
      <c r="F16" s="44"/>
      <c r="H16" s="45" t="s">
        <v>222</v>
      </c>
      <c r="I16" s="45"/>
      <c r="J16" s="45"/>
      <c r="K16" s="45"/>
      <c r="L16" s="45"/>
      <c r="M16" s="45"/>
      <c r="O16" s="28"/>
      <c r="P16" s="28"/>
      <c r="Q16" s="28"/>
      <c r="R16" s="28"/>
      <c r="S16" s="28">
        <v>9</v>
      </c>
      <c r="T16" s="34">
        <v>1</v>
      </c>
      <c r="U16" s="34">
        <v>0.92</v>
      </c>
    </row>
    <row r="17" ht="26" customHeight="1" spans="1:23">
      <c r="B17" s="37" t="s">
        <v>223</v>
      </c>
      <c r="C17" s="37"/>
      <c r="D17" s="46">
        <f>IF(AND(B10="增值税专用发票",D10=0),D9*0.36,IF(AND(B10="增值税专用发票",D10&lt;=0.09),D9*(0.09-D10),IF(AND(B10="增值税普通发票",D10&lt;=0.09),D9*0.09,D9*0.09)))</f>
        <v>0</v>
      </c>
      <c r="E17" s="43" t="s">
        <v>68</v>
      </c>
      <c r="F17" s="44"/>
      <c r="H17" s="45"/>
      <c r="I17" s="45"/>
      <c r="J17" s="45"/>
      <c r="K17" s="45"/>
      <c r="L17" s="45"/>
      <c r="M17" s="45"/>
      <c r="O17" s="41"/>
      <c r="P17" s="41"/>
      <c r="Q17" s="41"/>
      <c r="R17" s="41"/>
      <c r="S17" s="41"/>
      <c r="T17" s="41"/>
      <c r="U17" s="41"/>
    </row>
    <row r="18" ht="26" customHeight="1" spans="1:23">
      <c r="B18" s="37" t="s">
        <v>224</v>
      </c>
      <c r="C18" s="37"/>
      <c r="D18" s="42">
        <f>D19*5%+C6*2.5%*(D14/12)+E6+C6+D17</f>
        <v>119086.9625</v>
      </c>
      <c r="E18" s="43" t="s">
        <v>225</v>
      </c>
      <c r="F18" s="44"/>
    </row>
    <row r="19" ht="26" customHeight="1" spans="1:23">
      <c r="B19" s="37" t="s">
        <v>226</v>
      </c>
      <c r="C19" s="37"/>
      <c r="D19" s="42">
        <f>D12*D15*D14-(D12*D15*D14-D9)*D13</f>
        <v>235200</v>
      </c>
      <c r="E19" s="43" t="s">
        <v>227</v>
      </c>
      <c r="F19" s="44"/>
      <c r="H19" s="47" t="s">
        <v>198</v>
      </c>
      <c r="I19" s="48" t="s">
        <v>228</v>
      </c>
    </row>
    <row r="20" ht="26" customHeight="1" spans="1:23">
      <c r="B20" s="37" t="s">
        <v>229</v>
      </c>
      <c r="C20" s="37"/>
      <c r="D20" s="42">
        <f>D19-D18-D21</f>
        <v>116113.0375</v>
      </c>
      <c r="E20" s="43" t="s">
        <v>119</v>
      </c>
      <c r="F20" s="44"/>
      <c r="H20" s="49"/>
      <c r="I20" s="50">
        <v>3200</v>
      </c>
    </row>
    <row r="21" ht="26" customHeight="1" spans="1:23">
      <c r="A21" s="3"/>
      <c r="B21" s="37" t="s">
        <v>122</v>
      </c>
      <c r="C21" s="37"/>
      <c r="D21" s="42">
        <f>IF((D19-(D12*D16*D14))*D13&gt;0,(D19-(D12*D16*D14))*D13,0)</f>
        <v>0</v>
      </c>
      <c r="E21" s="43" t="s">
        <v>230</v>
      </c>
      <c r="F21" s="44"/>
      <c r="U21" s="51"/>
      <c r="V21" s="3"/>
      <c r="W21" s="3"/>
    </row>
    <row r="22" ht="23" customHeight="1" spans="1:23">
      <c r="A22" s="3"/>
      <c r="F22" s="52"/>
      <c r="U22" s="51"/>
      <c r="V22" s="3"/>
      <c r="W22" s="3"/>
    </row>
    <row r="23" ht="23" customHeight="1" spans="1:23">
      <c r="A23" s="3"/>
      <c r="F23" s="52"/>
      <c r="N23" s="51"/>
      <c r="U23" s="51"/>
      <c r="V23" s="3"/>
      <c r="W23" s="3"/>
    </row>
    <row r="24" ht="23" customHeight="1" spans="1:23">
      <c r="A24" s="3"/>
      <c r="F24" s="3"/>
      <c r="H24" s="53" t="s">
        <v>231</v>
      </c>
      <c r="I24" s="53" t="s">
        <v>188</v>
      </c>
      <c r="J24" s="53" t="s">
        <v>232</v>
      </c>
      <c r="K24" s="53" t="s">
        <v>231</v>
      </c>
      <c r="L24" s="53" t="s">
        <v>188</v>
      </c>
      <c r="M24" s="53" t="s">
        <v>232</v>
      </c>
      <c r="N24" s="1"/>
      <c r="U24" s="51"/>
      <c r="V24" s="3"/>
      <c r="W24" s="3"/>
    </row>
    <row r="25" ht="23" customHeight="1" spans="1:23">
      <c r="A25" s="3"/>
      <c r="F25" s="3"/>
      <c r="G25" s="3"/>
      <c r="H25" s="54" t="s">
        <v>233</v>
      </c>
      <c r="I25" s="55" t="s">
        <v>166</v>
      </c>
      <c r="J25" s="56" t="str">
        <f>IF(I25="是","15","0")</f>
        <v>15</v>
      </c>
      <c r="K25" s="57" t="s">
        <v>234</v>
      </c>
      <c r="L25" s="55" t="s">
        <v>235</v>
      </c>
      <c r="M25" s="56">
        <f>IF(L25="本车场",10,IF(L25="周边车场",5,0))</f>
        <v>10</v>
      </c>
      <c r="N25" s="3"/>
      <c r="O25" s="51"/>
      <c r="P25" s="51"/>
      <c r="Q25" s="51"/>
      <c r="R25" s="51"/>
      <c r="S25" s="51"/>
      <c r="T25" s="58"/>
      <c r="U25" s="51"/>
      <c r="V25" s="3"/>
      <c r="W25" s="3"/>
    </row>
    <row r="26" ht="23" customHeight="1" spans="1:23">
      <c r="A26" s="1"/>
      <c r="F26" s="1"/>
      <c r="G26" s="1"/>
      <c r="H26" s="54" t="s">
        <v>236</v>
      </c>
      <c r="I26" s="55" t="s">
        <v>237</v>
      </c>
      <c r="J26" s="56" t="str">
        <f>IF(I26="否","0","10")</f>
        <v>0</v>
      </c>
      <c r="K26" s="59" t="s">
        <v>238</v>
      </c>
      <c r="L26" s="55" t="s">
        <v>166</v>
      </c>
      <c r="M26" s="56" t="str">
        <f>IF(L26="是","15","0")</f>
        <v>15</v>
      </c>
      <c r="O26" s="1"/>
      <c r="P26" s="1"/>
      <c r="Q26" s="1"/>
      <c r="R26" s="1"/>
      <c r="S26" s="1"/>
      <c r="T26" s="1"/>
      <c r="U26" s="1"/>
      <c r="V26" s="3"/>
      <c r="W26" s="3"/>
    </row>
    <row r="27" ht="14.25" spans="1:23">
      <c r="A27" s="3"/>
      <c r="B27" s="3"/>
      <c r="C27" s="3"/>
      <c r="D27" s="3"/>
      <c r="E27" s="3"/>
      <c r="F27" s="3"/>
      <c r="G27" s="3"/>
      <c r="H27" s="54" t="s">
        <v>239</v>
      </c>
      <c r="I27" s="55" t="s">
        <v>237</v>
      </c>
      <c r="J27" s="56" t="str">
        <f>IF(I27="是","15","0")</f>
        <v>0</v>
      </c>
      <c r="K27" s="54" t="s">
        <v>240</v>
      </c>
      <c r="L27" s="55" t="s">
        <v>237</v>
      </c>
      <c r="M27" s="56" t="str">
        <f>IF(L27="是","5","0")</f>
        <v>0</v>
      </c>
      <c r="O27" s="3"/>
      <c r="P27" s="3"/>
      <c r="Q27" s="3"/>
      <c r="R27" s="3"/>
      <c r="S27" s="3"/>
      <c r="T27" s="3"/>
      <c r="U27" s="3"/>
      <c r="V27" s="3"/>
      <c r="W27" s="3"/>
    </row>
    <row r="28" ht="42.75" spans="1:23">
      <c r="A28" s="3"/>
      <c r="B28" s="3"/>
      <c r="C28" s="3"/>
      <c r="D28" s="3"/>
      <c r="E28" s="3"/>
      <c r="F28" s="3"/>
      <c r="G28" s="3"/>
      <c r="H28" s="54" t="s">
        <v>241</v>
      </c>
      <c r="I28" s="55" t="s">
        <v>166</v>
      </c>
      <c r="J28" s="56">
        <f>IF(I28="是",5,0)</f>
        <v>5</v>
      </c>
      <c r="K28" s="57" t="s">
        <v>242</v>
      </c>
      <c r="L28" s="55" t="s">
        <v>237</v>
      </c>
      <c r="M28" s="56" t="str">
        <f>IF(L28="是","5","0")</f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6.5" spans="1:23">
      <c r="A29" s="3"/>
      <c r="B29" s="3"/>
      <c r="C29" s="3"/>
      <c r="D29" s="3"/>
      <c r="E29" s="3"/>
      <c r="F29" s="3"/>
      <c r="G29" s="3"/>
      <c r="H29" s="60"/>
      <c r="I29" s="60"/>
      <c r="J29" s="60"/>
      <c r="K29" s="61" t="s">
        <v>243</v>
      </c>
      <c r="L29" s="61"/>
      <c r="M29" s="61" t="str">
        <f>IF(J25+J26+J27+J28+M25+M26+M27+M28+IF(AND(J4="OK",J5="OK"),20,0)&lt;60,"风险高","风控可控")</f>
        <v>风控可控</v>
      </c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</sheetData>
  <mergeCells count="24">
    <mergeCell ref="B1:J1"/>
    <mergeCell ref="C4:E4"/>
    <mergeCell ref="I6:J6"/>
    <mergeCell ref="B8:C8"/>
    <mergeCell ref="I8:M8"/>
    <mergeCell ref="S8:U8"/>
    <mergeCell ref="B9:C9"/>
    <mergeCell ref="S9:U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K29:L29"/>
    <mergeCell ref="F3:F14"/>
    <mergeCell ref="F15:F21"/>
    <mergeCell ref="H16:M17"/>
  </mergeCells>
  <dataValidations count="5">
    <dataValidation type="list" allowBlank="1" showErrorMessage="1" sqref="B10:C10">
      <formula1>"增值税专用发票,增值税普通发票"</formula1>
    </dataValidation>
    <dataValidation type="list" allowBlank="1" showErrorMessage="1" sqref="D10">
      <formula1>"0%,1%,2%,3%,4%,5%,6%,7%,8%,9%"</formula1>
    </dataValidation>
    <dataValidation type="list" allowBlank="1" showErrorMessage="1" sqref="D13">
      <formula1>"0%,20%,30%,40%,50%,60%,70%,80%"</formula1>
    </dataValidation>
    <dataValidation type="list" allowBlank="1" showErrorMessage="1" sqref="L25">
      <formula1>"本车场,周边车场,无"</formula1>
    </dataValidation>
    <dataValidation type="list" allowBlank="1" showErrorMessage="1" sqref="I25:I28 L26:L28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车位置换项目准入自查表</vt:lpstr>
      <vt:lpstr>车位置换运营 测算表</vt:lpstr>
      <vt:lpstr>测算表</vt:lpstr>
      <vt:lpstr>项目信息收集表</vt:lpstr>
      <vt:lpstr>车位置换测算表-0204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</cp:lastModifiedBy>
  <dcterms:created xsi:type="dcterms:W3CDTF">2026-04-27T07:13:39Z</dcterms:created>
  <dcterms:modified xsi:type="dcterms:W3CDTF">2026-04-27T07:20:46Z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EABFCABEDFEF4C6DBA7BAD6D27FEE071_13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