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庾新\Desktop\"/>
    </mc:Choice>
  </mc:AlternateContent>
  <xr:revisionPtr revIDLastSave="0" documentId="13_ncr:1_{610BFF97-4EF7-486A-9333-D0C9ACB491F7}" xr6:coauthVersionLast="47" xr6:coauthVersionMax="47" xr10:uidLastSave="{00000000-0000-0000-0000-000000000000}"/>
  <bookViews>
    <workbookView xWindow="-120" yWindow="-120" windowWidth="29040" windowHeight="16440" xr2:uid="{8F8B25AC-FA98-4F97-81B5-1D0E40908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K103" i="1"/>
  <c r="K102" i="1"/>
  <c r="K101" i="1"/>
  <c r="K96" i="1"/>
  <c r="K95" i="1"/>
  <c r="K94" i="1"/>
  <c r="K93" i="1"/>
  <c r="K92" i="1"/>
  <c r="K88" i="1"/>
  <c r="K87" i="1"/>
  <c r="K86" i="1"/>
  <c r="K85" i="1"/>
  <c r="K84" i="1"/>
  <c r="K80" i="1"/>
  <c r="K79" i="1"/>
  <c r="K78" i="1"/>
  <c r="K77" i="1"/>
  <c r="K76" i="1"/>
  <c r="K72" i="1"/>
  <c r="K71" i="1"/>
  <c r="K70" i="1"/>
  <c r="K69" i="1"/>
  <c r="K68" i="1"/>
  <c r="K63" i="1"/>
  <c r="K62" i="1"/>
  <c r="K61" i="1"/>
  <c r="K60" i="1"/>
  <c r="K56" i="1"/>
  <c r="K55" i="1"/>
  <c r="K54" i="1"/>
  <c r="K53" i="1"/>
  <c r="K49" i="1"/>
  <c r="K48" i="1"/>
  <c r="K47" i="1"/>
  <c r="K46" i="1"/>
  <c r="K42" i="1"/>
  <c r="K41" i="1"/>
  <c r="K40" i="1"/>
  <c r="K39" i="1"/>
  <c r="K35" i="1"/>
  <c r="K34" i="1"/>
  <c r="K33" i="1"/>
  <c r="K32" i="1"/>
  <c r="K27" i="1"/>
  <c r="K26" i="1"/>
  <c r="K25" i="1"/>
  <c r="K24" i="1"/>
  <c r="K20" i="1"/>
  <c r="K19" i="1"/>
  <c r="K18" i="1"/>
  <c r="K17" i="1"/>
  <c r="K13" i="1"/>
  <c r="K12" i="1"/>
  <c r="K11" i="1"/>
  <c r="K10" i="1"/>
  <c r="K6" i="1"/>
  <c r="K5" i="1"/>
  <c r="K4" i="1"/>
  <c r="K3" i="1"/>
  <c r="K100" i="1"/>
  <c r="D104" i="1"/>
  <c r="D103" i="1"/>
  <c r="D102" i="1"/>
  <c r="D101" i="1"/>
  <c r="D100" i="1"/>
  <c r="D96" i="1"/>
  <c r="D95" i="1"/>
  <c r="D94" i="1"/>
  <c r="D93" i="1"/>
  <c r="D92" i="1"/>
  <c r="D88" i="1"/>
  <c r="D87" i="1"/>
  <c r="D86" i="1"/>
  <c r="D85" i="1"/>
  <c r="D84" i="1"/>
  <c r="D80" i="1"/>
  <c r="D79" i="1"/>
  <c r="D78" i="1"/>
  <c r="D77" i="1"/>
  <c r="D76" i="1"/>
  <c r="D72" i="1"/>
  <c r="D71" i="1"/>
  <c r="D70" i="1"/>
  <c r="D69" i="1"/>
  <c r="D68" i="1"/>
  <c r="D63" i="1"/>
  <c r="D62" i="1"/>
  <c r="D61" i="1"/>
  <c r="D60" i="1"/>
  <c r="D56" i="1"/>
  <c r="D55" i="1"/>
  <c r="D54" i="1"/>
  <c r="D53" i="1"/>
  <c r="D49" i="1"/>
  <c r="D48" i="1"/>
  <c r="D47" i="1"/>
  <c r="D46" i="1"/>
  <c r="D42" i="1"/>
  <c r="D41" i="1"/>
  <c r="D40" i="1"/>
  <c r="D39" i="1"/>
  <c r="D35" i="1"/>
  <c r="D34" i="1"/>
  <c r="D33" i="1"/>
  <c r="D32" i="1"/>
  <c r="D27" i="1"/>
  <c r="D26" i="1"/>
  <c r="D25" i="1"/>
  <c r="D24" i="1"/>
  <c r="D20" i="1"/>
  <c r="D19" i="1"/>
  <c r="D18" i="1"/>
  <c r="D17" i="1"/>
  <c r="D13" i="1"/>
  <c r="D11" i="1"/>
  <c r="D12" i="1"/>
  <c r="D10" i="1"/>
  <c r="D6" i="1"/>
  <c r="D5" i="1"/>
  <c r="D4" i="1"/>
  <c r="D3" i="1"/>
</calcChain>
</file>

<file path=xl/sharedStrings.xml><?xml version="1.0" encoding="utf-8"?>
<sst xmlns="http://schemas.openxmlformats.org/spreadsheetml/2006/main" count="179" uniqueCount="48">
  <si>
    <t>Cu2Se</t>
    <phoneticPr fontId="2" type="noConversion"/>
  </si>
  <si>
    <t>Depth=237.200000E-3</t>
  </si>
  <si>
    <t>Width=234.400000E-3</t>
  </si>
  <si>
    <t>Depth=237.100000E-3</t>
  </si>
  <si>
    <t>Width=238.200000E-3</t>
  </si>
  <si>
    <t>Depth=236.900000E-3</t>
  </si>
  <si>
    <t>Width=238.100000E-3</t>
  </si>
  <si>
    <t>Depth=234.900000E-3</t>
  </si>
  <si>
    <t>Width=238.300000E-3</t>
  </si>
  <si>
    <t>Depth=237.700000E-3</t>
  </si>
  <si>
    <t>Width=239.000000E-3</t>
  </si>
  <si>
    <t>Depth=238.000000E-3</t>
  </si>
  <si>
    <t>Width=238.000000E-3</t>
  </si>
  <si>
    <t>Depth=237.800000E-3</t>
  </si>
  <si>
    <t>Width=237.800000E-3</t>
  </si>
  <si>
    <t>Depth=236.000000E-3</t>
  </si>
  <si>
    <t>Cu2s</t>
    <phoneticPr fontId="2" type="noConversion"/>
  </si>
  <si>
    <t>Width=236.000000E-3</t>
  </si>
  <si>
    <t>Depth=233.000000E-3</t>
  </si>
  <si>
    <t>Width=237.000000E-3</t>
  </si>
  <si>
    <t>Depth=200.000000E-3</t>
  </si>
  <si>
    <t>Depth=230.000000E-3</t>
  </si>
  <si>
    <t>Width=233.000000E-3</t>
  </si>
  <si>
    <t>Depth=239.000000E-3</t>
  </si>
  <si>
    <t>Width=240.000000E-3</t>
  </si>
  <si>
    <t>Depth=235.000000E-3</t>
  </si>
  <si>
    <t>Width=306.000000E-3</t>
  </si>
  <si>
    <t>Depth=216.500000E-3</t>
  </si>
  <si>
    <t>Width=227.000000E-3</t>
  </si>
  <si>
    <t>Depth=221.800000E-3</t>
  </si>
  <si>
    <t>Width=319.400000E-3</t>
  </si>
  <si>
    <t>Depth=219.200000E-3</t>
  </si>
  <si>
    <t>Width=248.000000E-3</t>
  </si>
  <si>
    <t>Depth=237.000000E-3</t>
  </si>
  <si>
    <t>Width=256.000000E-3</t>
  </si>
  <si>
    <t>Width=270.000000E-3</t>
  </si>
  <si>
    <t>Cu2Te</t>
    <phoneticPr fontId="2" type="noConversion"/>
  </si>
  <si>
    <t>Depth=240.000000E-3</t>
  </si>
  <si>
    <t>Width=266.000000E-3</t>
  </si>
  <si>
    <r>
      <rPr>
        <sz val="11"/>
        <color theme="1"/>
        <rFont val="等线"/>
        <family val="2"/>
        <charset val="134"/>
      </rPr>
      <t>平行</t>
    </r>
    <r>
      <rPr>
        <sz val="11"/>
        <color theme="1"/>
        <rFont val="Times New Roman"/>
        <family val="1"/>
      </rPr>
      <t>sps</t>
    </r>
    <phoneticPr fontId="2" type="noConversion"/>
  </si>
  <si>
    <r>
      <rPr>
        <sz val="11"/>
        <color theme="1"/>
        <rFont val="等线"/>
        <family val="2"/>
        <charset val="134"/>
      </rPr>
      <t>垂直</t>
    </r>
    <r>
      <rPr>
        <sz val="11"/>
        <color theme="1"/>
        <rFont val="Times New Roman"/>
        <family val="1"/>
      </rPr>
      <t>sps</t>
    </r>
    <phoneticPr fontId="2" type="noConversion"/>
  </si>
  <si>
    <t>T(K)</t>
    <phoneticPr fontId="2" type="noConversion"/>
  </si>
  <si>
    <t>S(μV K-1)</t>
  </si>
  <si>
    <t>S(μV K-1)</t>
    <phoneticPr fontId="2" type="noConversion"/>
  </si>
  <si>
    <t>σ(S cm-1)</t>
  </si>
  <si>
    <t>σ(S cm-1)</t>
    <phoneticPr fontId="2" type="noConversion"/>
  </si>
  <si>
    <t>PF(μW cm-1 K-2)</t>
  </si>
  <si>
    <t>PF(μW cm-1 K-2)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</si>
</sst>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0" fontId="0" fillId="4" borderId="0" xfId="0" applyFill="1">
      <alignment vertical="center"/>
    </xf>
    <xf numFmtId="176" fontId="3" fillId="5" borderId="0" xfId="0" applyNumberFormat="1" applyFon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270D-57B6-4B26-975F-B438AD41860E}">
  <dimension ref="A1:T105"/>
  <sheetViews>
    <sheetView tabSelected="1" zoomScale="115" zoomScaleNormal="115" workbookViewId="0">
      <selection activeCell="N33" sqref="N33"/>
    </sheetView>
  </sheetViews>
  <sheetFormatPr defaultRowHeight="15" x14ac:dyDescent="0.2"/>
  <cols>
    <col min="1" max="1" width="9.125" style="1" bestFit="1" customWidth="1"/>
    <col min="2" max="2" width="9.125" style="1" customWidth="1"/>
    <col min="3" max="3" width="9.75" style="1" bestFit="1" customWidth="1"/>
    <col min="4" max="4" width="9.125" style="1" bestFit="1" customWidth="1"/>
    <col min="5" max="5" width="9.125" style="1" customWidth="1"/>
    <col min="6" max="6" width="12.75" style="1" bestFit="1" customWidth="1"/>
    <col min="7" max="8" width="9.125" style="1" bestFit="1" customWidth="1"/>
    <col min="9" max="9" width="12.75" style="1" bestFit="1" customWidth="1"/>
    <col min="10" max="10" width="9" style="1"/>
    <col min="11" max="11" width="9.125" style="1" bestFit="1" customWidth="1"/>
    <col min="12" max="12" width="9.125" style="1" customWidth="1"/>
    <col min="13" max="13" width="9.125" style="1" bestFit="1" customWidth="1"/>
    <col min="14" max="14" width="9.125" style="3" customWidth="1"/>
    <col min="15" max="15" width="12" style="3" bestFit="1" customWidth="1"/>
    <col min="16" max="16" width="12" style="1" customWidth="1"/>
    <col min="17" max="17" width="9.125" style="1" bestFit="1" customWidth="1"/>
    <col min="18" max="18" width="12.75" style="1" bestFit="1" customWidth="1"/>
    <col min="19" max="21" width="9.125" style="1" bestFit="1" customWidth="1"/>
    <col min="22" max="22" width="12.75" style="1" bestFit="1" customWidth="1"/>
    <col min="23" max="16384" width="9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 t="s">
        <v>7</v>
      </c>
      <c r="J1" s="2" t="s">
        <v>8</v>
      </c>
      <c r="K1" s="2"/>
      <c r="L1" s="2"/>
      <c r="M1" s="2"/>
      <c r="P1" s="3"/>
      <c r="Q1" s="3"/>
      <c r="R1" s="3"/>
      <c r="S1" s="3"/>
      <c r="T1" s="3"/>
    </row>
    <row r="2" spans="1:20" x14ac:dyDescent="0.2">
      <c r="A2" s="2" t="s">
        <v>0</v>
      </c>
      <c r="B2" s="2" t="s">
        <v>41</v>
      </c>
      <c r="C2" s="2" t="s">
        <v>44</v>
      </c>
      <c r="D2" s="2" t="s">
        <v>42</v>
      </c>
      <c r="E2" s="2" t="s">
        <v>47</v>
      </c>
      <c r="F2" s="2"/>
      <c r="G2" s="2"/>
      <c r="H2" s="2" t="s">
        <v>0</v>
      </c>
      <c r="I2" s="2" t="s">
        <v>41</v>
      </c>
      <c r="J2" s="2" t="s">
        <v>44</v>
      </c>
      <c r="K2" s="2" t="s">
        <v>42</v>
      </c>
      <c r="L2" s="2" t="s">
        <v>47</v>
      </c>
      <c r="M2" s="2"/>
      <c r="P2" s="3"/>
      <c r="Q2" s="3"/>
      <c r="R2" s="3"/>
    </row>
    <row r="3" spans="1:20" x14ac:dyDescent="0.2">
      <c r="A3" s="2">
        <v>0.1</v>
      </c>
      <c r="B3" s="2">
        <v>315.79877999999997</v>
      </c>
      <c r="C3" s="2">
        <v>1586.2380524549887</v>
      </c>
      <c r="D3" s="2">
        <f>0.0001561243*1000000</f>
        <v>156.12430000000001</v>
      </c>
      <c r="E3" s="2">
        <v>38.664210000000004</v>
      </c>
      <c r="F3" s="2"/>
      <c r="G3" s="2"/>
      <c r="H3" s="2">
        <v>0.01</v>
      </c>
      <c r="I3" s="2">
        <v>314.09218999999996</v>
      </c>
      <c r="J3" s="2">
        <v>1175.9150029821203</v>
      </c>
      <c r="K3" s="2">
        <f>1000000*0.0001597478</f>
        <v>159.74779999999998</v>
      </c>
      <c r="L3" s="2">
        <v>30.008600000000001</v>
      </c>
      <c r="M3" s="2"/>
      <c r="P3" s="3"/>
      <c r="Q3" s="3"/>
      <c r="R3" s="3"/>
    </row>
    <row r="4" spans="1:20" x14ac:dyDescent="0.2">
      <c r="A4" s="2" t="s">
        <v>40</v>
      </c>
      <c r="B4" s="2">
        <v>336.65965</v>
      </c>
      <c r="C4" s="2">
        <v>1447.3524811312275</v>
      </c>
      <c r="D4" s="2">
        <f>1000000*0.000160527</f>
        <v>160.52699999999999</v>
      </c>
      <c r="E4" s="2">
        <v>37.296689999999998</v>
      </c>
      <c r="F4" s="2"/>
      <c r="G4" s="2"/>
      <c r="H4" s="2" t="s">
        <v>39</v>
      </c>
      <c r="I4" s="2">
        <v>335.55546999999996</v>
      </c>
      <c r="J4" s="2">
        <v>1033.5274228931698</v>
      </c>
      <c r="K4" s="2">
        <f>1000000*0.0001643294</f>
        <v>164.32939999999999</v>
      </c>
      <c r="L4" s="2">
        <v>27.90953</v>
      </c>
      <c r="M4" s="2"/>
      <c r="P4" s="3"/>
      <c r="Q4" s="3"/>
      <c r="R4" s="3"/>
    </row>
    <row r="5" spans="1:20" x14ac:dyDescent="0.2">
      <c r="A5" s="2"/>
      <c r="B5" s="2">
        <v>364.03053999999997</v>
      </c>
      <c r="C5" s="2">
        <v>1302.3312510793071</v>
      </c>
      <c r="D5" s="2">
        <f>1000000*0.0001674613</f>
        <v>167.46130000000002</v>
      </c>
      <c r="E5" s="2">
        <v>36.521630000000002</v>
      </c>
      <c r="F5" s="2"/>
      <c r="G5" s="2"/>
      <c r="H5" s="2"/>
      <c r="I5" s="2">
        <v>362.63241999999997</v>
      </c>
      <c r="J5" s="2">
        <v>899.04530379190339</v>
      </c>
      <c r="K5" s="2">
        <f>1000000*0.0001740116</f>
        <v>174.01159999999999</v>
      </c>
      <c r="L5" s="2">
        <v>27.223130000000001</v>
      </c>
      <c r="M5" s="2"/>
      <c r="P5" s="3"/>
      <c r="Q5" s="3"/>
      <c r="R5" s="3"/>
    </row>
    <row r="6" spans="1:20" x14ac:dyDescent="0.2">
      <c r="A6" s="2"/>
      <c r="B6" s="2">
        <v>392.13189999999997</v>
      </c>
      <c r="C6" s="2">
        <v>1045.89239879919</v>
      </c>
      <c r="D6" s="2">
        <f>1000000*0.0001732938</f>
        <v>173.2938</v>
      </c>
      <c r="E6" s="2">
        <v>31.408920000000002</v>
      </c>
      <c r="F6" s="2"/>
      <c r="G6" s="2"/>
      <c r="H6" s="2"/>
      <c r="I6" s="2">
        <v>390.70869999999996</v>
      </c>
      <c r="J6" s="2">
        <v>772.9785258835725</v>
      </c>
      <c r="K6" s="2">
        <f>1000000*0.0001784804</f>
        <v>178.4804</v>
      </c>
      <c r="L6" s="2">
        <v>24.623430000000003</v>
      </c>
      <c r="M6" s="2"/>
      <c r="P6" s="3"/>
      <c r="Q6" s="3"/>
      <c r="R6" s="3"/>
    </row>
    <row r="7" spans="1:20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P7" s="3"/>
      <c r="Q7" s="3"/>
      <c r="R7" s="3"/>
      <c r="S7" s="3"/>
      <c r="T7" s="3"/>
    </row>
    <row r="8" spans="1:20" x14ac:dyDescent="0.2">
      <c r="A8" s="2"/>
      <c r="B8" s="2" t="s">
        <v>1</v>
      </c>
      <c r="C8" s="2" t="s">
        <v>2</v>
      </c>
      <c r="D8" s="2"/>
      <c r="E8" s="2"/>
      <c r="F8" s="2"/>
      <c r="G8" s="2"/>
      <c r="H8" s="2"/>
      <c r="I8" s="2" t="s">
        <v>9</v>
      </c>
      <c r="J8" s="2" t="s">
        <v>10</v>
      </c>
      <c r="K8" s="2"/>
      <c r="L8" s="2"/>
      <c r="M8" s="2"/>
      <c r="P8" s="3"/>
      <c r="Q8" s="3"/>
      <c r="R8" s="3"/>
      <c r="S8" s="3"/>
      <c r="T8" s="3"/>
    </row>
    <row r="9" spans="1:20" x14ac:dyDescent="0.2">
      <c r="A9" s="2" t="s">
        <v>0</v>
      </c>
      <c r="B9" s="2" t="s">
        <v>41</v>
      </c>
      <c r="C9" s="2" t="s">
        <v>44</v>
      </c>
      <c r="D9" s="2" t="s">
        <v>42</v>
      </c>
      <c r="E9" s="2" t="s">
        <v>47</v>
      </c>
      <c r="F9" s="2"/>
      <c r="G9" s="2"/>
      <c r="H9" s="2" t="s">
        <v>0</v>
      </c>
      <c r="I9" s="2" t="s">
        <v>41</v>
      </c>
      <c r="J9" s="2" t="s">
        <v>44</v>
      </c>
      <c r="K9" s="2" t="s">
        <v>42</v>
      </c>
      <c r="L9" s="2" t="s">
        <v>47</v>
      </c>
      <c r="M9" s="2"/>
      <c r="P9" s="3"/>
      <c r="Q9" s="3"/>
      <c r="R9" s="3"/>
    </row>
    <row r="10" spans="1:20" x14ac:dyDescent="0.2">
      <c r="A10" s="2">
        <v>0.2</v>
      </c>
      <c r="B10" s="2">
        <v>316.32643999999999</v>
      </c>
      <c r="C10" s="2">
        <v>1691.4612330617072</v>
      </c>
      <c r="D10" s="2">
        <f>1000000*0.0001429369</f>
        <v>142.93690000000001</v>
      </c>
      <c r="E10" s="2">
        <v>34.558190000000003</v>
      </c>
      <c r="F10" s="2"/>
      <c r="G10" s="2"/>
      <c r="H10" s="2">
        <v>0.02</v>
      </c>
      <c r="I10" s="2">
        <v>313.77526999999998</v>
      </c>
      <c r="J10" s="2">
        <v>1259.5430856311702</v>
      </c>
      <c r="K10" s="2">
        <f>1000000*0.0001462616</f>
        <v>146.26160000000002</v>
      </c>
      <c r="L10" s="2">
        <v>26.944719999999997</v>
      </c>
      <c r="M10" s="2"/>
      <c r="P10" s="3"/>
      <c r="Q10" s="3"/>
      <c r="R10" s="3"/>
    </row>
    <row r="11" spans="1:20" x14ac:dyDescent="0.2">
      <c r="A11" s="2"/>
      <c r="B11" s="2">
        <v>337.14639999999997</v>
      </c>
      <c r="C11" s="2">
        <v>1635.0898122132053</v>
      </c>
      <c r="D11" s="2">
        <f>1000000*0.0001476477</f>
        <v>147.64770000000001</v>
      </c>
      <c r="E11" s="2">
        <v>35.6447</v>
      </c>
      <c r="F11" s="2"/>
      <c r="G11" s="2"/>
      <c r="H11" s="2"/>
      <c r="I11" s="2">
        <v>334.94950999999998</v>
      </c>
      <c r="J11" s="2">
        <v>1114.2027762144894</v>
      </c>
      <c r="K11" s="2">
        <f>1000000*0.0001525177</f>
        <v>152.51770000000002</v>
      </c>
      <c r="L11" s="2">
        <v>25.91818</v>
      </c>
      <c r="M11" s="2"/>
      <c r="P11" s="3"/>
      <c r="Q11" s="3"/>
      <c r="R11" s="3"/>
    </row>
    <row r="12" spans="1:20" x14ac:dyDescent="0.2">
      <c r="A12" s="2"/>
      <c r="B12" s="2">
        <v>364.47963999999996</v>
      </c>
      <c r="C12" s="2">
        <v>1404.8609876004159</v>
      </c>
      <c r="D12" s="2">
        <f>1000000*0.0001532828</f>
        <v>153.28280000000001</v>
      </c>
      <c r="E12" s="2">
        <v>33.00808</v>
      </c>
      <c r="F12" s="2"/>
      <c r="G12" s="2"/>
      <c r="H12" s="2"/>
      <c r="I12" s="2">
        <v>362.13670999999999</v>
      </c>
      <c r="J12" s="2">
        <v>956.28898670662682</v>
      </c>
      <c r="K12" s="2">
        <f>1000000*0.0001633003</f>
        <v>163.30029999999999</v>
      </c>
      <c r="L12" s="2">
        <v>25.501360000000002</v>
      </c>
      <c r="M12" s="2"/>
      <c r="P12" s="3"/>
      <c r="Q12" s="3"/>
      <c r="R12" s="3"/>
    </row>
    <row r="13" spans="1:20" x14ac:dyDescent="0.2">
      <c r="A13" s="2"/>
      <c r="B13" s="2">
        <v>392.42449999999997</v>
      </c>
      <c r="C13" s="2">
        <v>1169.3980687157016</v>
      </c>
      <c r="D13" s="2">
        <f>1000000*0.0001598827</f>
        <v>159.8827</v>
      </c>
      <c r="E13" s="2">
        <v>29.892690000000002</v>
      </c>
      <c r="F13" s="2"/>
      <c r="G13" s="2"/>
      <c r="H13" s="2"/>
      <c r="I13" s="2">
        <v>390.2885</v>
      </c>
      <c r="J13" s="2">
        <v>928.65255300516617</v>
      </c>
      <c r="K13" s="2">
        <f>1000000*0.0001678398</f>
        <v>167.8398</v>
      </c>
      <c r="L13" s="2">
        <v>26.160340000000001</v>
      </c>
      <c r="M13" s="2"/>
      <c r="P13" s="3"/>
      <c r="Q13" s="3"/>
      <c r="R13" s="3"/>
    </row>
    <row r="14" spans="1:2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P14" s="3"/>
      <c r="Q14" s="3"/>
      <c r="R14" s="3"/>
      <c r="S14" s="3"/>
      <c r="T14" s="3"/>
    </row>
    <row r="15" spans="1:20" x14ac:dyDescent="0.2">
      <c r="A15" s="2"/>
      <c r="B15" s="2" t="s">
        <v>3</v>
      </c>
      <c r="C15" s="2" t="s">
        <v>4</v>
      </c>
      <c r="D15" s="2"/>
      <c r="E15" s="2"/>
      <c r="F15" s="2"/>
      <c r="G15" s="2"/>
      <c r="H15" s="2"/>
      <c r="I15" s="2" t="s">
        <v>11</v>
      </c>
      <c r="J15" s="2" t="s">
        <v>12</v>
      </c>
      <c r="K15" s="2"/>
      <c r="L15" s="2"/>
      <c r="M15" s="2"/>
      <c r="P15" s="3"/>
      <c r="Q15" s="3"/>
      <c r="R15" s="3"/>
      <c r="S15" s="3"/>
      <c r="T15" s="3"/>
    </row>
    <row r="16" spans="1:20" x14ac:dyDescent="0.2">
      <c r="A16" s="2" t="s">
        <v>0</v>
      </c>
      <c r="B16" s="2" t="s">
        <v>41</v>
      </c>
      <c r="C16" s="2" t="s">
        <v>44</v>
      </c>
      <c r="D16" s="2" t="s">
        <v>42</v>
      </c>
      <c r="E16" s="2" t="s">
        <v>47</v>
      </c>
      <c r="F16" s="2"/>
      <c r="G16" s="2"/>
      <c r="H16" s="2" t="s">
        <v>0</v>
      </c>
      <c r="I16" s="2" t="s">
        <v>41</v>
      </c>
      <c r="J16" s="2" t="s">
        <v>44</v>
      </c>
      <c r="K16" s="2" t="s">
        <v>42</v>
      </c>
      <c r="L16" s="2" t="s">
        <v>47</v>
      </c>
      <c r="M16" s="2"/>
      <c r="P16" s="3"/>
      <c r="Q16" s="3"/>
      <c r="R16" s="3"/>
    </row>
    <row r="17" spans="1:20" x14ac:dyDescent="0.2">
      <c r="A17" s="2">
        <v>0.3</v>
      </c>
      <c r="B17" s="2">
        <v>315.56358</v>
      </c>
      <c r="C17" s="2">
        <v>1993.6283637494566</v>
      </c>
      <c r="D17" s="2">
        <f>1000000*0.0001326086</f>
        <v>132.6086</v>
      </c>
      <c r="E17" s="2">
        <v>35.058039999999998</v>
      </c>
      <c r="F17" s="2"/>
      <c r="G17" s="2"/>
      <c r="H17" s="2">
        <v>0.03</v>
      </c>
      <c r="I17" s="2">
        <v>316.01841999999999</v>
      </c>
      <c r="J17" s="2">
        <v>1451.7930660621014</v>
      </c>
      <c r="K17" s="2">
        <f>1000000*0.0001370143</f>
        <v>137.01429999999999</v>
      </c>
      <c r="L17" s="2">
        <v>27.2544</v>
      </c>
      <c r="M17" s="2"/>
      <c r="P17" s="3"/>
      <c r="Q17" s="3"/>
      <c r="R17" s="3"/>
    </row>
    <row r="18" spans="1:20" x14ac:dyDescent="0.2">
      <c r="A18" s="2"/>
      <c r="B18" s="2">
        <v>336.8458</v>
      </c>
      <c r="C18" s="2">
        <v>1775.0472029427444</v>
      </c>
      <c r="D18" s="2">
        <f>1000000*0.0001361515</f>
        <v>136.1515</v>
      </c>
      <c r="E18" s="2">
        <v>32.904440000000001</v>
      </c>
      <c r="F18" s="2"/>
      <c r="G18" s="2"/>
      <c r="H18" s="2"/>
      <c r="I18" s="2">
        <v>337.43881999999996</v>
      </c>
      <c r="J18" s="2">
        <v>1380.4312550066516</v>
      </c>
      <c r="K18" s="2">
        <f>1000000*0.0001429822</f>
        <v>142.98220000000001</v>
      </c>
      <c r="L18" s="2">
        <v>28.221399999999999</v>
      </c>
      <c r="M18" s="2"/>
      <c r="P18" s="3"/>
      <c r="Q18" s="3"/>
      <c r="R18" s="3"/>
    </row>
    <row r="19" spans="1:20" x14ac:dyDescent="0.2">
      <c r="A19" s="2"/>
      <c r="B19" s="2">
        <v>363.95527999999996</v>
      </c>
      <c r="C19" s="2">
        <v>1677.7296157529415</v>
      </c>
      <c r="D19" s="2">
        <f>1000000*0.0001435335</f>
        <v>143.5335</v>
      </c>
      <c r="E19" s="2">
        <v>34.56438</v>
      </c>
      <c r="F19" s="2"/>
      <c r="G19" s="2"/>
      <c r="H19" s="2"/>
      <c r="I19" s="2">
        <v>364.29197999999997</v>
      </c>
      <c r="J19" s="2">
        <v>1128.5109951954773</v>
      </c>
      <c r="K19" s="2">
        <f>1000000*0.0001499782</f>
        <v>149.97820000000002</v>
      </c>
      <c r="L19" s="2">
        <v>25.384130000000003</v>
      </c>
      <c r="M19" s="2"/>
      <c r="P19" s="3"/>
      <c r="Q19" s="3"/>
      <c r="R19" s="3"/>
    </row>
    <row r="20" spans="1:20" x14ac:dyDescent="0.2">
      <c r="A20" s="2"/>
      <c r="B20" s="2">
        <v>392.16699999999997</v>
      </c>
      <c r="C20" s="2">
        <v>1338.0692062774178</v>
      </c>
      <c r="D20" s="2">
        <f>1000000*0.0001504377</f>
        <v>150.43770000000001</v>
      </c>
      <c r="E20" s="2">
        <v>30.282500000000002</v>
      </c>
      <c r="F20" s="2"/>
      <c r="G20" s="2"/>
      <c r="H20" s="2"/>
      <c r="I20" s="2">
        <v>392.44619999999998</v>
      </c>
      <c r="J20" s="2">
        <v>995.52412354056162</v>
      </c>
      <c r="K20" s="2">
        <f>1000000*0.0001560646</f>
        <v>156.06459999999998</v>
      </c>
      <c r="L20" s="2">
        <v>24.247160000000001</v>
      </c>
      <c r="M20" s="2"/>
      <c r="P20" s="3"/>
      <c r="Q20" s="3"/>
      <c r="R20" s="3"/>
    </row>
    <row r="21" spans="1:20" x14ac:dyDescent="0.2">
      <c r="A21" s="2"/>
      <c r="B21" s="2"/>
      <c r="C21" s="2"/>
      <c r="D21" s="2"/>
      <c r="E21" s="2" t="s">
        <v>47</v>
      </c>
      <c r="F21" s="2"/>
      <c r="G21" s="2"/>
      <c r="H21" s="2"/>
      <c r="I21" s="2"/>
      <c r="J21" s="2"/>
      <c r="K21" s="2"/>
      <c r="L21" s="2"/>
      <c r="M21" s="2"/>
      <c r="P21" s="3"/>
      <c r="Q21" s="3"/>
      <c r="R21" s="3"/>
      <c r="S21" s="3"/>
      <c r="T21" s="3"/>
    </row>
    <row r="22" spans="1:20" x14ac:dyDescent="0.2">
      <c r="A22" s="2"/>
      <c r="B22" s="2" t="s">
        <v>5</v>
      </c>
      <c r="C22" s="2" t="s">
        <v>6</v>
      </c>
      <c r="D22" s="2"/>
      <c r="E22" s="2"/>
      <c r="F22" s="2"/>
      <c r="G22" s="2"/>
      <c r="H22" s="2"/>
      <c r="I22" s="2" t="s">
        <v>13</v>
      </c>
      <c r="J22" s="2" t="s">
        <v>14</v>
      </c>
      <c r="K22" s="2"/>
      <c r="L22" s="2"/>
      <c r="M22" s="2"/>
      <c r="P22" s="3"/>
      <c r="Q22" s="3"/>
      <c r="R22" s="3"/>
      <c r="S22" s="3"/>
      <c r="T22" s="3"/>
    </row>
    <row r="23" spans="1:20" x14ac:dyDescent="0.2">
      <c r="A23" s="2" t="s">
        <v>0</v>
      </c>
      <c r="B23" s="2" t="s">
        <v>41</v>
      </c>
      <c r="C23" s="2" t="s">
        <v>44</v>
      </c>
      <c r="D23" s="2" t="s">
        <v>42</v>
      </c>
      <c r="E23" s="2"/>
      <c r="F23" s="2"/>
      <c r="G23" s="2"/>
      <c r="H23" s="2" t="s">
        <v>0</v>
      </c>
      <c r="I23" s="2" t="s">
        <v>41</v>
      </c>
      <c r="J23" s="2" t="s">
        <v>44</v>
      </c>
      <c r="K23" s="2" t="s">
        <v>42</v>
      </c>
      <c r="L23" s="2" t="s">
        <v>47</v>
      </c>
      <c r="M23" s="2"/>
      <c r="P23" s="3"/>
      <c r="Q23" s="3"/>
      <c r="R23" s="3"/>
    </row>
    <row r="24" spans="1:20" x14ac:dyDescent="0.2">
      <c r="A24" s="2">
        <v>0.5</v>
      </c>
      <c r="B24" s="2">
        <v>315.82400999999999</v>
      </c>
      <c r="C24" s="2">
        <v>2360.7772906444993</v>
      </c>
      <c r="D24" s="2">
        <f>1000000*0.000115046</f>
        <v>115.04599999999999</v>
      </c>
      <c r="E24" s="2">
        <v>31.246249999999996</v>
      </c>
      <c r="F24" s="2"/>
      <c r="G24" s="2"/>
      <c r="H24" s="2">
        <v>0.05</v>
      </c>
      <c r="I24" s="2">
        <v>315.37031999999999</v>
      </c>
      <c r="J24" s="2">
        <v>1751.1868230896785</v>
      </c>
      <c r="K24" s="2">
        <f>1000000*0.0001218582</f>
        <v>121.8582</v>
      </c>
      <c r="L24" s="2">
        <v>26.004110000000001</v>
      </c>
      <c r="M24" s="2"/>
      <c r="P24" s="3"/>
      <c r="Q24" s="3"/>
      <c r="R24" s="3"/>
    </row>
    <row r="25" spans="1:20" x14ac:dyDescent="0.2">
      <c r="A25" s="2"/>
      <c r="B25" s="2">
        <v>336.90179000000001</v>
      </c>
      <c r="C25" s="2">
        <v>2128.5218522567443</v>
      </c>
      <c r="D25" s="2">
        <f>1000000*0.0001196967</f>
        <v>119.69669999999999</v>
      </c>
      <c r="E25" s="2">
        <v>30.49597</v>
      </c>
      <c r="F25" s="2"/>
      <c r="G25" s="2"/>
      <c r="H25" s="2"/>
      <c r="I25" s="2">
        <v>336.42005999999998</v>
      </c>
      <c r="J25" s="2">
        <v>1576.8731992108067</v>
      </c>
      <c r="K25" s="2">
        <f>1000000*0.000127757</f>
        <v>127.75699999999999</v>
      </c>
      <c r="L25" s="2">
        <v>25.737490000000001</v>
      </c>
      <c r="M25" s="2"/>
      <c r="P25" s="3"/>
      <c r="Q25" s="3"/>
      <c r="R25" s="3"/>
    </row>
    <row r="26" spans="1:20" x14ac:dyDescent="0.2">
      <c r="A26" s="2"/>
      <c r="B26" s="2">
        <v>364.38191999999998</v>
      </c>
      <c r="C26" s="2">
        <v>1833.1745193141433</v>
      </c>
      <c r="D26" s="2">
        <f>1000000*0.0001265418</f>
        <v>126.54180000000001</v>
      </c>
      <c r="E26" s="2">
        <v>29.354329999999997</v>
      </c>
      <c r="F26" s="2"/>
      <c r="G26" s="2"/>
      <c r="H26" s="2"/>
      <c r="I26" s="2">
        <v>363.84877999999998</v>
      </c>
      <c r="J26" s="2">
        <v>1379.8221160924377</v>
      </c>
      <c r="K26" s="2">
        <f>1000000*0.0001339157</f>
        <v>133.91569999999999</v>
      </c>
      <c r="L26" s="2">
        <v>24.744900000000001</v>
      </c>
      <c r="M26" s="2"/>
      <c r="P26" s="3"/>
      <c r="Q26" s="3"/>
      <c r="R26" s="3"/>
    </row>
    <row r="27" spans="1:20" x14ac:dyDescent="0.2">
      <c r="A27" s="2"/>
      <c r="B27" s="2">
        <v>392.46249999999998</v>
      </c>
      <c r="C27" s="2">
        <v>1578.9826046644409</v>
      </c>
      <c r="D27" s="2">
        <f>1000000*0.0001332668</f>
        <v>133.26679999999999</v>
      </c>
      <c r="E27" s="2">
        <v>28.042789999999997</v>
      </c>
      <c r="F27" s="2"/>
      <c r="G27" s="2"/>
      <c r="H27" s="2"/>
      <c r="I27" s="2">
        <v>391.88549999999998</v>
      </c>
      <c r="J27" s="2">
        <v>1191.658769941218</v>
      </c>
      <c r="K27" s="2">
        <f>1000000*0.0001414924</f>
        <v>141.4924</v>
      </c>
      <c r="L27" s="2">
        <v>23.857119999999998</v>
      </c>
      <c r="M27" s="2"/>
      <c r="P27" s="3"/>
      <c r="Q27" s="3"/>
      <c r="R27" s="3"/>
    </row>
    <row r="28" spans="1:20" x14ac:dyDescent="0.2">
      <c r="B28" s="1">
        <v>273.14999999999998</v>
      </c>
      <c r="J28" s="3"/>
      <c r="P28" s="3"/>
      <c r="Q28" s="3"/>
      <c r="R28" s="3"/>
    </row>
    <row r="29" spans="1:20" x14ac:dyDescent="0.2">
      <c r="J29" s="3"/>
      <c r="P29" s="3"/>
      <c r="Q29" s="3"/>
      <c r="R29" s="3"/>
      <c r="S29" s="3"/>
    </row>
    <row r="30" spans="1:20" x14ac:dyDescent="0.2">
      <c r="A30" s="6"/>
      <c r="B30" s="6" t="s">
        <v>15</v>
      </c>
      <c r="C30" s="6" t="s">
        <v>10</v>
      </c>
      <c r="D30" s="6"/>
      <c r="E30" s="6"/>
      <c r="F30" s="6"/>
      <c r="G30" s="6"/>
      <c r="H30" s="6"/>
      <c r="I30" s="6" t="s">
        <v>15</v>
      </c>
      <c r="J30" s="6" t="s">
        <v>10</v>
      </c>
      <c r="K30" s="6"/>
      <c r="L30" s="6"/>
      <c r="M30" s="6"/>
      <c r="N30" s="6"/>
      <c r="O30" s="6"/>
      <c r="P30" s="3"/>
      <c r="Q30" s="3"/>
      <c r="R30" s="3"/>
      <c r="S30" s="3"/>
    </row>
    <row r="31" spans="1:20" x14ac:dyDescent="0.2">
      <c r="A31" s="6" t="s">
        <v>16</v>
      </c>
      <c r="B31" s="6" t="s">
        <v>41</v>
      </c>
      <c r="C31" s="6" t="s">
        <v>45</v>
      </c>
      <c r="D31" s="6" t="s">
        <v>43</v>
      </c>
      <c r="E31" s="6" t="s">
        <v>46</v>
      </c>
      <c r="F31" s="6"/>
      <c r="G31" s="6"/>
      <c r="H31" s="6"/>
      <c r="I31" s="6" t="s">
        <v>41</v>
      </c>
      <c r="J31" s="6" t="s">
        <v>45</v>
      </c>
      <c r="K31" s="6" t="s">
        <v>42</v>
      </c>
      <c r="L31" s="6" t="s">
        <v>46</v>
      </c>
      <c r="M31" s="6"/>
      <c r="N31" s="6"/>
      <c r="O31" s="6"/>
      <c r="P31" s="3"/>
      <c r="Q31" s="3"/>
      <c r="R31" s="3"/>
    </row>
    <row r="32" spans="1:20" x14ac:dyDescent="0.2">
      <c r="A32" s="6">
        <v>0.1</v>
      </c>
      <c r="B32" s="6">
        <v>314.60993999999999</v>
      </c>
      <c r="C32" s="6">
        <v>1751.8485505905833</v>
      </c>
      <c r="D32" s="6">
        <f>1000000*0.000149931</f>
        <v>149.93100000000001</v>
      </c>
      <c r="E32" s="6">
        <v>39.380320000000005</v>
      </c>
      <c r="F32" s="7">
        <v>1.319</v>
      </c>
      <c r="G32" s="6"/>
      <c r="H32" s="6"/>
      <c r="I32" s="6">
        <v>313.51709</v>
      </c>
      <c r="J32" s="6">
        <v>1225.6471570194958</v>
      </c>
      <c r="K32" s="6">
        <f>1000000*0.0001561123</f>
        <v>156.1123</v>
      </c>
      <c r="L32" s="6">
        <v>29.870320000000003</v>
      </c>
      <c r="M32" s="6"/>
      <c r="N32" s="7">
        <v>0.95599999999999996</v>
      </c>
      <c r="O32" s="6"/>
      <c r="P32" s="3"/>
      <c r="Q32" s="3"/>
      <c r="R32" s="3"/>
    </row>
    <row r="33" spans="1:19" x14ac:dyDescent="0.2">
      <c r="A33" s="6"/>
      <c r="B33" s="6">
        <v>335.71983</v>
      </c>
      <c r="C33" s="6">
        <v>1580.0706323174059</v>
      </c>
      <c r="D33" s="6">
        <f>1000000*0.0001538508</f>
        <v>153.85079999999999</v>
      </c>
      <c r="E33" s="6">
        <v>37.400390000000002</v>
      </c>
      <c r="F33" s="7">
        <v>1.224</v>
      </c>
      <c r="G33" s="6"/>
      <c r="H33" s="6"/>
      <c r="I33" s="6">
        <v>334.77571999999998</v>
      </c>
      <c r="J33" s="6">
        <v>1054.5844473260379</v>
      </c>
      <c r="K33" s="6">
        <f>1000000*0.0001615341</f>
        <v>161.5341</v>
      </c>
      <c r="L33" s="6">
        <v>27.51754</v>
      </c>
      <c r="M33" s="6"/>
      <c r="N33" s="7">
        <v>0.88500000000000001</v>
      </c>
      <c r="O33" s="6"/>
      <c r="P33" s="3"/>
      <c r="Q33" s="3"/>
      <c r="R33" s="3"/>
    </row>
    <row r="34" spans="1:19" x14ac:dyDescent="0.2">
      <c r="A34" s="6"/>
      <c r="B34" s="6">
        <v>362.66408999999999</v>
      </c>
      <c r="C34" s="6">
        <v>1371.751144589155</v>
      </c>
      <c r="D34" s="6">
        <f>1000000*0.0001603714</f>
        <v>160.37139999999999</v>
      </c>
      <c r="E34" s="6">
        <v>35.280030000000004</v>
      </c>
      <c r="F34" s="7">
        <v>1.1519999999999999</v>
      </c>
      <c r="G34" s="6"/>
      <c r="H34" s="6"/>
      <c r="I34" s="6">
        <v>362.17959999999999</v>
      </c>
      <c r="J34" s="6">
        <v>920.19176796444378</v>
      </c>
      <c r="K34" s="6">
        <f>1000000*0.0001681539</f>
        <v>168.15389999999999</v>
      </c>
      <c r="L34" s="6">
        <v>26.019089999999998</v>
      </c>
      <c r="M34" s="6"/>
      <c r="N34" s="7">
        <v>0.83</v>
      </c>
      <c r="O34" s="6"/>
      <c r="P34" s="3"/>
      <c r="Q34" s="3"/>
      <c r="R34" s="3"/>
    </row>
    <row r="35" spans="1:19" x14ac:dyDescent="0.2">
      <c r="A35" s="6"/>
      <c r="B35" s="6">
        <v>391.15019999999998</v>
      </c>
      <c r="C35" s="6">
        <v>1197.7195419920472</v>
      </c>
      <c r="D35" s="6">
        <f>1000000*0.0001647711</f>
        <v>164.77110000000002</v>
      </c>
      <c r="E35" s="6">
        <v>32.517510000000001</v>
      </c>
      <c r="F35" s="7">
        <v>1.105</v>
      </c>
      <c r="G35" s="6"/>
      <c r="H35" s="6"/>
      <c r="I35" s="6">
        <v>390.29499999999996</v>
      </c>
      <c r="J35" s="6">
        <v>802.14204010389346</v>
      </c>
      <c r="K35" s="6">
        <f>1000000*0.0001763521</f>
        <v>176.35209999999998</v>
      </c>
      <c r="L35" s="6">
        <v>24.946669999999997</v>
      </c>
      <c r="M35" s="6"/>
      <c r="N35" s="7">
        <v>0.78900000000000003</v>
      </c>
      <c r="O35" s="6"/>
      <c r="P35" s="3"/>
      <c r="Q35" s="3"/>
      <c r="R35" s="3"/>
    </row>
    <row r="36" spans="1:19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3"/>
      <c r="Q36" s="3"/>
      <c r="R36" s="3"/>
      <c r="S36" s="3"/>
    </row>
    <row r="37" spans="1:19" x14ac:dyDescent="0.2">
      <c r="A37" s="6"/>
      <c r="B37" s="6" t="s">
        <v>15</v>
      </c>
      <c r="C37" s="6" t="s">
        <v>17</v>
      </c>
      <c r="D37" s="6"/>
      <c r="E37" s="6"/>
      <c r="F37" s="6"/>
      <c r="G37" s="6"/>
      <c r="H37" s="6"/>
      <c r="I37" s="6" t="s">
        <v>21</v>
      </c>
      <c r="J37" s="6" t="s">
        <v>22</v>
      </c>
      <c r="K37" s="6"/>
      <c r="L37" s="6"/>
      <c r="M37" s="6"/>
      <c r="N37" s="6"/>
      <c r="O37" s="6"/>
      <c r="P37" s="3"/>
      <c r="Q37" s="3"/>
      <c r="R37" s="3"/>
      <c r="S37" s="3"/>
    </row>
    <row r="38" spans="1:19" x14ac:dyDescent="0.2">
      <c r="A38" s="6" t="s">
        <v>16</v>
      </c>
      <c r="B38" s="6" t="s">
        <v>41</v>
      </c>
      <c r="C38" s="6" t="s">
        <v>45</v>
      </c>
      <c r="D38" s="6" t="s">
        <v>43</v>
      </c>
      <c r="E38" s="6" t="s">
        <v>46</v>
      </c>
      <c r="F38" s="6"/>
      <c r="G38" s="6"/>
      <c r="H38" s="6"/>
      <c r="I38" s="6" t="s">
        <v>41</v>
      </c>
      <c r="J38" s="6" t="s">
        <v>45</v>
      </c>
      <c r="K38" s="6" t="s">
        <v>42</v>
      </c>
      <c r="L38" s="6" t="s">
        <v>46</v>
      </c>
      <c r="M38" s="6"/>
      <c r="N38" s="6"/>
      <c r="O38" s="6"/>
      <c r="P38" s="3"/>
      <c r="Q38" s="3"/>
      <c r="R38" s="3"/>
    </row>
    <row r="39" spans="1:19" x14ac:dyDescent="0.2">
      <c r="A39" s="6">
        <v>0.2</v>
      </c>
      <c r="B39" s="6">
        <v>315.04386</v>
      </c>
      <c r="C39" s="6">
        <v>2026.4340212333809</v>
      </c>
      <c r="D39" s="6">
        <f>1000000*0.0001307045</f>
        <v>130.7045</v>
      </c>
      <c r="E39" s="6">
        <v>34.61891</v>
      </c>
      <c r="F39" s="7">
        <v>1.4059999999999999</v>
      </c>
      <c r="G39" s="6"/>
      <c r="H39" s="6"/>
      <c r="I39" s="6">
        <v>313.85939999999999</v>
      </c>
      <c r="J39" s="6">
        <v>1481.336639676713</v>
      </c>
      <c r="K39" s="6">
        <f>1000000*0.0001396105</f>
        <v>139.6105</v>
      </c>
      <c r="L39" s="6">
        <v>28.872879999999999</v>
      </c>
      <c r="M39" s="6"/>
      <c r="N39" s="7">
        <v>1.069</v>
      </c>
      <c r="O39" s="6"/>
      <c r="P39" s="3"/>
      <c r="Q39" s="3"/>
      <c r="R39" s="3"/>
    </row>
    <row r="40" spans="1:19" x14ac:dyDescent="0.2">
      <c r="A40" s="6"/>
      <c r="B40" s="6">
        <v>336.27545999999995</v>
      </c>
      <c r="C40" s="6">
        <v>1827.3811873299624</v>
      </c>
      <c r="D40" s="6">
        <f>1000000*0.0001372751</f>
        <v>137.27510000000001</v>
      </c>
      <c r="E40" s="6">
        <v>34.435989999999997</v>
      </c>
      <c r="F40" s="7">
        <v>1.306</v>
      </c>
      <c r="G40" s="6"/>
      <c r="H40" s="6"/>
      <c r="I40" s="6">
        <v>335.25847999999996</v>
      </c>
      <c r="J40" s="6">
        <v>1346.3213854939524</v>
      </c>
      <c r="K40" s="6">
        <f>1000000*0.0001463403</f>
        <v>146.34030000000001</v>
      </c>
      <c r="L40" s="6">
        <v>28.83212</v>
      </c>
      <c r="M40" s="6"/>
      <c r="N40" s="7">
        <v>0.98799999999999999</v>
      </c>
      <c r="O40" s="6"/>
      <c r="P40" s="3"/>
      <c r="Q40" s="3"/>
      <c r="R40" s="3"/>
    </row>
    <row r="41" spans="1:19" x14ac:dyDescent="0.2">
      <c r="A41" s="6"/>
      <c r="B41" s="6">
        <v>363.81403</v>
      </c>
      <c r="C41" s="6">
        <v>1670.5579529918357</v>
      </c>
      <c r="D41" s="6">
        <f>1000000*0.0001448698</f>
        <v>144.8698</v>
      </c>
      <c r="E41" s="6">
        <v>35.06044</v>
      </c>
      <c r="F41" s="7">
        <v>1.228</v>
      </c>
      <c r="G41" s="6"/>
      <c r="H41" s="6"/>
      <c r="I41" s="6">
        <v>362.31509</v>
      </c>
      <c r="J41" s="6">
        <v>1143.8138941590114</v>
      </c>
      <c r="K41" s="6">
        <f>1000000*0.0001532624</f>
        <v>153.26240000000001</v>
      </c>
      <c r="L41" s="6">
        <v>26.867449999999998</v>
      </c>
      <c r="M41" s="6"/>
      <c r="N41" s="7">
        <v>0.92300000000000004</v>
      </c>
      <c r="O41" s="6"/>
      <c r="P41" s="3"/>
      <c r="Q41" s="3"/>
      <c r="R41" s="3"/>
    </row>
    <row r="42" spans="1:19" x14ac:dyDescent="0.2">
      <c r="A42" s="6"/>
      <c r="B42" s="6">
        <v>392.28800000000001</v>
      </c>
      <c r="C42" s="6">
        <v>1574.8867302091467</v>
      </c>
      <c r="D42" s="6">
        <f>1000000*0.0001512004</f>
        <v>151.2004</v>
      </c>
      <c r="E42" s="6">
        <v>36.004390000000001</v>
      </c>
      <c r="F42" s="7">
        <v>1.167</v>
      </c>
      <c r="G42" s="6"/>
      <c r="H42" s="6"/>
      <c r="I42" s="6">
        <v>390.14549999999997</v>
      </c>
      <c r="J42" s="6">
        <v>1021.8469863841954</v>
      </c>
      <c r="K42" s="6">
        <f>1000000*0.0001611086</f>
        <v>161.1086</v>
      </c>
      <c r="L42" s="6">
        <v>26.523039999999998</v>
      </c>
      <c r="M42" s="6"/>
      <c r="N42" s="7">
        <v>0.871</v>
      </c>
      <c r="O42" s="6"/>
      <c r="P42" s="3"/>
      <c r="Q42" s="3"/>
      <c r="R42" s="3"/>
    </row>
    <row r="43" spans="1:19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  <c r="S43" s="3"/>
    </row>
    <row r="44" spans="1:19" x14ac:dyDescent="0.2">
      <c r="A44" s="6"/>
      <c r="B44" s="6" t="s">
        <v>18</v>
      </c>
      <c r="C44" s="6" t="s">
        <v>17</v>
      </c>
      <c r="D44" s="6"/>
      <c r="E44" s="6"/>
      <c r="F44" s="6"/>
      <c r="G44" s="6"/>
      <c r="H44" s="6"/>
      <c r="I44" s="6" t="s">
        <v>23</v>
      </c>
      <c r="J44" s="6" t="s">
        <v>24</v>
      </c>
      <c r="K44" s="6"/>
      <c r="L44" s="6"/>
      <c r="M44" s="6"/>
      <c r="N44" s="6"/>
      <c r="O44" s="6"/>
      <c r="P44" s="3"/>
      <c r="Q44" s="3"/>
      <c r="R44" s="3"/>
      <c r="S44" s="3"/>
    </row>
    <row r="45" spans="1:19" x14ac:dyDescent="0.2">
      <c r="A45" s="6"/>
      <c r="B45" s="6" t="s">
        <v>41</v>
      </c>
      <c r="C45" s="6" t="s">
        <v>45</v>
      </c>
      <c r="D45" s="6" t="s">
        <v>43</v>
      </c>
      <c r="E45" s="6" t="s">
        <v>46</v>
      </c>
      <c r="F45" s="6"/>
      <c r="G45" s="6"/>
      <c r="H45" s="6"/>
      <c r="I45" s="6" t="s">
        <v>41</v>
      </c>
      <c r="J45" s="6" t="s">
        <v>45</v>
      </c>
      <c r="K45" s="6" t="s">
        <v>42</v>
      </c>
      <c r="L45" s="6" t="s">
        <v>46</v>
      </c>
      <c r="M45" s="6"/>
      <c r="N45" s="6"/>
      <c r="O45" s="6"/>
      <c r="P45" s="3"/>
      <c r="Q45" s="3"/>
      <c r="R45" s="3"/>
    </row>
    <row r="46" spans="1:19" x14ac:dyDescent="0.2">
      <c r="A46" s="6">
        <v>0.3</v>
      </c>
      <c r="B46" s="6">
        <v>312.86528999999996</v>
      </c>
      <c r="C46" s="6">
        <v>2035.4651302433074</v>
      </c>
      <c r="D46" s="6">
        <f>1000000*0.0001363739</f>
        <v>136.37389999999999</v>
      </c>
      <c r="E46" s="6">
        <v>37.855229999999999</v>
      </c>
      <c r="F46" s="7">
        <v>1.4339999999999999</v>
      </c>
      <c r="G46" s="6"/>
      <c r="H46" s="6"/>
      <c r="I46" s="6">
        <v>312.12072000000001</v>
      </c>
      <c r="J46" s="6">
        <v>1274.9150269134564</v>
      </c>
      <c r="K46" s="6">
        <f>1000000*0.0001486634</f>
        <v>148.6634</v>
      </c>
      <c r="L46" s="6">
        <v>28.176640000000003</v>
      </c>
      <c r="M46" s="6"/>
      <c r="N46" s="7">
        <v>0.99299999999999999</v>
      </c>
      <c r="O46" s="6"/>
      <c r="P46" s="3"/>
      <c r="Q46" s="3"/>
      <c r="R46" s="3"/>
    </row>
    <row r="47" spans="1:19" x14ac:dyDescent="0.2">
      <c r="A47" s="6"/>
      <c r="B47" s="6">
        <v>332.68898999999999</v>
      </c>
      <c r="C47" s="6">
        <v>1835.197771923089</v>
      </c>
      <c r="D47" s="6">
        <f>1000000*0.000147422</f>
        <v>147.422</v>
      </c>
      <c r="E47" s="6">
        <v>39.884830000000001</v>
      </c>
      <c r="F47" s="7">
        <v>1.3320000000000001</v>
      </c>
      <c r="G47" s="6"/>
      <c r="H47" s="6"/>
      <c r="I47" s="6">
        <v>334.69907000000001</v>
      </c>
      <c r="J47" s="6">
        <v>1118.0294775179925</v>
      </c>
      <c r="K47" s="6">
        <f>1000000*0.0001537897</f>
        <v>153.78970000000001</v>
      </c>
      <c r="L47" s="6">
        <v>26.442810000000001</v>
      </c>
      <c r="M47" s="6"/>
      <c r="N47" s="7">
        <v>0.91600000000000004</v>
      </c>
      <c r="O47" s="6"/>
      <c r="P47" s="3"/>
      <c r="Q47" s="3"/>
      <c r="R47" s="3"/>
    </row>
    <row r="48" spans="1:19" x14ac:dyDescent="0.2">
      <c r="A48" s="6"/>
      <c r="B48" s="6">
        <v>356.60861999999997</v>
      </c>
      <c r="C48" s="6">
        <v>1602.0614044503345</v>
      </c>
      <c r="D48" s="6">
        <f>1000000*0.0001489323</f>
        <v>148.9323</v>
      </c>
      <c r="E48" s="6">
        <v>35.535050000000005</v>
      </c>
      <c r="F48" s="7">
        <v>1.25</v>
      </c>
      <c r="G48" s="6"/>
      <c r="H48" s="6"/>
      <c r="I48" s="6">
        <v>361.98452999999995</v>
      </c>
      <c r="J48" s="6">
        <v>984.47192433742578</v>
      </c>
      <c r="K48" s="6">
        <f>1000000*0.0001602423</f>
        <v>160.2423</v>
      </c>
      <c r="L48" s="6">
        <v>25.278879999999997</v>
      </c>
      <c r="M48" s="6"/>
      <c r="N48" s="7">
        <v>0.85499999999999998</v>
      </c>
      <c r="O48" s="6"/>
      <c r="P48" s="3"/>
      <c r="Q48" s="3"/>
      <c r="R48" s="3"/>
    </row>
    <row r="49" spans="1:19" x14ac:dyDescent="0.2">
      <c r="A49" s="6"/>
      <c r="B49" s="6">
        <v>381.23099999999999</v>
      </c>
      <c r="C49" s="6">
        <v>1410.9906861915795</v>
      </c>
      <c r="D49" s="6">
        <f>1000000*0.0001543408</f>
        <v>154.3408</v>
      </c>
      <c r="E49" s="6">
        <v>33.611339999999998</v>
      </c>
      <c r="F49" s="7">
        <v>1.1930000000000001</v>
      </c>
      <c r="G49" s="6"/>
      <c r="H49" s="6"/>
      <c r="I49" s="6">
        <v>390.02919999999995</v>
      </c>
      <c r="J49" s="6">
        <v>856.75266749943034</v>
      </c>
      <c r="K49" s="6">
        <f>1000000*0.0001687105</f>
        <v>168.71050000000002</v>
      </c>
      <c r="L49" s="6">
        <v>24.385940000000002</v>
      </c>
      <c r="M49" s="6"/>
      <c r="N49" s="7">
        <v>0.80900000000000005</v>
      </c>
      <c r="O49" s="6"/>
      <c r="P49" s="3"/>
      <c r="Q49" s="3"/>
      <c r="R49" s="3"/>
    </row>
    <row r="50" spans="1:19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"/>
      <c r="Q50" s="3"/>
      <c r="R50" s="3"/>
      <c r="S50" s="3"/>
    </row>
    <row r="51" spans="1:19" x14ac:dyDescent="0.2">
      <c r="A51" s="6"/>
      <c r="B51" s="6" t="s">
        <v>15</v>
      </c>
      <c r="C51" s="6" t="s">
        <v>19</v>
      </c>
      <c r="D51" s="6"/>
      <c r="E51" s="6"/>
      <c r="F51" s="6"/>
      <c r="G51" s="6"/>
      <c r="H51" s="6"/>
      <c r="I51" s="6" t="s">
        <v>11</v>
      </c>
      <c r="J51" s="6" t="s">
        <v>19</v>
      </c>
      <c r="K51" s="6"/>
      <c r="L51" s="6"/>
      <c r="M51" s="6"/>
      <c r="N51" s="6"/>
      <c r="O51" s="6"/>
      <c r="P51" s="3"/>
      <c r="Q51" s="3"/>
      <c r="R51" s="3"/>
      <c r="S51" s="3"/>
    </row>
    <row r="52" spans="1:19" x14ac:dyDescent="0.2">
      <c r="A52" s="6"/>
      <c r="B52" s="6" t="s">
        <v>41</v>
      </c>
      <c r="C52" s="6" t="s">
        <v>45</v>
      </c>
      <c r="D52" s="6" t="s">
        <v>43</v>
      </c>
      <c r="E52" s="6" t="s">
        <v>46</v>
      </c>
      <c r="F52" s="6"/>
      <c r="G52" s="6"/>
      <c r="H52" s="6"/>
      <c r="I52" s="6" t="s">
        <v>41</v>
      </c>
      <c r="J52" s="6" t="s">
        <v>45</v>
      </c>
      <c r="K52" s="6" t="s">
        <v>42</v>
      </c>
      <c r="L52" s="6" t="s">
        <v>46</v>
      </c>
      <c r="M52" s="6"/>
      <c r="N52" s="6"/>
      <c r="O52" s="6"/>
      <c r="P52" s="3"/>
      <c r="Q52" s="3"/>
      <c r="R52" s="3"/>
    </row>
    <row r="53" spans="1:19" x14ac:dyDescent="0.2">
      <c r="A53" s="6">
        <v>0.4</v>
      </c>
      <c r="B53" s="6">
        <v>315.42148999999995</v>
      </c>
      <c r="C53" s="6">
        <v>2336.0812657262072</v>
      </c>
      <c r="D53" s="6">
        <f>1000000*0.0001181565</f>
        <v>118.15650000000001</v>
      </c>
      <c r="E53" s="6">
        <v>32.61392</v>
      </c>
      <c r="F53" s="7">
        <v>1.4770000000000001</v>
      </c>
      <c r="G53" s="6"/>
      <c r="H53" s="6"/>
      <c r="I53" s="6">
        <v>314.66568999999998</v>
      </c>
      <c r="J53" s="6">
        <v>1665.433135857375</v>
      </c>
      <c r="K53" s="6">
        <f>1000000*0.000121847</f>
        <v>121.84699999999999</v>
      </c>
      <c r="L53" s="6">
        <v>24.72616</v>
      </c>
      <c r="M53" s="6"/>
      <c r="N53" s="7">
        <v>1.0529999999999999</v>
      </c>
      <c r="O53" s="6"/>
      <c r="P53" s="3"/>
      <c r="Q53" s="3"/>
      <c r="R53" s="3"/>
    </row>
    <row r="54" spans="1:19" x14ac:dyDescent="0.2">
      <c r="A54" s="6"/>
      <c r="B54" s="6">
        <v>336.27740999999997</v>
      </c>
      <c r="C54" s="6">
        <v>2155.595635263734</v>
      </c>
      <c r="D54" s="6">
        <f>1000000*0.0001231768</f>
        <v>123.17679999999999</v>
      </c>
      <c r="E54" s="6">
        <v>32.705829999999999</v>
      </c>
      <c r="F54" s="7">
        <v>1.3720000000000001</v>
      </c>
      <c r="G54" s="6"/>
      <c r="H54" s="6"/>
      <c r="I54" s="6">
        <v>336.03386999999998</v>
      </c>
      <c r="J54" s="6">
        <v>1514.0336536372463</v>
      </c>
      <c r="K54" s="6">
        <f>1000000*0.0001271745</f>
        <v>127.17450000000001</v>
      </c>
      <c r="L54" s="6">
        <v>24.486989999999999</v>
      </c>
      <c r="M54" s="6"/>
      <c r="N54" s="7">
        <v>0.97</v>
      </c>
      <c r="O54" s="6"/>
      <c r="P54" s="3"/>
      <c r="Q54" s="3"/>
      <c r="R54" s="3"/>
    </row>
    <row r="55" spans="1:19" x14ac:dyDescent="0.2">
      <c r="A55" s="6"/>
      <c r="B55" s="6">
        <v>362.84859999999998</v>
      </c>
      <c r="C55" s="6">
        <v>1877.0702912143161</v>
      </c>
      <c r="D55" s="6">
        <f>1000000*0.00013086</f>
        <v>130.86000000000001</v>
      </c>
      <c r="E55" s="6">
        <v>32.143599999999999</v>
      </c>
      <c r="F55" s="7">
        <v>1.2809999999999999</v>
      </c>
      <c r="G55" s="6"/>
      <c r="H55" s="6"/>
      <c r="I55" s="6">
        <v>363.24811</v>
      </c>
      <c r="J55" s="6">
        <v>1298.1484897535192</v>
      </c>
      <c r="K55" s="6">
        <f>1000000*0.0001351025</f>
        <v>135.10249999999999</v>
      </c>
      <c r="L55" s="6">
        <v>23.694699999999997</v>
      </c>
      <c r="M55" s="6"/>
      <c r="N55" s="7">
        <v>0.90300000000000002</v>
      </c>
      <c r="O55" s="6"/>
      <c r="P55" s="3"/>
      <c r="Q55" s="3"/>
      <c r="R55" s="3"/>
    </row>
    <row r="56" spans="1:19" x14ac:dyDescent="0.2">
      <c r="A56" s="6"/>
      <c r="B56" s="6">
        <v>391.779</v>
      </c>
      <c r="C56" s="6">
        <v>1586.5662264474245</v>
      </c>
      <c r="D56" s="6">
        <f>1000000*0.0001366275</f>
        <v>136.62750000000003</v>
      </c>
      <c r="E56" s="6">
        <v>29.616569999999999</v>
      </c>
      <c r="F56" s="7">
        <v>1.2090000000000001</v>
      </c>
      <c r="G56" s="6"/>
      <c r="H56" s="6"/>
      <c r="I56" s="6">
        <v>391.44229999999999</v>
      </c>
      <c r="J56" s="6">
        <v>1147.8645873329242</v>
      </c>
      <c r="K56" s="6">
        <f>1000000*0.0001425881</f>
        <v>142.5881</v>
      </c>
      <c r="L56" s="6">
        <v>23.337649999999996</v>
      </c>
      <c r="M56" s="6"/>
      <c r="N56" s="7">
        <v>0.85</v>
      </c>
      <c r="O56" s="6"/>
      <c r="P56" s="3"/>
      <c r="Q56" s="3"/>
      <c r="R56" s="3"/>
    </row>
    <row r="57" spans="1:19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"/>
      <c r="Q57" s="3"/>
      <c r="R57" s="3"/>
      <c r="S57" s="3"/>
    </row>
    <row r="58" spans="1:19" x14ac:dyDescent="0.2">
      <c r="A58" s="6"/>
      <c r="B58" s="6" t="s">
        <v>20</v>
      </c>
      <c r="C58" s="6" t="s">
        <v>12</v>
      </c>
      <c r="D58" s="6"/>
      <c r="E58" s="6"/>
      <c r="F58" s="6"/>
      <c r="G58" s="6"/>
      <c r="H58" s="6"/>
      <c r="I58" s="6" t="s">
        <v>25</v>
      </c>
      <c r="J58" s="6" t="s">
        <v>17</v>
      </c>
      <c r="K58" s="6"/>
      <c r="L58" s="6"/>
      <c r="M58" s="6"/>
      <c r="N58" s="6"/>
      <c r="O58" s="6"/>
      <c r="P58" s="3"/>
      <c r="Q58" s="3"/>
      <c r="R58" s="3"/>
      <c r="S58" s="3"/>
    </row>
    <row r="59" spans="1:19" x14ac:dyDescent="0.2">
      <c r="A59" s="6">
        <v>0.5</v>
      </c>
      <c r="B59" s="6" t="s">
        <v>41</v>
      </c>
      <c r="C59" s="6" t="s">
        <v>45</v>
      </c>
      <c r="D59" s="6" t="s">
        <v>43</v>
      </c>
      <c r="E59" s="6" t="s">
        <v>46</v>
      </c>
      <c r="F59" s="6"/>
      <c r="G59" s="6"/>
      <c r="H59" s="6"/>
      <c r="I59" s="6" t="s">
        <v>41</v>
      </c>
      <c r="J59" s="6" t="s">
        <v>45</v>
      </c>
      <c r="K59" s="6" t="s">
        <v>42</v>
      </c>
      <c r="L59" s="6" t="s">
        <v>46</v>
      </c>
      <c r="M59" s="6"/>
      <c r="N59" s="6"/>
      <c r="O59" s="6"/>
      <c r="P59" s="3"/>
      <c r="Q59" s="3"/>
      <c r="R59" s="3"/>
    </row>
    <row r="60" spans="1:19" x14ac:dyDescent="0.2">
      <c r="A60" s="6"/>
      <c r="B60" s="6">
        <v>313.47530999999998</v>
      </c>
      <c r="C60" s="6">
        <v>2199.2890138476032</v>
      </c>
      <c r="D60" s="6">
        <f>1000000*0.0001224897</f>
        <v>122.48970000000001</v>
      </c>
      <c r="E60" s="6">
        <v>32.997509999999998</v>
      </c>
      <c r="F60" s="7">
        <v>1.534</v>
      </c>
      <c r="G60" s="6"/>
      <c r="H60" s="6"/>
      <c r="I60" s="6">
        <v>314.11904999999996</v>
      </c>
      <c r="J60" s="6">
        <v>1578.9265099708421</v>
      </c>
      <c r="K60" s="6">
        <f>1000000*0.0001293064</f>
        <v>129.30640000000002</v>
      </c>
      <c r="L60" s="6">
        <v>26.39987</v>
      </c>
      <c r="M60" s="6"/>
      <c r="N60" s="7">
        <v>1.1319999999999999</v>
      </c>
      <c r="O60" s="6"/>
      <c r="P60" s="3"/>
      <c r="Q60" s="3"/>
      <c r="R60" s="3"/>
    </row>
    <row r="61" spans="1:19" x14ac:dyDescent="0.2">
      <c r="A61" s="6"/>
      <c r="B61" s="6">
        <v>336.05491999999998</v>
      </c>
      <c r="C61" s="6">
        <v>2048.743290621816</v>
      </c>
      <c r="D61" s="6">
        <f>1000000*0.0001278639</f>
        <v>127.86389999999999</v>
      </c>
      <c r="E61" s="6">
        <v>33.495259999999995</v>
      </c>
      <c r="F61" s="7">
        <v>1.42</v>
      </c>
      <c r="G61" s="6"/>
      <c r="H61" s="6"/>
      <c r="I61" s="6">
        <v>335.55606999999998</v>
      </c>
      <c r="J61" s="6">
        <v>1402.305249599817</v>
      </c>
      <c r="K61" s="6">
        <f>1000000*0.0001350575</f>
        <v>135.0575</v>
      </c>
      <c r="L61" s="6">
        <v>25.578799999999998</v>
      </c>
      <c r="M61" s="6"/>
      <c r="N61" s="7">
        <v>1.0489999999999999</v>
      </c>
      <c r="O61" s="6"/>
      <c r="P61" s="3"/>
      <c r="Q61" s="3"/>
      <c r="R61" s="3"/>
    </row>
    <row r="62" spans="1:19" x14ac:dyDescent="0.2">
      <c r="A62" s="6"/>
      <c r="B62" s="6">
        <v>363.61376999999999</v>
      </c>
      <c r="C62" s="6">
        <v>1702.8400988873302</v>
      </c>
      <c r="D62" s="6">
        <f>1000000*0.0001338333</f>
        <v>133.83330000000001</v>
      </c>
      <c r="E62" s="6">
        <v>30.500170000000001</v>
      </c>
      <c r="F62" s="7">
        <v>1.329</v>
      </c>
      <c r="G62" s="6"/>
      <c r="H62" s="6"/>
      <c r="I62" s="6">
        <v>363.31038999999998</v>
      </c>
      <c r="J62" s="6">
        <v>1223.6548637405247</v>
      </c>
      <c r="K62" s="6">
        <f>1000000*0.0001429181</f>
        <v>142.91810000000001</v>
      </c>
      <c r="L62" s="6">
        <v>24.993870000000001</v>
      </c>
      <c r="M62" s="6"/>
      <c r="N62" s="7">
        <v>0.97599999999999998</v>
      </c>
      <c r="O62" s="6"/>
      <c r="P62" s="3"/>
      <c r="Q62" s="3"/>
      <c r="R62" s="3"/>
    </row>
    <row r="63" spans="1:19" x14ac:dyDescent="0.2">
      <c r="A63" s="6"/>
      <c r="B63" s="6">
        <v>391.60820000000001</v>
      </c>
      <c r="C63" s="6">
        <v>1472.0741642740554</v>
      </c>
      <c r="D63" s="6">
        <f>1000000*0.0001401074</f>
        <v>140.10739999999998</v>
      </c>
      <c r="E63" s="6">
        <v>28.896949999999997</v>
      </c>
      <c r="F63" s="7">
        <v>1.254</v>
      </c>
      <c r="G63" s="6"/>
      <c r="H63" s="6"/>
      <c r="I63" s="6">
        <v>391.70650000000001</v>
      </c>
      <c r="J63" s="6">
        <v>1052.9147576005969</v>
      </c>
      <c r="K63" s="6">
        <f>1000000*0.0001506586</f>
        <v>150.65860000000001</v>
      </c>
      <c r="L63" s="6">
        <v>23.899080000000001</v>
      </c>
      <c r="M63" s="6"/>
      <c r="N63" s="7">
        <v>0.91800000000000004</v>
      </c>
      <c r="O63" s="6"/>
      <c r="P63" s="3"/>
      <c r="Q63" s="3"/>
      <c r="R63" s="3"/>
    </row>
    <row r="64" spans="1:19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"/>
      <c r="Q64" s="3"/>
      <c r="R64" s="3"/>
      <c r="S64" s="3"/>
    </row>
    <row r="65" spans="1:19" x14ac:dyDescent="0.2">
      <c r="J65" s="3"/>
      <c r="P65" s="3"/>
      <c r="Q65" s="3"/>
      <c r="R65" s="3"/>
      <c r="S65" s="3"/>
    </row>
    <row r="66" spans="1:19" x14ac:dyDescent="0.2">
      <c r="A66" s="4"/>
      <c r="B66" s="4" t="s">
        <v>25</v>
      </c>
      <c r="C66" s="4" t="s">
        <v>17</v>
      </c>
      <c r="D66" s="4"/>
      <c r="E66" s="4"/>
      <c r="F66" s="4"/>
      <c r="G66" s="4"/>
      <c r="H66" s="4"/>
      <c r="I66" s="4" t="s">
        <v>11</v>
      </c>
      <c r="J66" s="4" t="s">
        <v>26</v>
      </c>
      <c r="K66" s="4"/>
      <c r="L66" s="4"/>
      <c r="M66" s="4"/>
      <c r="N66" s="4"/>
      <c r="O66" s="4"/>
      <c r="P66" s="3"/>
      <c r="Q66" s="3"/>
      <c r="R66" s="3"/>
      <c r="S66" s="3"/>
    </row>
    <row r="67" spans="1:19" x14ac:dyDescent="0.2">
      <c r="A67" s="4" t="s">
        <v>36</v>
      </c>
      <c r="B67" s="4" t="s">
        <v>41</v>
      </c>
      <c r="C67" s="4" t="s">
        <v>44</v>
      </c>
      <c r="D67" s="4" t="s">
        <v>42</v>
      </c>
      <c r="E67" s="4" t="s">
        <v>47</v>
      </c>
      <c r="F67" s="4"/>
      <c r="G67" s="4"/>
      <c r="H67" s="4"/>
      <c r="I67" s="4" t="s">
        <v>41</v>
      </c>
      <c r="J67" s="4" t="s">
        <v>44</v>
      </c>
      <c r="K67" s="4" t="s">
        <v>42</v>
      </c>
      <c r="L67" s="4" t="s">
        <v>46</v>
      </c>
      <c r="M67" s="4"/>
      <c r="N67" s="4"/>
      <c r="O67" s="4"/>
      <c r="P67" s="3"/>
      <c r="Q67" s="3"/>
      <c r="R67" s="3"/>
    </row>
    <row r="68" spans="1:19" x14ac:dyDescent="0.2">
      <c r="A68" s="4">
        <v>0</v>
      </c>
      <c r="B68" s="4">
        <v>313.75166999999999</v>
      </c>
      <c r="C68" s="4">
        <v>1024.9937552255462</v>
      </c>
      <c r="D68" s="4">
        <f>1000000*0.0001933287</f>
        <v>193.3287</v>
      </c>
      <c r="E68" s="4">
        <v>38.310140000000004</v>
      </c>
      <c r="F68" s="5">
        <v>1.0649999999999999</v>
      </c>
      <c r="G68" s="4"/>
      <c r="H68" s="4">
        <v>0</v>
      </c>
      <c r="I68" s="4">
        <v>313.03165999999999</v>
      </c>
      <c r="J68" s="4">
        <v>615.47589519430267</v>
      </c>
      <c r="K68" s="4">
        <f>1000000*0.0002056281</f>
        <v>205.62809999999999</v>
      </c>
      <c r="L68" s="4">
        <v>26.024099999999997</v>
      </c>
      <c r="M68" s="4"/>
      <c r="N68" s="5">
        <v>0.73</v>
      </c>
      <c r="O68" s="4"/>
      <c r="P68" s="3"/>
      <c r="Q68" s="3"/>
      <c r="R68" s="3"/>
    </row>
    <row r="69" spans="1:19" x14ac:dyDescent="0.2">
      <c r="A69" s="4"/>
      <c r="B69" s="4">
        <v>326.93218999999999</v>
      </c>
      <c r="C69" s="4">
        <v>959.20409081360651</v>
      </c>
      <c r="D69" s="4">
        <f>1000000*0.0001933584</f>
        <v>193.35839999999999</v>
      </c>
      <c r="E69" s="4">
        <v>35.862229999999997</v>
      </c>
      <c r="F69" s="5">
        <v>1.006</v>
      </c>
      <c r="G69" s="4"/>
      <c r="H69" s="4"/>
      <c r="I69" s="4">
        <v>325.45612999999997</v>
      </c>
      <c r="J69" s="4">
        <v>585.09642389065721</v>
      </c>
      <c r="K69" s="4">
        <f>1000000*0.0002090057</f>
        <v>209.00569999999999</v>
      </c>
      <c r="L69" s="4">
        <v>25.558999999999997</v>
      </c>
      <c r="M69" s="4"/>
      <c r="N69" s="5">
        <v>0.69199999999999995</v>
      </c>
      <c r="O69" s="4"/>
      <c r="P69" s="3"/>
      <c r="Q69" s="3"/>
      <c r="R69" s="3"/>
    </row>
    <row r="70" spans="1:19" x14ac:dyDescent="0.2">
      <c r="A70" s="4"/>
      <c r="B70" s="4">
        <v>343.86306999999999</v>
      </c>
      <c r="C70" s="4">
        <v>863.14343027009488</v>
      </c>
      <c r="D70" s="4">
        <f>1000000*0.0001950998</f>
        <v>195.09980000000002</v>
      </c>
      <c r="E70" s="4">
        <v>32.854619999999997</v>
      </c>
      <c r="F70" s="5">
        <v>0.98</v>
      </c>
      <c r="G70" s="4"/>
      <c r="H70" s="4"/>
      <c r="I70" s="4">
        <v>342.30356999999998</v>
      </c>
      <c r="J70" s="4">
        <v>526.97784005484777</v>
      </c>
      <c r="K70" s="4">
        <f>1000000*0.000211569</f>
        <v>211.56899999999999</v>
      </c>
      <c r="L70" s="4">
        <v>23.588289999999997</v>
      </c>
      <c r="M70" s="4"/>
      <c r="N70" s="5">
        <v>0.66900000000000004</v>
      </c>
      <c r="O70" s="4"/>
      <c r="P70" s="3"/>
      <c r="Q70" s="3"/>
      <c r="R70" s="3"/>
    </row>
    <row r="71" spans="1:19" x14ac:dyDescent="0.2">
      <c r="A71" s="4"/>
      <c r="B71" s="4">
        <v>361.94761999999997</v>
      </c>
      <c r="C71" s="4">
        <v>803.20898051896938</v>
      </c>
      <c r="D71" s="4">
        <f>1000000*0.0001992372</f>
        <v>199.2372</v>
      </c>
      <c r="E71" s="4">
        <v>31.883760000000002</v>
      </c>
      <c r="F71" s="5">
        <v>0.96399999999999997</v>
      </c>
      <c r="G71" s="4"/>
      <c r="H71" s="4"/>
      <c r="I71" s="4">
        <v>360.74498</v>
      </c>
      <c r="J71" s="4">
        <v>479.14153170048286</v>
      </c>
      <c r="K71" s="4">
        <f>1000000*0.0002154147</f>
        <v>215.41470000000001</v>
      </c>
      <c r="L71" s="4">
        <v>22.233840000000001</v>
      </c>
      <c r="M71" s="4"/>
      <c r="N71" s="5">
        <v>0.65200000000000002</v>
      </c>
      <c r="O71" s="4"/>
      <c r="P71" s="3"/>
      <c r="Q71" s="3"/>
      <c r="R71" s="3"/>
    </row>
    <row r="72" spans="1:19" x14ac:dyDescent="0.2">
      <c r="A72" s="4"/>
      <c r="B72" s="4">
        <v>381.20150000000001</v>
      </c>
      <c r="C72" s="4">
        <v>745.368096307521</v>
      </c>
      <c r="D72" s="4">
        <f>1000000*0.0002006239</f>
        <v>200.62389999999999</v>
      </c>
      <c r="E72" s="4">
        <v>30.00104</v>
      </c>
      <c r="F72" s="5">
        <v>0.96</v>
      </c>
      <c r="G72" s="4"/>
      <c r="H72" s="4"/>
      <c r="I72" s="4">
        <v>379.47479999999996</v>
      </c>
      <c r="J72" s="4">
        <v>438.9195205945428</v>
      </c>
      <c r="K72" s="4">
        <f>1000000*0.0002199283</f>
        <v>219.92830000000001</v>
      </c>
      <c r="L72" s="4">
        <v>21.229869999999998</v>
      </c>
      <c r="M72" s="4"/>
      <c r="N72" s="5">
        <v>0.64</v>
      </c>
      <c r="O72" s="4"/>
      <c r="P72" s="3"/>
      <c r="Q72" s="3"/>
      <c r="R72" s="3"/>
    </row>
    <row r="73" spans="1:1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3"/>
      <c r="Q73" s="3"/>
      <c r="R73" s="3"/>
      <c r="S73" s="3"/>
    </row>
    <row r="74" spans="1:19" x14ac:dyDescent="0.2">
      <c r="A74" s="4"/>
      <c r="B74" s="4" t="s">
        <v>27</v>
      </c>
      <c r="C74" s="4" t="s">
        <v>28</v>
      </c>
      <c r="D74" s="4"/>
      <c r="E74" s="4"/>
      <c r="F74" s="4"/>
      <c r="G74" s="4"/>
      <c r="H74" s="4"/>
      <c r="I74" s="4" t="s">
        <v>37</v>
      </c>
      <c r="J74" s="4" t="s">
        <v>38</v>
      </c>
      <c r="K74" s="4"/>
      <c r="L74" s="4"/>
      <c r="M74" s="4"/>
      <c r="N74" s="4"/>
      <c r="O74" s="4"/>
      <c r="P74" s="3"/>
      <c r="Q74" s="3"/>
      <c r="R74" s="3"/>
      <c r="S74" s="3"/>
    </row>
    <row r="75" spans="1:19" x14ac:dyDescent="0.2">
      <c r="A75" s="4"/>
      <c r="B75" s="4" t="s">
        <v>41</v>
      </c>
      <c r="C75" s="4" t="s">
        <v>44</v>
      </c>
      <c r="D75" s="4" t="s">
        <v>42</v>
      </c>
      <c r="E75" s="4" t="s">
        <v>46</v>
      </c>
      <c r="F75" s="4"/>
      <c r="G75" s="4"/>
      <c r="H75" s="4"/>
      <c r="I75" s="4" t="s">
        <v>41</v>
      </c>
      <c r="J75" s="4" t="s">
        <v>44</v>
      </c>
      <c r="K75" s="4" t="s">
        <v>42</v>
      </c>
      <c r="L75" s="4" t="s">
        <v>46</v>
      </c>
      <c r="M75" s="4"/>
      <c r="N75" s="4"/>
      <c r="O75" s="4"/>
      <c r="P75" s="3"/>
      <c r="Q75" s="3"/>
      <c r="R75" s="3"/>
    </row>
    <row r="76" spans="1:19" x14ac:dyDescent="0.2">
      <c r="A76" s="4">
        <v>0.125</v>
      </c>
      <c r="B76" s="4">
        <v>313.09726999999998</v>
      </c>
      <c r="C76" s="4">
        <v>1279.3214069874489</v>
      </c>
      <c r="D76" s="4">
        <f>1000000*0.0001741605</f>
        <v>174.16050000000001</v>
      </c>
      <c r="E76" s="4">
        <v>38.80424</v>
      </c>
      <c r="F76" s="5">
        <v>1.17</v>
      </c>
      <c r="G76" s="4"/>
      <c r="H76" s="4">
        <v>0.125</v>
      </c>
      <c r="I76" s="4">
        <v>311.92088999999999</v>
      </c>
      <c r="J76" s="4">
        <v>863.51386241979037</v>
      </c>
      <c r="K76" s="4">
        <f>1000000*0.0001767191</f>
        <v>176.7191</v>
      </c>
      <c r="L76" s="4">
        <v>26.967210000000001</v>
      </c>
      <c r="M76" s="4"/>
      <c r="N76" s="5">
        <v>0.76400000000000001</v>
      </c>
      <c r="O76" s="4"/>
      <c r="P76" s="3"/>
      <c r="Q76" s="3"/>
      <c r="R76" s="3"/>
    </row>
    <row r="77" spans="1:19" x14ac:dyDescent="0.2">
      <c r="A77" s="4"/>
      <c r="B77" s="4">
        <v>325.41472999999996</v>
      </c>
      <c r="C77" s="4">
        <v>1168.4257706118485</v>
      </c>
      <c r="D77" s="4">
        <f>1000000*0.0001773882</f>
        <v>177.38819999999998</v>
      </c>
      <c r="E77" s="4">
        <v>36.766370000000002</v>
      </c>
      <c r="F77" s="5">
        <v>1.1140000000000001</v>
      </c>
      <c r="G77" s="4"/>
      <c r="H77" s="4"/>
      <c r="I77" s="4">
        <v>325.60415999999998</v>
      </c>
      <c r="J77" s="4">
        <v>873.67834308649583</v>
      </c>
      <c r="K77" s="4">
        <f>1000000*0.0001803734</f>
        <v>180.3734</v>
      </c>
      <c r="L77" s="4">
        <v>28.42473</v>
      </c>
      <c r="M77" s="4"/>
      <c r="N77" s="5">
        <v>0.72399999999999998</v>
      </c>
      <c r="O77" s="4"/>
      <c r="P77" s="3"/>
      <c r="Q77" s="3"/>
      <c r="R77" s="3"/>
    </row>
    <row r="78" spans="1:19" x14ac:dyDescent="0.2">
      <c r="A78" s="4"/>
      <c r="B78" s="4">
        <v>342.93743999999998</v>
      </c>
      <c r="C78" s="4">
        <v>1105.1289254455714</v>
      </c>
      <c r="D78" s="4">
        <f>1000000*0.0001807522</f>
        <v>180.75219999999999</v>
      </c>
      <c r="E78" s="4">
        <v>36.106070000000003</v>
      </c>
      <c r="F78" s="5">
        <v>1.0640000000000001</v>
      </c>
      <c r="G78" s="4"/>
      <c r="H78" s="4"/>
      <c r="I78" s="4">
        <v>342.22983999999997</v>
      </c>
      <c r="J78" s="4">
        <v>748.23864622678218</v>
      </c>
      <c r="K78" s="4">
        <f>1000000*0.0001846986</f>
        <v>184.6986</v>
      </c>
      <c r="L78" s="4">
        <v>25.525100000000002</v>
      </c>
      <c r="M78" s="4"/>
      <c r="N78" s="5">
        <v>0.69599999999999995</v>
      </c>
      <c r="O78" s="4"/>
      <c r="P78" s="3"/>
      <c r="Q78" s="3"/>
      <c r="R78" s="3"/>
    </row>
    <row r="79" spans="1:19" x14ac:dyDescent="0.2">
      <c r="A79" s="4"/>
      <c r="B79" s="4">
        <v>361.03818999999999</v>
      </c>
      <c r="C79" s="4">
        <v>983.45242942253651</v>
      </c>
      <c r="D79" s="4">
        <f>1000000*0.0001853691</f>
        <v>185.36909999999997</v>
      </c>
      <c r="E79" s="4">
        <v>33.793100000000003</v>
      </c>
      <c r="F79" s="5">
        <v>1.0109999999999999</v>
      </c>
      <c r="G79" s="4"/>
      <c r="H79" s="4"/>
      <c r="I79" s="4">
        <v>360.56729999999999</v>
      </c>
      <c r="J79" s="4">
        <v>667.20532376471942</v>
      </c>
      <c r="K79" s="4">
        <f>1000000*0.0001927575</f>
        <v>192.75749999999999</v>
      </c>
      <c r="L79" s="4">
        <v>24.790319999999998</v>
      </c>
      <c r="M79" s="4"/>
      <c r="N79" s="5">
        <v>0.67100000000000004</v>
      </c>
      <c r="O79" s="4"/>
      <c r="P79" s="3"/>
      <c r="Q79" s="3"/>
    </row>
    <row r="80" spans="1:19" x14ac:dyDescent="0.2">
      <c r="A80" s="4"/>
      <c r="B80" s="4">
        <v>379.97479999999996</v>
      </c>
      <c r="C80" s="4">
        <v>896.32399602749206</v>
      </c>
      <c r="D80" s="4">
        <f>1000000*0.0001900565</f>
        <v>190.0565</v>
      </c>
      <c r="E80" s="4">
        <v>32.376539999999999</v>
      </c>
      <c r="F80" s="5">
        <v>0.98899999999999999</v>
      </c>
      <c r="G80" s="4"/>
      <c r="H80" s="4"/>
      <c r="I80" s="4">
        <v>379.20099999999996</v>
      </c>
      <c r="J80" s="4">
        <v>614.30570554853205</v>
      </c>
      <c r="K80" s="4">
        <f>1000000*0.0001954977</f>
        <v>195.49770000000001</v>
      </c>
      <c r="L80" s="4">
        <v>23.478359999999999</v>
      </c>
      <c r="M80" s="4"/>
      <c r="N80" s="5">
        <v>0.65700000000000003</v>
      </c>
      <c r="O80" s="4"/>
      <c r="P80" s="3"/>
      <c r="Q80" s="3"/>
    </row>
    <row r="81" spans="1:1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3"/>
      <c r="Q81" s="3"/>
      <c r="R81" s="3"/>
      <c r="S81" s="3"/>
    </row>
    <row r="82" spans="1:19" x14ac:dyDescent="0.2">
      <c r="A82" s="4"/>
      <c r="B82" s="4" t="s">
        <v>31</v>
      </c>
      <c r="C82" s="4" t="s">
        <v>17</v>
      </c>
      <c r="D82" s="4"/>
      <c r="E82" s="4"/>
      <c r="F82" s="4"/>
      <c r="G82" s="4"/>
      <c r="H82" s="4"/>
      <c r="I82" s="4" t="s">
        <v>29</v>
      </c>
      <c r="J82" s="4" t="s">
        <v>30</v>
      </c>
      <c r="K82" s="4"/>
      <c r="L82" s="4"/>
      <c r="M82" s="4"/>
      <c r="N82" s="4"/>
      <c r="O82" s="4"/>
      <c r="P82" s="3"/>
      <c r="Q82" s="3"/>
      <c r="R82" s="3"/>
      <c r="S82" s="3"/>
    </row>
    <row r="83" spans="1:19" x14ac:dyDescent="0.2">
      <c r="A83" s="4"/>
      <c r="B83" s="4" t="s">
        <v>41</v>
      </c>
      <c r="C83" s="4" t="s">
        <v>44</v>
      </c>
      <c r="D83" s="4" t="s">
        <v>42</v>
      </c>
      <c r="E83" s="4" t="s">
        <v>46</v>
      </c>
      <c r="F83" s="4"/>
      <c r="G83" s="4"/>
      <c r="H83" s="4"/>
      <c r="I83" s="4" t="s">
        <v>41</v>
      </c>
      <c r="J83" s="4" t="s">
        <v>44</v>
      </c>
      <c r="K83" s="4" t="s">
        <v>42</v>
      </c>
      <c r="L83" s="4" t="s">
        <v>46</v>
      </c>
      <c r="M83" s="4"/>
      <c r="N83" s="4"/>
      <c r="O83" s="4"/>
      <c r="P83" s="3"/>
      <c r="Q83" s="3"/>
    </row>
    <row r="84" spans="1:19" x14ac:dyDescent="0.2">
      <c r="A84" s="4">
        <v>0.25</v>
      </c>
      <c r="B84" s="4">
        <v>312.44308000000001</v>
      </c>
      <c r="C84" s="4">
        <v>1413.4892958575858</v>
      </c>
      <c r="D84" s="4">
        <f>1000000*0.0001627117</f>
        <v>162.71170000000001</v>
      </c>
      <c r="E84" s="4">
        <v>37.422260000000001</v>
      </c>
      <c r="F84" s="5">
        <v>1.252</v>
      </c>
      <c r="G84" s="4"/>
      <c r="H84" s="4">
        <v>0.25</v>
      </c>
      <c r="I84" s="4">
        <v>310.65749</v>
      </c>
      <c r="J84" s="4">
        <v>1056.2880032618173</v>
      </c>
      <c r="K84" s="4">
        <f>1000000*0.0001639147</f>
        <v>163.91470000000001</v>
      </c>
      <c r="L84" s="4">
        <v>28.38036</v>
      </c>
      <c r="M84" s="4"/>
      <c r="N84" s="5">
        <v>0.85499999999999998</v>
      </c>
      <c r="O84" s="4"/>
      <c r="P84" s="3"/>
      <c r="Q84" s="3"/>
    </row>
    <row r="85" spans="1:19" x14ac:dyDescent="0.2">
      <c r="A85" s="4"/>
      <c r="B85" s="4">
        <v>324.65545999999995</v>
      </c>
      <c r="C85" s="4">
        <v>1305.936867355209</v>
      </c>
      <c r="D85" s="4">
        <f>1000000*0.0001659045</f>
        <v>165.90450000000001</v>
      </c>
      <c r="E85" s="4">
        <v>35.944990000000004</v>
      </c>
      <c r="F85" s="5">
        <v>1.1870000000000001</v>
      </c>
      <c r="G85" s="4"/>
      <c r="H85" s="4"/>
      <c r="I85" s="4">
        <v>325.33321999999998</v>
      </c>
      <c r="J85" s="4">
        <v>970.91054904020643</v>
      </c>
      <c r="K85" s="4">
        <f>1000000*0.0001678362</f>
        <v>167.83619999999999</v>
      </c>
      <c r="L85" s="4">
        <v>27.349589999999999</v>
      </c>
      <c r="M85" s="4"/>
      <c r="N85" s="5">
        <v>0.80600000000000005</v>
      </c>
      <c r="O85" s="4"/>
      <c r="P85" s="3"/>
      <c r="Q85" s="3"/>
    </row>
    <row r="86" spans="1:19" x14ac:dyDescent="0.2">
      <c r="A86" s="4"/>
      <c r="B86" s="4">
        <v>342.16073999999998</v>
      </c>
      <c r="C86" s="4">
        <v>1194.5497473228647</v>
      </c>
      <c r="D86" s="4">
        <f>1000000*0.0001703704</f>
        <v>170.37040000000002</v>
      </c>
      <c r="E86" s="4">
        <v>34.673099999999998</v>
      </c>
      <c r="F86" s="5">
        <v>1.139</v>
      </c>
      <c r="G86" s="4"/>
      <c r="H86" s="4"/>
      <c r="I86" s="4">
        <v>342.79372999999998</v>
      </c>
      <c r="J86" s="4">
        <v>886.4855281237534</v>
      </c>
      <c r="K86" s="4">
        <f>1000000*0.0001721736</f>
        <v>172.17360000000002</v>
      </c>
      <c r="L86" s="4">
        <v>26.278730000000003</v>
      </c>
      <c r="M86" s="4"/>
      <c r="N86" s="5">
        <v>0.77200000000000002</v>
      </c>
      <c r="O86" s="4"/>
      <c r="P86" s="3"/>
      <c r="Q86" s="3"/>
    </row>
    <row r="87" spans="1:19" x14ac:dyDescent="0.2">
      <c r="A87" s="4"/>
      <c r="B87" s="4">
        <v>360.22649999999999</v>
      </c>
      <c r="C87" s="4">
        <v>1102.536561766193</v>
      </c>
      <c r="D87" s="4">
        <f>1000000*0.0001763117</f>
        <v>176.3117</v>
      </c>
      <c r="E87" s="4">
        <v>34.273269999999997</v>
      </c>
      <c r="F87" s="5">
        <v>1.097</v>
      </c>
      <c r="G87" s="4"/>
      <c r="H87" s="4"/>
      <c r="I87" s="4">
        <v>361.10730000000001</v>
      </c>
      <c r="J87" s="4">
        <v>810.95765990057669</v>
      </c>
      <c r="K87" s="4">
        <f>1000000*0.0001774607</f>
        <v>177.4607</v>
      </c>
      <c r="L87" s="4">
        <v>25.538919999999997</v>
      </c>
      <c r="M87" s="4"/>
      <c r="N87" s="5">
        <v>0.73799999999999999</v>
      </c>
      <c r="O87" s="4"/>
      <c r="P87" s="3"/>
      <c r="Q87" s="3"/>
    </row>
    <row r="88" spans="1:19" x14ac:dyDescent="0.2">
      <c r="A88" s="4"/>
      <c r="B88" s="4">
        <v>378.8424</v>
      </c>
      <c r="C88" s="4">
        <v>1009.5180389264099</v>
      </c>
      <c r="D88" s="4">
        <f>1000000*0.0001773889</f>
        <v>177.38890000000001</v>
      </c>
      <c r="E88" s="4">
        <v>31.76633</v>
      </c>
      <c r="F88" s="5">
        <v>1.07</v>
      </c>
      <c r="G88" s="4"/>
      <c r="H88" s="4"/>
      <c r="I88" s="4">
        <v>380.10269999999997</v>
      </c>
      <c r="J88" s="4">
        <v>748.41336366902169</v>
      </c>
      <c r="K88" s="4">
        <f>1000000*0.000182061</f>
        <v>182.06099999999998</v>
      </c>
      <c r="L88" s="4">
        <v>24.807079999999999</v>
      </c>
      <c r="M88" s="4"/>
      <c r="N88" s="5">
        <v>0.71499999999999997</v>
      </c>
      <c r="O88" s="4"/>
      <c r="P88" s="3"/>
      <c r="Q88" s="3"/>
    </row>
    <row r="89" spans="1:1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3"/>
      <c r="Q89" s="3"/>
      <c r="R89" s="3"/>
      <c r="S89" s="3"/>
    </row>
    <row r="90" spans="1:19" x14ac:dyDescent="0.2">
      <c r="A90" s="4"/>
      <c r="B90" s="4" t="s">
        <v>33</v>
      </c>
      <c r="C90" s="4" t="s">
        <v>10</v>
      </c>
      <c r="D90" s="4"/>
      <c r="E90" s="4"/>
      <c r="F90" s="4"/>
      <c r="G90" s="4"/>
      <c r="H90" s="4"/>
      <c r="I90" s="4" t="s">
        <v>11</v>
      </c>
      <c r="J90" s="4" t="s">
        <v>32</v>
      </c>
      <c r="K90" s="4"/>
      <c r="L90" s="4"/>
      <c r="M90" s="4"/>
      <c r="N90" s="4"/>
      <c r="O90" s="4"/>
      <c r="P90" s="3"/>
      <c r="Q90" s="3"/>
      <c r="R90" s="3"/>
      <c r="S90" s="3"/>
    </row>
    <row r="91" spans="1:19" x14ac:dyDescent="0.2">
      <c r="A91" s="4"/>
      <c r="B91" s="4" t="s">
        <v>41</v>
      </c>
      <c r="C91" s="4" t="s">
        <v>44</v>
      </c>
      <c r="D91" s="4" t="s">
        <v>42</v>
      </c>
      <c r="E91" s="4" t="s">
        <v>46</v>
      </c>
      <c r="F91" s="4"/>
      <c r="G91" s="4"/>
      <c r="H91" s="4"/>
      <c r="I91" s="4" t="s">
        <v>41</v>
      </c>
      <c r="J91" s="4" t="s">
        <v>44</v>
      </c>
      <c r="K91" s="4" t="s">
        <v>42</v>
      </c>
      <c r="L91" s="4" t="s">
        <v>46</v>
      </c>
      <c r="M91" s="4"/>
      <c r="N91" s="4"/>
      <c r="O91" s="4"/>
      <c r="P91" s="3"/>
      <c r="Q91" s="3"/>
    </row>
    <row r="92" spans="1:19" x14ac:dyDescent="0.2">
      <c r="A92" s="4">
        <v>0.375</v>
      </c>
      <c r="B92" s="4">
        <v>310.60512</v>
      </c>
      <c r="C92" s="4">
        <v>1965.6371249097526</v>
      </c>
      <c r="D92" s="4">
        <f>1000000*0.0001394193</f>
        <v>139.41929999999999</v>
      </c>
      <c r="E92" s="4">
        <v>38.207570000000004</v>
      </c>
      <c r="F92" s="5">
        <v>1.361</v>
      </c>
      <c r="G92" s="4"/>
      <c r="H92" s="4">
        <v>0.375</v>
      </c>
      <c r="I92" s="4">
        <v>313.02650999999997</v>
      </c>
      <c r="J92" s="4">
        <v>1379.0221767451353</v>
      </c>
      <c r="K92" s="4">
        <f>1000000*0.0001435766</f>
        <v>143.57660000000001</v>
      </c>
      <c r="L92" s="4">
        <v>28.427479999999999</v>
      </c>
      <c r="M92" s="4"/>
      <c r="N92" s="5">
        <v>0.95499999999999996</v>
      </c>
      <c r="O92" s="4"/>
      <c r="P92" s="3"/>
      <c r="Q92" s="3"/>
    </row>
    <row r="93" spans="1:19" x14ac:dyDescent="0.2">
      <c r="A93" s="4"/>
      <c r="B93" s="4">
        <v>325.42559999999997</v>
      </c>
      <c r="C93" s="4">
        <v>1793.9147183706375</v>
      </c>
      <c r="D93" s="4">
        <f>1000000*0.0001421838</f>
        <v>142.18379999999999</v>
      </c>
      <c r="E93" s="4">
        <v>36.266210000000001</v>
      </c>
      <c r="F93" s="5">
        <v>1.2869999999999999</v>
      </c>
      <c r="G93" s="4"/>
      <c r="H93" s="4"/>
      <c r="I93" s="4">
        <v>325.18921999999998</v>
      </c>
      <c r="J93" s="4">
        <v>1294.4117526373961</v>
      </c>
      <c r="K93" s="4">
        <f>1000000*0.0001462348</f>
        <v>146.23480000000001</v>
      </c>
      <c r="L93" s="4">
        <v>27.680510000000002</v>
      </c>
      <c r="M93" s="4"/>
      <c r="N93" s="5">
        <v>0.90100000000000002</v>
      </c>
      <c r="O93" s="4"/>
      <c r="P93" s="3"/>
      <c r="Q93" s="3"/>
    </row>
    <row r="94" spans="1:19" x14ac:dyDescent="0.2">
      <c r="A94" s="4"/>
      <c r="B94" s="4">
        <v>342.91305</v>
      </c>
      <c r="C94" s="4">
        <v>1615.9816708894962</v>
      </c>
      <c r="D94" s="4">
        <f>1000000*0.0001477402</f>
        <v>147.74020000000002</v>
      </c>
      <c r="E94" s="4">
        <v>35.272320000000001</v>
      </c>
      <c r="F94" s="5">
        <v>1.2290000000000001</v>
      </c>
      <c r="G94" s="4"/>
      <c r="H94" s="4"/>
      <c r="I94" s="4">
        <v>342.66887999999994</v>
      </c>
      <c r="J94" s="4">
        <v>1144.9962575797319</v>
      </c>
      <c r="K94" s="4">
        <f>1000000*0.000152208</f>
        <v>152.208</v>
      </c>
      <c r="L94" s="4">
        <v>26.526440000000001</v>
      </c>
      <c r="M94" s="4"/>
      <c r="N94" s="5">
        <v>0.85699999999999998</v>
      </c>
      <c r="O94" s="4"/>
      <c r="P94" s="3"/>
      <c r="Q94" s="3"/>
    </row>
    <row r="95" spans="1:19" x14ac:dyDescent="0.2">
      <c r="A95" s="4"/>
      <c r="B95" s="4">
        <v>361.54548</v>
      </c>
      <c r="C95" s="4">
        <v>1523.5112058057964</v>
      </c>
      <c r="D95" s="4">
        <f>1000000*0.0001519656</f>
        <v>151.96559999999999</v>
      </c>
      <c r="E95" s="4">
        <v>35.183250000000001</v>
      </c>
      <c r="F95" s="5">
        <v>1.173</v>
      </c>
      <c r="G95" s="4"/>
      <c r="H95" s="4"/>
      <c r="I95" s="4">
        <v>361.50245999999999</v>
      </c>
      <c r="J95" s="4">
        <v>1055.0665615116993</v>
      </c>
      <c r="K95" s="4">
        <f>1000000*0.0001579204</f>
        <v>157.9204</v>
      </c>
      <c r="L95" s="4">
        <v>26.312150000000003</v>
      </c>
      <c r="M95" s="4"/>
      <c r="N95" s="5">
        <v>0.81699999999999995</v>
      </c>
      <c r="O95" s="4"/>
      <c r="P95" s="3"/>
      <c r="Q95" s="3"/>
    </row>
    <row r="96" spans="1:19" x14ac:dyDescent="0.2">
      <c r="A96" s="4"/>
      <c r="B96" s="4">
        <v>380.08179999999999</v>
      </c>
      <c r="C96" s="4">
        <v>1356.603975283761</v>
      </c>
      <c r="D96" s="4">
        <f>1000000*0.0001564808</f>
        <v>156.48079999999999</v>
      </c>
      <c r="E96" s="4">
        <v>33.218140000000005</v>
      </c>
      <c r="F96" s="5">
        <v>1.131</v>
      </c>
      <c r="G96" s="4"/>
      <c r="H96" s="4"/>
      <c r="I96" s="4">
        <v>380.28109999999998</v>
      </c>
      <c r="J96" s="4">
        <v>963.29091000165693</v>
      </c>
      <c r="K96" s="4">
        <f>1000000*0.000161024</f>
        <v>161.024</v>
      </c>
      <c r="L96" s="4">
        <v>24.976900000000001</v>
      </c>
      <c r="M96" s="4"/>
      <c r="N96" s="5">
        <v>0.78600000000000003</v>
      </c>
      <c r="O96" s="4"/>
      <c r="P96" s="3"/>
      <c r="Q96" s="3"/>
    </row>
    <row r="97" spans="1:1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3"/>
      <c r="Q97" s="3"/>
      <c r="R97" s="3"/>
      <c r="S97" s="3"/>
    </row>
    <row r="98" spans="1:19" x14ac:dyDescent="0.2">
      <c r="A98" s="4"/>
      <c r="B98" s="4" t="s">
        <v>33</v>
      </c>
      <c r="C98" s="4" t="s">
        <v>34</v>
      </c>
      <c r="D98" s="4"/>
      <c r="E98" s="4"/>
      <c r="F98" s="4"/>
      <c r="G98" s="4"/>
      <c r="H98" s="4"/>
      <c r="I98" s="4" t="s">
        <v>15</v>
      </c>
      <c r="J98" s="4" t="s">
        <v>35</v>
      </c>
      <c r="K98" s="4"/>
      <c r="L98" s="4"/>
      <c r="M98" s="4"/>
      <c r="N98" s="4"/>
      <c r="O98" s="4"/>
      <c r="P98" s="3"/>
      <c r="Q98" s="3"/>
      <c r="R98" s="3"/>
      <c r="S98" s="3"/>
    </row>
    <row r="99" spans="1:19" x14ac:dyDescent="0.2">
      <c r="A99" s="4"/>
      <c r="B99" s="4" t="s">
        <v>41</v>
      </c>
      <c r="C99" s="4" t="s">
        <v>44</v>
      </c>
      <c r="D99" s="4" t="s">
        <v>42</v>
      </c>
      <c r="E99" s="4" t="s">
        <v>46</v>
      </c>
      <c r="F99" s="4"/>
      <c r="G99" s="4"/>
      <c r="H99" s="4"/>
      <c r="I99" s="4" t="s">
        <v>41</v>
      </c>
      <c r="J99" s="4" t="s">
        <v>44</v>
      </c>
      <c r="K99" s="4" t="s">
        <v>42</v>
      </c>
      <c r="L99" s="4" t="s">
        <v>46</v>
      </c>
      <c r="M99" s="4"/>
      <c r="N99" s="4"/>
      <c r="O99" s="4"/>
      <c r="P99" s="3"/>
      <c r="Q99" s="3"/>
    </row>
    <row r="100" spans="1:19" x14ac:dyDescent="0.2">
      <c r="A100" s="4">
        <v>0.5</v>
      </c>
      <c r="B100" s="4">
        <v>313.14013</v>
      </c>
      <c r="C100" s="4">
        <v>1816.3595142182805</v>
      </c>
      <c r="D100" s="4">
        <f>1000000*0.0001451822</f>
        <v>145.18219999999999</v>
      </c>
      <c r="E100" s="4">
        <v>38.28501</v>
      </c>
      <c r="F100" s="5">
        <v>1.2629999999999999</v>
      </c>
      <c r="G100" s="4"/>
      <c r="H100" s="4">
        <v>0.5</v>
      </c>
      <c r="I100" s="4">
        <v>313.09220999999997</v>
      </c>
      <c r="J100" s="4">
        <v>1389.427485015372</v>
      </c>
      <c r="K100" s="4">
        <f>1000000*0.0001447132</f>
        <v>144.7132</v>
      </c>
      <c r="L100" s="4">
        <v>29.097289999999997</v>
      </c>
      <c r="M100" s="4"/>
      <c r="N100" s="5">
        <v>0.85199999999999998</v>
      </c>
      <c r="O100" s="4"/>
      <c r="P100" s="3"/>
      <c r="Q100" s="3"/>
    </row>
    <row r="101" spans="1:19" x14ac:dyDescent="0.2">
      <c r="A101" s="4"/>
      <c r="B101" s="4">
        <v>325.59668999999997</v>
      </c>
      <c r="C101" s="4">
        <v>1681.0050796611497</v>
      </c>
      <c r="D101" s="4">
        <f>1000000*0.0001489665</f>
        <v>148.9665</v>
      </c>
      <c r="E101" s="4">
        <v>37.303219999999996</v>
      </c>
      <c r="F101" s="5">
        <v>1.19</v>
      </c>
      <c r="G101" s="4"/>
      <c r="H101" s="4"/>
      <c r="I101" s="4">
        <v>325.68266</v>
      </c>
      <c r="J101" s="4">
        <v>1359.1892816507952</v>
      </c>
      <c r="K101" s="4">
        <f>1000000*0.0001485964</f>
        <v>148.59639999999999</v>
      </c>
      <c r="L101" s="4">
        <v>30.012090000000001</v>
      </c>
      <c r="M101" s="4"/>
      <c r="N101" s="5">
        <v>0.80900000000000005</v>
      </c>
      <c r="O101" s="4"/>
      <c r="P101" s="3"/>
      <c r="Q101" s="3"/>
    </row>
    <row r="102" spans="1:19" x14ac:dyDescent="0.2">
      <c r="A102" s="4"/>
      <c r="B102" s="4">
        <v>342.81666999999999</v>
      </c>
      <c r="C102" s="4">
        <v>1539.0376120784904</v>
      </c>
      <c r="D102" s="4">
        <f>1000000*0.0001547786</f>
        <v>154.77859999999998</v>
      </c>
      <c r="E102" s="4">
        <v>36.869839999999996</v>
      </c>
      <c r="F102" s="5">
        <v>1.135</v>
      </c>
      <c r="G102" s="4"/>
      <c r="H102" s="4"/>
      <c r="I102" s="4">
        <v>342.57511</v>
      </c>
      <c r="J102" s="4">
        <v>1151.5101825742424</v>
      </c>
      <c r="K102" s="4">
        <f>1000000*0.000153203</f>
        <v>153.203</v>
      </c>
      <c r="L102" s="4">
        <v>27.027280000000001</v>
      </c>
      <c r="M102" s="4"/>
      <c r="N102" s="5">
        <v>0.76500000000000001</v>
      </c>
      <c r="O102" s="4"/>
      <c r="P102" s="3"/>
      <c r="Q102" s="3"/>
    </row>
    <row r="103" spans="1:19" x14ac:dyDescent="0.2">
      <c r="A103" s="4"/>
      <c r="B103" s="4">
        <v>361.32589999999999</v>
      </c>
      <c r="C103" s="4">
        <v>1400.4031200421355</v>
      </c>
      <c r="D103" s="4">
        <f>1000000*0.0001588335</f>
        <v>158.83349999999999</v>
      </c>
      <c r="E103" s="4">
        <v>35.329470000000001</v>
      </c>
      <c r="F103" s="5">
        <v>1.085</v>
      </c>
      <c r="G103" s="4"/>
      <c r="H103" s="4"/>
      <c r="I103" s="4">
        <v>360.99948999999998</v>
      </c>
      <c r="J103" s="4">
        <v>1060.8784009507167</v>
      </c>
      <c r="K103" s="4">
        <f>1000000*0.0001589479</f>
        <v>158.9479</v>
      </c>
      <c r="L103" s="4">
        <v>26.802489999999999</v>
      </c>
      <c r="M103" s="4"/>
      <c r="N103" s="5">
        <v>0.73199999999999998</v>
      </c>
      <c r="O103" s="4"/>
      <c r="P103" s="3"/>
      <c r="Q103" s="3"/>
    </row>
    <row r="104" spans="1:19" x14ac:dyDescent="0.2">
      <c r="A104" s="4"/>
      <c r="B104" s="4">
        <v>380.01490000000001</v>
      </c>
      <c r="C104" s="4">
        <v>1276.3448750222244</v>
      </c>
      <c r="D104" s="4">
        <f>1000000*0.0001616126</f>
        <v>161.61260000000001</v>
      </c>
      <c r="E104" s="4">
        <v>33.336400000000005</v>
      </c>
      <c r="F104" s="5">
        <v>1.046</v>
      </c>
      <c r="G104" s="4"/>
      <c r="H104" s="4"/>
      <c r="I104" s="4">
        <v>379.5915</v>
      </c>
      <c r="J104" s="4">
        <v>971.37833729170006</v>
      </c>
      <c r="K104" s="4">
        <f>1000000*0.0001635044</f>
        <v>163.5044</v>
      </c>
      <c r="L104" s="4">
        <v>25.968540000000001</v>
      </c>
      <c r="M104" s="4"/>
      <c r="N104" s="5">
        <v>0.70499999999999996</v>
      </c>
      <c r="O104" s="4"/>
      <c r="P104" s="3"/>
      <c r="Q104" s="3"/>
    </row>
    <row r="105" spans="1:19" x14ac:dyDescent="0.2">
      <c r="L105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庾新</dc:creator>
  <cp:lastModifiedBy>庾新</cp:lastModifiedBy>
  <dcterms:created xsi:type="dcterms:W3CDTF">2025-05-20T17:27:55Z</dcterms:created>
  <dcterms:modified xsi:type="dcterms:W3CDTF">2025-05-21T03:36:47Z</dcterms:modified>
</cp:coreProperties>
</file>