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1795" windowHeight="13095" firstSheet="1" activeTab="2"/>
  </bookViews>
  <sheets>
    <sheet name="Sheet1" sheetId="17" state="hidden" r:id="rId1"/>
    <sheet name="台账阅读说明" sheetId="18" r:id="rId2"/>
    <sheet name="场外台账2019 " sheetId="19" r:id="rId3"/>
    <sheet name="其他" sheetId="20" r:id="rId4"/>
    <sheet name="Sheet2" sheetId="21" r:id="rId5"/>
    <sheet name="2018.12月末存量" sheetId="8" state="hidden" r:id="rId6"/>
    <sheet name="2018.12月新增" sheetId="6" state="hidden" r:id="rId7"/>
    <sheet name="2018.12月终止" sheetId="7" state="hidden" r:id="rId8"/>
  </sheets>
  <externalReferences>
    <externalReference r:id="rId9"/>
  </externalReferences>
  <definedNames>
    <definedName name="_xlnm._FilterDatabase" localSheetId="5" hidden="1">'2018.12月末存量'!$B$1:$S$120</definedName>
    <definedName name="_xlnm._FilterDatabase" localSheetId="6" hidden="1">'2018.12月新增'!$B$1:$S$121</definedName>
    <definedName name="_xlnm._FilterDatabase" localSheetId="7" hidden="1">'2018.12月终止'!$A$1:$R$80</definedName>
    <definedName name="_xlnm._FilterDatabase" localSheetId="2" hidden="1">'场外台账2019 '!$A$1:$AH$53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54" i="19" l="1"/>
  <c r="Y54" i="19"/>
  <c r="C54" i="19"/>
  <c r="Z54" i="19" s="1"/>
  <c r="AA53" i="19" l="1"/>
  <c r="Z53" i="19" s="1"/>
  <c r="AA52" i="19"/>
  <c r="Y53" i="19"/>
  <c r="Y52" i="19"/>
  <c r="O53" i="19"/>
  <c r="O52" i="19"/>
  <c r="C52" i="19"/>
  <c r="C53" i="19"/>
  <c r="Z52" i="19" l="1"/>
  <c r="O50" i="19"/>
  <c r="O51" i="19"/>
  <c r="AA51" i="19"/>
  <c r="AA50" i="19"/>
  <c r="Y50" i="19"/>
  <c r="Y51" i="19"/>
  <c r="C51" i="19"/>
  <c r="C50" i="19"/>
  <c r="Z51" i="19" l="1"/>
  <c r="Z50" i="19"/>
  <c r="O49" i="19"/>
  <c r="AA49" i="19" l="1"/>
  <c r="Y49" i="19"/>
  <c r="C49" i="19"/>
  <c r="Z49" i="19" l="1"/>
  <c r="P24" i="8"/>
  <c r="P22" i="6"/>
  <c r="P20" i="6"/>
  <c r="P44" i="8"/>
  <c r="P36" i="8"/>
  <c r="P27" i="6"/>
  <c r="P31" i="8"/>
  <c r="P11" i="6"/>
  <c r="O4" i="7"/>
  <c r="P17" i="8"/>
  <c r="P5" i="6"/>
  <c r="P25" i="8"/>
  <c r="P47" i="6"/>
  <c r="O15" i="7"/>
  <c r="P13" i="8"/>
  <c r="P12" i="8"/>
  <c r="P28" i="6"/>
  <c r="P15" i="8"/>
  <c r="P33" i="6"/>
  <c r="P5" i="8"/>
  <c r="P15" i="6"/>
  <c r="O46" i="7"/>
  <c r="P49" i="8"/>
  <c r="O37" i="7"/>
  <c r="O11" i="7"/>
  <c r="O48" i="7"/>
  <c r="O22" i="7"/>
  <c r="P33" i="8"/>
  <c r="O47" i="7"/>
  <c r="P41" i="8"/>
  <c r="P7" i="8"/>
  <c r="O31" i="7"/>
  <c r="P40" i="6"/>
  <c r="O7" i="7"/>
  <c r="P16" i="6"/>
  <c r="O17" i="7"/>
  <c r="P18" i="8"/>
  <c r="P4" i="6"/>
  <c r="O43" i="7"/>
  <c r="P6" i="8"/>
  <c r="P9" i="8"/>
  <c r="P8" i="8"/>
  <c r="P35" i="6"/>
  <c r="P14" i="8"/>
  <c r="P26" i="6"/>
  <c r="P30" i="8"/>
  <c r="P10" i="8"/>
  <c r="O33" i="7"/>
  <c r="P45" i="8"/>
  <c r="P34" i="8"/>
  <c r="O2" i="7"/>
  <c r="O34" i="7"/>
  <c r="P10" i="6"/>
  <c r="P16" i="8"/>
  <c r="P42" i="8"/>
  <c r="P43" i="6"/>
  <c r="P2" i="8"/>
  <c r="O12" i="7"/>
  <c r="O36" i="7"/>
  <c r="P20" i="8"/>
  <c r="P38" i="6"/>
  <c r="P32" i="6"/>
  <c r="O29" i="7"/>
  <c r="P14" i="6"/>
  <c r="P49" i="6"/>
  <c r="O3" i="7"/>
  <c r="P42" i="6"/>
  <c r="P23" i="6"/>
  <c r="O16" i="7"/>
  <c r="P40" i="8"/>
  <c r="P45" i="6"/>
  <c r="P29" i="6"/>
  <c r="P3" i="6"/>
  <c r="P8" i="6"/>
  <c r="P13" i="6"/>
  <c r="P37" i="8"/>
  <c r="O40" i="7"/>
  <c r="P37" i="6"/>
  <c r="O25" i="7"/>
  <c r="O21" i="7"/>
  <c r="P35" i="8"/>
  <c r="O14" i="7"/>
  <c r="O19" i="7"/>
  <c r="O32" i="7"/>
  <c r="P38" i="8"/>
  <c r="P28" i="8"/>
  <c r="P23" i="8"/>
  <c r="P21" i="8"/>
  <c r="P31" i="6"/>
  <c r="O24" i="7"/>
  <c r="O10" i="7"/>
  <c r="P30" i="6"/>
  <c r="P18" i="6"/>
  <c r="P9" i="6"/>
  <c r="P19" i="8"/>
  <c r="P19" i="6"/>
  <c r="P44" i="6"/>
  <c r="P34" i="6"/>
  <c r="P39" i="8"/>
  <c r="O20" i="7"/>
  <c r="O28" i="7"/>
  <c r="O23" i="7"/>
  <c r="P48" i="8"/>
  <c r="P7" i="6"/>
  <c r="P26" i="8"/>
  <c r="P41" i="6"/>
  <c r="O30" i="7"/>
  <c r="O26" i="7"/>
  <c r="O38" i="7"/>
  <c r="P46" i="8"/>
  <c r="O6" i="7"/>
  <c r="O49" i="7"/>
  <c r="O41" i="7"/>
  <c r="P36" i="6"/>
  <c r="O35" i="7"/>
  <c r="O5" i="7"/>
  <c r="P48" i="6"/>
  <c r="P2" i="6"/>
  <c r="P25" i="6"/>
  <c r="P22" i="8"/>
  <c r="P3" i="8"/>
  <c r="P12" i="6"/>
  <c r="P6" i="6"/>
  <c r="O9" i="7"/>
  <c r="O27" i="7"/>
  <c r="P24" i="6"/>
  <c r="O39" i="7"/>
  <c r="P11" i="8"/>
  <c r="P29" i="8"/>
  <c r="P27" i="8"/>
  <c r="O13" i="7"/>
  <c r="O18" i="7"/>
  <c r="O42" i="7"/>
  <c r="P46" i="6"/>
  <c r="P39" i="6"/>
  <c r="P47" i="8"/>
  <c r="O8" i="7"/>
  <c r="P21" i="6"/>
  <c r="P43" i="8"/>
  <c r="P17" i="6"/>
  <c r="P4" i="8"/>
  <c r="P32" i="8"/>
  <c r="O44" i="7"/>
  <c r="O45" i="7"/>
  <c r="O46" i="19" l="1"/>
  <c r="O47" i="19"/>
  <c r="O48" i="19"/>
  <c r="O45" i="19"/>
  <c r="AA48" i="19"/>
  <c r="Y48" i="19"/>
  <c r="C48" i="19"/>
  <c r="AA47" i="19"/>
  <c r="Y47" i="19"/>
  <c r="C47" i="19"/>
  <c r="AA46" i="19"/>
  <c r="Y46" i="19"/>
  <c r="C46" i="19"/>
  <c r="AA45" i="19"/>
  <c r="Y45" i="19"/>
  <c r="C45" i="19"/>
  <c r="Z45" i="19" l="1"/>
  <c r="Z48" i="19"/>
  <c r="Z46" i="19"/>
  <c r="Z47" i="19"/>
  <c r="AA44" i="19" l="1"/>
  <c r="Y44" i="19"/>
  <c r="O44" i="19"/>
  <c r="C44" i="19"/>
  <c r="AA43" i="19"/>
  <c r="Y43" i="19"/>
  <c r="O43" i="19"/>
  <c r="C43" i="19"/>
  <c r="Z43" i="19" l="1"/>
  <c r="Z44" i="19"/>
  <c r="AA42" i="19" l="1"/>
  <c r="Y42" i="19"/>
  <c r="O42" i="19"/>
  <c r="C42" i="19"/>
  <c r="AA41" i="19"/>
  <c r="Y41" i="19"/>
  <c r="O41" i="19"/>
  <c r="C41" i="19"/>
  <c r="AA40" i="19"/>
  <c r="Y40" i="19"/>
  <c r="C40" i="19"/>
  <c r="O40" i="19"/>
  <c r="AA39" i="19"/>
  <c r="Y39" i="19"/>
  <c r="O39" i="19"/>
  <c r="C39" i="19"/>
  <c r="Z42" i="19" l="1"/>
  <c r="Z39" i="19"/>
  <c r="Z41" i="19"/>
  <c r="Z40" i="19"/>
  <c r="Y38" i="19" l="1"/>
  <c r="AA38" i="19"/>
  <c r="O38" i="19"/>
  <c r="C38" i="19"/>
  <c r="Z38" i="19" l="1"/>
  <c r="AA37" i="19"/>
  <c r="Y37" i="19"/>
  <c r="O37" i="19"/>
  <c r="C37" i="19"/>
  <c r="AA36" i="19"/>
  <c r="Y36" i="19"/>
  <c r="O36" i="19"/>
  <c r="C36" i="19"/>
  <c r="AA35" i="19"/>
  <c r="AA34" i="19"/>
  <c r="N35" i="19"/>
  <c r="O35" i="19" s="1"/>
  <c r="N34" i="19"/>
  <c r="O34" i="19" s="1"/>
  <c r="Y35" i="19"/>
  <c r="C35" i="19"/>
  <c r="Y34" i="19"/>
  <c r="C34" i="19"/>
  <c r="Z36" i="19" l="1"/>
  <c r="Z37" i="19"/>
  <c r="Z34" i="19"/>
  <c r="Z35" i="19"/>
  <c r="AA33" i="19" l="1"/>
  <c r="Y33" i="19"/>
  <c r="O33" i="19"/>
  <c r="C33" i="19"/>
  <c r="Z33" i="19" l="1"/>
  <c r="AA32" i="19"/>
  <c r="Y32" i="19"/>
  <c r="O32" i="19"/>
  <c r="C32" i="19"/>
  <c r="Y29" i="19"/>
  <c r="Z32" i="19" l="1"/>
  <c r="AA31" i="19" l="1"/>
  <c r="Y31" i="19"/>
  <c r="C31" i="19"/>
  <c r="O31" i="19"/>
  <c r="AA30" i="19"/>
  <c r="Y30" i="19"/>
  <c r="C30" i="19"/>
  <c r="O30" i="19"/>
  <c r="Z30" i="19" l="1"/>
  <c r="Z31" i="19"/>
  <c r="N29" i="19"/>
  <c r="O29" i="19" l="1"/>
  <c r="AA29" i="19"/>
  <c r="C29" i="19"/>
  <c r="Z29" i="19" l="1"/>
  <c r="N28" i="19" l="1"/>
  <c r="O28" i="19" s="1"/>
  <c r="N27" i="19"/>
  <c r="O27" i="19" s="1"/>
  <c r="AA28" i="19"/>
  <c r="AA27" i="19"/>
  <c r="Y28" i="19"/>
  <c r="C28" i="19"/>
  <c r="Y27" i="19"/>
  <c r="C27" i="19"/>
  <c r="Z28" i="19" l="1"/>
  <c r="Z27" i="19"/>
  <c r="AA26" i="19" l="1"/>
  <c r="Y26" i="19"/>
  <c r="O26" i="19"/>
  <c r="C26" i="19"/>
  <c r="AA25" i="19"/>
  <c r="Y25" i="19"/>
  <c r="O25" i="19"/>
  <c r="C25" i="19"/>
  <c r="Z25" i="19" l="1"/>
  <c r="Z26" i="19"/>
  <c r="AA24" i="19" l="1"/>
  <c r="Y24" i="19"/>
  <c r="C24" i="19"/>
  <c r="O24" i="19"/>
  <c r="Z24" i="19" l="1"/>
  <c r="AA23" i="19" l="1"/>
  <c r="O23" i="19"/>
  <c r="Y23" i="19"/>
  <c r="C23" i="19"/>
  <c r="Z23" i="19" l="1"/>
  <c r="AA22" i="19"/>
  <c r="Y22" i="19"/>
  <c r="O22" i="19"/>
  <c r="C22" i="19"/>
  <c r="AA21" i="19"/>
  <c r="Y21" i="19"/>
  <c r="O21" i="19"/>
  <c r="C21" i="19"/>
  <c r="Z22" i="19" l="1"/>
  <c r="Z21" i="19"/>
  <c r="AA20" i="19" l="1"/>
  <c r="Y20" i="19"/>
  <c r="C20" i="19"/>
  <c r="O20" i="19"/>
  <c r="AA19" i="19"/>
  <c r="Y19" i="19"/>
  <c r="C19" i="19"/>
  <c r="O19" i="19"/>
  <c r="Z20" i="19" l="1"/>
  <c r="Z19" i="19"/>
  <c r="N18" i="19" l="1"/>
  <c r="N17" i="19"/>
  <c r="AA18" i="19" l="1"/>
  <c r="AA17" i="19"/>
  <c r="Y18" i="19"/>
  <c r="O18" i="19"/>
  <c r="C18" i="19"/>
  <c r="Y17" i="19"/>
  <c r="O17" i="19"/>
  <c r="C17" i="19"/>
  <c r="Z18" i="19" l="1"/>
  <c r="Z17" i="19"/>
  <c r="AA16" i="19" l="1"/>
  <c r="Y16" i="19"/>
  <c r="C16" i="19"/>
  <c r="O16" i="19"/>
  <c r="Z16" i="19" l="1"/>
  <c r="AA15" i="19"/>
  <c r="O15" i="19"/>
  <c r="Y15" i="19"/>
  <c r="C15" i="19"/>
  <c r="Z15" i="19" l="1"/>
  <c r="AA14" i="19" l="1"/>
  <c r="Y14" i="19"/>
  <c r="O14" i="19"/>
  <c r="X14" i="19" s="1"/>
  <c r="C14" i="19"/>
  <c r="Z14" i="19" l="1"/>
  <c r="AA13" i="19" l="1"/>
  <c r="AA12" i="19"/>
  <c r="Y13" i="19"/>
  <c r="C13" i="19"/>
  <c r="O13" i="19"/>
  <c r="Y12" i="19"/>
  <c r="C12" i="19"/>
  <c r="O12" i="19"/>
  <c r="Z12" i="19" l="1"/>
  <c r="Z13" i="19"/>
  <c r="AA11" i="19" l="1"/>
  <c r="Y11" i="19"/>
  <c r="O11" i="19"/>
  <c r="C11" i="19"/>
  <c r="Z11" i="19" l="1"/>
  <c r="AA10" i="19" l="1"/>
  <c r="C9" i="19"/>
  <c r="C10" i="19"/>
  <c r="AA9" i="19"/>
  <c r="Z9" i="19" l="1"/>
  <c r="Z10" i="19"/>
  <c r="AA8" i="19" l="1"/>
  <c r="Y8" i="19"/>
  <c r="O8" i="19"/>
  <c r="C8" i="19"/>
  <c r="AA7" i="19"/>
  <c r="Y7" i="19"/>
  <c r="O7" i="19"/>
  <c r="C7" i="19"/>
  <c r="AA6" i="19"/>
  <c r="Y6" i="19"/>
  <c r="O6" i="19"/>
  <c r="C6" i="19"/>
  <c r="AA5" i="19"/>
  <c r="Y5" i="19"/>
  <c r="O5" i="19"/>
  <c r="C5" i="19"/>
  <c r="Z6" i="19" l="1"/>
  <c r="Z7" i="19"/>
  <c r="Z8" i="19"/>
  <c r="Z5" i="19"/>
  <c r="AA4" i="19" l="1"/>
  <c r="Y4" i="19"/>
  <c r="O4" i="19"/>
  <c r="C4" i="19"/>
  <c r="Z4" i="19" l="1"/>
  <c r="AA3" i="19" l="1"/>
  <c r="Y3" i="19"/>
  <c r="O3" i="19"/>
  <c r="C3" i="19"/>
  <c r="Z3" i="19" l="1"/>
  <c r="AG3" i="20" l="1"/>
  <c r="Y3" i="20"/>
  <c r="AG2" i="20"/>
  <c r="Y2" i="20"/>
  <c r="AH3" i="20" l="1"/>
  <c r="AH2" i="20"/>
  <c r="C2" i="19" l="1"/>
  <c r="AA2" i="19"/>
  <c r="Y2" i="19"/>
  <c r="O2" i="19"/>
  <c r="Z2" i="19" l="1"/>
  <c r="Q94" i="6" l="1"/>
  <c r="P94" i="6"/>
  <c r="R94" i="6" s="1"/>
  <c r="Q119" i="6"/>
  <c r="P119" i="6"/>
  <c r="R119" i="6" s="1"/>
  <c r="R118" i="8"/>
  <c r="Q118" i="8"/>
  <c r="R116" i="8"/>
  <c r="Q116" i="8"/>
  <c r="R114" i="8"/>
  <c r="Q114" i="8"/>
  <c r="R112" i="8"/>
  <c r="Q112" i="8"/>
  <c r="R110" i="8"/>
  <c r="Q110" i="8"/>
  <c r="R109" i="8"/>
  <c r="Q109" i="8"/>
  <c r="R108" i="8"/>
  <c r="Q108" i="8"/>
  <c r="Q107" i="8"/>
  <c r="P107" i="8"/>
  <c r="R107" i="8" s="1"/>
  <c r="Q104" i="8"/>
  <c r="H104" i="8"/>
  <c r="R104" i="8" s="1"/>
  <c r="Q103" i="8"/>
  <c r="H103" i="8"/>
  <c r="R103" i="8" s="1"/>
  <c r="Q102" i="8"/>
  <c r="H102" i="8"/>
  <c r="R102" i="8" s="1"/>
  <c r="Q101" i="8"/>
  <c r="H101" i="8"/>
  <c r="R101" i="8" s="1"/>
  <c r="H100" i="8"/>
  <c r="J100" i="8" s="1"/>
  <c r="H99" i="8"/>
  <c r="J99" i="8" s="1"/>
  <c r="H98" i="8"/>
  <c r="J98" i="8" s="1"/>
  <c r="H97" i="8"/>
  <c r="J97" i="8" s="1"/>
  <c r="Q96" i="8"/>
  <c r="P96" i="8"/>
  <c r="R96" i="8" s="1"/>
  <c r="Q95" i="8"/>
  <c r="P95" i="8"/>
  <c r="R95" i="8" s="1"/>
  <c r="H94" i="8"/>
  <c r="J94" i="8" s="1"/>
  <c r="H93" i="8"/>
  <c r="J93" i="8" s="1"/>
  <c r="H92" i="8"/>
  <c r="J92" i="8" s="1"/>
  <c r="H91" i="8"/>
  <c r="J91" i="8" s="1"/>
  <c r="H90" i="8"/>
  <c r="J90" i="8" s="1"/>
  <c r="Q89" i="8"/>
  <c r="H89" i="8"/>
  <c r="H88" i="8"/>
  <c r="J88" i="8" s="1"/>
  <c r="Q87" i="8"/>
  <c r="H87" i="8"/>
  <c r="Q86" i="8"/>
  <c r="P86" i="8"/>
  <c r="R86" i="8" s="1"/>
  <c r="Q85" i="8"/>
  <c r="P85" i="8"/>
  <c r="R85" i="8" s="1"/>
  <c r="Q84" i="8"/>
  <c r="P84" i="8"/>
  <c r="R84" i="8" s="1"/>
  <c r="Q83" i="8"/>
  <c r="P83" i="8"/>
  <c r="R83" i="8" s="1"/>
  <c r="Q82" i="8"/>
  <c r="P82" i="8"/>
  <c r="R82" i="8" s="1"/>
  <c r="Q81" i="8"/>
  <c r="P81" i="8"/>
  <c r="R81" i="8" s="1"/>
  <c r="R80" i="8"/>
  <c r="Q80" i="8"/>
  <c r="R79" i="8"/>
  <c r="Q79" i="8"/>
  <c r="Q78" i="8"/>
  <c r="Q77" i="8"/>
  <c r="P77" i="8"/>
  <c r="R77" i="8" s="1"/>
  <c r="Q76" i="8"/>
  <c r="P76" i="8"/>
  <c r="R76" i="8" s="1"/>
  <c r="Q75" i="8"/>
  <c r="P75" i="8"/>
  <c r="R75" i="8" s="1"/>
  <c r="Q74" i="8"/>
  <c r="P74" i="8"/>
  <c r="R74" i="8" s="1"/>
  <c r="Q73" i="8"/>
  <c r="P73" i="8"/>
  <c r="R73" i="8" s="1"/>
  <c r="Q72" i="8"/>
  <c r="P72" i="8"/>
  <c r="R72" i="8" s="1"/>
  <c r="Q71" i="8"/>
  <c r="P71" i="8"/>
  <c r="R71" i="8" s="1"/>
  <c r="R70" i="8"/>
  <c r="J70" i="8"/>
  <c r="Q70" i="8" s="1"/>
  <c r="R69" i="8"/>
  <c r="J69" i="8"/>
  <c r="Q69" i="8" s="1"/>
  <c r="R68" i="8"/>
  <c r="J68" i="8"/>
  <c r="Q68" i="8" s="1"/>
  <c r="R67" i="8"/>
  <c r="J67" i="8"/>
  <c r="Q67" i="8" s="1"/>
  <c r="R66" i="8"/>
  <c r="J66" i="8"/>
  <c r="Q66" i="8" s="1"/>
  <c r="Q65" i="8"/>
  <c r="P65" i="8"/>
  <c r="R65" i="8" s="1"/>
  <c r="R64" i="8"/>
  <c r="J64" i="8"/>
  <c r="Q64" i="8" s="1"/>
  <c r="R63" i="8"/>
  <c r="J63" i="8"/>
  <c r="Q63" i="8" s="1"/>
  <c r="Q62" i="8"/>
  <c r="P62" i="8"/>
  <c r="R62" i="8" s="1"/>
  <c r="Q61" i="8"/>
  <c r="P61" i="8"/>
  <c r="R61" i="8" s="1"/>
  <c r="Q60" i="8"/>
  <c r="P60" i="8"/>
  <c r="R60" i="8" s="1"/>
  <c r="P59" i="8"/>
  <c r="R59" i="8" s="1"/>
  <c r="R58" i="8"/>
  <c r="Q58" i="8"/>
  <c r="Q57" i="8"/>
  <c r="P57" i="8"/>
  <c r="R57" i="8" s="1"/>
  <c r="Q56" i="8"/>
  <c r="P56" i="8"/>
  <c r="R56" i="8" s="1"/>
  <c r="Q55" i="8"/>
  <c r="P55" i="8"/>
  <c r="R55" i="8" s="1"/>
  <c r="Q54" i="8"/>
  <c r="P54" i="8"/>
  <c r="R54" i="8" s="1"/>
  <c r="Q53" i="8"/>
  <c r="P53" i="8"/>
  <c r="R53" i="8" s="1"/>
  <c r="Q52" i="8"/>
  <c r="P52" i="8"/>
  <c r="R52" i="8" s="1"/>
  <c r="R51" i="8"/>
  <c r="Q51" i="8"/>
  <c r="R50" i="8"/>
  <c r="Q50" i="8"/>
  <c r="O50" i="8"/>
  <c r="Q49" i="8"/>
  <c r="O49" i="8"/>
  <c r="Q48" i="8"/>
  <c r="O48" i="8"/>
  <c r="Q47" i="8"/>
  <c r="O47" i="8"/>
  <c r="Q46" i="8"/>
  <c r="O46" i="8"/>
  <c r="Q45" i="8"/>
  <c r="O45" i="8"/>
  <c r="R44" i="8"/>
  <c r="Q44" i="8"/>
  <c r="O44" i="8"/>
  <c r="R43" i="8"/>
  <c r="S43" i="8" s="1"/>
  <c r="Q43" i="8"/>
  <c r="O43" i="8"/>
  <c r="R42" i="8"/>
  <c r="Q42" i="8"/>
  <c r="O42" i="8"/>
  <c r="R41" i="8"/>
  <c r="Q41" i="8"/>
  <c r="R40" i="8"/>
  <c r="Q40" i="8"/>
  <c r="R39" i="8"/>
  <c r="Q39" i="8"/>
  <c r="Q38" i="8"/>
  <c r="Q37" i="8"/>
  <c r="O37" i="8"/>
  <c r="N37" i="8"/>
  <c r="Q36" i="8"/>
  <c r="N36" i="8"/>
  <c r="Q35" i="8"/>
  <c r="O35" i="8"/>
  <c r="N35" i="8"/>
  <c r="Q34" i="8"/>
  <c r="N34" i="8"/>
  <c r="Q33" i="8"/>
  <c r="O33" i="8"/>
  <c r="Q32" i="8"/>
  <c r="O32" i="8"/>
  <c r="Q31" i="8"/>
  <c r="O31" i="8"/>
  <c r="Q30" i="8"/>
  <c r="O30" i="8"/>
  <c r="Q29" i="8"/>
  <c r="N29" i="8"/>
  <c r="Q28" i="8"/>
  <c r="N28" i="8"/>
  <c r="Q27" i="8"/>
  <c r="O27" i="8"/>
  <c r="Q26" i="8"/>
  <c r="O26" i="8"/>
  <c r="Q25" i="8"/>
  <c r="O25" i="8"/>
  <c r="Q24" i="8"/>
  <c r="O24" i="8"/>
  <c r="O23" i="8"/>
  <c r="O22" i="8"/>
  <c r="Q21" i="8"/>
  <c r="Q20" i="8"/>
  <c r="Q19" i="8"/>
  <c r="O19" i="8"/>
  <c r="N19" i="8"/>
  <c r="O18" i="8"/>
  <c r="N18" i="8"/>
  <c r="O17" i="8"/>
  <c r="N17" i="8"/>
  <c r="O16" i="8"/>
  <c r="N16" i="8"/>
  <c r="O15" i="8"/>
  <c r="N15" i="8"/>
  <c r="O14" i="8"/>
  <c r="N14" i="8"/>
  <c r="O13" i="8"/>
  <c r="N13" i="8"/>
  <c r="O12" i="8"/>
  <c r="N12" i="8"/>
  <c r="O11" i="8"/>
  <c r="O10" i="8"/>
  <c r="N10" i="8"/>
  <c r="O9" i="8"/>
  <c r="O8" i="8"/>
  <c r="N8" i="8"/>
  <c r="O7" i="8"/>
  <c r="N7" i="8"/>
  <c r="O6" i="8"/>
  <c r="N6" i="8"/>
  <c r="O5" i="8"/>
  <c r="N5" i="8"/>
  <c r="O4" i="8"/>
  <c r="N4" i="8"/>
  <c r="O3" i="8"/>
  <c r="N3" i="8"/>
  <c r="O2" i="8"/>
  <c r="N2" i="8"/>
  <c r="Q78" i="7"/>
  <c r="P78" i="7"/>
  <c r="P77" i="7"/>
  <c r="O77" i="7"/>
  <c r="Q77" i="7" s="1"/>
  <c r="P76" i="7"/>
  <c r="O76" i="7"/>
  <c r="Q76" i="7" s="1"/>
  <c r="P75" i="7"/>
  <c r="O75" i="7"/>
  <c r="Q75" i="7" s="1"/>
  <c r="P74" i="7"/>
  <c r="O74" i="7"/>
  <c r="Q74" i="7" s="1"/>
  <c r="P73" i="7"/>
  <c r="O73" i="7"/>
  <c r="Q73" i="7" s="1"/>
  <c r="P72" i="7"/>
  <c r="O72" i="7"/>
  <c r="Q72" i="7" s="1"/>
  <c r="P71" i="7"/>
  <c r="O71" i="7"/>
  <c r="Q71" i="7" s="1"/>
  <c r="Q70" i="7"/>
  <c r="I70" i="7"/>
  <c r="P70" i="7" s="1"/>
  <c r="Q69" i="7"/>
  <c r="I69" i="7"/>
  <c r="P69" i="7" s="1"/>
  <c r="Q68" i="7"/>
  <c r="I68" i="7"/>
  <c r="P68" i="7" s="1"/>
  <c r="Q67" i="7"/>
  <c r="I67" i="7"/>
  <c r="P67" i="7" s="1"/>
  <c r="Q66" i="7"/>
  <c r="I66" i="7"/>
  <c r="P66" i="7" s="1"/>
  <c r="P65" i="7"/>
  <c r="O65" i="7"/>
  <c r="Q65" i="7" s="1"/>
  <c r="Q64" i="7"/>
  <c r="I64" i="7"/>
  <c r="P64" i="7" s="1"/>
  <c r="Q63" i="7"/>
  <c r="I63" i="7"/>
  <c r="P63" i="7" s="1"/>
  <c r="P62" i="7"/>
  <c r="O62" i="7"/>
  <c r="Q62" i="7" s="1"/>
  <c r="P61" i="7"/>
  <c r="O61" i="7"/>
  <c r="Q61" i="7" s="1"/>
  <c r="P60" i="7"/>
  <c r="O60" i="7"/>
  <c r="Q60" i="7" s="1"/>
  <c r="O59" i="7"/>
  <c r="Q59" i="7" s="1"/>
  <c r="Q58" i="7"/>
  <c r="P58" i="7"/>
  <c r="P57" i="7"/>
  <c r="O57" i="7"/>
  <c r="Q57" i="7" s="1"/>
  <c r="P56" i="7"/>
  <c r="O56" i="7"/>
  <c r="Q56" i="7" s="1"/>
  <c r="P55" i="7"/>
  <c r="O55" i="7"/>
  <c r="Q55" i="7" s="1"/>
  <c r="P54" i="7"/>
  <c r="O54" i="7"/>
  <c r="Q54" i="7" s="1"/>
  <c r="P53" i="7"/>
  <c r="O53" i="7"/>
  <c r="Q53" i="7" s="1"/>
  <c r="P52" i="7"/>
  <c r="O52" i="7"/>
  <c r="Q52" i="7" s="1"/>
  <c r="Q51" i="7"/>
  <c r="P51" i="7"/>
  <c r="Q50" i="7"/>
  <c r="P50" i="7"/>
  <c r="N50" i="7"/>
  <c r="P49" i="7"/>
  <c r="N49" i="7"/>
  <c r="P48" i="7"/>
  <c r="N48" i="7"/>
  <c r="P47" i="7"/>
  <c r="N47" i="7"/>
  <c r="P46" i="7"/>
  <c r="N46" i="7"/>
  <c r="P45" i="7"/>
  <c r="N45" i="7"/>
  <c r="Q44" i="7"/>
  <c r="P44" i="7"/>
  <c r="N44" i="7"/>
  <c r="Q43" i="7"/>
  <c r="R43" i="7" s="1"/>
  <c r="P43" i="7"/>
  <c r="N43" i="7"/>
  <c r="Q42" i="7"/>
  <c r="P42" i="7"/>
  <c r="N42" i="7"/>
  <c r="Q41" i="7"/>
  <c r="P41" i="7"/>
  <c r="Q40" i="7"/>
  <c r="P40" i="7"/>
  <c r="Q39" i="7"/>
  <c r="P39" i="7"/>
  <c r="P38" i="7"/>
  <c r="P37" i="7"/>
  <c r="N37" i="7"/>
  <c r="M37" i="7"/>
  <c r="P36" i="7"/>
  <c r="M36" i="7"/>
  <c r="P35" i="7"/>
  <c r="N35" i="7"/>
  <c r="M35" i="7"/>
  <c r="P34" i="7"/>
  <c r="M34" i="7"/>
  <c r="P33" i="7"/>
  <c r="N33" i="7"/>
  <c r="P32" i="7"/>
  <c r="N32" i="7"/>
  <c r="P31" i="7"/>
  <c r="N31" i="7"/>
  <c r="P30" i="7"/>
  <c r="N30" i="7"/>
  <c r="P29" i="7"/>
  <c r="M29" i="7"/>
  <c r="P28" i="7"/>
  <c r="M28" i="7"/>
  <c r="P27" i="7"/>
  <c r="N27" i="7"/>
  <c r="P26" i="7"/>
  <c r="N26" i="7"/>
  <c r="P25" i="7"/>
  <c r="N25" i="7"/>
  <c r="P24" i="7"/>
  <c r="N24" i="7"/>
  <c r="N23" i="7"/>
  <c r="N22" i="7"/>
  <c r="P21" i="7"/>
  <c r="P20" i="7"/>
  <c r="P19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N10" i="7"/>
  <c r="M10" i="7"/>
  <c r="N9" i="7"/>
  <c r="N8" i="7"/>
  <c r="M8" i="7"/>
  <c r="N7" i="7"/>
  <c r="M7" i="7"/>
  <c r="N6" i="7"/>
  <c r="M6" i="7"/>
  <c r="N5" i="7"/>
  <c r="M5" i="7"/>
  <c r="N4" i="7"/>
  <c r="M4" i="7"/>
  <c r="N3" i="7"/>
  <c r="M3" i="7"/>
  <c r="N2" i="7"/>
  <c r="M2" i="7"/>
  <c r="R117" i="6"/>
  <c r="Q117" i="6"/>
  <c r="R115" i="6"/>
  <c r="Q115" i="6"/>
  <c r="R113" i="6"/>
  <c r="Q113" i="6"/>
  <c r="R111" i="6"/>
  <c r="Q111" i="6"/>
  <c r="R109" i="6"/>
  <c r="Q109" i="6"/>
  <c r="R108" i="6"/>
  <c r="Q108" i="6"/>
  <c r="R107" i="6"/>
  <c r="Q107" i="6"/>
  <c r="Q106" i="6"/>
  <c r="P106" i="6"/>
  <c r="R106" i="6" s="1"/>
  <c r="Q105" i="6"/>
  <c r="P105" i="6"/>
  <c r="R105" i="6" s="1"/>
  <c r="Q104" i="6"/>
  <c r="H104" i="6"/>
  <c r="R104" i="6" s="1"/>
  <c r="Q103" i="6"/>
  <c r="H103" i="6"/>
  <c r="R103" i="6" s="1"/>
  <c r="Q102" i="6"/>
  <c r="H102" i="6"/>
  <c r="R102" i="6" s="1"/>
  <c r="Q101" i="6"/>
  <c r="H101" i="6"/>
  <c r="R101" i="6" s="1"/>
  <c r="H100" i="6"/>
  <c r="J100" i="6" s="1"/>
  <c r="H99" i="6"/>
  <c r="J99" i="6" s="1"/>
  <c r="H98" i="6"/>
  <c r="J98" i="6" s="1"/>
  <c r="H97" i="6"/>
  <c r="J97" i="6" s="1"/>
  <c r="Q96" i="6"/>
  <c r="P96" i="6"/>
  <c r="R96" i="6" s="1"/>
  <c r="Q95" i="6"/>
  <c r="P95" i="6"/>
  <c r="R95" i="6" s="1"/>
  <c r="H93" i="6"/>
  <c r="J93" i="6" s="1"/>
  <c r="H92" i="6"/>
  <c r="J92" i="6" s="1"/>
  <c r="H91" i="6"/>
  <c r="J91" i="6" s="1"/>
  <c r="H90" i="6"/>
  <c r="J90" i="6" s="1"/>
  <c r="H89" i="6"/>
  <c r="J89" i="6" s="1"/>
  <c r="Q88" i="6"/>
  <c r="H88" i="6"/>
  <c r="H87" i="6"/>
  <c r="J87" i="6" s="1"/>
  <c r="Q86" i="6"/>
  <c r="H86" i="6"/>
  <c r="Q85" i="6"/>
  <c r="P85" i="6"/>
  <c r="R85" i="6" s="1"/>
  <c r="Q84" i="6"/>
  <c r="P84" i="6"/>
  <c r="R84" i="6" s="1"/>
  <c r="Q83" i="6"/>
  <c r="P83" i="6"/>
  <c r="R83" i="6" s="1"/>
  <c r="Q82" i="6"/>
  <c r="P82" i="6"/>
  <c r="R82" i="6" s="1"/>
  <c r="Q81" i="6"/>
  <c r="P81" i="6"/>
  <c r="R81" i="6" s="1"/>
  <c r="Q80" i="6"/>
  <c r="P80" i="6"/>
  <c r="R80" i="6" s="1"/>
  <c r="R79" i="6"/>
  <c r="Q79" i="6"/>
  <c r="R78" i="6"/>
  <c r="Q78" i="6"/>
  <c r="Q77" i="6"/>
  <c r="P77" i="6"/>
  <c r="R77" i="6" s="1"/>
  <c r="Q76" i="6"/>
  <c r="P76" i="6"/>
  <c r="R76" i="6" s="1"/>
  <c r="Q75" i="6"/>
  <c r="P75" i="6"/>
  <c r="R75" i="6" s="1"/>
  <c r="Q74" i="6"/>
  <c r="P74" i="6"/>
  <c r="R74" i="6" s="1"/>
  <c r="Q73" i="6"/>
  <c r="P73" i="6"/>
  <c r="R73" i="6" s="1"/>
  <c r="Q72" i="6"/>
  <c r="P72" i="6"/>
  <c r="R72" i="6" s="1"/>
  <c r="Q71" i="6"/>
  <c r="P71" i="6"/>
  <c r="R71" i="6" s="1"/>
  <c r="R70" i="6"/>
  <c r="J70" i="6"/>
  <c r="Q70" i="6" s="1"/>
  <c r="R69" i="6"/>
  <c r="J69" i="6"/>
  <c r="Q69" i="6" s="1"/>
  <c r="R68" i="6"/>
  <c r="J68" i="6"/>
  <c r="Q68" i="6" s="1"/>
  <c r="R67" i="6"/>
  <c r="J67" i="6"/>
  <c r="Q67" i="6" s="1"/>
  <c r="R66" i="6"/>
  <c r="J66" i="6"/>
  <c r="Q66" i="6" s="1"/>
  <c r="Q65" i="6"/>
  <c r="P65" i="6"/>
  <c r="R65" i="6" s="1"/>
  <c r="R64" i="6"/>
  <c r="J64" i="6"/>
  <c r="Q64" i="6" s="1"/>
  <c r="R63" i="6"/>
  <c r="J63" i="6"/>
  <c r="Q63" i="6" s="1"/>
  <c r="Q62" i="6"/>
  <c r="P62" i="6"/>
  <c r="R62" i="6" s="1"/>
  <c r="Q61" i="6"/>
  <c r="P61" i="6"/>
  <c r="R61" i="6" s="1"/>
  <c r="Q60" i="6"/>
  <c r="P60" i="6"/>
  <c r="R60" i="6" s="1"/>
  <c r="P59" i="6"/>
  <c r="R59" i="6" s="1"/>
  <c r="R58" i="6"/>
  <c r="Q58" i="6"/>
  <c r="Q57" i="6"/>
  <c r="P57" i="6"/>
  <c r="R57" i="6" s="1"/>
  <c r="Q56" i="6"/>
  <c r="P56" i="6"/>
  <c r="R56" i="6" s="1"/>
  <c r="Q55" i="6"/>
  <c r="P55" i="6"/>
  <c r="R55" i="6" s="1"/>
  <c r="Q54" i="6"/>
  <c r="P54" i="6"/>
  <c r="R54" i="6" s="1"/>
  <c r="Q53" i="6"/>
  <c r="P53" i="6"/>
  <c r="R53" i="6" s="1"/>
  <c r="Q52" i="6"/>
  <c r="P52" i="6"/>
  <c r="R52" i="6" s="1"/>
  <c r="R51" i="6"/>
  <c r="Q51" i="6"/>
  <c r="R50" i="6"/>
  <c r="Q50" i="6"/>
  <c r="O50" i="6"/>
  <c r="Q49" i="6"/>
  <c r="O49" i="6"/>
  <c r="Q48" i="6"/>
  <c r="O48" i="6"/>
  <c r="Q47" i="6"/>
  <c r="O47" i="6"/>
  <c r="Q46" i="6"/>
  <c r="O46" i="6"/>
  <c r="Q45" i="6"/>
  <c r="O45" i="6"/>
  <c r="R44" i="6"/>
  <c r="Q44" i="6"/>
  <c r="O44" i="6"/>
  <c r="R43" i="6"/>
  <c r="S43" i="6" s="1"/>
  <c r="Q43" i="6"/>
  <c r="O43" i="6"/>
  <c r="R42" i="6"/>
  <c r="Q42" i="6"/>
  <c r="O42" i="6"/>
  <c r="R41" i="6"/>
  <c r="Q41" i="6"/>
  <c r="R40" i="6"/>
  <c r="Q40" i="6"/>
  <c r="R39" i="6"/>
  <c r="Q39" i="6"/>
  <c r="Q38" i="6"/>
  <c r="Q37" i="6"/>
  <c r="O37" i="6"/>
  <c r="N37" i="6"/>
  <c r="Q36" i="6"/>
  <c r="N36" i="6"/>
  <c r="Q35" i="6"/>
  <c r="O35" i="6"/>
  <c r="N35" i="6"/>
  <c r="Q34" i="6"/>
  <c r="N34" i="6"/>
  <c r="Q33" i="6"/>
  <c r="O33" i="6"/>
  <c r="Q32" i="6"/>
  <c r="O32" i="6"/>
  <c r="Q31" i="6"/>
  <c r="O31" i="6"/>
  <c r="Q30" i="6"/>
  <c r="O30" i="6"/>
  <c r="Q29" i="6"/>
  <c r="N29" i="6"/>
  <c r="Q28" i="6"/>
  <c r="N28" i="6"/>
  <c r="Q27" i="6"/>
  <c r="O27" i="6"/>
  <c r="Q26" i="6"/>
  <c r="O26" i="6"/>
  <c r="Q25" i="6"/>
  <c r="O25" i="6"/>
  <c r="Q24" i="6"/>
  <c r="O24" i="6"/>
  <c r="O23" i="6"/>
  <c r="O22" i="6"/>
  <c r="Q21" i="6"/>
  <c r="Q20" i="6"/>
  <c r="Q19" i="6"/>
  <c r="O19" i="6"/>
  <c r="N19" i="6"/>
  <c r="O18" i="6"/>
  <c r="N18" i="6"/>
  <c r="O17" i="6"/>
  <c r="N17" i="6"/>
  <c r="O16" i="6"/>
  <c r="N16" i="6"/>
  <c r="O15" i="6"/>
  <c r="N15" i="6"/>
  <c r="O14" i="6"/>
  <c r="N14" i="6"/>
  <c r="O13" i="6"/>
  <c r="N13" i="6"/>
  <c r="O12" i="6"/>
  <c r="N12" i="6"/>
  <c r="O11" i="6"/>
  <c r="O10" i="6"/>
  <c r="N10" i="6"/>
  <c r="O9" i="6"/>
  <c r="O8" i="6"/>
  <c r="N8" i="6"/>
  <c r="O7" i="6"/>
  <c r="N7" i="6"/>
  <c r="O6" i="6"/>
  <c r="N6" i="6"/>
  <c r="O5" i="6"/>
  <c r="N5" i="6"/>
  <c r="O4" i="6"/>
  <c r="N4" i="6"/>
  <c r="O3" i="6"/>
  <c r="N3" i="6"/>
  <c r="O2" i="6"/>
  <c r="N2" i="6"/>
  <c r="R28" i="8"/>
  <c r="R7" i="8"/>
  <c r="Q34" i="7"/>
  <c r="R8" i="6"/>
  <c r="R30" i="6"/>
  <c r="Q36" i="7"/>
  <c r="R22" i="8"/>
  <c r="Q25" i="7"/>
  <c r="R12" i="6"/>
  <c r="R4" i="6"/>
  <c r="R12" i="8"/>
  <c r="Q35" i="7"/>
  <c r="R19" i="8"/>
  <c r="R21" i="6"/>
  <c r="R37" i="8"/>
  <c r="Q19" i="7"/>
  <c r="Q3" i="7"/>
  <c r="R15" i="6"/>
  <c r="Q28" i="7"/>
  <c r="Q7" i="7"/>
  <c r="R31" i="8"/>
  <c r="Q18" i="7"/>
  <c r="Q49" i="7"/>
  <c r="R49" i="7" s="1"/>
  <c r="R33" i="6"/>
  <c r="R2" i="6"/>
  <c r="R32" i="6"/>
  <c r="Q9" i="7"/>
  <c r="R13" i="6"/>
  <c r="Q16" i="7"/>
  <c r="Q4" i="7"/>
  <c r="R31" i="6"/>
  <c r="R22" i="6"/>
  <c r="R37" i="6"/>
  <c r="R14" i="6"/>
  <c r="R38" i="8"/>
  <c r="Q5" i="7"/>
  <c r="R5" i="8"/>
  <c r="R7" i="6"/>
  <c r="R16" i="8"/>
  <c r="R21" i="8"/>
  <c r="Q15" i="7"/>
  <c r="Q37" i="7"/>
  <c r="Q23" i="7"/>
  <c r="R6" i="8"/>
  <c r="Q30" i="7"/>
  <c r="Q8" i="7"/>
  <c r="R35" i="8"/>
  <c r="R38" i="6"/>
  <c r="R16" i="6"/>
  <c r="R33" i="8"/>
  <c r="Q12" i="7"/>
  <c r="Q38" i="7"/>
  <c r="R18" i="6"/>
  <c r="R4" i="8"/>
  <c r="R8" i="8"/>
  <c r="Q22" i="7"/>
  <c r="R34" i="8"/>
  <c r="R30" i="8"/>
  <c r="R32" i="8"/>
  <c r="Q24" i="7"/>
  <c r="R34" i="6"/>
  <c r="Q29" i="7"/>
  <c r="R26" i="8"/>
  <c r="R49" i="8"/>
  <c r="S49" i="8" s="1"/>
  <c r="Q31" i="7"/>
  <c r="R17" i="6"/>
  <c r="R25" i="6"/>
  <c r="R45" i="8"/>
  <c r="S45" i="8" s="1"/>
  <c r="R23" i="8"/>
  <c r="R15" i="8"/>
  <c r="R6" i="6"/>
  <c r="R48" i="6"/>
  <c r="S48" i="6" s="1"/>
  <c r="Q26" i="7"/>
  <c r="R19" i="6"/>
  <c r="R9" i="6"/>
  <c r="R10" i="8"/>
  <c r="R35" i="6"/>
  <c r="R26" i="6"/>
  <c r="R45" i="6"/>
  <c r="S45" i="6" s="1"/>
  <c r="Q13" i="7"/>
  <c r="R17" i="8"/>
  <c r="R24" i="6"/>
  <c r="R10" i="6"/>
  <c r="R11" i="6"/>
  <c r="R46" i="8"/>
  <c r="S46" i="8" s="1"/>
  <c r="Q48" i="7"/>
  <c r="R48" i="7" s="1"/>
  <c r="R48" i="8"/>
  <c r="S48" i="8" s="1"/>
  <c r="R13" i="8"/>
  <c r="R5" i="6"/>
  <c r="Q17" i="7"/>
  <c r="Q11" i="7"/>
  <c r="Q45" i="7"/>
  <c r="R45" i="7" s="1"/>
  <c r="R18" i="8"/>
  <c r="R27" i="6"/>
  <c r="R20" i="6"/>
  <c r="R9" i="8"/>
  <c r="R20" i="8"/>
  <c r="Q27" i="7"/>
  <c r="Q2" i="7"/>
  <c r="R29" i="8"/>
  <c r="Q10" i="7"/>
  <c r="R14" i="8"/>
  <c r="Q47" i="7"/>
  <c r="R47" i="7" s="1"/>
  <c r="Q20" i="7"/>
  <c r="Q14" i="7"/>
  <c r="Q33" i="7"/>
  <c r="R11" i="8"/>
  <c r="R47" i="6"/>
  <c r="S47" i="6" s="1"/>
  <c r="R46" i="6"/>
  <c r="S46" i="6" s="1"/>
  <c r="R3" i="6"/>
  <c r="R29" i="6"/>
  <c r="R28" i="6"/>
  <c r="Q32" i="7"/>
  <c r="R24" i="8"/>
  <c r="Q6" i="7"/>
  <c r="R36" i="6"/>
  <c r="Q21" i="7"/>
  <c r="R23" i="6"/>
  <c r="R3" i="8"/>
  <c r="R49" i="6"/>
  <c r="S49" i="6" s="1"/>
  <c r="R36" i="8"/>
  <c r="R2" i="8"/>
  <c r="R25" i="8"/>
  <c r="Q46" i="7"/>
  <c r="R46" i="7" s="1"/>
  <c r="R27" i="8"/>
  <c r="R47" i="8"/>
  <c r="S47" i="8" s="1"/>
  <c r="J102" i="8" l="1"/>
  <c r="J104" i="8"/>
  <c r="J103" i="8"/>
  <c r="J89" i="8"/>
  <c r="J102" i="6"/>
  <c r="S9" i="6"/>
  <c r="J88" i="6"/>
  <c r="J86" i="6"/>
  <c r="J103" i="6"/>
  <c r="Q120" i="6"/>
  <c r="Q121" i="6"/>
  <c r="R9" i="7"/>
  <c r="S9" i="8"/>
  <c r="J101" i="6"/>
  <c r="J104" i="6"/>
  <c r="J87" i="8"/>
  <c r="J101" i="8"/>
</calcChain>
</file>

<file path=xl/comments1.xml><?xml version="1.0" encoding="utf-8"?>
<comments xmlns="http://schemas.openxmlformats.org/spreadsheetml/2006/main">
  <authors>
    <author>Windows 用户</author>
    <author>谷宇</author>
  </authors>
  <commentList>
    <comment ref="A1" authorId="0" shapeId="0">
      <text/>
    </comment>
    <comment ref="N29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确认书上记录24.63
</t>
        </r>
      </text>
    </comment>
    <comment ref="O54" authorId="1" shapeId="0">
      <text>
        <r>
          <rPr>
            <b/>
            <sz val="9"/>
            <color indexed="81"/>
            <rFont val="宋体"/>
            <family val="3"/>
            <charset val="134"/>
          </rPr>
          <t>谷宇:</t>
        </r>
        <r>
          <rPr>
            <sz val="9"/>
            <color indexed="81"/>
            <rFont val="宋体"/>
            <family val="3"/>
            <charset val="134"/>
          </rPr>
          <t xml:space="preserve">
确认书
</t>
        </r>
      </text>
    </comment>
  </commentList>
</comments>
</file>

<file path=xl/comments2.xml><?xml version="1.0" encoding="utf-8"?>
<comments xmlns="http://schemas.openxmlformats.org/spreadsheetml/2006/main">
  <authors>
    <author>Windows 用户</author>
  </authors>
  <commentList>
    <comment ref="A1" authorId="0" shapeId="0">
      <text/>
    </comment>
  </commentList>
</comments>
</file>

<file path=xl/sharedStrings.xml><?xml version="1.0" encoding="utf-8"?>
<sst xmlns="http://schemas.openxmlformats.org/spreadsheetml/2006/main" count="2304" uniqueCount="472">
  <si>
    <t>客户名称</t>
  </si>
  <si>
    <t>开始日</t>
  </si>
  <si>
    <t>结束日</t>
  </si>
  <si>
    <t>标的</t>
  </si>
  <si>
    <t>客户交易方向</t>
  </si>
  <si>
    <t>类型</t>
  </si>
  <si>
    <t>数量(吨）</t>
  </si>
  <si>
    <t>行权价</t>
  </si>
  <si>
    <t>单位权利金</t>
  </si>
  <si>
    <t>确认书编号</t>
  </si>
  <si>
    <t>结算书编号</t>
  </si>
  <si>
    <t>结算价/平仓权利金</t>
  </si>
  <si>
    <t>结算金额</t>
  </si>
  <si>
    <t>结算日期/平仓日期</t>
  </si>
  <si>
    <t>入场价</t>
  </si>
  <si>
    <t>权利金</t>
  </si>
  <si>
    <t>名义金额</t>
  </si>
  <si>
    <t>备注</t>
  </si>
  <si>
    <t>客户类别</t>
  </si>
  <si>
    <t>莱宝白糖</t>
  </si>
  <si>
    <t>SR801</t>
  </si>
  <si>
    <t>卖出</t>
  </si>
  <si>
    <t>美式看涨</t>
  </si>
  <si>
    <t>LBNY001</t>
  </si>
  <si>
    <t>LBNY009</t>
  </si>
  <si>
    <t>美式看跌</t>
  </si>
  <si>
    <t>LBNY002</t>
  </si>
  <si>
    <t>LBNY010</t>
  </si>
  <si>
    <t>LBNY003</t>
  </si>
  <si>
    <t>LBNY011</t>
  </si>
  <si>
    <t>LBNY004</t>
  </si>
  <si>
    <t>LBNY012</t>
  </si>
  <si>
    <t>LBNY005</t>
  </si>
  <si>
    <t>LBNY013</t>
  </si>
  <si>
    <t>LBNY006</t>
  </si>
  <si>
    <t>LBNY014</t>
  </si>
  <si>
    <t>中国太保</t>
  </si>
  <si>
    <t>CF801</t>
  </si>
  <si>
    <t>买入</t>
  </si>
  <si>
    <t>亚式看跌</t>
  </si>
  <si>
    <t>ZGTB001</t>
  </si>
  <si>
    <t>ZGTB003</t>
  </si>
  <si>
    <t>中国人保</t>
  </si>
  <si>
    <t>RU1801</t>
  </si>
  <si>
    <t>ZGRB002</t>
  </si>
  <si>
    <t>ZGRB003</t>
  </si>
  <si>
    <t>中国平安</t>
  </si>
  <si>
    <t>C1801</t>
  </si>
  <si>
    <t>ZGPA001</t>
  </si>
  <si>
    <t>LBNY007</t>
  </si>
  <si>
    <t>LBNY015</t>
  </si>
  <si>
    <t>LBNY008</t>
  </si>
  <si>
    <t>LBNY016</t>
  </si>
  <si>
    <t>ZGTB002</t>
  </si>
  <si>
    <t>ZGTB004</t>
  </si>
  <si>
    <t>浙期实业</t>
  </si>
  <si>
    <t>欧式看涨</t>
  </si>
  <si>
    <t>ZQSY008</t>
  </si>
  <si>
    <t>ZQSY009</t>
  </si>
  <si>
    <t>欧式看跌</t>
  </si>
  <si>
    <t>ZGTB005</t>
  </si>
  <si>
    <t>ZGRB004</t>
  </si>
  <si>
    <t>ZGTB006</t>
  </si>
  <si>
    <t>北大荒</t>
  </si>
  <si>
    <t>A1805</t>
  </si>
  <si>
    <t>BDH001</t>
  </si>
  <si>
    <t>BDH002</t>
  </si>
  <si>
    <t>正大蛋业</t>
  </si>
  <si>
    <t>JD1805</t>
  </si>
  <si>
    <t>ZDDY001</t>
  </si>
  <si>
    <t>ZDDY002</t>
  </si>
  <si>
    <t>26W权利金一开始免，后面结算扣</t>
  </si>
  <si>
    <t>ZGRB005</t>
  </si>
  <si>
    <t>ZGTB007</t>
  </si>
  <si>
    <t>ZGTB008</t>
  </si>
  <si>
    <t>中金</t>
  </si>
  <si>
    <t>RB1805</t>
  </si>
  <si>
    <t>ZJ001</t>
  </si>
  <si>
    <t>20171121-CICC-SWZF-RB1801-VAN-P-24</t>
  </si>
  <si>
    <t>永安资本</t>
  </si>
  <si>
    <t>TA805</t>
  </si>
  <si>
    <t>20150057-2-5</t>
  </si>
  <si>
    <t>20150057-4-5</t>
  </si>
  <si>
    <t>平仓</t>
  </si>
  <si>
    <t>I1805</t>
  </si>
  <si>
    <t>20150057-2结算单</t>
  </si>
  <si>
    <t>20150057-3结算单</t>
  </si>
  <si>
    <t>20150057-6-7</t>
  </si>
  <si>
    <t>20150057-6结算单</t>
  </si>
  <si>
    <t>20150057-6-8</t>
  </si>
  <si>
    <t>20150057-7结算单</t>
  </si>
  <si>
    <t>南华资本</t>
  </si>
  <si>
    <t>NHZB005</t>
  </si>
  <si>
    <t>NHZB007</t>
  </si>
  <si>
    <t>NHZB009</t>
  </si>
  <si>
    <t>NHZB006</t>
  </si>
  <si>
    <t>NHZB008</t>
  </si>
  <si>
    <t>NHZB010</t>
  </si>
  <si>
    <t>JM1805</t>
  </si>
  <si>
    <t>20171208-CICC-SWZF-JM1805-VAN-P-112</t>
  </si>
  <si>
    <t>重庆鼎富瑞泽</t>
  </si>
  <si>
    <t>蝶式</t>
  </si>
  <si>
    <t>4500-4550-4600</t>
  </si>
  <si>
    <t>dfrz001</t>
  </si>
  <si>
    <t>dfrz002</t>
  </si>
  <si>
    <t>3900/3839</t>
  </si>
  <si>
    <t>dfrz003</t>
  </si>
  <si>
    <t>dfrz005</t>
  </si>
  <si>
    <t>3804/3824</t>
  </si>
  <si>
    <t>dfrz004</t>
  </si>
  <si>
    <t>dfrz006</t>
  </si>
  <si>
    <t>国泰君安</t>
  </si>
  <si>
    <t>CW20160002C0001</t>
  </si>
  <si>
    <t>银丰铜业</t>
  </si>
  <si>
    <t>CU1805</t>
  </si>
  <si>
    <t>YFTY001</t>
  </si>
  <si>
    <t>YFTY002</t>
  </si>
  <si>
    <t>SR5-9</t>
  </si>
  <si>
    <t>LBNY017</t>
  </si>
  <si>
    <t>LBNY020</t>
  </si>
  <si>
    <t>LBNY018</t>
  </si>
  <si>
    <t>LBNY021</t>
  </si>
  <si>
    <t>LBNY019</t>
  </si>
  <si>
    <t>LBNY022</t>
  </si>
  <si>
    <t>LBNY023</t>
  </si>
  <si>
    <t>LBNY024</t>
  </si>
  <si>
    <t>RU1805</t>
  </si>
  <si>
    <t>奇异期权</t>
  </si>
  <si>
    <t>ZGRB006A</t>
  </si>
  <si>
    <t>最低赔付10元/吨</t>
  </si>
  <si>
    <t>C1901</t>
  </si>
  <si>
    <t>奇异亚欧式看跌期权</t>
  </si>
  <si>
    <t>ZGPA004</t>
  </si>
  <si>
    <t>A1901</t>
  </si>
  <si>
    <t>ZGPA005</t>
  </si>
  <si>
    <t>ZGPA006</t>
  </si>
  <si>
    <t>ZGPA011</t>
  </si>
  <si>
    <t>其他</t>
  </si>
  <si>
    <t>ZGPA003</t>
  </si>
  <si>
    <t>-</t>
  </si>
  <si>
    <t>产业</t>
  </si>
  <si>
    <t>大商所JD1901</t>
  </si>
  <si>
    <t>亚欧式看跌期权</t>
  </si>
  <si>
    <t>RBCQ001</t>
  </si>
  <si>
    <t>RBCQ002</t>
  </si>
  <si>
    <t>RBCQ003</t>
  </si>
  <si>
    <t>大商所JD1905</t>
  </si>
  <si>
    <t>华泰长城</t>
  </si>
  <si>
    <t>PP1809</t>
  </si>
  <si>
    <t>跨式</t>
  </si>
  <si>
    <t>180522000016-17</t>
  </si>
  <si>
    <t>ZGPA007</t>
  </si>
  <si>
    <t>ZGPA009</t>
  </si>
  <si>
    <t>AP1901</t>
  </si>
  <si>
    <t>ZGTB009</t>
  </si>
  <si>
    <t>SR1901</t>
  </si>
  <si>
    <t>奇异亚欧式看涨期权</t>
  </si>
  <si>
    <t>ZGTB010</t>
  </si>
  <si>
    <t>北大荒（红星农垦）</t>
  </si>
  <si>
    <t>Call Spread</t>
  </si>
  <si>
    <t>1874 / 1974</t>
  </si>
  <si>
    <t>1875 / 1975</t>
  </si>
  <si>
    <t>云南临沧</t>
  </si>
  <si>
    <t>RU1901</t>
  </si>
  <si>
    <t>奇异亚式看跌期权</t>
  </si>
  <si>
    <t>1886 / 1986</t>
  </si>
  <si>
    <t>1892 / 1982</t>
  </si>
  <si>
    <t>广发商贸</t>
  </si>
  <si>
    <t>AP20181109a</t>
  </si>
  <si>
    <t>AP20181109b</t>
  </si>
  <si>
    <t>鲁证经贸</t>
  </si>
  <si>
    <t>RB1901</t>
  </si>
  <si>
    <t xml:space="preserve">LZ-OTC20189657 </t>
  </si>
  <si>
    <t>杭州汉杰投资管理有限公司</t>
  </si>
  <si>
    <t>j1901</t>
  </si>
  <si>
    <t>HZHJ001</t>
  </si>
  <si>
    <t>SC1901</t>
  </si>
  <si>
    <t xml:space="preserve"> 美式看涨 </t>
  </si>
  <si>
    <t>YAZB181128</t>
  </si>
  <si>
    <t>浙江成钢投资发展有限公司</t>
  </si>
  <si>
    <t>rb1901</t>
  </si>
  <si>
    <t>ZJCG001</t>
  </si>
  <si>
    <t>AP905</t>
  </si>
  <si>
    <t>ZGTB012</t>
  </si>
  <si>
    <t>2019年1月2号收盘价</t>
  </si>
  <si>
    <t>ZGTB013</t>
  </si>
  <si>
    <t>CF901</t>
  </si>
  <si>
    <t>亚式期权</t>
  </si>
  <si>
    <t>RBBJ001</t>
  </si>
  <si>
    <t xml:space="preserve">江苏济凡资产管理有限公司 </t>
  </si>
  <si>
    <t>美式看涨期权</t>
  </si>
  <si>
    <t>LZJM181224-AU</t>
  </si>
  <si>
    <t>LZJM181224-AG</t>
  </si>
  <si>
    <t>国泰君安风险管理</t>
  </si>
  <si>
    <t>GTJA181224-AU</t>
  </si>
  <si>
    <t>GTJA181224-AG</t>
  </si>
  <si>
    <t>浙江南华资本管理有限公司</t>
  </si>
  <si>
    <t>NHZB181226-AU</t>
  </si>
  <si>
    <t>NHZB181226-AG</t>
    <phoneticPr fontId="1" type="noConversion"/>
  </si>
  <si>
    <t>PP1909</t>
    <phoneticPr fontId="1" type="noConversion"/>
  </si>
  <si>
    <t>美式看跌期权</t>
    <phoneticPr fontId="1" type="noConversion"/>
  </si>
  <si>
    <t>GTJA181227-PP</t>
    <phoneticPr fontId="1" type="noConversion"/>
  </si>
  <si>
    <t>V1905</t>
    <phoneticPr fontId="1" type="noConversion"/>
  </si>
  <si>
    <t>JFHC011</t>
    <phoneticPr fontId="1" type="noConversion"/>
  </si>
  <si>
    <t>SR905</t>
    <phoneticPr fontId="1" type="noConversion"/>
  </si>
  <si>
    <t>永安资本</t>
    <phoneticPr fontId="1" type="noConversion"/>
  </si>
  <si>
    <t>V1905</t>
    <phoneticPr fontId="1" type="noConversion"/>
  </si>
  <si>
    <t>CS1905</t>
    <phoneticPr fontId="1" type="noConversion"/>
  </si>
  <si>
    <t xml:space="preserve">江苏济凡资产管理有限公司 </t>
    <phoneticPr fontId="1" type="noConversion"/>
  </si>
  <si>
    <t>ZGTB014</t>
    <phoneticPr fontId="1" type="noConversion"/>
  </si>
  <si>
    <t>YAZB181218</t>
    <phoneticPr fontId="1" type="noConversion"/>
  </si>
  <si>
    <t>JFHC001</t>
    <phoneticPr fontId="1" type="noConversion"/>
  </si>
  <si>
    <t>JFHC181221</t>
    <phoneticPr fontId="1" type="noConversion"/>
  </si>
  <si>
    <t>鲁证经贸</t>
    <phoneticPr fontId="1" type="noConversion"/>
  </si>
  <si>
    <t>LZJM181224-AU</t>
    <phoneticPr fontId="1" type="noConversion"/>
  </si>
  <si>
    <t>LZJM181224-AG</t>
    <phoneticPr fontId="1" type="noConversion"/>
  </si>
  <si>
    <t>国泰君安风险管理</t>
    <phoneticPr fontId="1" type="noConversion"/>
  </si>
  <si>
    <t xml:space="preserve">江苏济凡资产管理有限公司 </t>
    <phoneticPr fontId="1" type="noConversion"/>
  </si>
  <si>
    <t>JFHC002</t>
    <phoneticPr fontId="1" type="noConversion"/>
  </si>
  <si>
    <t>SC1903</t>
    <phoneticPr fontId="1" type="noConversion"/>
  </si>
  <si>
    <t>交易员</t>
    <phoneticPr fontId="1" type="noConversion"/>
  </si>
  <si>
    <t>CU1903</t>
    <phoneticPr fontId="1" type="noConversion"/>
  </si>
  <si>
    <t>卖出</t>
    <phoneticPr fontId="1" type="noConversion"/>
  </si>
  <si>
    <t>欧式看涨</t>
    <phoneticPr fontId="1" type="noConversion"/>
  </si>
  <si>
    <t>欧式看跌</t>
    <phoneticPr fontId="1" type="noConversion"/>
  </si>
  <si>
    <t>江苏亨通高压海缆有限公司</t>
    <phoneticPr fontId="1" type="noConversion"/>
  </si>
  <si>
    <t>亨通集团上海贸易有限公司</t>
    <phoneticPr fontId="1" type="noConversion"/>
  </si>
  <si>
    <t>江苏亨通线缆科技有限公司</t>
    <phoneticPr fontId="1" type="noConversion"/>
  </si>
  <si>
    <t>江苏亨通精工金属材料有限公司</t>
    <phoneticPr fontId="1" type="noConversion"/>
  </si>
  <si>
    <t>江苏亨通电力电缆有限公司</t>
    <phoneticPr fontId="1" type="noConversion"/>
  </si>
  <si>
    <t>CU1903</t>
    <phoneticPr fontId="1" type="noConversion"/>
  </si>
  <si>
    <t>TA1905</t>
    <phoneticPr fontId="1" type="noConversion"/>
  </si>
  <si>
    <t>CF1905</t>
    <phoneticPr fontId="1" type="noConversion"/>
  </si>
  <si>
    <t>AU1906g</t>
    <phoneticPr fontId="1" type="noConversion"/>
  </si>
  <si>
    <t>AG1906kg</t>
    <phoneticPr fontId="1" type="noConversion"/>
  </si>
  <si>
    <t>OTC-C00001</t>
    <phoneticPr fontId="1" type="noConversion"/>
  </si>
  <si>
    <t>OTC-C00006</t>
    <phoneticPr fontId="1" type="noConversion"/>
  </si>
  <si>
    <t>OTC-C00002</t>
    <phoneticPr fontId="1" type="noConversion"/>
  </si>
  <si>
    <t>OTC-C00003</t>
    <phoneticPr fontId="1" type="noConversion"/>
  </si>
  <si>
    <t>OTC-C00004</t>
    <phoneticPr fontId="1" type="noConversion"/>
  </si>
  <si>
    <t>OTC-C00005</t>
    <phoneticPr fontId="1" type="noConversion"/>
  </si>
  <si>
    <t>买入</t>
    <phoneticPr fontId="1" type="noConversion"/>
  </si>
  <si>
    <t>LZJM181224-AU</t>
    <phoneticPr fontId="1" type="noConversion"/>
  </si>
  <si>
    <t>JFHC002</t>
    <phoneticPr fontId="1" type="noConversion"/>
  </si>
  <si>
    <t>谢晨星</t>
  </si>
  <si>
    <t>谢晨星</t>
    <phoneticPr fontId="1" type="noConversion"/>
  </si>
  <si>
    <t>中国太保</t>
    <phoneticPr fontId="1" type="noConversion"/>
  </si>
  <si>
    <t>JFHC001</t>
    <phoneticPr fontId="1" type="noConversion"/>
  </si>
  <si>
    <t>交易员</t>
    <phoneticPr fontId="1" type="noConversion"/>
  </si>
  <si>
    <t>JFHC011</t>
    <phoneticPr fontId="1" type="noConversion"/>
  </si>
  <si>
    <t>永安资本</t>
    <phoneticPr fontId="1" type="noConversion"/>
  </si>
  <si>
    <t>YAZB181218</t>
    <phoneticPr fontId="1" type="noConversion"/>
  </si>
  <si>
    <t>其他</t>
    <phoneticPr fontId="1" type="noConversion"/>
  </si>
  <si>
    <t>CF1905</t>
    <phoneticPr fontId="1" type="noConversion"/>
  </si>
  <si>
    <t xml:space="preserve"> 美式看涨 </t>
    <phoneticPr fontId="1" type="noConversion"/>
  </si>
  <si>
    <t>V1905</t>
  </si>
  <si>
    <t>JFHC011</t>
  </si>
  <si>
    <t>被动</t>
    <phoneticPr fontId="1" type="noConversion"/>
  </si>
  <si>
    <t>主动</t>
    <phoneticPr fontId="1" type="noConversion"/>
  </si>
  <si>
    <t>何剑桥</t>
  </si>
  <si>
    <t>国泰君安风险管理有限公司</t>
  </si>
  <si>
    <t>卖出</t>
    <phoneticPr fontId="1" type="noConversion"/>
  </si>
  <si>
    <t>状态</t>
    <phoneticPr fontId="1" type="noConversion"/>
  </si>
  <si>
    <t>产业</t>
    <phoneticPr fontId="1" type="noConversion"/>
  </si>
  <si>
    <t>其他</t>
    <phoneticPr fontId="1" type="noConversion"/>
  </si>
  <si>
    <t>平仓日期</t>
    <phoneticPr fontId="1" type="noConversion"/>
  </si>
  <si>
    <t>刘剑溥</t>
    <phoneticPr fontId="1" type="noConversion"/>
  </si>
  <si>
    <t>到期日</t>
    <phoneticPr fontId="1" type="noConversion"/>
  </si>
  <si>
    <t>林</t>
    <phoneticPr fontId="13" type="noConversion"/>
  </si>
  <si>
    <t>谢</t>
    <phoneticPr fontId="13" type="noConversion"/>
  </si>
  <si>
    <t>刘</t>
    <phoneticPr fontId="13" type="noConversion"/>
  </si>
  <si>
    <t>期权</t>
    <phoneticPr fontId="13" type="noConversion"/>
  </si>
  <si>
    <t>optionday</t>
    <phoneticPr fontId="13" type="noConversion"/>
  </si>
  <si>
    <t>被动</t>
    <phoneticPr fontId="1" type="noConversion"/>
  </si>
  <si>
    <t>颜色</t>
    <phoneticPr fontId="13" type="noConversion"/>
  </si>
  <si>
    <t>说明</t>
    <phoneticPr fontId="13" type="noConversion"/>
  </si>
  <si>
    <t>后期有修正</t>
    <phoneticPr fontId="13" type="noConversion"/>
  </si>
  <si>
    <t>确认书、结算书电子版已上传OPENKM、纸质版已归档。</t>
    <phoneticPr fontId="1" type="noConversion"/>
  </si>
  <si>
    <t>其他颜色为区分项目标注。</t>
    <phoneticPr fontId="1" type="noConversion"/>
  </si>
  <si>
    <t>交易员何剑桥</t>
    <phoneticPr fontId="1" type="noConversion"/>
  </si>
  <si>
    <t>交易员刘剑溥</t>
    <phoneticPr fontId="13" type="noConversion"/>
  </si>
  <si>
    <t>交易员林秉玮</t>
    <phoneticPr fontId="13" type="noConversion"/>
  </si>
  <si>
    <t>交易员谢晨星</t>
    <phoneticPr fontId="13" type="noConversion"/>
  </si>
  <si>
    <t>亨通项目</t>
    <phoneticPr fontId="13" type="noConversion"/>
  </si>
  <si>
    <t>行权价</t>
    <phoneticPr fontId="1" type="noConversion"/>
  </si>
  <si>
    <t>入场价</t>
    <phoneticPr fontId="1" type="noConversion"/>
  </si>
  <si>
    <t>单位权利金</t>
    <phoneticPr fontId="1" type="noConversion"/>
  </si>
  <si>
    <t>结算日期</t>
    <phoneticPr fontId="1" type="noConversion"/>
  </si>
  <si>
    <t>头寸（我司）</t>
    <phoneticPr fontId="1" type="noConversion"/>
  </si>
  <si>
    <t>方向（我司）</t>
    <phoneticPr fontId="1" type="noConversion"/>
  </si>
  <si>
    <t>接单
（主动or被动）</t>
    <phoneticPr fontId="1" type="noConversion"/>
  </si>
  <si>
    <t>平仓
单位权利金
（客户）</t>
    <phoneticPr fontId="1" type="noConversion"/>
  </si>
  <si>
    <t>行权收益
（客户）</t>
    <phoneticPr fontId="1" type="noConversion"/>
  </si>
  <si>
    <t>结算价
（行权）</t>
    <phoneticPr fontId="1" type="noConversion"/>
  </si>
  <si>
    <t>平仓收益
（客户
平仓权利金
总额）</t>
    <phoneticPr fontId="1" type="noConversion"/>
  </si>
  <si>
    <t>数量
(吨）</t>
    <phoneticPr fontId="1" type="noConversion"/>
  </si>
  <si>
    <t>买入</t>
    <phoneticPr fontId="1" type="noConversion"/>
  </si>
  <si>
    <t>卖出</t>
    <phoneticPr fontId="13" type="noConversion"/>
  </si>
  <si>
    <t>美式看跌</t>
    <phoneticPr fontId="13" type="noConversion"/>
  </si>
  <si>
    <t>美式看涨</t>
    <phoneticPr fontId="13" type="noConversion"/>
  </si>
  <si>
    <t>欧式看跌</t>
    <phoneticPr fontId="13" type="noConversion"/>
  </si>
  <si>
    <t>被动</t>
    <phoneticPr fontId="1" type="noConversion"/>
  </si>
  <si>
    <t>买入</t>
    <phoneticPr fontId="13" type="noConversion"/>
  </si>
  <si>
    <t xml:space="preserve">
PnL
（客户）</t>
    <phoneticPr fontId="1" type="noConversion"/>
  </si>
  <si>
    <t>避险波动率（mid）</t>
    <phoneticPr fontId="1" type="noConversion"/>
  </si>
  <si>
    <t>编号</t>
    <phoneticPr fontId="1" type="noConversion"/>
  </si>
  <si>
    <t>成交波动率</t>
    <phoneticPr fontId="1" type="noConversion"/>
  </si>
  <si>
    <t>卖出</t>
    <phoneticPr fontId="1" type="noConversion"/>
  </si>
  <si>
    <t>美式看涨</t>
    <phoneticPr fontId="1" type="noConversion"/>
  </si>
  <si>
    <t>产业</t>
    <phoneticPr fontId="1" type="noConversion"/>
  </si>
  <si>
    <t>买入</t>
    <phoneticPr fontId="13" type="noConversion"/>
  </si>
  <si>
    <t>欧式看涨</t>
    <phoneticPr fontId="1" type="noConversion"/>
  </si>
  <si>
    <t>备注</t>
    <phoneticPr fontId="1" type="noConversion"/>
  </si>
  <si>
    <t>初始保证金</t>
    <phoneticPr fontId="1" type="noConversion"/>
  </si>
  <si>
    <t>c2005</t>
    <phoneticPr fontId="1" type="noConversion"/>
  </si>
  <si>
    <t>千惠云航1号私募证券投资基金</t>
  </si>
  <si>
    <t>保险+期货</t>
    <phoneticPr fontId="1" type="noConversion"/>
  </si>
  <si>
    <t>浙江分公司</t>
    <phoneticPr fontId="1" type="noConversion"/>
  </si>
  <si>
    <t>千惠选股对冲1号私募证券基金自8月15日（客户确认日期）起更名为千惠云航1号私募证券投资基金</t>
    <phoneticPr fontId="1" type="noConversion"/>
  </si>
  <si>
    <t>c2005</t>
    <phoneticPr fontId="1" type="noConversion"/>
  </si>
  <si>
    <t>LME1909090379674</t>
  </si>
  <si>
    <t>LMECU3M/USD</t>
  </si>
  <si>
    <t>LME1909110380975</t>
  </si>
  <si>
    <t>LME1909110380977</t>
  </si>
  <si>
    <t>主动</t>
    <phoneticPr fontId="1" type="noConversion"/>
  </si>
  <si>
    <t>买入</t>
    <phoneticPr fontId="13" type="noConversion"/>
  </si>
  <si>
    <t>交易员</t>
  </si>
  <si>
    <t>接单
（主动or被动）</t>
  </si>
  <si>
    <t>状态</t>
  </si>
  <si>
    <t>到期日</t>
  </si>
  <si>
    <t>数量
(吨）</t>
  </si>
  <si>
    <t>平仓
单位权利金
（客户）</t>
  </si>
  <si>
    <t>平仓收益
（客户
平仓权利金
总额）</t>
  </si>
  <si>
    <t>平仓日期</t>
  </si>
  <si>
    <t>结算价
（行权）</t>
  </si>
  <si>
    <t>行权收益
（客户）</t>
  </si>
  <si>
    <t>结算日期</t>
  </si>
  <si>
    <t xml:space="preserve">
PnL
（客户）</t>
  </si>
  <si>
    <t>头寸（我司）</t>
  </si>
  <si>
    <t>方向（我司）</t>
  </si>
  <si>
    <t>编号</t>
  </si>
  <si>
    <t>成交波动率</t>
  </si>
  <si>
    <t>避险波动率（mid）</t>
  </si>
  <si>
    <t>初始保证金</t>
  </si>
  <si>
    <t>汇率</t>
    <phoneticPr fontId="13" type="noConversion"/>
  </si>
  <si>
    <t>名义金额
RMB</t>
    <phoneticPr fontId="13" type="noConversion"/>
  </si>
  <si>
    <t>被动</t>
  </si>
  <si>
    <t>到期</t>
  </si>
  <si>
    <t>上海浦东发展银行股份有限公司</t>
  </si>
  <si>
    <t>远期</t>
  </si>
  <si>
    <t/>
  </si>
  <si>
    <t>LME1909090379673</t>
  </si>
  <si>
    <t>ru2005</t>
    <phoneticPr fontId="1" type="noConversion"/>
  </si>
  <si>
    <t>欧式看跌</t>
    <phoneticPr fontId="1" type="noConversion"/>
  </si>
  <si>
    <t>美式看跌</t>
    <phoneticPr fontId="1" type="noConversion"/>
  </si>
  <si>
    <t>OTC-C00474</t>
    <phoneticPr fontId="1" type="noConversion"/>
  </si>
  <si>
    <t>OTC-C00477</t>
    <phoneticPr fontId="1" type="noConversion"/>
  </si>
  <si>
    <t>其他</t>
    <phoneticPr fontId="1" type="noConversion"/>
  </si>
  <si>
    <t>bu2006</t>
    <phoneticPr fontId="13" type="noConversion"/>
  </si>
  <si>
    <t>OTC-C00426</t>
    <phoneticPr fontId="1" type="noConversion"/>
  </si>
  <si>
    <t>rb2005</t>
    <phoneticPr fontId="1" type="noConversion"/>
  </si>
  <si>
    <t>OTC-C00497</t>
    <phoneticPr fontId="1" type="noConversion"/>
  </si>
  <si>
    <t>OTC-C00497</t>
    <phoneticPr fontId="1" type="noConversion"/>
  </si>
  <si>
    <t>何剑桥</t>
    <phoneticPr fontId="13" type="noConversion"/>
  </si>
  <si>
    <t>al2003</t>
    <phoneticPr fontId="1" type="noConversion"/>
  </si>
  <si>
    <t>al2004</t>
    <phoneticPr fontId="1" type="noConversion"/>
  </si>
  <si>
    <t>卖出固定收益率</t>
    <phoneticPr fontId="1" type="noConversion"/>
  </si>
  <si>
    <t>买入固定收益率</t>
    <phoneticPr fontId="1" type="noConversion"/>
  </si>
  <si>
    <t>卖出</t>
    <phoneticPr fontId="1" type="noConversion"/>
  </si>
  <si>
    <t>ru2005</t>
    <phoneticPr fontId="1" type="noConversion"/>
  </si>
  <si>
    <t>欧式看跌</t>
    <phoneticPr fontId="1" type="noConversion"/>
  </si>
  <si>
    <t>cu2002</t>
    <phoneticPr fontId="1" type="noConversion"/>
  </si>
  <si>
    <t>bu2006</t>
    <phoneticPr fontId="1" type="noConversion"/>
  </si>
  <si>
    <t>bu2006</t>
    <phoneticPr fontId="1" type="noConversion"/>
  </si>
  <si>
    <t>v2005</t>
    <phoneticPr fontId="1" type="noConversion"/>
  </si>
  <si>
    <t>OTC-C00498</t>
    <phoneticPr fontId="1" type="noConversion"/>
  </si>
  <si>
    <t>FG005</t>
    <phoneticPr fontId="13" type="noConversion"/>
  </si>
  <si>
    <t>主动</t>
    <phoneticPr fontId="1" type="noConversion"/>
  </si>
  <si>
    <t>OTC-C00570</t>
  </si>
  <si>
    <t>产业</t>
    <phoneticPr fontId="1" type="noConversion"/>
  </si>
  <si>
    <t>OTC-C00574</t>
  </si>
  <si>
    <t>互换</t>
    <phoneticPr fontId="1" type="noConversion"/>
  </si>
  <si>
    <t>互换</t>
    <phoneticPr fontId="1" type="noConversion"/>
  </si>
  <si>
    <t>OTC-C00571</t>
    <phoneticPr fontId="1" type="noConversion"/>
  </si>
  <si>
    <t>OTC-C00578</t>
  </si>
  <si>
    <t>v2005</t>
    <phoneticPr fontId="1" type="noConversion"/>
  </si>
  <si>
    <t>被动</t>
    <phoneticPr fontId="1" type="noConversion"/>
  </si>
  <si>
    <t>其他</t>
    <phoneticPr fontId="1" type="noConversion"/>
  </si>
  <si>
    <t>买入</t>
    <phoneticPr fontId="1" type="noConversion"/>
  </si>
  <si>
    <t>买入</t>
    <phoneticPr fontId="13" type="noConversion"/>
  </si>
  <si>
    <t>美式看跌</t>
    <phoneticPr fontId="1" type="noConversion"/>
  </si>
  <si>
    <t>ru2005</t>
    <phoneticPr fontId="1" type="noConversion"/>
  </si>
  <si>
    <t>浙江分公司</t>
    <phoneticPr fontId="1" type="noConversion"/>
  </si>
  <si>
    <t>i2005</t>
    <phoneticPr fontId="1" type="noConversion"/>
  </si>
  <si>
    <t>欧式看涨</t>
    <phoneticPr fontId="1" type="noConversion"/>
  </si>
  <si>
    <t>OTC-C00577</t>
    <phoneticPr fontId="1" type="noConversion"/>
  </si>
  <si>
    <t>OTC-C00581</t>
    <phoneticPr fontId="1" type="noConversion"/>
  </si>
  <si>
    <t>OTC-C00580</t>
    <phoneticPr fontId="1" type="noConversion"/>
  </si>
  <si>
    <t>OTC-C00583</t>
    <phoneticPr fontId="1" type="noConversion"/>
  </si>
  <si>
    <t>OTC-C00582</t>
    <phoneticPr fontId="1" type="noConversion"/>
  </si>
  <si>
    <t>cu2003</t>
    <phoneticPr fontId="1" type="noConversion"/>
  </si>
  <si>
    <t>cu2003</t>
    <phoneticPr fontId="1" type="noConversion"/>
  </si>
  <si>
    <t>SA005</t>
    <phoneticPr fontId="13" type="noConversion"/>
  </si>
  <si>
    <t>OTC-C00584</t>
    <phoneticPr fontId="1" type="noConversion"/>
  </si>
  <si>
    <t>OTC-C00584</t>
    <phoneticPr fontId="1" type="noConversion"/>
  </si>
  <si>
    <t>OTC-C00585</t>
    <phoneticPr fontId="1" type="noConversion"/>
  </si>
  <si>
    <t>OTC-C00586</t>
  </si>
  <si>
    <t>p2005</t>
    <phoneticPr fontId="1" type="noConversion"/>
  </si>
  <si>
    <t>p2005</t>
    <phoneticPr fontId="1" type="noConversion"/>
  </si>
  <si>
    <t>sp2005</t>
    <phoneticPr fontId="1" type="noConversion"/>
  </si>
  <si>
    <t>欧式看涨</t>
    <phoneticPr fontId="1" type="noConversion"/>
  </si>
  <si>
    <t>OTC-C00590</t>
    <phoneticPr fontId="1" type="noConversion"/>
  </si>
  <si>
    <t>OTC-C00592</t>
  </si>
  <si>
    <t>v2005</t>
    <phoneticPr fontId="1" type="noConversion"/>
  </si>
  <si>
    <t>陈俊</t>
    <phoneticPr fontId="1" type="noConversion"/>
  </si>
  <si>
    <t>做市业务部</t>
    <phoneticPr fontId="1" type="noConversion"/>
  </si>
  <si>
    <t>互换-投资部</t>
    <phoneticPr fontId="1" type="noConversion"/>
  </si>
  <si>
    <t>OTC-C00589</t>
    <phoneticPr fontId="1" type="noConversion"/>
  </si>
  <si>
    <t>OTC-C00594</t>
  </si>
  <si>
    <t>ru2005</t>
    <phoneticPr fontId="13" type="noConversion"/>
  </si>
  <si>
    <t>ru2005</t>
    <phoneticPr fontId="13" type="noConversion"/>
  </si>
  <si>
    <t>OTC-C00595</t>
  </si>
  <si>
    <t>j2005</t>
    <phoneticPr fontId="1" type="noConversion"/>
  </si>
  <si>
    <t>OTC-C00591</t>
    <phoneticPr fontId="1" type="noConversion"/>
  </si>
  <si>
    <t>OTC-C00591</t>
    <phoneticPr fontId="1" type="noConversion"/>
  </si>
  <si>
    <t>宁波中哲物产有限公司</t>
  </si>
  <si>
    <t>浙江永安资本管理有限公司</t>
  </si>
  <si>
    <t>鲁证经贸有限公司</t>
  </si>
  <si>
    <t>亨通集团上海贸易有限公司</t>
  </si>
  <si>
    <t>华泰长城资本管理有限公司</t>
  </si>
  <si>
    <t>中信证券股份有限公司</t>
  </si>
  <si>
    <t>深圳茂源资本资产管理有限公司</t>
  </si>
  <si>
    <t>南京构世云贸易有限公司</t>
  </si>
  <si>
    <t>卓汇基金管理有限公司</t>
  </si>
  <si>
    <t>武汉劲暄物业管理有限公司</t>
  </si>
  <si>
    <t>上海海通资源管理有限公司</t>
  </si>
  <si>
    <t>申万宏源证券有限公司</t>
  </si>
  <si>
    <t>千惠领航5号私募证券投资基金</t>
  </si>
  <si>
    <t>上海锐镐有色金属股份有限公司</t>
  </si>
  <si>
    <t>宁波杉杉能化有限公司</t>
  </si>
  <si>
    <t>OTC-C00596</t>
  </si>
  <si>
    <t>上海新湖瑞丰金融服务有限公司</t>
    <phoneticPr fontId="1" type="noConversion"/>
  </si>
  <si>
    <t>其他</t>
    <phoneticPr fontId="1" type="noConversion"/>
  </si>
  <si>
    <t>卖出</t>
    <phoneticPr fontId="1" type="noConversion"/>
  </si>
  <si>
    <t>美式看涨</t>
    <phoneticPr fontId="1" type="noConversion"/>
  </si>
  <si>
    <t>OTC-C00593</t>
    <phoneticPr fontId="1" type="noConversion"/>
  </si>
  <si>
    <t>浙江永安资本管理有限公司</t>
    <phoneticPr fontId="1" type="noConversion"/>
  </si>
  <si>
    <t>v2005</t>
    <phoneticPr fontId="1" type="noConversion"/>
  </si>
  <si>
    <t>OTC-C00599</t>
  </si>
  <si>
    <t>OTC-C00600</t>
  </si>
  <si>
    <t>千惠云航1号私募证券投资基金</t>
    <phoneticPr fontId="1" type="noConversion"/>
  </si>
  <si>
    <t>OTC-C00599</t>
    <phoneticPr fontId="1" type="noConversion"/>
  </si>
  <si>
    <t>OTC-C00601</t>
  </si>
  <si>
    <t>中国人民财产保险股份有限公司广西壮族自治区分公司</t>
  </si>
  <si>
    <t>0.68*c2009+0.2*m2009</t>
    <phoneticPr fontId="1" type="noConversion"/>
  </si>
  <si>
    <t>16%/25%</t>
    <phoneticPr fontId="1" type="noConversion"/>
  </si>
  <si>
    <t>亚式平值看跌期权</t>
  </si>
  <si>
    <t>（上一版本数据单位权利金55.54286，权利金9720000），真实成本50.2857元/吨（880000/17500）</t>
    <phoneticPr fontId="1" type="noConversion"/>
  </si>
  <si>
    <t>OTC-C00603</t>
  </si>
  <si>
    <t>OTC-C00537</t>
    <phoneticPr fontId="1" type="noConversion"/>
  </si>
  <si>
    <t>OTC-C00538</t>
    <phoneticPr fontId="1" type="noConversion"/>
  </si>
  <si>
    <t>OTC-C00543</t>
    <phoneticPr fontId="1" type="noConversion"/>
  </si>
  <si>
    <t>OTC-C00549</t>
    <phoneticPr fontId="1" type="noConversion"/>
  </si>
  <si>
    <t>OTC-20C00001</t>
    <phoneticPr fontId="1" type="noConversion"/>
  </si>
  <si>
    <t>浙江南华资本管理有限公司</t>
    <phoneticPr fontId="1" type="noConversion"/>
  </si>
  <si>
    <t>p2005</t>
    <phoneticPr fontId="1" type="noConversion"/>
  </si>
  <si>
    <t>OTC-C00570-L</t>
    <phoneticPr fontId="1" type="noConversion"/>
  </si>
  <si>
    <t>北大荒粮食集团有限公司</t>
    <phoneticPr fontId="1" type="noConversion"/>
  </si>
  <si>
    <t>c2005</t>
    <phoneticPr fontId="1" type="noConversion"/>
  </si>
  <si>
    <t>OTC-20C00002</t>
  </si>
  <si>
    <t>增强亚式看涨</t>
    <phoneticPr fontId="1" type="noConversion"/>
  </si>
  <si>
    <t>九三玉米第二期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</si>
</sst>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#,##0.0_ ;[Red]\-#,##0.0\ "/>
    <numFmt numFmtId="178" formatCode="#,##0.00_ ;[Red]\-#,##0.00\ "/>
    <numFmt numFmtId="179" formatCode="0.000_ ;[Red]\-0.000\ "/>
    <numFmt numFmtId="180" formatCode="0.00_);[Red]\(0.00\)"/>
  </numFmts>
  <fonts count="1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楷体"/>
      <family val="3"/>
      <charset val="134"/>
    </font>
    <font>
      <sz val="10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6" fillId="2" borderId="0" xfId="0" applyFont="1" applyFill="1" applyAlignment="1">
      <alignment vertical="center"/>
    </xf>
    <xf numFmtId="0" fontId="7" fillId="2" borderId="0" xfId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177" fontId="6" fillId="2" borderId="0" xfId="0" applyNumberFormat="1" applyFont="1" applyFill="1" applyAlignment="1">
      <alignment horizontal="center" vertical="center"/>
    </xf>
    <xf numFmtId="178" fontId="6" fillId="2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4" fontId="6" fillId="4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4" fontId="6" fillId="5" borderId="0" xfId="0" applyNumberFormat="1" applyFont="1" applyFill="1" applyAlignment="1">
      <alignment horizontal="center" vertical="center"/>
    </xf>
    <xf numFmtId="177" fontId="6" fillId="2" borderId="0" xfId="1" applyNumberFormat="1" applyFont="1" applyFill="1" applyAlignment="1">
      <alignment horizontal="center" vertical="center"/>
    </xf>
    <xf numFmtId="177" fontId="6" fillId="4" borderId="0" xfId="0" applyNumberFormat="1" applyFont="1" applyFill="1" applyAlignment="1">
      <alignment horizontal="center" vertical="center"/>
    </xf>
    <xf numFmtId="178" fontId="6" fillId="4" borderId="0" xfId="0" applyNumberFormat="1" applyFont="1" applyFill="1" applyAlignment="1">
      <alignment horizontal="center" vertical="center"/>
    </xf>
    <xf numFmtId="177" fontId="6" fillId="5" borderId="0" xfId="0" applyNumberFormat="1" applyFont="1" applyFill="1" applyAlignment="1">
      <alignment horizontal="center" vertical="center"/>
    </xf>
    <xf numFmtId="178" fontId="6" fillId="5" borderId="0" xfId="0" applyNumberFormat="1" applyFont="1" applyFill="1" applyAlignment="1">
      <alignment horizontal="center" vertical="center"/>
    </xf>
    <xf numFmtId="3" fontId="6" fillId="5" borderId="1" xfId="0" applyNumberFormat="1" applyFont="1" applyFill="1" applyBorder="1" applyAlignment="1">
      <alignment horizontal="center" vertical="center"/>
    </xf>
    <xf numFmtId="3" fontId="6" fillId="5" borderId="0" xfId="0" applyNumberFormat="1" applyFont="1" applyFill="1" applyAlignment="1">
      <alignment horizontal="center" vertical="center"/>
    </xf>
    <xf numFmtId="176" fontId="8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6" borderId="0" xfId="0" applyFont="1" applyFill="1" applyAlignment="1">
      <alignment horizontal="center" vertical="center"/>
    </xf>
    <xf numFmtId="14" fontId="6" fillId="6" borderId="0" xfId="0" applyNumberFormat="1" applyFont="1" applyFill="1" applyAlignment="1">
      <alignment horizontal="center" vertical="center"/>
    </xf>
    <xf numFmtId="176" fontId="8" fillId="6" borderId="0" xfId="0" applyNumberFormat="1" applyFont="1" applyFill="1" applyBorder="1" applyAlignment="1">
      <alignment horizontal="center" vertical="center"/>
    </xf>
    <xf numFmtId="177" fontId="6" fillId="6" borderId="0" xfId="0" applyNumberFormat="1" applyFont="1" applyFill="1" applyAlignment="1">
      <alignment horizontal="center" vertical="center"/>
    </xf>
    <xf numFmtId="178" fontId="6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176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10" fillId="9" borderId="1" xfId="0" applyNumberFormat="1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14" fontId="0" fillId="9" borderId="1" xfId="0" applyNumberFormat="1" applyFont="1" applyFill="1" applyBorder="1" applyAlignment="1">
      <alignment horizontal="center" vertical="center"/>
    </xf>
    <xf numFmtId="177" fontId="0" fillId="9" borderId="1" xfId="0" applyNumberFormat="1" applyFont="1" applyFill="1" applyBorder="1" applyAlignment="1">
      <alignment horizontal="center" vertical="center"/>
    </xf>
    <xf numFmtId="178" fontId="0" fillId="9" borderId="1" xfId="0" applyNumberFormat="1" applyFont="1" applyFill="1" applyBorder="1" applyAlignment="1">
      <alignment horizontal="center" vertical="center"/>
    </xf>
    <xf numFmtId="3" fontId="0" fillId="9" borderId="1" xfId="0" applyNumberFormat="1" applyFont="1" applyFill="1" applyBorder="1" applyAlignment="1">
      <alignment horizontal="center" vertical="center"/>
    </xf>
    <xf numFmtId="0" fontId="7" fillId="8" borderId="9" xfId="0" applyFont="1" applyFill="1" applyBorder="1" applyAlignment="1">
      <alignment vertical="center" wrapText="1"/>
    </xf>
    <xf numFmtId="0" fontId="7" fillId="8" borderId="0" xfId="1" applyFont="1" applyFill="1" applyAlignment="1">
      <alignment horizontal="center" vertical="center" wrapText="1"/>
    </xf>
    <xf numFmtId="177" fontId="7" fillId="8" borderId="0" xfId="1" applyNumberFormat="1" applyFont="1" applyFill="1" applyAlignment="1">
      <alignment horizontal="center" vertical="center" wrapText="1"/>
    </xf>
    <xf numFmtId="178" fontId="7" fillId="8" borderId="0" xfId="1" applyNumberFormat="1" applyFont="1" applyFill="1" applyAlignment="1">
      <alignment horizontal="center" vertical="center" wrapText="1"/>
    </xf>
    <xf numFmtId="178" fontId="7" fillId="8" borderId="0" xfId="0" applyNumberFormat="1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vertical="center" wrapText="1"/>
    </xf>
    <xf numFmtId="179" fontId="0" fillId="9" borderId="1" xfId="0" applyNumberFormat="1" applyFont="1" applyFill="1" applyBorder="1" applyAlignment="1">
      <alignment horizontal="center" vertical="center"/>
    </xf>
    <xf numFmtId="176" fontId="8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vertical="center"/>
    </xf>
    <xf numFmtId="0" fontId="11" fillId="9" borderId="1" xfId="0" applyFont="1" applyFill="1" applyBorder="1" applyAlignment="1">
      <alignment horizontal="center" vertical="center"/>
    </xf>
    <xf numFmtId="14" fontId="11" fillId="9" borderId="1" xfId="0" applyNumberFormat="1" applyFont="1" applyFill="1" applyBorder="1" applyAlignment="1">
      <alignment horizontal="center" vertical="center"/>
    </xf>
    <xf numFmtId="177" fontId="11" fillId="9" borderId="1" xfId="0" applyNumberFormat="1" applyFont="1" applyFill="1" applyBorder="1" applyAlignment="1">
      <alignment horizontal="center" vertical="center"/>
    </xf>
    <xf numFmtId="178" fontId="11" fillId="9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vertical="center" wrapText="1"/>
    </xf>
    <xf numFmtId="0" fontId="12" fillId="8" borderId="1" xfId="1" applyFont="1" applyFill="1" applyBorder="1" applyAlignment="1">
      <alignment horizontal="center" vertical="center" wrapText="1"/>
    </xf>
    <xf numFmtId="177" fontId="12" fillId="8" borderId="1" xfId="1" applyNumberFormat="1" applyFont="1" applyFill="1" applyBorder="1" applyAlignment="1">
      <alignment horizontal="center" vertical="center" wrapText="1"/>
    </xf>
    <xf numFmtId="178" fontId="12" fillId="8" borderId="1" xfId="1" applyNumberFormat="1" applyFont="1" applyFill="1" applyBorder="1" applyAlignment="1">
      <alignment horizontal="center" vertical="center" wrapText="1"/>
    </xf>
    <xf numFmtId="178" fontId="12" fillId="8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/>
    </xf>
    <xf numFmtId="0" fontId="5" fillId="10" borderId="1" xfId="1" applyFont="1" applyFill="1" applyBorder="1" applyAlignment="1">
      <alignment horizontal="center" vertical="center" wrapText="1"/>
    </xf>
    <xf numFmtId="177" fontId="5" fillId="10" borderId="1" xfId="1" applyNumberFormat="1" applyFont="1" applyFill="1" applyBorder="1" applyAlignment="1">
      <alignment horizontal="center" vertical="center" wrapText="1"/>
    </xf>
    <xf numFmtId="178" fontId="5" fillId="10" borderId="1" xfId="1" applyNumberFormat="1" applyFont="1" applyFill="1" applyBorder="1" applyAlignment="1">
      <alignment horizontal="center" vertical="center" wrapText="1"/>
    </xf>
    <xf numFmtId="178" fontId="5" fillId="10" borderId="1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177" fontId="4" fillId="9" borderId="1" xfId="1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177" fontId="10" fillId="2" borderId="0" xfId="0" applyNumberFormat="1" applyFont="1" applyFill="1" applyAlignment="1">
      <alignment horizontal="center" vertical="center"/>
    </xf>
    <xf numFmtId="178" fontId="10" fillId="2" borderId="0" xfId="0" applyNumberFormat="1" applyFont="1" applyFill="1" applyAlignment="1">
      <alignment horizontal="center" vertical="center"/>
    </xf>
    <xf numFmtId="178" fontId="10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177" fontId="1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4" fontId="11" fillId="9" borderId="1" xfId="0" applyNumberFormat="1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76" fontId="11" fillId="9" borderId="1" xfId="0" applyNumberFormat="1" applyFont="1" applyFill="1" applyBorder="1" applyAlignment="1">
      <alignment horizontal="center" vertical="center"/>
    </xf>
    <xf numFmtId="178" fontId="11" fillId="9" borderId="1" xfId="0" applyNumberFormat="1" applyFont="1" applyFill="1" applyBorder="1" applyAlignment="1">
      <alignment vertical="center"/>
    </xf>
    <xf numFmtId="0" fontId="10" fillId="7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8" borderId="1" xfId="0" applyFont="1" applyFill="1" applyBorder="1" applyAlignment="1" applyProtection="1">
      <alignment horizontal="center" vertical="center" wrapText="1"/>
      <protection locked="0"/>
    </xf>
    <xf numFmtId="0" fontId="0" fillId="9" borderId="1" xfId="0" applyNumberFormat="1" applyFont="1" applyFill="1" applyBorder="1" applyAlignment="1">
      <alignment horizontal="center" vertical="center" wrapText="1"/>
    </xf>
    <xf numFmtId="0" fontId="0" fillId="6" borderId="0" xfId="0" applyFill="1" applyBorder="1">
      <alignment vertical="center"/>
    </xf>
    <xf numFmtId="0" fontId="0" fillId="13" borderId="0" xfId="0" applyFont="1" applyFill="1" applyBorder="1" applyAlignment="1">
      <alignment horizontal="center" vertical="center"/>
    </xf>
    <xf numFmtId="14" fontId="14" fillId="15" borderId="0" xfId="0" applyNumberFormat="1" applyFont="1" applyFill="1" applyBorder="1" applyAlignment="1">
      <alignment horizontal="center" vertical="center" wrapText="1"/>
    </xf>
    <xf numFmtId="0" fontId="14" fillId="12" borderId="0" xfId="0" applyNumberFormat="1" applyFont="1" applyFill="1" applyBorder="1" applyAlignment="1">
      <alignment horizontal="center" vertical="center" wrapText="1"/>
    </xf>
    <xf numFmtId="0" fontId="14" fillId="16" borderId="0" xfId="0" applyNumberFormat="1" applyFont="1" applyFill="1" applyBorder="1" applyAlignment="1">
      <alignment horizontal="center" vertical="center" wrapText="1"/>
    </xf>
    <xf numFmtId="0" fontId="14" fillId="11" borderId="0" xfId="0" applyNumberFormat="1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/>
    </xf>
    <xf numFmtId="0" fontId="10" fillId="14" borderId="0" xfId="0" applyFont="1" applyFill="1" applyBorder="1" applyAlignment="1">
      <alignment horizontal="center" vertical="center"/>
    </xf>
    <xf numFmtId="14" fontId="0" fillId="15" borderId="4" xfId="0" applyNumberFormat="1" applyFont="1" applyFill="1" applyBorder="1" applyAlignment="1">
      <alignment horizontal="center" vertical="center" wrapText="1"/>
    </xf>
    <xf numFmtId="0" fontId="0" fillId="12" borderId="1" xfId="0" applyNumberFormat="1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14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80" fontId="0" fillId="8" borderId="1" xfId="0" applyNumberFormat="1" applyFont="1" applyFill="1" applyBorder="1" applyAlignment="1" applyProtection="1">
      <alignment horizontal="center" vertical="center" wrapText="1"/>
      <protection locked="0"/>
    </xf>
    <xf numFmtId="180" fontId="10" fillId="9" borderId="1" xfId="0" applyNumberFormat="1" applyFont="1" applyFill="1" applyBorder="1" applyAlignment="1">
      <alignment horizontal="center" vertical="center"/>
    </xf>
    <xf numFmtId="180" fontId="0" fillId="9" borderId="1" xfId="0" applyNumberFormat="1" applyFont="1" applyFill="1" applyBorder="1" applyAlignment="1">
      <alignment horizontal="center" vertical="center"/>
    </xf>
    <xf numFmtId="180" fontId="0" fillId="0" borderId="0" xfId="0" applyNumberFormat="1" applyFont="1" applyFill="1" applyBorder="1" applyAlignment="1">
      <alignment horizontal="center" vertical="center"/>
    </xf>
    <xf numFmtId="9" fontId="0" fillId="9" borderId="1" xfId="0" applyNumberFormat="1" applyFon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>
      <alignment vertical="center"/>
    </xf>
    <xf numFmtId="10" fontId="0" fillId="9" borderId="1" xfId="0" applyNumberFormat="1" applyFont="1" applyFill="1" applyBorder="1">
      <alignment vertical="center"/>
    </xf>
    <xf numFmtId="0" fontId="0" fillId="9" borderId="1" xfId="0" applyNumberFormat="1" applyFont="1" applyFill="1" applyBorder="1">
      <alignment vertical="center"/>
    </xf>
    <xf numFmtId="0" fontId="0" fillId="11" borderId="1" xfId="0" applyFont="1" applyFill="1" applyBorder="1" applyAlignment="1" applyProtection="1">
      <alignment horizontal="center" vertical="center" wrapText="1"/>
      <protection locked="0"/>
    </xf>
    <xf numFmtId="0" fontId="10" fillId="9" borderId="1" xfId="0" applyFont="1" applyFill="1" applyBorder="1" applyAlignment="1">
      <alignment horizontal="center" vertical="center"/>
    </xf>
    <xf numFmtId="10" fontId="0" fillId="9" borderId="1" xfId="2" applyNumberFormat="1" applyFont="1" applyFill="1" applyBorder="1" applyAlignment="1">
      <alignment horizontal="center" vertical="center"/>
    </xf>
    <xf numFmtId="10" fontId="10" fillId="9" borderId="1" xfId="2" applyNumberFormat="1" applyFont="1" applyFill="1" applyBorder="1" applyAlignment="1">
      <alignment horizontal="center" vertical="center"/>
    </xf>
    <xf numFmtId="0" fontId="0" fillId="11" borderId="1" xfId="0" applyNumberFormat="1" applyFont="1" applyFill="1" applyBorder="1" applyAlignment="1">
      <alignment horizontal="center" vertical="center" wrapText="1"/>
    </xf>
    <xf numFmtId="0" fontId="0" fillId="16" borderId="0" xfId="0" applyNumberFormat="1" applyFont="1" applyFill="1" applyBorder="1" applyAlignment="1" applyProtection="1">
      <alignment horizontal="center" vertical="center" wrapText="1"/>
      <protection locked="0"/>
    </xf>
    <xf numFmtId="9" fontId="0" fillId="0" borderId="0" xfId="0" applyNumberFormat="1" applyFont="1" applyFill="1" applyBorder="1">
      <alignment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" fontId="0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80" fontId="0" fillId="0" borderId="0" xfId="0" applyNumberFormat="1" applyFont="1" applyFill="1" applyBorder="1" applyAlignment="1" applyProtection="1">
      <alignment horizontal="center" vertical="center" wrapText="1"/>
      <protection locked="0"/>
    </xf>
    <xf numFmtId="180" fontId="0" fillId="0" borderId="0" xfId="0" applyNumberFormat="1" applyFont="1" applyFill="1" applyBorder="1">
      <alignment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0" fontId="0" fillId="0" borderId="0" xfId="0" applyNumberFormat="1" applyFont="1" applyFill="1" applyBorder="1">
      <alignment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0" fontId="0" fillId="8" borderId="1" xfId="2" applyNumberFormat="1" applyFont="1" applyFill="1" applyBorder="1" applyAlignment="1" applyProtection="1">
      <alignment horizontal="center" vertical="center" wrapText="1"/>
      <protection locked="0"/>
    </xf>
    <xf numFmtId="10" fontId="0" fillId="0" borderId="0" xfId="2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0" fillId="17" borderId="4" xfId="0" applyNumberFormat="1" applyFont="1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 vertical="center"/>
    </xf>
    <xf numFmtId="10" fontId="15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10" fontId="0" fillId="17" borderId="1" xfId="2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4" fontId="6" fillId="5" borderId="1" xfId="0" applyNumberFormat="1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14" fontId="0" fillId="9" borderId="1" xfId="0" applyNumberFormat="1" applyFont="1" applyFill="1" applyBorder="1" applyAlignment="1">
      <alignment horizontal="center" vertical="center"/>
    </xf>
    <xf numFmtId="14" fontId="6" fillId="0" borderId="8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7" fontId="6" fillId="7" borderId="1" xfId="0" applyNumberFormat="1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177" fontId="6" fillId="3" borderId="1" xfId="0" applyNumberFormat="1" applyFont="1" applyFill="1" applyBorder="1" applyAlignment="1">
      <alignment horizontal="center" vertical="center"/>
    </xf>
    <xf numFmtId="177" fontId="6" fillId="7" borderId="7" xfId="0" applyNumberFormat="1" applyFont="1" applyFill="1" applyBorder="1" applyAlignment="1">
      <alignment horizontal="center" vertical="center"/>
    </xf>
    <xf numFmtId="178" fontId="6" fillId="7" borderId="7" xfId="0" applyNumberFormat="1" applyFont="1" applyFill="1" applyBorder="1" applyAlignment="1">
      <alignment horizontal="center" vertical="center"/>
    </xf>
    <xf numFmtId="14" fontId="6" fillId="7" borderId="7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</cellXfs>
  <cellStyles count="3">
    <cellStyle name="百分比" xfId="2" builtinId="5"/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657225</xdr:colOff>
      <xdr:row>0</xdr:row>
      <xdr:rowOff>0</xdr:rowOff>
    </xdr:from>
    <xdr:to>
      <xdr:col>24</xdr:col>
      <xdr:colOff>46587</xdr:colOff>
      <xdr:row>30</xdr:row>
      <xdr:rowOff>113643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01025" y="0"/>
          <a:ext cx="8304762" cy="5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618105</xdr:colOff>
      <xdr:row>30</xdr:row>
      <xdr:rowOff>161262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8161905" cy="53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settl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9"/>
  <sheetViews>
    <sheetView workbookViewId="0">
      <selection activeCell="B2" sqref="B2:B5"/>
    </sheetView>
  </sheetViews>
  <sheetFormatPr defaultRowHeight="13.5" x14ac:dyDescent="0.15"/>
  <cols>
    <col min="1" max="1" width="16" customWidth="1"/>
    <col min="2" max="2" width="11.625" style="44" bestFit="1" customWidth="1"/>
  </cols>
  <sheetData>
    <row r="1" spans="1:2" x14ac:dyDescent="0.15">
      <c r="B1" s="44" t="s">
        <v>271</v>
      </c>
    </row>
    <row r="2" spans="1:2" x14ac:dyDescent="0.15">
      <c r="A2" t="s">
        <v>268</v>
      </c>
      <c r="B2" s="44">
        <v>-215459</v>
      </c>
    </row>
    <row r="3" spans="1:2" x14ac:dyDescent="0.15">
      <c r="A3" t="s">
        <v>269</v>
      </c>
      <c r="B3" s="44">
        <v>1320635.5</v>
      </c>
    </row>
    <row r="4" spans="1:2" x14ac:dyDescent="0.15">
      <c r="A4" t="s">
        <v>269</v>
      </c>
      <c r="B4" s="44">
        <v>-3422078.6</v>
      </c>
    </row>
    <row r="5" spans="1:2" x14ac:dyDescent="0.15">
      <c r="A5" t="s">
        <v>270</v>
      </c>
      <c r="B5" s="44">
        <v>64395</v>
      </c>
    </row>
    <row r="9" spans="1:2" x14ac:dyDescent="0.15">
      <c r="A9" t="s">
        <v>272</v>
      </c>
      <c r="B9" s="44">
        <v>-2316957.1</v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8"/>
  <sheetViews>
    <sheetView workbookViewId="0">
      <selection activeCell="F38" sqref="F38"/>
    </sheetView>
  </sheetViews>
  <sheetFormatPr defaultRowHeight="13.5" x14ac:dyDescent="0.15"/>
  <cols>
    <col min="2" max="2" width="13.75" customWidth="1"/>
  </cols>
  <sheetData>
    <row r="1" spans="1:2" x14ac:dyDescent="0.15">
      <c r="A1" t="s">
        <v>274</v>
      </c>
      <c r="B1" t="s">
        <v>275</v>
      </c>
    </row>
    <row r="2" spans="1:2" x14ac:dyDescent="0.15">
      <c r="A2" s="109"/>
      <c r="B2" t="s">
        <v>276</v>
      </c>
    </row>
    <row r="3" spans="1:2" s="123" customFormat="1" x14ac:dyDescent="0.15">
      <c r="A3" s="122"/>
    </row>
    <row r="4" spans="1:2" x14ac:dyDescent="0.15">
      <c r="A4" s="110"/>
      <c r="B4" t="s">
        <v>277</v>
      </c>
    </row>
    <row r="5" spans="1:2" s="123" customFormat="1" x14ac:dyDescent="0.15">
      <c r="A5" s="106"/>
    </row>
    <row r="6" spans="1:2" x14ac:dyDescent="0.15">
      <c r="A6" s="111"/>
      <c r="B6" t="s">
        <v>279</v>
      </c>
    </row>
    <row r="7" spans="1:2" s="123" customFormat="1" x14ac:dyDescent="0.15">
      <c r="A7" s="124"/>
    </row>
    <row r="8" spans="1:2" x14ac:dyDescent="0.15">
      <c r="A8" s="112"/>
      <c r="B8" t="s">
        <v>280</v>
      </c>
    </row>
    <row r="9" spans="1:2" s="123" customFormat="1" x14ac:dyDescent="0.15">
      <c r="A9" s="125"/>
    </row>
    <row r="10" spans="1:2" x14ac:dyDescent="0.15">
      <c r="A10" s="113"/>
      <c r="B10" t="s">
        <v>281</v>
      </c>
    </row>
    <row r="11" spans="1:2" s="123" customFormat="1" x14ac:dyDescent="0.15">
      <c r="A11" s="125"/>
    </row>
    <row r="12" spans="1:2" x14ac:dyDescent="0.15">
      <c r="A12" s="114"/>
      <c r="B12" t="s">
        <v>282</v>
      </c>
    </row>
    <row r="13" spans="1:2" s="123" customFormat="1" x14ac:dyDescent="0.15">
      <c r="A13" s="125"/>
    </row>
    <row r="14" spans="1:2" x14ac:dyDescent="0.15">
      <c r="A14" s="116"/>
      <c r="B14" t="s">
        <v>283</v>
      </c>
    </row>
    <row r="16" spans="1:2" x14ac:dyDescent="0.15">
      <c r="B16" t="s">
        <v>318</v>
      </c>
    </row>
    <row r="18" spans="2:2" x14ac:dyDescent="0.15">
      <c r="B18" t="s">
        <v>278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54"/>
  <sheetViews>
    <sheetView tabSelected="1" zoomScale="85" zoomScaleNormal="85" workbookViewId="0">
      <pane ySplit="1" topLeftCell="A48" activePane="bottomLeft" state="frozen"/>
      <selection pane="bottomLeft" activeCell="AC55" sqref="AC55"/>
    </sheetView>
  </sheetViews>
  <sheetFormatPr defaultColWidth="9" defaultRowHeight="24.95" customHeight="1" x14ac:dyDescent="0.15"/>
  <cols>
    <col min="1" max="1" width="7.25" style="106" customWidth="1"/>
    <col min="2" max="2" width="7.875" style="106" customWidth="1"/>
    <col min="3" max="3" width="6.5" style="105" customWidth="1"/>
    <col min="4" max="4" width="28" style="106" customWidth="1"/>
    <col min="5" max="5" width="8" style="105" customWidth="1"/>
    <col min="6" max="6" width="12.375" style="126" bestFit="1" customWidth="1"/>
    <col min="7" max="7" width="10.375" style="126" customWidth="1"/>
    <col min="8" max="8" width="20.5" style="106" bestFit="1" customWidth="1"/>
    <col min="9" max="9" width="7.25" style="106" customWidth="1"/>
    <col min="10" max="10" width="10.625" style="106" customWidth="1"/>
    <col min="11" max="11" width="8.375" style="127" customWidth="1"/>
    <col min="12" max="12" width="8.875" style="127" customWidth="1"/>
    <col min="13" max="13" width="9.75" style="127" customWidth="1"/>
    <col min="14" max="14" width="9" style="127" customWidth="1"/>
    <col min="15" max="15" width="10.875" style="127" customWidth="1"/>
    <col min="16" max="16" width="12.875" style="106" customWidth="1"/>
    <col min="17" max="17" width="16.125" style="106" customWidth="1"/>
    <col min="18" max="18" width="11.625" style="127" customWidth="1"/>
    <col min="19" max="19" width="13.875" style="127" customWidth="1"/>
    <col min="20" max="20" width="11.875" style="126" customWidth="1"/>
    <col min="21" max="21" width="14.125" style="127" customWidth="1"/>
    <col min="22" max="22" width="13.125" style="127" customWidth="1"/>
    <col min="23" max="23" width="13.5" style="126" customWidth="1"/>
    <col min="24" max="24" width="13" style="127" customWidth="1"/>
    <col min="25" max="25" width="15" style="132" customWidth="1"/>
    <col min="26" max="26" width="48.625" style="105" customWidth="1"/>
    <col min="27" max="27" width="17.5" style="105" customWidth="1"/>
    <col min="28" max="28" width="8" style="105" customWidth="1"/>
    <col min="29" max="29" width="9.125" style="106" customWidth="1"/>
    <col min="30" max="30" width="8" style="167" customWidth="1"/>
    <col min="31" max="31" width="9.625" style="105" customWidth="1"/>
    <col min="32" max="32" width="11.625" style="127" customWidth="1"/>
    <col min="33" max="33" width="11.5" style="105" customWidth="1"/>
    <col min="34" max="34" width="13" style="105" customWidth="1"/>
    <col min="35" max="36" width="9" style="105"/>
    <col min="37" max="37" width="10" style="105" customWidth="1"/>
    <col min="38" max="16384" width="9" style="105"/>
  </cols>
  <sheetData>
    <row r="1" spans="1:34" s="121" customFormat="1" ht="54" x14ac:dyDescent="0.15">
      <c r="A1" s="107" t="s">
        <v>248</v>
      </c>
      <c r="B1" s="107" t="s">
        <v>290</v>
      </c>
      <c r="C1" s="107" t="s">
        <v>262</v>
      </c>
      <c r="D1" s="107" t="s">
        <v>0</v>
      </c>
      <c r="E1" s="107" t="s">
        <v>18</v>
      </c>
      <c r="F1" s="119" t="s">
        <v>1</v>
      </c>
      <c r="G1" s="119" t="s">
        <v>267</v>
      </c>
      <c r="H1" s="107" t="s">
        <v>3</v>
      </c>
      <c r="I1" s="107" t="s">
        <v>4</v>
      </c>
      <c r="J1" s="107" t="s">
        <v>5</v>
      </c>
      <c r="K1" s="120" t="s">
        <v>295</v>
      </c>
      <c r="L1" s="120" t="s">
        <v>284</v>
      </c>
      <c r="M1" s="120" t="s">
        <v>285</v>
      </c>
      <c r="N1" s="120" t="s">
        <v>286</v>
      </c>
      <c r="O1" s="120" t="s">
        <v>15</v>
      </c>
      <c r="P1" s="107" t="s">
        <v>9</v>
      </c>
      <c r="Q1" s="119" t="s">
        <v>10</v>
      </c>
      <c r="R1" s="120" t="s">
        <v>291</v>
      </c>
      <c r="S1" s="120" t="s">
        <v>294</v>
      </c>
      <c r="T1" s="107" t="s">
        <v>265</v>
      </c>
      <c r="U1" s="120" t="s">
        <v>293</v>
      </c>
      <c r="V1" s="120" t="s">
        <v>292</v>
      </c>
      <c r="W1" s="107" t="s">
        <v>287</v>
      </c>
      <c r="X1" s="120" t="s">
        <v>303</v>
      </c>
      <c r="Y1" s="129" t="s">
        <v>16</v>
      </c>
      <c r="Z1" s="107" t="s">
        <v>288</v>
      </c>
      <c r="AA1" s="107" t="s">
        <v>289</v>
      </c>
      <c r="AB1" s="107" t="s">
        <v>305</v>
      </c>
      <c r="AC1" s="107" t="s">
        <v>306</v>
      </c>
      <c r="AD1" s="166" t="s">
        <v>304</v>
      </c>
      <c r="AE1" s="138" t="s">
        <v>312</v>
      </c>
      <c r="AF1" s="143" t="s">
        <v>313</v>
      </c>
    </row>
    <row r="2" spans="1:34" ht="24.95" customHeight="1" x14ac:dyDescent="0.15">
      <c r="A2" s="139" t="s">
        <v>245</v>
      </c>
      <c r="B2" s="139" t="s">
        <v>258</v>
      </c>
      <c r="C2" s="139" t="str">
        <f t="shared" ref="C2" si="0">IF(Q2="","存续","到期")</f>
        <v>存续</v>
      </c>
      <c r="D2" s="100" t="s">
        <v>260</v>
      </c>
      <c r="E2" s="139" t="s">
        <v>137</v>
      </c>
      <c r="F2" s="48">
        <v>43714</v>
      </c>
      <c r="G2" s="48">
        <v>43896</v>
      </c>
      <c r="H2" s="48" t="s">
        <v>319</v>
      </c>
      <c r="I2" s="145" t="s">
        <v>222</v>
      </c>
      <c r="J2" s="139" t="s">
        <v>59</v>
      </c>
      <c r="K2" s="103">
        <v>2500</v>
      </c>
      <c r="L2" s="103">
        <v>1906.1</v>
      </c>
      <c r="M2" s="103">
        <v>1945</v>
      </c>
      <c r="N2" s="103">
        <v>21.04</v>
      </c>
      <c r="O2" s="103">
        <f t="shared" ref="O2" si="1">N2*K2</f>
        <v>52600</v>
      </c>
      <c r="P2" s="101" t="s">
        <v>359</v>
      </c>
      <c r="Q2" s="104"/>
      <c r="R2" s="103"/>
      <c r="S2" s="103"/>
      <c r="T2" s="146"/>
      <c r="U2" s="103"/>
      <c r="V2" s="103"/>
      <c r="W2" s="103"/>
      <c r="X2" s="103"/>
      <c r="Y2" s="131">
        <f t="shared" ref="Y2" si="2">M2*K2</f>
        <v>4862500</v>
      </c>
      <c r="Z2" s="145" t="str">
        <f t="shared" ref="Z2" si="3">IF(C2="存续",D2&amp;H2&amp;"-"&amp;AA2,"")</f>
        <v>国泰君安风险管理有限公司c2005-买入</v>
      </c>
      <c r="AA2" s="145" t="str">
        <f t="shared" ref="AA2" si="4">IF(I2="买入","卖出","买入")</f>
        <v>买入</v>
      </c>
      <c r="AB2" s="145">
        <v>98</v>
      </c>
      <c r="AC2" s="140">
        <v>7.0999999999999994E-2</v>
      </c>
      <c r="AD2" s="133">
        <v>0.1</v>
      </c>
      <c r="AE2" s="145"/>
      <c r="AF2" s="103"/>
    </row>
    <row r="3" spans="1:34" ht="24.95" customHeight="1" x14ac:dyDescent="0.15">
      <c r="A3" s="139" t="s">
        <v>259</v>
      </c>
      <c r="B3" s="115" t="s">
        <v>257</v>
      </c>
      <c r="C3" s="139" t="str">
        <f t="shared" ref="C3" si="5">IF(Q3="","存续","到期")</f>
        <v>存续</v>
      </c>
      <c r="D3" s="117" t="s">
        <v>425</v>
      </c>
      <c r="E3" s="139" t="s">
        <v>263</v>
      </c>
      <c r="F3" s="154">
        <v>43754</v>
      </c>
      <c r="G3" s="154">
        <v>43941</v>
      </c>
      <c r="H3" s="153" t="s">
        <v>352</v>
      </c>
      <c r="I3" s="153" t="s">
        <v>261</v>
      </c>
      <c r="J3" s="139" t="s">
        <v>353</v>
      </c>
      <c r="K3" s="153">
        <v>1000</v>
      </c>
      <c r="L3" s="153">
        <v>11000</v>
      </c>
      <c r="M3" s="153">
        <v>11770</v>
      </c>
      <c r="N3" s="153">
        <v>361.50700000000001</v>
      </c>
      <c r="O3" s="153">
        <f>N3*K3</f>
        <v>361507</v>
      </c>
      <c r="P3" s="101" t="s">
        <v>355</v>
      </c>
      <c r="Q3" s="104"/>
      <c r="R3" s="104"/>
      <c r="S3" s="104"/>
      <c r="T3" s="154"/>
      <c r="U3" s="153"/>
      <c r="V3" s="153"/>
      <c r="W3" s="153"/>
      <c r="X3" s="103"/>
      <c r="Y3" s="153">
        <f t="shared" ref="Y3" si="6">ABS(M3*K3)</f>
        <v>11770000</v>
      </c>
      <c r="Z3" s="153" t="str">
        <f t="shared" ref="Z3" si="7">IF(C3="存续",D3&amp;H3&amp;"-"&amp;AA3,"")</f>
        <v>宁波中哲物产有限公司ru2005-买入</v>
      </c>
      <c r="AA3" s="104" t="str">
        <f t="shared" ref="AA3" si="8">IF(I3="买入","卖出","买入")</f>
        <v>买入</v>
      </c>
      <c r="AB3" s="153">
        <v>132</v>
      </c>
      <c r="AC3" s="140">
        <v>0.21</v>
      </c>
      <c r="AD3" s="134">
        <v>0.24</v>
      </c>
      <c r="AE3" s="153" t="s">
        <v>317</v>
      </c>
      <c r="AF3" s="104">
        <v>182000</v>
      </c>
    </row>
    <row r="4" spans="1:34" ht="24.95" customHeight="1" x14ac:dyDescent="0.15">
      <c r="A4" s="139" t="s">
        <v>259</v>
      </c>
      <c r="B4" s="115" t="s">
        <v>257</v>
      </c>
      <c r="C4" s="139" t="str">
        <f t="shared" ref="C4" si="9">IF(Q4="","存续","到期")</f>
        <v>存续</v>
      </c>
      <c r="D4" s="117" t="s">
        <v>425</v>
      </c>
      <c r="E4" s="139" t="s">
        <v>263</v>
      </c>
      <c r="F4" s="156">
        <v>43755</v>
      </c>
      <c r="G4" s="156">
        <v>43941</v>
      </c>
      <c r="H4" s="155" t="s">
        <v>352</v>
      </c>
      <c r="I4" s="155" t="s">
        <v>261</v>
      </c>
      <c r="J4" s="139" t="s">
        <v>224</v>
      </c>
      <c r="K4" s="155">
        <v>1000</v>
      </c>
      <c r="L4" s="155">
        <v>10500</v>
      </c>
      <c r="M4" s="155">
        <v>11735</v>
      </c>
      <c r="N4" s="155">
        <v>160.376</v>
      </c>
      <c r="O4" s="155">
        <f>N4*K4</f>
        <v>160376</v>
      </c>
      <c r="P4" s="101" t="s">
        <v>356</v>
      </c>
      <c r="Q4" s="104"/>
      <c r="R4" s="104"/>
      <c r="S4" s="104"/>
      <c r="T4" s="156"/>
      <c r="U4" s="155"/>
      <c r="V4" s="155"/>
      <c r="W4" s="155"/>
      <c r="X4" s="103"/>
      <c r="Y4" s="155">
        <f t="shared" ref="Y4" si="10">ABS(M4*K4)</f>
        <v>11735000</v>
      </c>
      <c r="Z4" s="155" t="str">
        <f t="shared" ref="Z4" si="11">IF(C4="存续",D4&amp;H4&amp;"-"&amp;AA4,"")</f>
        <v>宁波中哲物产有限公司ru2005-买入</v>
      </c>
      <c r="AA4" s="104" t="str">
        <f t="shared" ref="AA4" si="12">IF(I4="买入","卖出","买入")</f>
        <v>买入</v>
      </c>
      <c r="AB4" s="155">
        <v>135</v>
      </c>
      <c r="AC4" s="140">
        <v>0.185</v>
      </c>
      <c r="AD4" s="134">
        <v>0.22</v>
      </c>
      <c r="AE4" s="155" t="s">
        <v>317</v>
      </c>
      <c r="AF4" s="104">
        <v>182270</v>
      </c>
    </row>
    <row r="5" spans="1:34" ht="24.95" customHeight="1" x14ac:dyDescent="0.15">
      <c r="A5" s="139" t="s">
        <v>259</v>
      </c>
      <c r="B5" s="115" t="s">
        <v>324</v>
      </c>
      <c r="C5" s="139" t="str">
        <f>IF(Q5="","存续","到期")</f>
        <v>存续</v>
      </c>
      <c r="D5" s="117" t="s">
        <v>429</v>
      </c>
      <c r="E5" s="139" t="s">
        <v>252</v>
      </c>
      <c r="F5" s="158">
        <v>43766</v>
      </c>
      <c r="G5" s="158">
        <v>43850</v>
      </c>
      <c r="H5" s="157" t="s">
        <v>358</v>
      </c>
      <c r="I5" s="157" t="s">
        <v>296</v>
      </c>
      <c r="J5" s="139" t="s">
        <v>299</v>
      </c>
      <c r="K5" s="157">
        <v>1500</v>
      </c>
      <c r="L5" s="157">
        <v>2916</v>
      </c>
      <c r="M5" s="157">
        <v>2916</v>
      </c>
      <c r="N5" s="157">
        <v>137.34</v>
      </c>
      <c r="O5" s="157">
        <f t="shared" ref="O5:O8" si="13">N5*K5</f>
        <v>206010</v>
      </c>
      <c r="P5" s="101" t="s">
        <v>361</v>
      </c>
      <c r="Q5" s="104"/>
      <c r="R5" s="137"/>
      <c r="S5" s="137"/>
      <c r="T5" s="135"/>
      <c r="U5" s="135"/>
      <c r="V5" s="135"/>
      <c r="W5" s="158"/>
      <c r="X5" s="157"/>
      <c r="Y5" s="131">
        <f>ABS(M5*K5)</f>
        <v>4374000</v>
      </c>
      <c r="Z5" s="157" t="str">
        <f>IF(C5="存续",D5&amp;H5&amp;"-"&amp;AA5,"")</f>
        <v>华泰长城资本管理有限公司bu2006-卖出</v>
      </c>
      <c r="AA5" s="157" t="str">
        <f>IF(I5="买入","卖出","买入")</f>
        <v>卖出</v>
      </c>
      <c r="AB5" s="157">
        <v>151</v>
      </c>
      <c r="AC5" s="140">
        <v>0.24199999999999999</v>
      </c>
      <c r="AD5" s="134"/>
      <c r="AE5" s="136"/>
      <c r="AF5" s="147"/>
    </row>
    <row r="6" spans="1:34" ht="24.95" customHeight="1" x14ac:dyDescent="0.15">
      <c r="A6" s="139" t="s">
        <v>259</v>
      </c>
      <c r="B6" s="115" t="s">
        <v>324</v>
      </c>
      <c r="C6" s="139" t="str">
        <f>IF(Q6="","存续","到期")</f>
        <v>存续</v>
      </c>
      <c r="D6" s="117" t="s">
        <v>429</v>
      </c>
      <c r="E6" s="139" t="s">
        <v>252</v>
      </c>
      <c r="F6" s="158">
        <v>43766</v>
      </c>
      <c r="G6" s="158">
        <v>43850</v>
      </c>
      <c r="H6" s="157" t="s">
        <v>358</v>
      </c>
      <c r="I6" s="157" t="s">
        <v>296</v>
      </c>
      <c r="J6" s="139" t="s">
        <v>298</v>
      </c>
      <c r="K6" s="157">
        <v>1500</v>
      </c>
      <c r="L6" s="157">
        <v>2916</v>
      </c>
      <c r="M6" s="157">
        <v>2916</v>
      </c>
      <c r="N6" s="157">
        <v>137.34</v>
      </c>
      <c r="O6" s="157">
        <f t="shared" si="13"/>
        <v>206010</v>
      </c>
      <c r="P6" s="101" t="s">
        <v>362</v>
      </c>
      <c r="Q6" s="104"/>
      <c r="R6" s="137"/>
      <c r="S6" s="137"/>
      <c r="T6" s="135"/>
      <c r="U6" s="135"/>
      <c r="V6" s="135"/>
      <c r="W6" s="158"/>
      <c r="X6" s="157"/>
      <c r="Y6" s="131">
        <f>ABS(M6*K6)</f>
        <v>4374000</v>
      </c>
      <c r="Z6" s="157" t="str">
        <f>IF(C6="存续",D6&amp;H6&amp;"-"&amp;AA6,"")</f>
        <v>华泰长城资本管理有限公司bu2006-卖出</v>
      </c>
      <c r="AA6" s="157" t="str">
        <f>IF(I6="买入","卖出","买入")</f>
        <v>卖出</v>
      </c>
      <c r="AB6" s="157">
        <v>151</v>
      </c>
      <c r="AC6" s="140">
        <v>0.24199999999999999</v>
      </c>
      <c r="AD6" s="134"/>
      <c r="AE6" s="136"/>
      <c r="AF6" s="147"/>
    </row>
    <row r="7" spans="1:34" ht="24.95" customHeight="1" x14ac:dyDescent="0.15">
      <c r="A7" s="139" t="s">
        <v>259</v>
      </c>
      <c r="B7" s="115" t="s">
        <v>258</v>
      </c>
      <c r="C7" s="139" t="str">
        <f t="shared" ref="C7:C8" si="14">IF(Q7="","存续","到期")</f>
        <v>存续</v>
      </c>
      <c r="D7" s="117" t="s">
        <v>260</v>
      </c>
      <c r="E7" s="139" t="s">
        <v>264</v>
      </c>
      <c r="F7" s="158">
        <v>43766</v>
      </c>
      <c r="G7" s="158">
        <v>43850</v>
      </c>
      <c r="H7" s="157" t="s">
        <v>358</v>
      </c>
      <c r="I7" s="157" t="s">
        <v>307</v>
      </c>
      <c r="J7" s="139" t="s">
        <v>311</v>
      </c>
      <c r="K7" s="157">
        <v>1500</v>
      </c>
      <c r="L7" s="157">
        <v>2916</v>
      </c>
      <c r="M7" s="157">
        <v>2916</v>
      </c>
      <c r="N7" s="157">
        <v>132.68</v>
      </c>
      <c r="O7" s="157">
        <f t="shared" si="13"/>
        <v>199020</v>
      </c>
      <c r="P7" s="101" t="s">
        <v>375</v>
      </c>
      <c r="Q7" s="104"/>
      <c r="R7" s="137"/>
      <c r="S7" s="137"/>
      <c r="T7" s="135"/>
      <c r="U7" s="135"/>
      <c r="V7" s="135"/>
      <c r="W7" s="158"/>
      <c r="X7" s="157"/>
      <c r="Y7" s="131">
        <f t="shared" ref="Y7:Y8" si="15">M7*K7</f>
        <v>4374000</v>
      </c>
      <c r="Z7" s="157" t="str">
        <f t="shared" ref="Z7:Z8" si="16">IF(C7="存续",D7&amp;H7&amp;"-"&amp;AA7,"")</f>
        <v>国泰君安风险管理有限公司bu2006-买入</v>
      </c>
      <c r="AA7" s="157" t="str">
        <f t="shared" ref="AA7:AA8" si="17">IF(I7="买入","卖出","买入")</f>
        <v>买入</v>
      </c>
      <c r="AB7" s="157">
        <v>152</v>
      </c>
      <c r="AC7" s="140">
        <v>0.23300000000000001</v>
      </c>
      <c r="AD7" s="134"/>
      <c r="AE7" s="136"/>
      <c r="AF7" s="147"/>
    </row>
    <row r="8" spans="1:34" ht="24.95" customHeight="1" x14ac:dyDescent="0.15">
      <c r="A8" s="139" t="s">
        <v>259</v>
      </c>
      <c r="B8" s="115" t="s">
        <v>258</v>
      </c>
      <c r="C8" s="139" t="str">
        <f t="shared" si="14"/>
        <v>存续</v>
      </c>
      <c r="D8" s="117" t="s">
        <v>260</v>
      </c>
      <c r="E8" s="139" t="s">
        <v>264</v>
      </c>
      <c r="F8" s="158">
        <v>43766</v>
      </c>
      <c r="G8" s="158">
        <v>43850</v>
      </c>
      <c r="H8" s="157" t="s">
        <v>358</v>
      </c>
      <c r="I8" s="157" t="s">
        <v>307</v>
      </c>
      <c r="J8" s="139" t="s">
        <v>59</v>
      </c>
      <c r="K8" s="157">
        <v>1500</v>
      </c>
      <c r="L8" s="157">
        <v>2916</v>
      </c>
      <c r="M8" s="157">
        <v>2916</v>
      </c>
      <c r="N8" s="157">
        <v>132.68</v>
      </c>
      <c r="O8" s="157">
        <f t="shared" si="13"/>
        <v>199020</v>
      </c>
      <c r="P8" s="101" t="s">
        <v>375</v>
      </c>
      <c r="Q8" s="104"/>
      <c r="R8" s="137"/>
      <c r="S8" s="137"/>
      <c r="T8" s="135"/>
      <c r="U8" s="135"/>
      <c r="V8" s="135"/>
      <c r="W8" s="158"/>
      <c r="X8" s="157"/>
      <c r="Y8" s="131">
        <f t="shared" si="15"/>
        <v>4374000</v>
      </c>
      <c r="Z8" s="157" t="str">
        <f t="shared" si="16"/>
        <v>国泰君安风险管理有限公司bu2006-买入</v>
      </c>
      <c r="AA8" s="157" t="str">
        <f t="shared" si="17"/>
        <v>买入</v>
      </c>
      <c r="AB8" s="157">
        <v>152</v>
      </c>
      <c r="AC8" s="140">
        <v>0.23300000000000001</v>
      </c>
      <c r="AD8" s="134"/>
      <c r="AE8" s="136"/>
      <c r="AF8" s="147"/>
    </row>
    <row r="9" spans="1:34" ht="24.95" customHeight="1" x14ac:dyDescent="0.15">
      <c r="A9" s="139" t="s">
        <v>363</v>
      </c>
      <c r="B9" s="115"/>
      <c r="C9" s="139" t="str">
        <f t="shared" ref="C9:C10" si="18">IF(Q9="","存续","到期")</f>
        <v>存续</v>
      </c>
      <c r="D9" s="117" t="s">
        <v>436</v>
      </c>
      <c r="E9" s="139" t="s">
        <v>252</v>
      </c>
      <c r="F9" s="160">
        <v>43780</v>
      </c>
      <c r="G9" s="160">
        <v>43872</v>
      </c>
      <c r="H9" s="159" t="s">
        <v>364</v>
      </c>
      <c r="I9" s="159" t="s">
        <v>368</v>
      </c>
      <c r="J9" s="139" t="s">
        <v>381</v>
      </c>
      <c r="K9" s="159"/>
      <c r="L9" s="159"/>
      <c r="M9" s="159">
        <v>13825</v>
      </c>
      <c r="N9" s="159"/>
      <c r="O9" s="159"/>
      <c r="P9" s="101" t="s">
        <v>459</v>
      </c>
      <c r="Q9" s="104"/>
      <c r="R9" s="137"/>
      <c r="S9" s="137"/>
      <c r="T9" s="135"/>
      <c r="U9" s="135"/>
      <c r="V9" s="135"/>
      <c r="W9" s="160"/>
      <c r="X9" s="159"/>
      <c r="Y9" s="131">
        <v>99000000</v>
      </c>
      <c r="Z9" s="159" t="str">
        <f t="shared" ref="Z9:Z10" si="19">IF(C9="存续",D9&amp;H9&amp;"-"&amp;AA9,"")</f>
        <v>申万宏源证券有限公司al2003-买入</v>
      </c>
      <c r="AA9" s="159" t="str">
        <f>IF(I9="买入","卖出","买入")</f>
        <v>买入</v>
      </c>
      <c r="AB9" s="159">
        <v>179</v>
      </c>
      <c r="AC9" s="140"/>
      <c r="AD9" s="140"/>
      <c r="AE9" s="198" t="s">
        <v>416</v>
      </c>
      <c r="AF9" s="147"/>
      <c r="AG9" s="161">
        <v>7.1999999999999995E-2</v>
      </c>
      <c r="AH9" s="105" t="s">
        <v>366</v>
      </c>
    </row>
    <row r="10" spans="1:34" ht="24.95" customHeight="1" x14ac:dyDescent="0.15">
      <c r="A10" s="139" t="s">
        <v>363</v>
      </c>
      <c r="B10" s="115"/>
      <c r="C10" s="139" t="str">
        <f t="shared" si="18"/>
        <v>存续</v>
      </c>
      <c r="D10" s="117" t="s">
        <v>436</v>
      </c>
      <c r="E10" s="139" t="s">
        <v>252</v>
      </c>
      <c r="F10" s="160">
        <v>43780</v>
      </c>
      <c r="G10" s="160">
        <v>43872</v>
      </c>
      <c r="H10" s="159" t="s">
        <v>365</v>
      </c>
      <c r="I10" s="159" t="s">
        <v>241</v>
      </c>
      <c r="J10" s="139" t="s">
        <v>382</v>
      </c>
      <c r="K10" s="159"/>
      <c r="L10" s="159"/>
      <c r="M10" s="159">
        <v>13845</v>
      </c>
      <c r="N10" s="159"/>
      <c r="O10" s="159"/>
      <c r="P10" s="101" t="s">
        <v>460</v>
      </c>
      <c r="Q10" s="104"/>
      <c r="R10" s="137"/>
      <c r="S10" s="137"/>
      <c r="T10" s="135"/>
      <c r="U10" s="135"/>
      <c r="V10" s="135"/>
      <c r="W10" s="160"/>
      <c r="X10" s="159"/>
      <c r="Y10" s="131">
        <v>99000000</v>
      </c>
      <c r="Z10" s="159" t="str">
        <f t="shared" si="19"/>
        <v>申万宏源证券有限公司al2004-卖出</v>
      </c>
      <c r="AA10" s="159" t="str">
        <f>IF(I10="买入","卖出","买入")</f>
        <v>卖出</v>
      </c>
      <c r="AB10" s="159">
        <v>180</v>
      </c>
      <c r="AC10" s="140"/>
      <c r="AD10" s="140"/>
      <c r="AE10" s="198" t="s">
        <v>416</v>
      </c>
      <c r="AF10" s="147"/>
      <c r="AG10" s="144">
        <v>0.01</v>
      </c>
      <c r="AH10" s="105" t="s">
        <v>367</v>
      </c>
    </row>
    <row r="11" spans="1:34" ht="24.95" customHeight="1" x14ac:dyDescent="0.15">
      <c r="A11" s="139" t="s">
        <v>259</v>
      </c>
      <c r="B11" s="115" t="s">
        <v>257</v>
      </c>
      <c r="C11" s="139" t="str">
        <f t="shared" ref="C11:C13" si="20">IF(Q11="","存续","到期")</f>
        <v>存续</v>
      </c>
      <c r="D11" s="117" t="s">
        <v>425</v>
      </c>
      <c r="E11" s="139" t="s">
        <v>263</v>
      </c>
      <c r="F11" s="163">
        <v>43787</v>
      </c>
      <c r="G11" s="163">
        <v>43941</v>
      </c>
      <c r="H11" s="162" t="s">
        <v>369</v>
      </c>
      <c r="I11" s="162" t="s">
        <v>222</v>
      </c>
      <c r="J11" s="139" t="s">
        <v>370</v>
      </c>
      <c r="K11" s="162">
        <v>1000</v>
      </c>
      <c r="L11" s="162">
        <v>11200</v>
      </c>
      <c r="M11" s="162">
        <v>12105</v>
      </c>
      <c r="N11" s="162">
        <v>185</v>
      </c>
      <c r="O11" s="162">
        <f>N11*K11</f>
        <v>185000</v>
      </c>
      <c r="P11" s="101" t="s">
        <v>461</v>
      </c>
      <c r="Q11" s="104"/>
      <c r="R11" s="104"/>
      <c r="S11" s="104"/>
      <c r="T11" s="163"/>
      <c r="U11" s="162"/>
      <c r="V11" s="162"/>
      <c r="W11" s="162"/>
      <c r="X11" s="103"/>
      <c r="Y11" s="162">
        <f t="shared" ref="Y11" si="21">ABS(M11*K11)</f>
        <v>12105000</v>
      </c>
      <c r="Z11" s="162" t="str">
        <f t="shared" ref="Z11:Z13" si="22">IF(C11="存续",D11&amp;H11&amp;"-"&amp;AA11,"")</f>
        <v>宁波中哲物产有限公司ru2005-买入</v>
      </c>
      <c r="AA11" s="104" t="str">
        <f t="shared" ref="AA11" si="23">IF(I11="买入","卖出","买入")</f>
        <v>买入</v>
      </c>
      <c r="AB11" s="162">
        <v>185</v>
      </c>
      <c r="AC11" s="140">
        <v>0.17199999999999999</v>
      </c>
      <c r="AD11" s="134">
        <v>0.192</v>
      </c>
      <c r="AE11" s="162" t="s">
        <v>317</v>
      </c>
      <c r="AF11" s="104">
        <v>300000</v>
      </c>
    </row>
    <row r="12" spans="1:34" ht="24.95" customHeight="1" x14ac:dyDescent="0.15">
      <c r="A12" s="139" t="s">
        <v>259</v>
      </c>
      <c r="B12" s="115" t="s">
        <v>257</v>
      </c>
      <c r="C12" s="139" t="str">
        <f t="shared" si="20"/>
        <v>存续</v>
      </c>
      <c r="D12" s="117" t="s">
        <v>434</v>
      </c>
      <c r="E12" s="139" t="s">
        <v>263</v>
      </c>
      <c r="F12" s="48">
        <v>43789</v>
      </c>
      <c r="G12" s="165">
        <v>43903</v>
      </c>
      <c r="H12" s="164" t="s">
        <v>372</v>
      </c>
      <c r="I12" s="164" t="s">
        <v>222</v>
      </c>
      <c r="J12" s="139" t="s">
        <v>56</v>
      </c>
      <c r="K12" s="164">
        <v>1500</v>
      </c>
      <c r="L12" s="164">
        <v>2948.4</v>
      </c>
      <c r="M12" s="164">
        <v>2808</v>
      </c>
      <c r="N12" s="164">
        <v>88</v>
      </c>
      <c r="O12" s="103">
        <f>N12*K12</f>
        <v>132000</v>
      </c>
      <c r="P12" s="101" t="s">
        <v>462</v>
      </c>
      <c r="Q12" s="104"/>
      <c r="R12" s="137"/>
      <c r="S12" s="137"/>
      <c r="T12" s="135"/>
      <c r="U12" s="103"/>
      <c r="V12" s="103"/>
      <c r="W12" s="165"/>
      <c r="X12" s="104"/>
      <c r="Y12" s="131">
        <f t="shared" ref="Y12:Y13" si="24">M12*K12</f>
        <v>4212000</v>
      </c>
      <c r="Z12" s="164" t="str">
        <f t="shared" si="22"/>
        <v>武汉劲暄物业管理有限公司bu2006-买入</v>
      </c>
      <c r="AA12" s="164" t="str">
        <f>IF(I12="买入","卖出","买入")</f>
        <v>买入</v>
      </c>
      <c r="AB12" s="164">
        <v>187</v>
      </c>
      <c r="AC12" s="140">
        <v>0.23300000000000001</v>
      </c>
      <c r="AD12" s="134">
        <v>0.253</v>
      </c>
      <c r="AE12" s="136"/>
      <c r="AF12" s="147">
        <v>90000</v>
      </c>
    </row>
    <row r="13" spans="1:34" ht="24.95" customHeight="1" x14ac:dyDescent="0.15">
      <c r="A13" s="139" t="s">
        <v>259</v>
      </c>
      <c r="B13" s="115" t="s">
        <v>257</v>
      </c>
      <c r="C13" s="139" t="str">
        <f t="shared" si="20"/>
        <v>存续</v>
      </c>
      <c r="D13" s="117" t="s">
        <v>434</v>
      </c>
      <c r="E13" s="139" t="s">
        <v>263</v>
      </c>
      <c r="F13" s="48">
        <v>43789</v>
      </c>
      <c r="G13" s="165">
        <v>43903</v>
      </c>
      <c r="H13" s="164" t="s">
        <v>373</v>
      </c>
      <c r="I13" s="164" t="s">
        <v>222</v>
      </c>
      <c r="J13" s="139" t="s">
        <v>59</v>
      </c>
      <c r="K13" s="164">
        <v>1500</v>
      </c>
      <c r="L13" s="164">
        <v>2667.6</v>
      </c>
      <c r="M13" s="164">
        <v>2808</v>
      </c>
      <c r="N13" s="164">
        <v>82</v>
      </c>
      <c r="O13" s="103">
        <f t="shared" ref="O13" si="25">N13*K13</f>
        <v>123000</v>
      </c>
      <c r="P13" s="101" t="s">
        <v>462</v>
      </c>
      <c r="Q13" s="104"/>
      <c r="R13" s="137"/>
      <c r="S13" s="137"/>
      <c r="T13" s="135"/>
      <c r="U13" s="103"/>
      <c r="V13" s="103"/>
      <c r="W13" s="165"/>
      <c r="X13" s="104"/>
      <c r="Y13" s="131">
        <f t="shared" si="24"/>
        <v>4212000</v>
      </c>
      <c r="Z13" s="164" t="str">
        <f t="shared" si="22"/>
        <v>武汉劲暄物业管理有限公司bu2006-买入</v>
      </c>
      <c r="AA13" s="164" t="str">
        <f>IF(I13="买入","卖出","买入")</f>
        <v>买入</v>
      </c>
      <c r="AB13" s="164">
        <v>187</v>
      </c>
      <c r="AC13" s="140">
        <v>0.23300000000000001</v>
      </c>
      <c r="AD13" s="134">
        <v>0.253</v>
      </c>
      <c r="AE13" s="136"/>
      <c r="AF13" s="147">
        <v>90000</v>
      </c>
    </row>
    <row r="14" spans="1:34" ht="20.25" customHeight="1" x14ac:dyDescent="0.15">
      <c r="A14" s="139" t="s">
        <v>266</v>
      </c>
      <c r="B14" s="115" t="s">
        <v>377</v>
      </c>
      <c r="C14" s="139" t="str">
        <f t="shared" ref="C14" si="26">IF(Q14="","存续","到期")</f>
        <v>到期</v>
      </c>
      <c r="D14" s="118" t="s">
        <v>435</v>
      </c>
      <c r="E14" s="139" t="s">
        <v>252</v>
      </c>
      <c r="F14" s="169">
        <v>43801</v>
      </c>
      <c r="G14" s="169">
        <v>43832</v>
      </c>
      <c r="H14" s="168" t="s">
        <v>376</v>
      </c>
      <c r="I14" s="168" t="s">
        <v>241</v>
      </c>
      <c r="J14" s="139" t="s">
        <v>300</v>
      </c>
      <c r="K14" s="104">
        <v>2000</v>
      </c>
      <c r="L14" s="104">
        <v>1406</v>
      </c>
      <c r="M14" s="104">
        <v>1406</v>
      </c>
      <c r="N14" s="104">
        <v>23.9</v>
      </c>
      <c r="O14" s="104">
        <f t="shared" ref="O14:O15" si="27">N14*K14</f>
        <v>47800</v>
      </c>
      <c r="P14" s="104" t="s">
        <v>378</v>
      </c>
      <c r="Q14" s="104" t="s">
        <v>466</v>
      </c>
      <c r="R14" s="104"/>
      <c r="S14" s="104"/>
      <c r="T14" s="48"/>
      <c r="U14" s="168">
        <v>1488</v>
      </c>
      <c r="V14" s="168">
        <v>0</v>
      </c>
      <c r="W14" s="214">
        <v>43832</v>
      </c>
      <c r="X14" s="103">
        <f>IF(I14="买入",V14-O14,V14+O14)</f>
        <v>-47800</v>
      </c>
      <c r="Y14" s="131">
        <f t="shared" ref="Y14:Y15" si="28">M14*K14</f>
        <v>2812000</v>
      </c>
      <c r="Z14" s="168" t="str">
        <f t="shared" ref="Z14:Z16" si="29">IF(C14="存续",D14&amp;H14&amp;"-"&amp;AA14,"")</f>
        <v/>
      </c>
      <c r="AA14" s="168" t="str">
        <f t="shared" ref="AA14" si="30">IF(I14="买入","卖出","买入")</f>
        <v>卖出</v>
      </c>
      <c r="AB14" s="168">
        <v>204</v>
      </c>
      <c r="AC14" s="140">
        <v>0.14249999999999999</v>
      </c>
      <c r="AD14" s="140"/>
      <c r="AE14" s="168"/>
      <c r="AF14" s="104"/>
    </row>
    <row r="15" spans="1:34" ht="20.25" customHeight="1" x14ac:dyDescent="0.15">
      <c r="A15" s="139" t="s">
        <v>266</v>
      </c>
      <c r="B15" s="115" t="s">
        <v>257</v>
      </c>
      <c r="C15" s="139" t="str">
        <f t="shared" ref="C15" si="31">IF(Q15="","存续","到期")</f>
        <v>存续</v>
      </c>
      <c r="D15" s="118" t="s">
        <v>438</v>
      </c>
      <c r="E15" s="139" t="s">
        <v>379</v>
      </c>
      <c r="F15" s="171">
        <v>43801</v>
      </c>
      <c r="G15" s="171">
        <v>43850</v>
      </c>
      <c r="H15" s="170" t="s">
        <v>360</v>
      </c>
      <c r="I15" s="170" t="s">
        <v>222</v>
      </c>
      <c r="J15" s="139" t="s">
        <v>300</v>
      </c>
      <c r="K15" s="104">
        <v>2000</v>
      </c>
      <c r="L15" s="104">
        <v>3320</v>
      </c>
      <c r="M15" s="104">
        <v>3425</v>
      </c>
      <c r="N15" s="104">
        <v>38</v>
      </c>
      <c r="O15" s="104">
        <f t="shared" si="27"/>
        <v>76000</v>
      </c>
      <c r="P15" s="101" t="s">
        <v>383</v>
      </c>
      <c r="Q15" s="104"/>
      <c r="R15" s="104"/>
      <c r="S15" s="104"/>
      <c r="T15" s="48"/>
      <c r="U15" s="170"/>
      <c r="V15" s="170"/>
      <c r="W15" s="170"/>
      <c r="X15" s="103"/>
      <c r="Y15" s="131">
        <f t="shared" si="28"/>
        <v>6850000</v>
      </c>
      <c r="Z15" s="170" t="str">
        <f t="shared" ref="Z15" si="32">IF(C15="存续",D15&amp;H15&amp;"-"&amp;AA15,"")</f>
        <v>上海锐镐有色金属股份有限公司rb2005-买入</v>
      </c>
      <c r="AA15" s="170" t="str">
        <f t="shared" ref="AA15" si="33">IF(I15="买入","卖出","买入")</f>
        <v>买入</v>
      </c>
      <c r="AB15" s="170">
        <v>205</v>
      </c>
      <c r="AC15" s="140">
        <v>0.16</v>
      </c>
      <c r="AD15" s="140">
        <v>0.18</v>
      </c>
      <c r="AE15" s="170"/>
      <c r="AF15" s="104"/>
    </row>
    <row r="16" spans="1:34" ht="24.95" customHeight="1" x14ac:dyDescent="0.15">
      <c r="A16" s="139" t="s">
        <v>266</v>
      </c>
      <c r="B16" s="115" t="s">
        <v>257</v>
      </c>
      <c r="C16" s="139" t="str">
        <f t="shared" ref="C16:C24" si="34">IF(Q16="","存续","到期")</f>
        <v>存续</v>
      </c>
      <c r="D16" s="118" t="s">
        <v>429</v>
      </c>
      <c r="E16" s="139" t="s">
        <v>252</v>
      </c>
      <c r="F16" s="173">
        <v>43802</v>
      </c>
      <c r="G16" s="173">
        <v>43850</v>
      </c>
      <c r="H16" s="172" t="s">
        <v>360</v>
      </c>
      <c r="I16" s="172" t="s">
        <v>302</v>
      </c>
      <c r="J16" s="139" t="s">
        <v>298</v>
      </c>
      <c r="K16" s="172">
        <v>2000</v>
      </c>
      <c r="L16" s="172">
        <v>3433</v>
      </c>
      <c r="M16" s="172">
        <v>3433</v>
      </c>
      <c r="N16" s="172">
        <v>85.14</v>
      </c>
      <c r="O16" s="172">
        <f t="shared" ref="O16" si="35">N16*K16</f>
        <v>170280</v>
      </c>
      <c r="P16" s="104" t="s">
        <v>380</v>
      </c>
      <c r="Q16" s="104"/>
      <c r="R16" s="104"/>
      <c r="S16" s="104"/>
      <c r="T16" s="173"/>
      <c r="U16" s="172"/>
      <c r="V16" s="172"/>
      <c r="W16" s="173"/>
      <c r="X16" s="172"/>
      <c r="Y16" s="172">
        <f t="shared" ref="Y16" si="36">ABS(M16*K16)</f>
        <v>6866000</v>
      </c>
      <c r="Z16" s="172" t="str">
        <f t="shared" si="29"/>
        <v>华泰长城资本管理有限公司rb2005-卖出</v>
      </c>
      <c r="AA16" s="104" t="str">
        <f t="shared" ref="AA16" si="37">IF(I16="买入","卖出","买入")</f>
        <v>卖出</v>
      </c>
      <c r="AB16" s="172">
        <v>208</v>
      </c>
      <c r="AC16" s="140">
        <v>0.16850000000000001</v>
      </c>
      <c r="AD16" s="172"/>
      <c r="AE16" s="108"/>
      <c r="AF16" s="104"/>
    </row>
    <row r="17" spans="1:32" ht="24.95" customHeight="1" x14ac:dyDescent="0.15">
      <c r="A17" s="139" t="s">
        <v>245</v>
      </c>
      <c r="B17" s="115" t="s">
        <v>257</v>
      </c>
      <c r="C17" s="139" t="str">
        <f t="shared" si="34"/>
        <v>存续</v>
      </c>
      <c r="D17" s="102" t="s">
        <v>428</v>
      </c>
      <c r="E17" s="139" t="s">
        <v>263</v>
      </c>
      <c r="F17" s="175">
        <v>43809</v>
      </c>
      <c r="G17" s="48">
        <v>43837</v>
      </c>
      <c r="H17" s="174" t="s">
        <v>371</v>
      </c>
      <c r="I17" s="174" t="s">
        <v>222</v>
      </c>
      <c r="J17" s="139" t="s">
        <v>56</v>
      </c>
      <c r="K17" s="104">
        <v>50</v>
      </c>
      <c r="L17" s="103">
        <v>50550</v>
      </c>
      <c r="M17" s="103">
        <v>48610</v>
      </c>
      <c r="N17" s="103">
        <f>403.5/2</f>
        <v>201.75</v>
      </c>
      <c r="O17" s="103">
        <f t="shared" ref="O17:O24" si="38">N17*K17</f>
        <v>10087.5</v>
      </c>
      <c r="P17" s="101" t="s">
        <v>395</v>
      </c>
      <c r="Q17" s="103"/>
      <c r="R17" s="103"/>
      <c r="S17" s="103"/>
      <c r="T17" s="103"/>
      <c r="U17" s="103"/>
      <c r="V17" s="103"/>
      <c r="W17" s="103"/>
      <c r="X17" s="186"/>
      <c r="Y17" s="131">
        <f t="shared" ref="Y17:Y24" si="39">M17*K17</f>
        <v>2430500</v>
      </c>
      <c r="Z17" s="174" t="str">
        <f t="shared" ref="Z17:Z22" si="40">IF(C17="存续",D17&amp;H17&amp;"-"&amp;AA17,"")</f>
        <v>亨通集团上海贸易有限公司cu2002-买入19-新27</v>
      </c>
      <c r="AA17" s="174" t="str">
        <f>IF(I17="买入","卖出","买入19-新27")</f>
        <v>买入19-新27</v>
      </c>
      <c r="AB17" s="174">
        <v>211</v>
      </c>
      <c r="AC17" s="140">
        <v>0.152</v>
      </c>
      <c r="AD17" s="141">
        <v>0.152</v>
      </c>
      <c r="AE17" s="103"/>
      <c r="AF17" s="104">
        <v>31250</v>
      </c>
    </row>
    <row r="18" spans="1:32" ht="24.95" customHeight="1" x14ac:dyDescent="0.15">
      <c r="A18" s="139" t="s">
        <v>245</v>
      </c>
      <c r="B18" s="115" t="s">
        <v>257</v>
      </c>
      <c r="C18" s="139" t="str">
        <f t="shared" si="34"/>
        <v>存续</v>
      </c>
      <c r="D18" s="102" t="s">
        <v>428</v>
      </c>
      <c r="E18" s="139" t="s">
        <v>263</v>
      </c>
      <c r="F18" s="175">
        <v>43809</v>
      </c>
      <c r="G18" s="48">
        <v>43837</v>
      </c>
      <c r="H18" s="174" t="s">
        <v>371</v>
      </c>
      <c r="I18" s="174" t="s">
        <v>222</v>
      </c>
      <c r="J18" s="139" t="s">
        <v>59</v>
      </c>
      <c r="K18" s="104">
        <v>50</v>
      </c>
      <c r="L18" s="103">
        <v>46670</v>
      </c>
      <c r="M18" s="103">
        <v>48610</v>
      </c>
      <c r="N18" s="103">
        <f>403.5/2</f>
        <v>201.75</v>
      </c>
      <c r="O18" s="103">
        <f t="shared" si="38"/>
        <v>10087.5</v>
      </c>
      <c r="P18" s="101" t="s">
        <v>395</v>
      </c>
      <c r="Q18" s="103"/>
      <c r="R18" s="103"/>
      <c r="S18" s="103"/>
      <c r="T18" s="103"/>
      <c r="U18" s="103"/>
      <c r="V18" s="103"/>
      <c r="W18" s="103"/>
      <c r="X18" s="186"/>
      <c r="Y18" s="131">
        <f t="shared" si="39"/>
        <v>2430500</v>
      </c>
      <c r="Z18" s="174" t="str">
        <f t="shared" si="40"/>
        <v>亨通集团上海贸易有限公司cu2002-买入19-新27</v>
      </c>
      <c r="AA18" s="174" t="str">
        <f>IF(I18="买入","卖出","买入19-新27")</f>
        <v>买入19-新27</v>
      </c>
      <c r="AB18" s="174">
        <v>211</v>
      </c>
      <c r="AC18" s="140">
        <v>0.152</v>
      </c>
      <c r="AD18" s="141">
        <v>0.152</v>
      </c>
      <c r="AE18" s="103"/>
      <c r="AF18" s="104">
        <v>31250</v>
      </c>
    </row>
    <row r="19" spans="1:32" ht="24.95" customHeight="1" x14ac:dyDescent="0.15">
      <c r="A19" s="139" t="s">
        <v>259</v>
      </c>
      <c r="B19" s="115" t="s">
        <v>257</v>
      </c>
      <c r="C19" s="139" t="str">
        <f t="shared" si="34"/>
        <v>存续</v>
      </c>
      <c r="D19" s="117" t="s">
        <v>435</v>
      </c>
      <c r="E19" s="139" t="s">
        <v>264</v>
      </c>
      <c r="F19" s="177">
        <v>43810</v>
      </c>
      <c r="G19" s="48">
        <v>43840</v>
      </c>
      <c r="H19" s="176" t="s">
        <v>385</v>
      </c>
      <c r="I19" s="176" t="s">
        <v>302</v>
      </c>
      <c r="J19" s="139" t="s">
        <v>56</v>
      </c>
      <c r="K19" s="176">
        <v>500</v>
      </c>
      <c r="L19" s="176">
        <v>6630</v>
      </c>
      <c r="M19" s="176">
        <v>6630</v>
      </c>
      <c r="N19" s="176">
        <v>104.09</v>
      </c>
      <c r="O19" s="176">
        <f t="shared" si="38"/>
        <v>52045</v>
      </c>
      <c r="P19" s="104" t="s">
        <v>384</v>
      </c>
      <c r="Q19" s="176"/>
      <c r="R19" s="104"/>
      <c r="S19" s="104"/>
      <c r="T19" s="177"/>
      <c r="U19" s="176"/>
      <c r="V19" s="135"/>
      <c r="W19" s="177"/>
      <c r="X19" s="186"/>
      <c r="Y19" s="131">
        <f t="shared" si="39"/>
        <v>3315000</v>
      </c>
      <c r="Z19" s="176" t="str">
        <f t="shared" si="40"/>
        <v>上海海通资源管理有限公司v2005-卖出</v>
      </c>
      <c r="AA19" s="176" t="str">
        <f t="shared" ref="AA19:AA22" si="41">IF(I19="买入","卖出","买入")</f>
        <v>卖出</v>
      </c>
      <c r="AB19" s="176">
        <v>212</v>
      </c>
      <c r="AC19" s="140">
        <v>0.13500000000000001</v>
      </c>
      <c r="AD19" s="134">
        <v>0.115</v>
      </c>
      <c r="AE19" s="136"/>
      <c r="AF19" s="147"/>
    </row>
    <row r="20" spans="1:32" ht="24.95" customHeight="1" x14ac:dyDescent="0.15">
      <c r="A20" s="139" t="s">
        <v>259</v>
      </c>
      <c r="B20" s="115" t="s">
        <v>257</v>
      </c>
      <c r="C20" s="139" t="str">
        <f t="shared" si="34"/>
        <v>存续</v>
      </c>
      <c r="D20" s="117" t="s">
        <v>435</v>
      </c>
      <c r="E20" s="139" t="s">
        <v>264</v>
      </c>
      <c r="F20" s="177">
        <v>43810</v>
      </c>
      <c r="G20" s="48">
        <v>43840</v>
      </c>
      <c r="H20" s="176" t="s">
        <v>385</v>
      </c>
      <c r="I20" s="176" t="s">
        <v>302</v>
      </c>
      <c r="J20" s="139" t="s">
        <v>224</v>
      </c>
      <c r="K20" s="176">
        <v>500</v>
      </c>
      <c r="L20" s="176">
        <v>6630</v>
      </c>
      <c r="M20" s="176">
        <v>6630</v>
      </c>
      <c r="N20" s="176">
        <v>104.09</v>
      </c>
      <c r="O20" s="176">
        <f t="shared" si="38"/>
        <v>52045</v>
      </c>
      <c r="P20" s="104" t="s">
        <v>384</v>
      </c>
      <c r="Q20" s="176"/>
      <c r="R20" s="104"/>
      <c r="S20" s="104"/>
      <c r="T20" s="177"/>
      <c r="U20" s="176"/>
      <c r="V20" s="135"/>
      <c r="W20" s="177"/>
      <c r="X20" s="186"/>
      <c r="Y20" s="131">
        <f t="shared" si="39"/>
        <v>3315000</v>
      </c>
      <c r="Z20" s="176" t="str">
        <f t="shared" si="40"/>
        <v>上海海通资源管理有限公司v2005-卖出</v>
      </c>
      <c r="AA20" s="176" t="str">
        <f t="shared" si="41"/>
        <v>卖出</v>
      </c>
      <c r="AB20" s="176">
        <v>212</v>
      </c>
      <c r="AC20" s="140">
        <v>0.13500000000000001</v>
      </c>
      <c r="AD20" s="134">
        <v>0.115</v>
      </c>
      <c r="AE20" s="136"/>
      <c r="AF20" s="147"/>
    </row>
    <row r="21" spans="1:32" ht="24.95" customHeight="1" x14ac:dyDescent="0.15">
      <c r="A21" s="139" t="s">
        <v>259</v>
      </c>
      <c r="B21" s="115" t="s">
        <v>386</v>
      </c>
      <c r="C21" s="139" t="str">
        <f t="shared" si="34"/>
        <v>存续</v>
      </c>
      <c r="D21" s="117" t="s">
        <v>431</v>
      </c>
      <c r="E21" s="139" t="s">
        <v>387</v>
      </c>
      <c r="F21" s="179">
        <v>43811</v>
      </c>
      <c r="G21" s="48">
        <v>43843</v>
      </c>
      <c r="H21" s="178" t="s">
        <v>391</v>
      </c>
      <c r="I21" s="178" t="s">
        <v>388</v>
      </c>
      <c r="J21" s="139" t="s">
        <v>299</v>
      </c>
      <c r="K21" s="178">
        <v>350</v>
      </c>
      <c r="L21" s="178">
        <v>13210</v>
      </c>
      <c r="M21" s="178">
        <v>13210</v>
      </c>
      <c r="N21" s="178">
        <v>293.26</v>
      </c>
      <c r="O21" s="178">
        <f t="shared" si="38"/>
        <v>102641</v>
      </c>
      <c r="P21" s="101" t="s">
        <v>397</v>
      </c>
      <c r="Q21" s="178"/>
      <c r="R21" s="104"/>
      <c r="S21" s="104"/>
      <c r="T21" s="179"/>
      <c r="U21" s="178"/>
      <c r="V21" s="178"/>
      <c r="W21" s="179"/>
      <c r="X21" s="178"/>
      <c r="Y21" s="131">
        <f t="shared" si="39"/>
        <v>4623500</v>
      </c>
      <c r="Z21" s="178" t="str">
        <f t="shared" si="40"/>
        <v>深圳茂源资本资产管理有限公司ru2005-卖出</v>
      </c>
      <c r="AA21" s="178" t="str">
        <f t="shared" si="41"/>
        <v>卖出</v>
      </c>
      <c r="AB21" s="178">
        <v>214</v>
      </c>
      <c r="AC21" s="140">
        <v>0.19</v>
      </c>
      <c r="AD21" s="134">
        <v>0.17</v>
      </c>
      <c r="AE21" s="108"/>
      <c r="AF21" s="147"/>
    </row>
    <row r="22" spans="1:32" ht="24.95" customHeight="1" x14ac:dyDescent="0.15">
      <c r="A22" s="139" t="s">
        <v>259</v>
      </c>
      <c r="B22" s="115" t="s">
        <v>386</v>
      </c>
      <c r="C22" s="139" t="str">
        <f t="shared" si="34"/>
        <v>存续</v>
      </c>
      <c r="D22" s="117" t="s">
        <v>431</v>
      </c>
      <c r="E22" s="139" t="s">
        <v>357</v>
      </c>
      <c r="F22" s="179">
        <v>43811</v>
      </c>
      <c r="G22" s="48">
        <v>43843</v>
      </c>
      <c r="H22" s="178" t="s">
        <v>391</v>
      </c>
      <c r="I22" s="178" t="s">
        <v>389</v>
      </c>
      <c r="J22" s="139" t="s">
        <v>390</v>
      </c>
      <c r="K22" s="178">
        <v>350</v>
      </c>
      <c r="L22" s="178">
        <v>13210</v>
      </c>
      <c r="M22" s="178">
        <v>13210</v>
      </c>
      <c r="N22" s="178">
        <v>293.26</v>
      </c>
      <c r="O22" s="178">
        <f t="shared" si="38"/>
        <v>102641</v>
      </c>
      <c r="P22" s="101" t="s">
        <v>397</v>
      </c>
      <c r="Q22" s="178"/>
      <c r="R22" s="104"/>
      <c r="S22" s="104"/>
      <c r="T22" s="179"/>
      <c r="U22" s="178"/>
      <c r="V22" s="178"/>
      <c r="W22" s="179"/>
      <c r="X22" s="178"/>
      <c r="Y22" s="131">
        <f t="shared" si="39"/>
        <v>4623500</v>
      </c>
      <c r="Z22" s="178" t="str">
        <f t="shared" si="40"/>
        <v>深圳茂源资本资产管理有限公司ru2005-卖出</v>
      </c>
      <c r="AA22" s="178" t="str">
        <f t="shared" si="41"/>
        <v>卖出</v>
      </c>
      <c r="AB22" s="178">
        <v>214</v>
      </c>
      <c r="AC22" s="140">
        <v>0.19</v>
      </c>
      <c r="AD22" s="134">
        <v>0.17</v>
      </c>
      <c r="AE22" s="108"/>
      <c r="AF22" s="147"/>
    </row>
    <row r="23" spans="1:32" ht="24.95" customHeight="1" x14ac:dyDescent="0.15">
      <c r="A23" s="139" t="s">
        <v>259</v>
      </c>
      <c r="B23" s="115" t="s">
        <v>301</v>
      </c>
      <c r="C23" s="139" t="str">
        <f t="shared" si="34"/>
        <v>存续</v>
      </c>
      <c r="D23" s="117" t="s">
        <v>439</v>
      </c>
      <c r="E23" s="139" t="s">
        <v>263</v>
      </c>
      <c r="F23" s="181">
        <v>43811</v>
      </c>
      <c r="G23" s="48">
        <v>43843</v>
      </c>
      <c r="H23" s="180" t="s">
        <v>352</v>
      </c>
      <c r="I23" s="180" t="s">
        <v>325</v>
      </c>
      <c r="J23" s="139" t="s">
        <v>224</v>
      </c>
      <c r="K23" s="180">
        <v>1000</v>
      </c>
      <c r="L23" s="180">
        <v>14000</v>
      </c>
      <c r="M23" s="180">
        <v>13240</v>
      </c>
      <c r="N23" s="180">
        <v>845.86</v>
      </c>
      <c r="O23" s="180">
        <f t="shared" si="38"/>
        <v>845860</v>
      </c>
      <c r="P23" s="101" t="s">
        <v>396</v>
      </c>
      <c r="Q23" s="180"/>
      <c r="R23" s="104"/>
      <c r="S23" s="104"/>
      <c r="T23" s="181"/>
      <c r="U23" s="180"/>
      <c r="V23" s="180"/>
      <c r="W23" s="181"/>
      <c r="X23" s="180"/>
      <c r="Y23" s="131">
        <f t="shared" si="39"/>
        <v>13240000</v>
      </c>
      <c r="Z23" s="180" t="str">
        <f t="shared" ref="Z23:Z31" si="42">IF(C23="存续",D23&amp;H23&amp;"-"&amp;AA23,"")</f>
        <v>宁波杉杉能化有限公司ru2005-卖出</v>
      </c>
      <c r="AA23" s="180" t="str">
        <f t="shared" ref="AA23:AA26" si="43">IF(I23="买入","卖出","买入")</f>
        <v>卖出</v>
      </c>
      <c r="AB23" s="180">
        <v>215</v>
      </c>
      <c r="AC23" s="140">
        <v>0.215</v>
      </c>
      <c r="AD23" s="134">
        <v>0.19500000000000001</v>
      </c>
      <c r="AE23" s="180" t="s">
        <v>392</v>
      </c>
      <c r="AF23" s="147"/>
    </row>
    <row r="24" spans="1:32" ht="24.95" customHeight="1" x14ac:dyDescent="0.15">
      <c r="A24" s="139" t="s">
        <v>266</v>
      </c>
      <c r="B24" s="115" t="s">
        <v>258</v>
      </c>
      <c r="C24" s="139" t="str">
        <f t="shared" si="34"/>
        <v>存续</v>
      </c>
      <c r="D24" s="118" t="s">
        <v>430</v>
      </c>
      <c r="E24" s="139" t="s">
        <v>264</v>
      </c>
      <c r="F24" s="183">
        <v>43811</v>
      </c>
      <c r="G24" s="48">
        <v>43843</v>
      </c>
      <c r="H24" s="182" t="s">
        <v>393</v>
      </c>
      <c r="I24" s="182" t="s">
        <v>241</v>
      </c>
      <c r="J24" s="139" t="s">
        <v>394</v>
      </c>
      <c r="K24" s="104">
        <v>10000</v>
      </c>
      <c r="L24" s="104">
        <v>690</v>
      </c>
      <c r="M24" s="104">
        <v>650</v>
      </c>
      <c r="N24" s="104">
        <v>5.4</v>
      </c>
      <c r="O24" s="104">
        <f t="shared" si="38"/>
        <v>54000</v>
      </c>
      <c r="P24" s="101" t="s">
        <v>399</v>
      </c>
      <c r="Q24" s="182"/>
      <c r="R24" s="104"/>
      <c r="S24" s="104"/>
      <c r="T24" s="182"/>
      <c r="U24" s="182"/>
      <c r="V24" s="139"/>
      <c r="W24" s="183"/>
      <c r="X24" s="182"/>
      <c r="Y24" s="131">
        <f t="shared" si="39"/>
        <v>6500000</v>
      </c>
      <c r="Z24" s="104" t="str">
        <f t="shared" si="42"/>
        <v>中信证券股份有限公司i2005-卖出</v>
      </c>
      <c r="AA24" s="104" t="str">
        <f t="shared" si="43"/>
        <v>卖出</v>
      </c>
      <c r="AB24" s="104">
        <v>216</v>
      </c>
      <c r="AC24" s="134">
        <v>0.2445</v>
      </c>
      <c r="AD24" s="104"/>
      <c r="AE24" s="104"/>
      <c r="AF24" s="104"/>
    </row>
    <row r="25" spans="1:32" ht="24.95" customHeight="1" x14ac:dyDescent="0.15">
      <c r="A25" s="139" t="s">
        <v>259</v>
      </c>
      <c r="B25" s="115" t="s">
        <v>273</v>
      </c>
      <c r="C25" s="139" t="str">
        <f t="shared" ref="C25:C29" si="44">IF(Q25="","存续","到期")</f>
        <v>存续</v>
      </c>
      <c r="D25" s="117" t="s">
        <v>431</v>
      </c>
      <c r="E25" s="139" t="s">
        <v>252</v>
      </c>
      <c r="F25" s="185">
        <v>43812</v>
      </c>
      <c r="G25" s="48">
        <v>43843</v>
      </c>
      <c r="H25" s="184" t="s">
        <v>374</v>
      </c>
      <c r="I25" s="184" t="s">
        <v>222</v>
      </c>
      <c r="J25" s="139" t="s">
        <v>299</v>
      </c>
      <c r="K25" s="184">
        <v>750</v>
      </c>
      <c r="L25" s="184">
        <v>6550</v>
      </c>
      <c r="M25" s="184">
        <v>6550</v>
      </c>
      <c r="N25" s="184">
        <v>94.32</v>
      </c>
      <c r="O25" s="184">
        <f t="shared" ref="O25:O28" si="45">N25*K25</f>
        <v>70740</v>
      </c>
      <c r="P25" s="101" t="s">
        <v>398</v>
      </c>
      <c r="Q25" s="184"/>
      <c r="R25" s="104"/>
      <c r="S25" s="104"/>
      <c r="T25" s="185"/>
      <c r="U25" s="184"/>
      <c r="V25" s="184"/>
      <c r="W25" s="185"/>
      <c r="X25" s="184"/>
      <c r="Y25" s="131">
        <f t="shared" ref="Y25:Y29" si="46">M25*K25</f>
        <v>4912500</v>
      </c>
      <c r="Z25" s="184" t="str">
        <f t="shared" si="42"/>
        <v>深圳茂源资本资产管理有限公司v2005-买入</v>
      </c>
      <c r="AA25" s="184" t="str">
        <f t="shared" si="43"/>
        <v>买入</v>
      </c>
      <c r="AB25" s="184">
        <v>217</v>
      </c>
      <c r="AC25" s="140">
        <v>0.126</v>
      </c>
      <c r="AD25" s="134">
        <v>0.14599999999999999</v>
      </c>
      <c r="AE25" s="108"/>
      <c r="AF25" s="147"/>
    </row>
    <row r="26" spans="1:32" ht="24.95" customHeight="1" x14ac:dyDescent="0.15">
      <c r="A26" s="139" t="s">
        <v>259</v>
      </c>
      <c r="B26" s="115" t="s">
        <v>273</v>
      </c>
      <c r="C26" s="139" t="str">
        <f t="shared" si="44"/>
        <v>存续</v>
      </c>
      <c r="D26" s="117" t="s">
        <v>431</v>
      </c>
      <c r="E26" s="139" t="s">
        <v>252</v>
      </c>
      <c r="F26" s="185">
        <v>43812</v>
      </c>
      <c r="G26" s="48">
        <v>43843</v>
      </c>
      <c r="H26" s="184" t="s">
        <v>374</v>
      </c>
      <c r="I26" s="184" t="s">
        <v>222</v>
      </c>
      <c r="J26" s="139" t="s">
        <v>354</v>
      </c>
      <c r="K26" s="184">
        <v>750</v>
      </c>
      <c r="L26" s="184">
        <v>6550</v>
      </c>
      <c r="M26" s="184">
        <v>6550</v>
      </c>
      <c r="N26" s="184">
        <v>94.32</v>
      </c>
      <c r="O26" s="184">
        <f t="shared" si="45"/>
        <v>70740</v>
      </c>
      <c r="P26" s="101" t="s">
        <v>398</v>
      </c>
      <c r="Q26" s="184"/>
      <c r="R26" s="104"/>
      <c r="S26" s="104"/>
      <c r="T26" s="185"/>
      <c r="U26" s="184"/>
      <c r="V26" s="184"/>
      <c r="W26" s="185"/>
      <c r="X26" s="184"/>
      <c r="Y26" s="131">
        <f t="shared" si="46"/>
        <v>4912500</v>
      </c>
      <c r="Z26" s="184" t="str">
        <f t="shared" si="42"/>
        <v>深圳茂源资本资产管理有限公司v2005-买入</v>
      </c>
      <c r="AA26" s="184" t="str">
        <f t="shared" si="43"/>
        <v>买入</v>
      </c>
      <c r="AB26" s="184">
        <v>217</v>
      </c>
      <c r="AC26" s="140">
        <v>0.126</v>
      </c>
      <c r="AD26" s="134">
        <v>0.14599999999999999</v>
      </c>
      <c r="AE26" s="108"/>
      <c r="AF26" s="147"/>
    </row>
    <row r="27" spans="1:32" ht="24.95" customHeight="1" x14ac:dyDescent="0.15">
      <c r="A27" s="139" t="s">
        <v>245</v>
      </c>
      <c r="B27" s="115" t="s">
        <v>257</v>
      </c>
      <c r="C27" s="139" t="str">
        <f t="shared" si="44"/>
        <v>存续</v>
      </c>
      <c r="D27" s="102" t="s">
        <v>428</v>
      </c>
      <c r="E27" s="139" t="s">
        <v>263</v>
      </c>
      <c r="F27" s="187">
        <v>43816</v>
      </c>
      <c r="G27" s="48">
        <v>43844</v>
      </c>
      <c r="H27" s="186" t="s">
        <v>400</v>
      </c>
      <c r="I27" s="186" t="s">
        <v>222</v>
      </c>
      <c r="J27" s="139" t="s">
        <v>56</v>
      </c>
      <c r="K27" s="104">
        <v>50</v>
      </c>
      <c r="L27" s="103">
        <v>51000</v>
      </c>
      <c r="M27" s="103">
        <v>49280</v>
      </c>
      <c r="N27" s="103">
        <f>409.06/2</f>
        <v>204.53</v>
      </c>
      <c r="O27" s="103">
        <f t="shared" si="45"/>
        <v>10226.5</v>
      </c>
      <c r="P27" s="101" t="s">
        <v>403</v>
      </c>
      <c r="Q27" s="103"/>
      <c r="R27" s="103"/>
      <c r="S27" s="103"/>
      <c r="T27" s="103"/>
      <c r="U27" s="103"/>
      <c r="V27" s="103"/>
      <c r="W27" s="103"/>
      <c r="X27" s="186"/>
      <c r="Y27" s="131">
        <f t="shared" si="46"/>
        <v>2464000</v>
      </c>
      <c r="Z27" s="186" t="str">
        <f t="shared" si="42"/>
        <v>亨通集团上海贸易有限公司cu2003-买入19-新28</v>
      </c>
      <c r="AA27" s="186" t="str">
        <f>IF(I27="买入","卖出","买入19-新28")</f>
        <v>买入19-新28</v>
      </c>
      <c r="AB27" s="186">
        <v>218</v>
      </c>
      <c r="AC27" s="140">
        <v>0.152</v>
      </c>
      <c r="AD27" s="141">
        <v>0.152</v>
      </c>
      <c r="AE27" s="103"/>
      <c r="AF27" s="104">
        <v>31250</v>
      </c>
    </row>
    <row r="28" spans="1:32" ht="24.95" customHeight="1" x14ac:dyDescent="0.15">
      <c r="A28" s="139" t="s">
        <v>245</v>
      </c>
      <c r="B28" s="115" t="s">
        <v>257</v>
      </c>
      <c r="C28" s="139" t="str">
        <f t="shared" si="44"/>
        <v>存续</v>
      </c>
      <c r="D28" s="102" t="s">
        <v>428</v>
      </c>
      <c r="E28" s="139" t="s">
        <v>263</v>
      </c>
      <c r="F28" s="187">
        <v>43816</v>
      </c>
      <c r="G28" s="48">
        <v>43844</v>
      </c>
      <c r="H28" s="186" t="s">
        <v>401</v>
      </c>
      <c r="I28" s="186" t="s">
        <v>222</v>
      </c>
      <c r="J28" s="139" t="s">
        <v>59</v>
      </c>
      <c r="K28" s="104">
        <v>50</v>
      </c>
      <c r="L28" s="103">
        <v>47060</v>
      </c>
      <c r="M28" s="103">
        <v>49280</v>
      </c>
      <c r="N28" s="103">
        <f>409.06/2</f>
        <v>204.53</v>
      </c>
      <c r="O28" s="103">
        <f t="shared" si="45"/>
        <v>10226.5</v>
      </c>
      <c r="P28" s="101" t="s">
        <v>404</v>
      </c>
      <c r="Q28" s="103"/>
      <c r="R28" s="103"/>
      <c r="S28" s="103"/>
      <c r="T28" s="103"/>
      <c r="U28" s="103"/>
      <c r="V28" s="103"/>
      <c r="W28" s="103"/>
      <c r="X28" s="186"/>
      <c r="Y28" s="131">
        <f t="shared" si="46"/>
        <v>2464000</v>
      </c>
      <c r="Z28" s="186" t="str">
        <f t="shared" si="42"/>
        <v>亨通集团上海贸易有限公司cu2003-买入19-新28</v>
      </c>
      <c r="AA28" s="186" t="str">
        <f>IF(I28="买入","卖出","买入19-新28")</f>
        <v>买入19-新28</v>
      </c>
      <c r="AB28" s="186">
        <v>218</v>
      </c>
      <c r="AC28" s="140">
        <v>0.152</v>
      </c>
      <c r="AD28" s="141">
        <v>0.152</v>
      </c>
      <c r="AE28" s="103"/>
      <c r="AF28" s="104">
        <v>31250</v>
      </c>
    </row>
    <row r="29" spans="1:32" ht="24.95" customHeight="1" x14ac:dyDescent="0.15">
      <c r="A29" s="139" t="s">
        <v>266</v>
      </c>
      <c r="B29" s="115" t="s">
        <v>273</v>
      </c>
      <c r="C29" s="139" t="str">
        <f t="shared" si="44"/>
        <v>存续</v>
      </c>
      <c r="D29" s="118" t="s">
        <v>433</v>
      </c>
      <c r="E29" s="139" t="s">
        <v>252</v>
      </c>
      <c r="F29" s="189">
        <v>43817</v>
      </c>
      <c r="G29" s="189">
        <v>43845</v>
      </c>
      <c r="H29" s="188" t="s">
        <v>402</v>
      </c>
      <c r="I29" s="188" t="s">
        <v>241</v>
      </c>
      <c r="J29" s="139" t="s">
        <v>59</v>
      </c>
      <c r="K29" s="188">
        <v>8120</v>
      </c>
      <c r="L29" s="104">
        <v>1591.77</v>
      </c>
      <c r="M29" s="188">
        <v>1641</v>
      </c>
      <c r="N29" s="188">
        <f>200000/8120</f>
        <v>24.630541871921181</v>
      </c>
      <c r="O29" s="188">
        <f>N29*K29</f>
        <v>200000</v>
      </c>
      <c r="P29" s="101" t="s">
        <v>405</v>
      </c>
      <c r="Q29" s="103"/>
      <c r="R29" s="104"/>
      <c r="S29" s="104"/>
      <c r="T29" s="189"/>
      <c r="U29" s="188"/>
      <c r="V29" s="188"/>
      <c r="W29" s="189"/>
      <c r="X29" s="188"/>
      <c r="Y29" s="131">
        <f t="shared" si="46"/>
        <v>13324920</v>
      </c>
      <c r="Z29" s="188" t="str">
        <f t="shared" si="42"/>
        <v>卓汇基金管理有限公司SA005-卖出</v>
      </c>
      <c r="AA29" s="104" t="str">
        <f t="shared" ref="AA29:AA31" si="47">IF(I29="买入","卖出","买入")</f>
        <v>卖出</v>
      </c>
      <c r="AB29" s="188">
        <v>219</v>
      </c>
      <c r="AC29" s="140">
        <v>0.25</v>
      </c>
      <c r="AD29" s="140">
        <v>0.2</v>
      </c>
      <c r="AE29" s="188"/>
      <c r="AF29" s="104"/>
    </row>
    <row r="30" spans="1:32" ht="24.95" customHeight="1" x14ac:dyDescent="0.15">
      <c r="A30" s="139" t="s">
        <v>259</v>
      </c>
      <c r="B30" s="115" t="s">
        <v>258</v>
      </c>
      <c r="C30" s="139" t="str">
        <f t="shared" ref="C30:C31" si="48">IF(W30="","存续","到期")</f>
        <v>存续</v>
      </c>
      <c r="D30" s="117" t="s">
        <v>426</v>
      </c>
      <c r="E30" s="139" t="s">
        <v>137</v>
      </c>
      <c r="F30" s="191">
        <v>43818</v>
      </c>
      <c r="G30" s="191">
        <v>43938</v>
      </c>
      <c r="H30" s="190" t="s">
        <v>407</v>
      </c>
      <c r="I30" s="190" t="s">
        <v>241</v>
      </c>
      <c r="J30" s="139" t="s">
        <v>223</v>
      </c>
      <c r="K30" s="104">
        <v>1000</v>
      </c>
      <c r="L30" s="104">
        <v>5932</v>
      </c>
      <c r="M30" s="104">
        <v>5932</v>
      </c>
      <c r="N30" s="104">
        <v>252</v>
      </c>
      <c r="O30" s="104">
        <f t="shared" ref="O30:O31" si="49">N30*K30</f>
        <v>252000</v>
      </c>
      <c r="P30" s="103" t="s">
        <v>406</v>
      </c>
      <c r="Q30" s="104"/>
      <c r="R30" s="104"/>
      <c r="S30" s="104"/>
      <c r="T30" s="191"/>
      <c r="U30" s="104"/>
      <c r="V30" s="104"/>
      <c r="W30" s="191"/>
      <c r="X30" s="103"/>
      <c r="Y30" s="130">
        <f>M30*K30</f>
        <v>5932000</v>
      </c>
      <c r="Z30" s="190" t="str">
        <f t="shared" si="42"/>
        <v>浙江永安资本管理有限公司p2005-卖出</v>
      </c>
      <c r="AA30" s="190" t="str">
        <f t="shared" si="47"/>
        <v>卖出</v>
      </c>
      <c r="AB30" s="190">
        <v>220</v>
      </c>
      <c r="AC30" s="140">
        <v>0.19</v>
      </c>
      <c r="AD30" s="140">
        <v>0.13</v>
      </c>
      <c r="AE30" s="190"/>
      <c r="AF30" s="103"/>
    </row>
    <row r="31" spans="1:32" ht="24.95" customHeight="1" x14ac:dyDescent="0.15">
      <c r="A31" s="139" t="s">
        <v>259</v>
      </c>
      <c r="B31" s="115" t="s">
        <v>258</v>
      </c>
      <c r="C31" s="139" t="str">
        <f t="shared" si="48"/>
        <v>存续</v>
      </c>
      <c r="D31" s="117" t="s">
        <v>426</v>
      </c>
      <c r="E31" s="139" t="s">
        <v>137</v>
      </c>
      <c r="F31" s="191">
        <v>43818</v>
      </c>
      <c r="G31" s="191">
        <v>43938</v>
      </c>
      <c r="H31" s="190" t="s">
        <v>407</v>
      </c>
      <c r="I31" s="190" t="s">
        <v>241</v>
      </c>
      <c r="J31" s="139" t="s">
        <v>59</v>
      </c>
      <c r="K31" s="104">
        <v>1000</v>
      </c>
      <c r="L31" s="104">
        <v>5932</v>
      </c>
      <c r="M31" s="104">
        <v>5932</v>
      </c>
      <c r="N31" s="104">
        <v>252</v>
      </c>
      <c r="O31" s="104">
        <f t="shared" si="49"/>
        <v>252000</v>
      </c>
      <c r="P31" s="103" t="s">
        <v>406</v>
      </c>
      <c r="Q31" s="104"/>
      <c r="R31" s="104"/>
      <c r="S31" s="104"/>
      <c r="T31" s="191"/>
      <c r="U31" s="104"/>
      <c r="V31" s="104"/>
      <c r="W31" s="191"/>
      <c r="X31" s="103"/>
      <c r="Y31" s="130">
        <f>M31*K31</f>
        <v>5932000</v>
      </c>
      <c r="Z31" s="190" t="str">
        <f t="shared" si="42"/>
        <v>浙江永安资本管理有限公司p2005-卖出</v>
      </c>
      <c r="AA31" s="190" t="str">
        <f t="shared" si="47"/>
        <v>卖出</v>
      </c>
      <c r="AB31" s="190">
        <v>220</v>
      </c>
      <c r="AC31" s="140">
        <v>0.19</v>
      </c>
      <c r="AD31" s="140">
        <v>0.13</v>
      </c>
      <c r="AE31" s="190"/>
      <c r="AF31" s="103"/>
    </row>
    <row r="32" spans="1:32" ht="24.95" customHeight="1" x14ac:dyDescent="0.15">
      <c r="A32" s="139" t="s">
        <v>245</v>
      </c>
      <c r="B32" s="115" t="s">
        <v>257</v>
      </c>
      <c r="C32" s="139" t="str">
        <f>IF(Q32="","存续","到期")</f>
        <v>存续</v>
      </c>
      <c r="D32" s="142" t="s">
        <v>432</v>
      </c>
      <c r="E32" s="139" t="s">
        <v>309</v>
      </c>
      <c r="F32" s="48">
        <v>43822</v>
      </c>
      <c r="G32" s="193">
        <v>43850</v>
      </c>
      <c r="H32" s="192" t="s">
        <v>408</v>
      </c>
      <c r="I32" s="192" t="s">
        <v>310</v>
      </c>
      <c r="J32" s="139" t="s">
        <v>311</v>
      </c>
      <c r="K32" s="192">
        <v>1200</v>
      </c>
      <c r="L32" s="192">
        <v>6444</v>
      </c>
      <c r="M32" s="192">
        <v>6060</v>
      </c>
      <c r="N32" s="192">
        <v>41.31</v>
      </c>
      <c r="O32" s="192">
        <f t="shared" ref="O32" si="50">N32*K32</f>
        <v>49572</v>
      </c>
      <c r="P32" s="101" t="s">
        <v>417</v>
      </c>
      <c r="Q32" s="103"/>
      <c r="R32" s="103"/>
      <c r="S32" s="103"/>
      <c r="T32" s="48"/>
      <c r="U32" s="135"/>
      <c r="V32" s="135"/>
      <c r="W32" s="135"/>
      <c r="X32" s="103"/>
      <c r="Y32" s="131">
        <f>ABS(M32*K32)</f>
        <v>7272000</v>
      </c>
      <c r="Z32" s="192" t="str">
        <f t="shared" ref="Z32:Z37" si="51">IF(C32="存续",D32&amp;H32&amp;"-"&amp;AA32,"")</f>
        <v>南京构世云贸易有限公司p2005-卖出</v>
      </c>
      <c r="AA32" s="192" t="str">
        <f t="shared" ref="AA32:AA33" si="52">IF(I32="买入","卖出","买入")</f>
        <v>卖出</v>
      </c>
      <c r="AB32" s="192">
        <v>223</v>
      </c>
      <c r="AC32" s="140">
        <v>0.23780000000000001</v>
      </c>
      <c r="AD32" s="140">
        <v>0.21779999999999999</v>
      </c>
      <c r="AE32" s="133"/>
      <c r="AF32" s="104"/>
    </row>
    <row r="33" spans="1:32" ht="24.95" customHeight="1" x14ac:dyDescent="0.15">
      <c r="A33" s="139" t="s">
        <v>259</v>
      </c>
      <c r="B33" s="115" t="s">
        <v>257</v>
      </c>
      <c r="C33" s="139" t="str">
        <f t="shared" ref="C33:C35" si="53">IF(Q33="","存续","到期")</f>
        <v>存续</v>
      </c>
      <c r="D33" s="117" t="s">
        <v>425</v>
      </c>
      <c r="E33" s="139" t="s">
        <v>263</v>
      </c>
      <c r="F33" s="48">
        <v>43822</v>
      </c>
      <c r="G33" s="193">
        <v>43850</v>
      </c>
      <c r="H33" s="192" t="s">
        <v>409</v>
      </c>
      <c r="I33" s="192" t="s">
        <v>222</v>
      </c>
      <c r="J33" s="139" t="s">
        <v>410</v>
      </c>
      <c r="K33" s="192">
        <v>2200</v>
      </c>
      <c r="L33" s="192">
        <v>4700</v>
      </c>
      <c r="M33" s="192">
        <v>4590</v>
      </c>
      <c r="N33" s="192">
        <v>16.52</v>
      </c>
      <c r="O33" s="192">
        <f>N33*K33</f>
        <v>36344</v>
      </c>
      <c r="P33" s="101" t="s">
        <v>411</v>
      </c>
      <c r="Q33" s="192"/>
      <c r="R33" s="104"/>
      <c r="S33" s="104"/>
      <c r="T33" s="193"/>
      <c r="U33" s="192"/>
      <c r="V33" s="192"/>
      <c r="W33" s="192"/>
      <c r="X33" s="103"/>
      <c r="Y33" s="192">
        <f t="shared" ref="Y33" si="54">ABS(M33*K33)</f>
        <v>10098000</v>
      </c>
      <c r="Z33" s="192" t="str">
        <f t="shared" si="51"/>
        <v>宁波中哲物产有限公司sp2005-买入</v>
      </c>
      <c r="AA33" s="104" t="str">
        <f t="shared" si="52"/>
        <v>买入</v>
      </c>
      <c r="AB33" s="192">
        <v>224</v>
      </c>
      <c r="AC33" s="140">
        <v>0.10580000000000001</v>
      </c>
      <c r="AD33" s="134">
        <v>0.1258</v>
      </c>
      <c r="AE33" s="192" t="s">
        <v>317</v>
      </c>
      <c r="AF33" s="104">
        <v>57000</v>
      </c>
    </row>
    <row r="34" spans="1:32" ht="24.95" customHeight="1" x14ac:dyDescent="0.15">
      <c r="A34" s="139" t="s">
        <v>245</v>
      </c>
      <c r="B34" s="115" t="s">
        <v>257</v>
      </c>
      <c r="C34" s="139" t="str">
        <f t="shared" si="53"/>
        <v>存续</v>
      </c>
      <c r="D34" s="102" t="s">
        <v>428</v>
      </c>
      <c r="E34" s="139" t="s">
        <v>263</v>
      </c>
      <c r="F34" s="48">
        <v>43823</v>
      </c>
      <c r="G34" s="48">
        <v>43851</v>
      </c>
      <c r="H34" s="194" t="s">
        <v>400</v>
      </c>
      <c r="I34" s="194" t="s">
        <v>222</v>
      </c>
      <c r="J34" s="139" t="s">
        <v>56</v>
      </c>
      <c r="K34" s="104">
        <v>50</v>
      </c>
      <c r="L34" s="103">
        <v>51220</v>
      </c>
      <c r="M34" s="103">
        <v>49250</v>
      </c>
      <c r="N34" s="103">
        <f>408.81/2</f>
        <v>204.405</v>
      </c>
      <c r="O34" s="103">
        <f t="shared" ref="O34:O44" si="55">N34*K34</f>
        <v>10220.25</v>
      </c>
      <c r="P34" s="101" t="s">
        <v>423</v>
      </c>
      <c r="Q34" s="103"/>
      <c r="R34" s="103"/>
      <c r="S34" s="103"/>
      <c r="T34" s="103"/>
      <c r="U34" s="103"/>
      <c r="V34" s="103"/>
      <c r="W34" s="103"/>
      <c r="X34" s="194"/>
      <c r="Y34" s="131">
        <f t="shared" ref="Y34:Y35" si="56">M34*K34</f>
        <v>2462500</v>
      </c>
      <c r="Z34" s="194" t="str">
        <f t="shared" si="51"/>
        <v>亨通集团上海贸易有限公司cu2003-买入19-新29</v>
      </c>
      <c r="AA34" s="194" t="str">
        <f>IF(I34="买入","卖出","买入19-新29")</f>
        <v>买入19-新29</v>
      </c>
      <c r="AB34" s="194">
        <v>225</v>
      </c>
      <c r="AC34" s="140">
        <v>0.152</v>
      </c>
      <c r="AD34" s="141">
        <v>0.152</v>
      </c>
      <c r="AE34" s="103"/>
      <c r="AF34" s="104">
        <v>31250</v>
      </c>
    </row>
    <row r="35" spans="1:32" ht="24.95" customHeight="1" x14ac:dyDescent="0.15">
      <c r="A35" s="139" t="s">
        <v>245</v>
      </c>
      <c r="B35" s="115" t="s">
        <v>257</v>
      </c>
      <c r="C35" s="139" t="str">
        <f t="shared" si="53"/>
        <v>存续</v>
      </c>
      <c r="D35" s="102" t="s">
        <v>428</v>
      </c>
      <c r="E35" s="139" t="s">
        <v>263</v>
      </c>
      <c r="F35" s="48">
        <v>43823</v>
      </c>
      <c r="G35" s="48">
        <v>43851</v>
      </c>
      <c r="H35" s="194" t="s">
        <v>400</v>
      </c>
      <c r="I35" s="194" t="s">
        <v>222</v>
      </c>
      <c r="J35" s="139" t="s">
        <v>59</v>
      </c>
      <c r="K35" s="104">
        <v>50</v>
      </c>
      <c r="L35" s="103">
        <v>47280</v>
      </c>
      <c r="M35" s="103">
        <v>49250</v>
      </c>
      <c r="N35" s="103">
        <f>408.81/2</f>
        <v>204.405</v>
      </c>
      <c r="O35" s="103">
        <f t="shared" si="55"/>
        <v>10220.25</v>
      </c>
      <c r="P35" s="101" t="s">
        <v>424</v>
      </c>
      <c r="Q35" s="103"/>
      <c r="R35" s="103"/>
      <c r="S35" s="103"/>
      <c r="T35" s="103"/>
      <c r="U35" s="103"/>
      <c r="V35" s="103"/>
      <c r="W35" s="103"/>
      <c r="X35" s="194"/>
      <c r="Y35" s="131">
        <f t="shared" si="56"/>
        <v>2462500</v>
      </c>
      <c r="Z35" s="194" t="str">
        <f t="shared" si="51"/>
        <v>亨通集团上海贸易有限公司cu2003-买入19-新29</v>
      </c>
      <c r="AA35" s="194" t="str">
        <f>IF(I35="买入","卖出","买入19-新29")</f>
        <v>买入19-新29</v>
      </c>
      <c r="AB35" s="194">
        <v>225</v>
      </c>
      <c r="AC35" s="140">
        <v>0.152</v>
      </c>
      <c r="AD35" s="141">
        <v>0.152</v>
      </c>
      <c r="AE35" s="103"/>
      <c r="AF35" s="104">
        <v>31250</v>
      </c>
    </row>
    <row r="36" spans="1:32" ht="24.95" customHeight="1" x14ac:dyDescent="0.15">
      <c r="A36" s="139" t="s">
        <v>259</v>
      </c>
      <c r="B36" s="115" t="s">
        <v>258</v>
      </c>
      <c r="C36" s="139" t="str">
        <f t="shared" ref="C36:C38" si="57">IF(W36="","存续","到期")</f>
        <v>存续</v>
      </c>
      <c r="D36" s="117" t="s">
        <v>426</v>
      </c>
      <c r="E36" s="139" t="s">
        <v>137</v>
      </c>
      <c r="F36" s="48">
        <v>43823</v>
      </c>
      <c r="G36" s="195">
        <v>43943</v>
      </c>
      <c r="H36" s="194" t="s">
        <v>413</v>
      </c>
      <c r="I36" s="194" t="s">
        <v>241</v>
      </c>
      <c r="J36" s="139" t="s">
        <v>223</v>
      </c>
      <c r="K36" s="104">
        <v>700</v>
      </c>
      <c r="L36" s="104">
        <v>6515</v>
      </c>
      <c r="M36" s="104">
        <v>6515</v>
      </c>
      <c r="N36" s="104">
        <v>165</v>
      </c>
      <c r="O36" s="104">
        <f t="shared" si="55"/>
        <v>115500</v>
      </c>
      <c r="P36" s="103" t="s">
        <v>412</v>
      </c>
      <c r="Q36" s="104"/>
      <c r="R36" s="104"/>
      <c r="S36" s="104"/>
      <c r="T36" s="195"/>
      <c r="U36" s="104"/>
      <c r="V36" s="104"/>
      <c r="W36" s="195"/>
      <c r="X36" s="103"/>
      <c r="Y36" s="130">
        <f>M36*K36</f>
        <v>4560500</v>
      </c>
      <c r="Z36" s="194" t="str">
        <f t="shared" si="51"/>
        <v>浙江永安资本管理有限公司v2005-卖出</v>
      </c>
      <c r="AA36" s="194" t="str">
        <f t="shared" ref="AA36:AA37" si="58">IF(I36="买入","卖出","买入")</f>
        <v>卖出</v>
      </c>
      <c r="AB36" s="194">
        <v>226</v>
      </c>
      <c r="AC36" s="140">
        <v>0.113</v>
      </c>
      <c r="AD36" s="140">
        <v>9.2999999999999999E-2</v>
      </c>
      <c r="AE36" s="194"/>
      <c r="AF36" s="103"/>
    </row>
    <row r="37" spans="1:32" ht="24.95" customHeight="1" x14ac:dyDescent="0.15">
      <c r="A37" s="139" t="s">
        <v>259</v>
      </c>
      <c r="B37" s="115" t="s">
        <v>258</v>
      </c>
      <c r="C37" s="139" t="str">
        <f t="shared" si="57"/>
        <v>存续</v>
      </c>
      <c r="D37" s="117" t="s">
        <v>426</v>
      </c>
      <c r="E37" s="139" t="s">
        <v>137</v>
      </c>
      <c r="F37" s="48">
        <v>43823</v>
      </c>
      <c r="G37" s="195">
        <v>43943</v>
      </c>
      <c r="H37" s="194" t="s">
        <v>413</v>
      </c>
      <c r="I37" s="194" t="s">
        <v>241</v>
      </c>
      <c r="J37" s="139" t="s">
        <v>59</v>
      </c>
      <c r="K37" s="104">
        <v>700</v>
      </c>
      <c r="L37" s="104">
        <v>6515</v>
      </c>
      <c r="M37" s="104">
        <v>6515</v>
      </c>
      <c r="N37" s="104">
        <v>165</v>
      </c>
      <c r="O37" s="104">
        <f t="shared" si="55"/>
        <v>115500</v>
      </c>
      <c r="P37" s="103" t="s">
        <v>412</v>
      </c>
      <c r="Q37" s="104"/>
      <c r="R37" s="104"/>
      <c r="S37" s="104"/>
      <c r="T37" s="195"/>
      <c r="U37" s="104"/>
      <c r="V37" s="104"/>
      <c r="W37" s="195"/>
      <c r="X37" s="103"/>
      <c r="Y37" s="130">
        <f>M37*K37</f>
        <v>4560500</v>
      </c>
      <c r="Z37" s="194" t="str">
        <f t="shared" si="51"/>
        <v>浙江永安资本管理有限公司v2005-卖出</v>
      </c>
      <c r="AA37" s="194" t="str">
        <f t="shared" si="58"/>
        <v>卖出</v>
      </c>
      <c r="AB37" s="194">
        <v>226</v>
      </c>
      <c r="AC37" s="140">
        <v>0.113</v>
      </c>
      <c r="AD37" s="140">
        <v>9.2999999999999999E-2</v>
      </c>
      <c r="AE37" s="194"/>
      <c r="AF37" s="103"/>
    </row>
    <row r="38" spans="1:32" ht="24.95" customHeight="1" x14ac:dyDescent="0.15">
      <c r="A38" s="197" t="s">
        <v>414</v>
      </c>
      <c r="B38" s="115" t="s">
        <v>257</v>
      </c>
      <c r="C38" s="139" t="str">
        <f t="shared" si="57"/>
        <v>存续</v>
      </c>
      <c r="D38" s="196" t="s">
        <v>441</v>
      </c>
      <c r="E38" s="139" t="s">
        <v>442</v>
      </c>
      <c r="F38" s="48">
        <v>43823</v>
      </c>
      <c r="G38" s="195">
        <v>43885</v>
      </c>
      <c r="H38" s="194" t="s">
        <v>314</v>
      </c>
      <c r="I38" s="194" t="s">
        <v>443</v>
      </c>
      <c r="J38" s="139" t="s">
        <v>444</v>
      </c>
      <c r="K38" s="104">
        <v>100000</v>
      </c>
      <c r="L38" s="104">
        <v>2145</v>
      </c>
      <c r="M38" s="104">
        <v>1900</v>
      </c>
      <c r="N38" s="104">
        <v>0.75</v>
      </c>
      <c r="O38" s="104">
        <f t="shared" si="55"/>
        <v>75000</v>
      </c>
      <c r="P38" s="101" t="s">
        <v>445</v>
      </c>
      <c r="Q38" s="104"/>
      <c r="R38" s="104"/>
      <c r="S38" s="104"/>
      <c r="T38" s="195"/>
      <c r="U38" s="104"/>
      <c r="V38" s="104"/>
      <c r="W38" s="195"/>
      <c r="X38" s="103"/>
      <c r="Y38" s="130">
        <f>M38*K38</f>
        <v>190000000</v>
      </c>
      <c r="Z38" s="203" t="str">
        <f t="shared" ref="Z38:Z44" si="59">IF(C38="存续",D38&amp;H38&amp;"-"&amp;AA38,"")</f>
        <v>上海新湖瑞丰金融服务有限公司c2005-买入</v>
      </c>
      <c r="AA38" s="203" t="str">
        <f t="shared" ref="AA38:AA44" si="60">IF(I38="买入","卖出","买入")</f>
        <v>买入</v>
      </c>
      <c r="AB38" s="203">
        <v>227</v>
      </c>
      <c r="AC38" s="204">
        <v>0.15</v>
      </c>
      <c r="AD38" s="204"/>
      <c r="AE38" s="203" t="s">
        <v>415</v>
      </c>
      <c r="AF38" s="103"/>
    </row>
    <row r="39" spans="1:32" ht="24.95" customHeight="1" x14ac:dyDescent="0.15">
      <c r="A39" s="139" t="s">
        <v>259</v>
      </c>
      <c r="B39" s="115" t="s">
        <v>258</v>
      </c>
      <c r="C39" s="139" t="str">
        <f t="shared" ref="C39:C42" si="61">IF(Q39="","存续","到期")</f>
        <v>存续</v>
      </c>
      <c r="D39" s="117" t="s">
        <v>260</v>
      </c>
      <c r="E39" s="139" t="s">
        <v>264</v>
      </c>
      <c r="F39" s="48">
        <v>43824</v>
      </c>
      <c r="G39" s="48">
        <v>43839</v>
      </c>
      <c r="H39" s="199" t="s">
        <v>419</v>
      </c>
      <c r="I39" s="199" t="s">
        <v>297</v>
      </c>
      <c r="J39" s="139" t="s">
        <v>223</v>
      </c>
      <c r="K39" s="199">
        <v>500</v>
      </c>
      <c r="L39" s="199">
        <v>12820</v>
      </c>
      <c r="M39" s="199">
        <v>12820</v>
      </c>
      <c r="N39" s="199">
        <v>165.01300000000001</v>
      </c>
      <c r="O39" s="104">
        <f t="shared" si="55"/>
        <v>82506.5</v>
      </c>
      <c r="P39" s="103" t="s">
        <v>418</v>
      </c>
      <c r="Q39" s="103"/>
      <c r="R39" s="104"/>
      <c r="S39" s="104"/>
      <c r="T39" s="48"/>
      <c r="U39" s="199"/>
      <c r="V39" s="139"/>
      <c r="W39" s="104"/>
      <c r="X39" s="199"/>
      <c r="Y39" s="130">
        <f t="shared" ref="Y39:Y42" si="62">M39*K39</f>
        <v>6410000</v>
      </c>
      <c r="Z39" s="199" t="str">
        <f t="shared" si="59"/>
        <v>国泰君安风险管理有限公司ru2005-买入</v>
      </c>
      <c r="AA39" s="199" t="str">
        <f t="shared" si="60"/>
        <v>买入</v>
      </c>
      <c r="AB39" s="199">
        <v>228</v>
      </c>
      <c r="AC39" s="140">
        <v>0.16</v>
      </c>
      <c r="AD39" s="199"/>
      <c r="AE39" s="199"/>
      <c r="AF39" s="103"/>
    </row>
    <row r="40" spans="1:32" ht="24.95" customHeight="1" x14ac:dyDescent="0.15">
      <c r="A40" s="139" t="s">
        <v>259</v>
      </c>
      <c r="B40" s="115" t="s">
        <v>258</v>
      </c>
      <c r="C40" s="139" t="str">
        <f t="shared" si="61"/>
        <v>存续</v>
      </c>
      <c r="D40" s="117" t="s">
        <v>260</v>
      </c>
      <c r="E40" s="139" t="s">
        <v>264</v>
      </c>
      <c r="F40" s="48">
        <v>43824</v>
      </c>
      <c r="G40" s="48">
        <v>43839</v>
      </c>
      <c r="H40" s="199" t="s">
        <v>420</v>
      </c>
      <c r="I40" s="199" t="s">
        <v>297</v>
      </c>
      <c r="J40" s="139" t="s">
        <v>59</v>
      </c>
      <c r="K40" s="199">
        <v>500</v>
      </c>
      <c r="L40" s="199">
        <v>12820</v>
      </c>
      <c r="M40" s="199">
        <v>12820</v>
      </c>
      <c r="N40" s="199">
        <v>165.01300000000001</v>
      </c>
      <c r="O40" s="104">
        <f t="shared" si="55"/>
        <v>82506.5</v>
      </c>
      <c r="P40" s="103" t="s">
        <v>418</v>
      </c>
      <c r="Q40" s="103"/>
      <c r="R40" s="104"/>
      <c r="S40" s="104"/>
      <c r="T40" s="48"/>
      <c r="U40" s="199"/>
      <c r="V40" s="139"/>
      <c r="W40" s="104"/>
      <c r="X40" s="199"/>
      <c r="Y40" s="130">
        <f t="shared" si="62"/>
        <v>6410000</v>
      </c>
      <c r="Z40" s="199" t="str">
        <f t="shared" si="59"/>
        <v>国泰君安风险管理有限公司ru2005-买入</v>
      </c>
      <c r="AA40" s="199" t="str">
        <f t="shared" si="60"/>
        <v>买入</v>
      </c>
      <c r="AB40" s="199">
        <v>228</v>
      </c>
      <c r="AC40" s="140">
        <v>0.16</v>
      </c>
      <c r="AD40" s="199"/>
      <c r="AE40" s="199"/>
      <c r="AF40" s="103"/>
    </row>
    <row r="41" spans="1:32" ht="24.95" customHeight="1" x14ac:dyDescent="0.15">
      <c r="A41" s="139" t="s">
        <v>245</v>
      </c>
      <c r="B41" s="115" t="s">
        <v>258</v>
      </c>
      <c r="C41" s="139" t="str">
        <f t="shared" si="61"/>
        <v>存续</v>
      </c>
      <c r="D41" s="142" t="s">
        <v>427</v>
      </c>
      <c r="E41" s="139" t="s">
        <v>264</v>
      </c>
      <c r="F41" s="48">
        <v>43824</v>
      </c>
      <c r="G41" s="48">
        <v>43852</v>
      </c>
      <c r="H41" s="199" t="s">
        <v>422</v>
      </c>
      <c r="I41" s="199" t="s">
        <v>241</v>
      </c>
      <c r="J41" s="139" t="s">
        <v>308</v>
      </c>
      <c r="K41" s="199">
        <v>1300</v>
      </c>
      <c r="L41" s="199">
        <v>1845</v>
      </c>
      <c r="M41" s="199">
        <v>1845</v>
      </c>
      <c r="N41" s="199">
        <v>47.05</v>
      </c>
      <c r="O41" s="199">
        <f t="shared" si="55"/>
        <v>61164.999999999993</v>
      </c>
      <c r="P41" s="103" t="s">
        <v>421</v>
      </c>
      <c r="Q41" s="104"/>
      <c r="R41" s="104"/>
      <c r="S41" s="104"/>
      <c r="T41" s="48"/>
      <c r="U41" s="104"/>
      <c r="V41" s="135"/>
      <c r="W41" s="200"/>
      <c r="X41" s="199"/>
      <c r="Y41" s="131">
        <f t="shared" si="62"/>
        <v>2398500</v>
      </c>
      <c r="Z41" s="199" t="str">
        <f t="shared" si="59"/>
        <v>鲁证经贸有限公司j2005-卖出</v>
      </c>
      <c r="AA41" s="199" t="str">
        <f t="shared" si="60"/>
        <v>卖出</v>
      </c>
      <c r="AB41" s="199">
        <v>229</v>
      </c>
      <c r="AC41" s="140">
        <v>0.23</v>
      </c>
      <c r="AD41" s="134"/>
      <c r="AE41" s="136"/>
      <c r="AF41" s="147"/>
    </row>
    <row r="42" spans="1:32" ht="24.95" customHeight="1" x14ac:dyDescent="0.15">
      <c r="A42" s="139" t="s">
        <v>245</v>
      </c>
      <c r="B42" s="115" t="s">
        <v>258</v>
      </c>
      <c r="C42" s="139" t="str">
        <f t="shared" si="61"/>
        <v>存续</v>
      </c>
      <c r="D42" s="142" t="s">
        <v>427</v>
      </c>
      <c r="E42" s="139" t="s">
        <v>264</v>
      </c>
      <c r="F42" s="48">
        <v>43824</v>
      </c>
      <c r="G42" s="48">
        <v>43852</v>
      </c>
      <c r="H42" s="199" t="s">
        <v>422</v>
      </c>
      <c r="I42" s="199" t="s">
        <v>241</v>
      </c>
      <c r="J42" s="139" t="s">
        <v>354</v>
      </c>
      <c r="K42" s="199">
        <v>1300</v>
      </c>
      <c r="L42" s="199">
        <v>1845</v>
      </c>
      <c r="M42" s="199">
        <v>1845</v>
      </c>
      <c r="N42" s="199">
        <v>47.05</v>
      </c>
      <c r="O42" s="199">
        <f t="shared" si="55"/>
        <v>61164.999999999993</v>
      </c>
      <c r="P42" s="103" t="s">
        <v>421</v>
      </c>
      <c r="Q42" s="104"/>
      <c r="R42" s="104"/>
      <c r="S42" s="104"/>
      <c r="T42" s="48"/>
      <c r="U42" s="104"/>
      <c r="V42" s="135"/>
      <c r="W42" s="200"/>
      <c r="X42" s="199"/>
      <c r="Y42" s="131">
        <f t="shared" si="62"/>
        <v>2398500</v>
      </c>
      <c r="Z42" s="199" t="str">
        <f t="shared" si="59"/>
        <v>鲁证经贸有限公司j2005-卖出</v>
      </c>
      <c r="AA42" s="199" t="str">
        <f t="shared" si="60"/>
        <v>卖出</v>
      </c>
      <c r="AB42" s="199">
        <v>229</v>
      </c>
      <c r="AC42" s="140">
        <v>0.23</v>
      </c>
      <c r="AD42" s="134"/>
      <c r="AE42" s="136"/>
      <c r="AF42" s="147"/>
    </row>
    <row r="43" spans="1:32" ht="24.95" customHeight="1" x14ac:dyDescent="0.15">
      <c r="A43" s="139" t="s">
        <v>259</v>
      </c>
      <c r="B43" s="115" t="s">
        <v>258</v>
      </c>
      <c r="C43" s="139" t="str">
        <f t="shared" ref="C43:C44" si="63">IF(W43="","存续","到期")</f>
        <v>存续</v>
      </c>
      <c r="D43" s="117" t="s">
        <v>446</v>
      </c>
      <c r="E43" s="139" t="s">
        <v>137</v>
      </c>
      <c r="F43" s="48">
        <v>43825</v>
      </c>
      <c r="G43" s="202">
        <v>43888</v>
      </c>
      <c r="H43" s="201" t="s">
        <v>419</v>
      </c>
      <c r="I43" s="201" t="s">
        <v>241</v>
      </c>
      <c r="J43" s="139" t="s">
        <v>223</v>
      </c>
      <c r="K43" s="104">
        <v>500</v>
      </c>
      <c r="L43" s="104">
        <v>12810</v>
      </c>
      <c r="M43" s="104">
        <v>12810</v>
      </c>
      <c r="N43" s="104">
        <v>350</v>
      </c>
      <c r="O43" s="104">
        <f t="shared" si="55"/>
        <v>175000</v>
      </c>
      <c r="P43" s="103" t="s">
        <v>440</v>
      </c>
      <c r="Q43" s="104"/>
      <c r="R43" s="104"/>
      <c r="S43" s="104"/>
      <c r="T43" s="202"/>
      <c r="U43" s="104"/>
      <c r="V43" s="104"/>
      <c r="W43" s="202"/>
      <c r="X43" s="103"/>
      <c r="Y43" s="130">
        <f>M43*K43</f>
        <v>6405000</v>
      </c>
      <c r="Z43" s="201" t="str">
        <f t="shared" si="59"/>
        <v>浙江永安资本管理有限公司ru2005-卖出</v>
      </c>
      <c r="AA43" s="201" t="str">
        <f t="shared" si="60"/>
        <v>卖出</v>
      </c>
      <c r="AB43" s="201">
        <v>230</v>
      </c>
      <c r="AC43" s="140">
        <v>0.17299999999999999</v>
      </c>
      <c r="AD43" s="140"/>
      <c r="AE43" s="201"/>
      <c r="AF43" s="103"/>
    </row>
    <row r="44" spans="1:32" ht="24.95" customHeight="1" x14ac:dyDescent="0.15">
      <c r="A44" s="139" t="s">
        <v>259</v>
      </c>
      <c r="B44" s="115" t="s">
        <v>258</v>
      </c>
      <c r="C44" s="139" t="str">
        <f t="shared" si="63"/>
        <v>存续</v>
      </c>
      <c r="D44" s="117" t="s">
        <v>426</v>
      </c>
      <c r="E44" s="139" t="s">
        <v>137</v>
      </c>
      <c r="F44" s="48">
        <v>43825</v>
      </c>
      <c r="G44" s="202">
        <v>43888</v>
      </c>
      <c r="H44" s="201" t="s">
        <v>420</v>
      </c>
      <c r="I44" s="201" t="s">
        <v>241</v>
      </c>
      <c r="J44" s="139" t="s">
        <v>59</v>
      </c>
      <c r="K44" s="104">
        <v>500</v>
      </c>
      <c r="L44" s="104">
        <v>12810</v>
      </c>
      <c r="M44" s="104">
        <v>12810</v>
      </c>
      <c r="N44" s="104">
        <v>350</v>
      </c>
      <c r="O44" s="104">
        <f t="shared" si="55"/>
        <v>175000</v>
      </c>
      <c r="P44" s="103" t="s">
        <v>440</v>
      </c>
      <c r="Q44" s="104"/>
      <c r="R44" s="104"/>
      <c r="S44" s="104"/>
      <c r="T44" s="202"/>
      <c r="U44" s="104"/>
      <c r="V44" s="104"/>
      <c r="W44" s="202"/>
      <c r="X44" s="103"/>
      <c r="Y44" s="130">
        <f>M44*K44</f>
        <v>6405000</v>
      </c>
      <c r="Z44" s="201" t="str">
        <f t="shared" si="59"/>
        <v>浙江永安资本管理有限公司ru2005-卖出</v>
      </c>
      <c r="AA44" s="201" t="str">
        <f t="shared" si="60"/>
        <v>卖出</v>
      </c>
      <c r="AB44" s="201">
        <v>230</v>
      </c>
      <c r="AC44" s="140">
        <v>0.17299999999999999</v>
      </c>
      <c r="AD44" s="140"/>
      <c r="AE44" s="201"/>
      <c r="AF44" s="103"/>
    </row>
    <row r="45" spans="1:32" ht="24.95" customHeight="1" x14ac:dyDescent="0.15">
      <c r="A45" s="139" t="s">
        <v>259</v>
      </c>
      <c r="B45" s="115" t="s">
        <v>257</v>
      </c>
      <c r="C45" s="139" t="str">
        <f t="shared" ref="C45:C53" si="64">IF(Q45="","存续","到期")</f>
        <v>存续</v>
      </c>
      <c r="D45" s="117" t="s">
        <v>450</v>
      </c>
      <c r="E45" s="139" t="s">
        <v>252</v>
      </c>
      <c r="F45" s="48">
        <v>43826</v>
      </c>
      <c r="G45" s="206">
        <v>43864</v>
      </c>
      <c r="H45" s="205" t="s">
        <v>374</v>
      </c>
      <c r="I45" s="205" t="s">
        <v>241</v>
      </c>
      <c r="J45" s="139" t="s">
        <v>56</v>
      </c>
      <c r="K45" s="205">
        <v>350</v>
      </c>
      <c r="L45" s="205">
        <v>6510</v>
      </c>
      <c r="M45" s="205">
        <v>6510</v>
      </c>
      <c r="N45" s="205">
        <v>81.375</v>
      </c>
      <c r="O45" s="205">
        <f>N45*K45</f>
        <v>28481.25</v>
      </c>
      <c r="P45" s="103" t="s">
        <v>451</v>
      </c>
      <c r="Q45" s="103"/>
      <c r="R45" s="104"/>
      <c r="S45" s="104"/>
      <c r="T45" s="206"/>
      <c r="U45" s="103"/>
      <c r="V45" s="103"/>
      <c r="W45" s="206"/>
      <c r="X45" s="103"/>
      <c r="Y45" s="131">
        <f t="shared" ref="Y45:Y49" si="65">ABS(M45*K45)</f>
        <v>2278500</v>
      </c>
      <c r="Z45" s="205" t="str">
        <f t="shared" ref="Z45:Z48" si="66">IF(C45="存续",D45&amp;H45&amp;"-"&amp;AA45,"")</f>
        <v>千惠云航1号私募证券投资基金v2005-卖出</v>
      </c>
      <c r="AA45" s="205" t="str">
        <f t="shared" ref="AA45:AA48" si="67">IF(I45="买入","卖出","买入")</f>
        <v>卖出</v>
      </c>
      <c r="AB45" s="205">
        <v>233</v>
      </c>
      <c r="AC45" s="140">
        <v>0.11</v>
      </c>
      <c r="AD45" s="134">
        <v>0.09</v>
      </c>
      <c r="AE45" s="136"/>
      <c r="AF45" s="104"/>
    </row>
    <row r="46" spans="1:32" ht="24.95" customHeight="1" x14ac:dyDescent="0.15">
      <c r="A46" s="139" t="s">
        <v>259</v>
      </c>
      <c r="B46" s="115" t="s">
        <v>257</v>
      </c>
      <c r="C46" s="139" t="str">
        <f t="shared" si="64"/>
        <v>存续</v>
      </c>
      <c r="D46" s="117" t="s">
        <v>315</v>
      </c>
      <c r="E46" s="139" t="s">
        <v>252</v>
      </c>
      <c r="F46" s="48">
        <v>43826</v>
      </c>
      <c r="G46" s="206">
        <v>43864</v>
      </c>
      <c r="H46" s="205" t="s">
        <v>447</v>
      </c>
      <c r="I46" s="205" t="s">
        <v>241</v>
      </c>
      <c r="J46" s="139" t="s">
        <v>224</v>
      </c>
      <c r="K46" s="205">
        <v>350</v>
      </c>
      <c r="L46" s="205">
        <v>6510</v>
      </c>
      <c r="M46" s="205">
        <v>6510</v>
      </c>
      <c r="N46" s="205">
        <v>81.375</v>
      </c>
      <c r="O46" s="205">
        <f t="shared" ref="O46:O49" si="68">N46*K46</f>
        <v>28481.25</v>
      </c>
      <c r="P46" s="103" t="s">
        <v>448</v>
      </c>
      <c r="Q46" s="103"/>
      <c r="R46" s="104"/>
      <c r="S46" s="104"/>
      <c r="T46" s="206"/>
      <c r="U46" s="103"/>
      <c r="V46" s="103"/>
      <c r="W46" s="206"/>
      <c r="X46" s="103"/>
      <c r="Y46" s="131">
        <f t="shared" si="65"/>
        <v>2278500</v>
      </c>
      <c r="Z46" s="205" t="str">
        <f t="shared" si="66"/>
        <v>千惠云航1号私募证券投资基金v2005-卖出</v>
      </c>
      <c r="AA46" s="205" t="str">
        <f t="shared" si="67"/>
        <v>卖出</v>
      </c>
      <c r="AB46" s="205">
        <v>233</v>
      </c>
      <c r="AC46" s="140">
        <v>0.11</v>
      </c>
      <c r="AD46" s="134">
        <v>0.09</v>
      </c>
      <c r="AE46" s="136"/>
      <c r="AF46" s="104"/>
    </row>
    <row r="47" spans="1:32" ht="24.95" customHeight="1" x14ac:dyDescent="0.15">
      <c r="A47" s="139" t="s">
        <v>259</v>
      </c>
      <c r="B47" s="115" t="s">
        <v>257</v>
      </c>
      <c r="C47" s="139" t="str">
        <f t="shared" si="64"/>
        <v>存续</v>
      </c>
      <c r="D47" s="117" t="s">
        <v>437</v>
      </c>
      <c r="E47" s="139" t="s">
        <v>252</v>
      </c>
      <c r="F47" s="48">
        <v>43826</v>
      </c>
      <c r="G47" s="206">
        <v>43864</v>
      </c>
      <c r="H47" s="205" t="s">
        <v>447</v>
      </c>
      <c r="I47" s="205" t="s">
        <v>241</v>
      </c>
      <c r="J47" s="139" t="s">
        <v>56</v>
      </c>
      <c r="K47" s="205">
        <v>350</v>
      </c>
      <c r="L47" s="205">
        <v>6510</v>
      </c>
      <c r="M47" s="205">
        <v>6510</v>
      </c>
      <c r="N47" s="205">
        <v>81.375</v>
      </c>
      <c r="O47" s="205">
        <f t="shared" si="68"/>
        <v>28481.25</v>
      </c>
      <c r="P47" s="103" t="s">
        <v>449</v>
      </c>
      <c r="Q47" s="103"/>
      <c r="R47" s="104"/>
      <c r="S47" s="104"/>
      <c r="T47" s="206"/>
      <c r="U47" s="103"/>
      <c r="V47" s="103"/>
      <c r="W47" s="206"/>
      <c r="X47" s="103"/>
      <c r="Y47" s="131">
        <f t="shared" si="65"/>
        <v>2278500</v>
      </c>
      <c r="Z47" s="205" t="str">
        <f t="shared" si="66"/>
        <v>千惠领航5号私募证券投资基金v2005-卖出</v>
      </c>
      <c r="AA47" s="205" t="str">
        <f t="shared" si="67"/>
        <v>卖出</v>
      </c>
      <c r="AB47" s="205">
        <v>234</v>
      </c>
      <c r="AC47" s="140">
        <v>0.11</v>
      </c>
      <c r="AD47" s="134">
        <v>0.09</v>
      </c>
      <c r="AE47" s="136"/>
      <c r="AF47" s="104"/>
    </row>
    <row r="48" spans="1:32" ht="24.95" customHeight="1" x14ac:dyDescent="0.15">
      <c r="A48" s="139" t="s">
        <v>259</v>
      </c>
      <c r="B48" s="115" t="s">
        <v>257</v>
      </c>
      <c r="C48" s="139" t="str">
        <f t="shared" si="64"/>
        <v>存续</v>
      </c>
      <c r="D48" s="117" t="s">
        <v>437</v>
      </c>
      <c r="E48" s="139" t="s">
        <v>252</v>
      </c>
      <c r="F48" s="48">
        <v>43826</v>
      </c>
      <c r="G48" s="206">
        <v>43864</v>
      </c>
      <c r="H48" s="205" t="s">
        <v>447</v>
      </c>
      <c r="I48" s="205" t="s">
        <v>241</v>
      </c>
      <c r="J48" s="139" t="s">
        <v>224</v>
      </c>
      <c r="K48" s="205">
        <v>350</v>
      </c>
      <c r="L48" s="205">
        <v>6510</v>
      </c>
      <c r="M48" s="205">
        <v>6510</v>
      </c>
      <c r="N48" s="205">
        <v>81.375</v>
      </c>
      <c r="O48" s="205">
        <f t="shared" si="68"/>
        <v>28481.25</v>
      </c>
      <c r="P48" s="103" t="s">
        <v>449</v>
      </c>
      <c r="Q48" s="103"/>
      <c r="R48" s="104"/>
      <c r="S48" s="104"/>
      <c r="T48" s="206"/>
      <c r="U48" s="103"/>
      <c r="V48" s="103"/>
      <c r="W48" s="206"/>
      <c r="X48" s="103"/>
      <c r="Y48" s="131">
        <f t="shared" si="65"/>
        <v>2278500</v>
      </c>
      <c r="Z48" s="205" t="str">
        <f t="shared" si="66"/>
        <v>千惠领航5号私募证券投资基金v2005-卖出</v>
      </c>
      <c r="AA48" s="205" t="str">
        <f t="shared" si="67"/>
        <v>卖出</v>
      </c>
      <c r="AB48" s="205">
        <v>234</v>
      </c>
      <c r="AC48" s="140">
        <v>0.11</v>
      </c>
      <c r="AD48" s="134">
        <v>0.09</v>
      </c>
      <c r="AE48" s="136"/>
      <c r="AF48" s="104"/>
    </row>
    <row r="49" spans="1:33" ht="24.95" customHeight="1" x14ac:dyDescent="0.15">
      <c r="A49" s="139" t="s">
        <v>245</v>
      </c>
      <c r="B49" s="139" t="s">
        <v>257</v>
      </c>
      <c r="C49" s="139" t="str">
        <f t="shared" si="64"/>
        <v>存续</v>
      </c>
      <c r="D49" s="142" t="s">
        <v>453</v>
      </c>
      <c r="E49" s="139" t="s">
        <v>252</v>
      </c>
      <c r="F49" s="48">
        <v>43829</v>
      </c>
      <c r="G49" s="48">
        <v>43958</v>
      </c>
      <c r="H49" s="207" t="s">
        <v>454</v>
      </c>
      <c r="I49" s="207" t="s">
        <v>241</v>
      </c>
      <c r="J49" s="148" t="s">
        <v>456</v>
      </c>
      <c r="K49" s="207">
        <v>17500</v>
      </c>
      <c r="L49" s="207">
        <v>1906.72</v>
      </c>
      <c r="M49" s="207">
        <v>1906.72</v>
      </c>
      <c r="N49" s="128">
        <v>56</v>
      </c>
      <c r="O49" s="128">
        <f t="shared" si="68"/>
        <v>980000</v>
      </c>
      <c r="P49" s="103" t="s">
        <v>452</v>
      </c>
      <c r="Q49" s="103"/>
      <c r="R49" s="104"/>
      <c r="S49" s="104"/>
      <c r="T49" s="208"/>
      <c r="U49" s="103"/>
      <c r="V49" s="103"/>
      <c r="W49" s="208"/>
      <c r="X49" s="103"/>
      <c r="Y49" s="131">
        <f t="shared" si="65"/>
        <v>33367600</v>
      </c>
      <c r="Z49" s="207" t="str">
        <f t="shared" ref="Z49:Z54" si="69">IF(C49="存续",D49&amp;H49&amp;"-"&amp;AA49,"")</f>
        <v>中国人民财产保险股份有限公司广西壮族自治区分公司0.68*c2009+0.2*m2009-卖出</v>
      </c>
      <c r="AA49" s="207" t="str">
        <f t="shared" ref="AA49" si="70">IF(I49="买入","卖出","买入")</f>
        <v>卖出</v>
      </c>
      <c r="AB49" s="207">
        <v>235</v>
      </c>
      <c r="AC49" s="140" t="s">
        <v>455</v>
      </c>
      <c r="AD49" s="136"/>
      <c r="AE49" s="207" t="s">
        <v>316</v>
      </c>
      <c r="AF49" s="104"/>
      <c r="AG49" s="105" t="s">
        <v>457</v>
      </c>
    </row>
    <row r="50" spans="1:33" ht="24.95" customHeight="1" x14ac:dyDescent="0.15">
      <c r="A50" s="139" t="s">
        <v>245</v>
      </c>
      <c r="B50" s="115" t="s">
        <v>257</v>
      </c>
      <c r="C50" s="139" t="str">
        <f t="shared" si="64"/>
        <v>存续</v>
      </c>
      <c r="D50" s="102" t="s">
        <v>428</v>
      </c>
      <c r="E50" s="139" t="s">
        <v>263</v>
      </c>
      <c r="F50" s="210">
        <v>43830</v>
      </c>
      <c r="G50" s="48">
        <v>43861</v>
      </c>
      <c r="H50" s="209" t="s">
        <v>400</v>
      </c>
      <c r="I50" s="209" t="s">
        <v>222</v>
      </c>
      <c r="J50" s="139" t="s">
        <v>56</v>
      </c>
      <c r="K50" s="104">
        <v>50</v>
      </c>
      <c r="L50" s="103">
        <v>51400</v>
      </c>
      <c r="M50" s="103">
        <v>49420</v>
      </c>
      <c r="N50" s="104">
        <v>205.11500000000001</v>
      </c>
      <c r="O50" s="104">
        <f t="shared" ref="O50:O51" si="71">N50*K50</f>
        <v>10255.75</v>
      </c>
      <c r="P50" s="103" t="s">
        <v>458</v>
      </c>
      <c r="Q50" s="104"/>
      <c r="R50" s="104"/>
      <c r="S50" s="104"/>
      <c r="T50" s="104"/>
      <c r="U50" s="104"/>
      <c r="V50" s="104"/>
      <c r="W50" s="104"/>
      <c r="X50" s="104"/>
      <c r="Y50" s="131">
        <f t="shared" ref="Y50:Y53" si="72">M50*K50</f>
        <v>2471000</v>
      </c>
      <c r="Z50" s="209" t="str">
        <f t="shared" si="69"/>
        <v>亨通集团上海贸易有限公司cu2003-买入19-新30</v>
      </c>
      <c r="AA50" s="209" t="str">
        <f>IF(I50="买入","卖出","买入19-新30")</f>
        <v>买入19-新30</v>
      </c>
      <c r="AB50" s="209">
        <v>237</v>
      </c>
      <c r="AC50" s="140">
        <v>0.152</v>
      </c>
      <c r="AD50" s="141">
        <v>0.152</v>
      </c>
      <c r="AE50" s="104"/>
      <c r="AF50" s="104">
        <v>31250</v>
      </c>
    </row>
    <row r="51" spans="1:33" ht="24.95" customHeight="1" x14ac:dyDescent="0.15">
      <c r="A51" s="139" t="s">
        <v>245</v>
      </c>
      <c r="B51" s="115" t="s">
        <v>257</v>
      </c>
      <c r="C51" s="139" t="str">
        <f t="shared" si="64"/>
        <v>存续</v>
      </c>
      <c r="D51" s="102" t="s">
        <v>428</v>
      </c>
      <c r="E51" s="139" t="s">
        <v>263</v>
      </c>
      <c r="F51" s="210">
        <v>43830</v>
      </c>
      <c r="G51" s="48">
        <v>43861</v>
      </c>
      <c r="H51" s="209" t="s">
        <v>400</v>
      </c>
      <c r="I51" s="209" t="s">
        <v>222</v>
      </c>
      <c r="J51" s="139" t="s">
        <v>59</v>
      </c>
      <c r="K51" s="104">
        <v>50</v>
      </c>
      <c r="L51" s="103">
        <v>47440</v>
      </c>
      <c r="M51" s="103">
        <v>49420</v>
      </c>
      <c r="N51" s="104">
        <v>205.11500000000001</v>
      </c>
      <c r="O51" s="104">
        <f t="shared" si="71"/>
        <v>10255.75</v>
      </c>
      <c r="P51" s="103" t="s">
        <v>458</v>
      </c>
      <c r="Q51" s="104"/>
      <c r="R51" s="104"/>
      <c r="S51" s="104"/>
      <c r="T51" s="104"/>
      <c r="U51" s="104"/>
      <c r="V51" s="104"/>
      <c r="W51" s="104"/>
      <c r="X51" s="104"/>
      <c r="Y51" s="131">
        <f t="shared" si="72"/>
        <v>2471000</v>
      </c>
      <c r="Z51" s="209" t="str">
        <f t="shared" si="69"/>
        <v>亨通集团上海贸易有限公司cu2003-买入19-新30</v>
      </c>
      <c r="AA51" s="209" t="str">
        <f>IF(I51="买入","卖出","买入19-新30")</f>
        <v>买入19-新30</v>
      </c>
      <c r="AB51" s="209">
        <v>237</v>
      </c>
      <c r="AC51" s="140">
        <v>0.152</v>
      </c>
      <c r="AD51" s="141">
        <v>0.152</v>
      </c>
      <c r="AE51" s="104"/>
      <c r="AF51" s="104">
        <v>31250</v>
      </c>
    </row>
    <row r="52" spans="1:33" ht="24.95" customHeight="1" x14ac:dyDescent="0.15">
      <c r="A52" s="139" t="s">
        <v>259</v>
      </c>
      <c r="B52" s="115" t="s">
        <v>258</v>
      </c>
      <c r="C52" s="139" t="str">
        <f t="shared" si="64"/>
        <v>存续</v>
      </c>
      <c r="D52" s="117" t="s">
        <v>464</v>
      </c>
      <c r="E52" s="139" t="s">
        <v>252</v>
      </c>
      <c r="F52" s="48">
        <v>43832</v>
      </c>
      <c r="G52" s="212">
        <v>43894</v>
      </c>
      <c r="H52" s="211" t="s">
        <v>465</v>
      </c>
      <c r="I52" s="211" t="s">
        <v>241</v>
      </c>
      <c r="J52" s="139" t="s">
        <v>56</v>
      </c>
      <c r="K52" s="211">
        <v>800</v>
      </c>
      <c r="L52" s="211">
        <v>6814.8</v>
      </c>
      <c r="M52" s="211">
        <v>6310</v>
      </c>
      <c r="N52" s="211">
        <v>47.35</v>
      </c>
      <c r="O52" s="211">
        <f>N52*K52</f>
        <v>37880</v>
      </c>
      <c r="P52" s="103" t="s">
        <v>463</v>
      </c>
      <c r="Q52" s="104"/>
      <c r="R52" s="104"/>
      <c r="S52" s="104"/>
      <c r="T52" s="104"/>
      <c r="U52" s="104"/>
      <c r="V52" s="104"/>
      <c r="W52" s="104"/>
      <c r="X52" s="104"/>
      <c r="Y52" s="131">
        <f t="shared" si="72"/>
        <v>5048000</v>
      </c>
      <c r="Z52" s="211" t="str">
        <f t="shared" si="69"/>
        <v>浙江南华资本管理有限公司p2005-卖出</v>
      </c>
      <c r="AA52" s="211" t="str">
        <f t="shared" ref="AA52:AA54" si="73">IF(I52="买入","卖出","买入")</f>
        <v>卖出</v>
      </c>
      <c r="AB52" s="211">
        <v>238</v>
      </c>
      <c r="AC52" s="140">
        <v>0.2</v>
      </c>
      <c r="AD52" s="104"/>
      <c r="AE52" s="104"/>
      <c r="AF52" s="104"/>
    </row>
    <row r="53" spans="1:33" ht="24.95" customHeight="1" x14ac:dyDescent="0.15">
      <c r="A53" s="139" t="s">
        <v>259</v>
      </c>
      <c r="B53" s="115" t="s">
        <v>258</v>
      </c>
      <c r="C53" s="139" t="str">
        <f t="shared" si="64"/>
        <v>存续</v>
      </c>
      <c r="D53" s="117" t="s">
        <v>464</v>
      </c>
      <c r="E53" s="139" t="s">
        <v>252</v>
      </c>
      <c r="F53" s="48">
        <v>43832</v>
      </c>
      <c r="G53" s="212">
        <v>43894</v>
      </c>
      <c r="H53" s="211" t="s">
        <v>465</v>
      </c>
      <c r="I53" s="211" t="s">
        <v>241</v>
      </c>
      <c r="J53" s="139" t="s">
        <v>59</v>
      </c>
      <c r="K53" s="211">
        <v>800</v>
      </c>
      <c r="L53" s="211">
        <v>5805.2</v>
      </c>
      <c r="M53" s="211">
        <v>6310</v>
      </c>
      <c r="N53" s="211">
        <v>37.549999999999997</v>
      </c>
      <c r="O53" s="211">
        <f t="shared" ref="O53" si="74">N53*K53</f>
        <v>30039.999999999996</v>
      </c>
      <c r="P53" s="103" t="s">
        <v>463</v>
      </c>
      <c r="Q53" s="104"/>
      <c r="R53" s="104"/>
      <c r="S53" s="104"/>
      <c r="T53" s="104"/>
      <c r="U53" s="104"/>
      <c r="V53" s="104"/>
      <c r="W53" s="104"/>
      <c r="X53" s="104"/>
      <c r="Y53" s="131">
        <f t="shared" si="72"/>
        <v>5048000</v>
      </c>
      <c r="Z53" s="211" t="str">
        <f t="shared" si="69"/>
        <v>浙江南华资本管理有限公司p2005-卖出</v>
      </c>
      <c r="AA53" s="211" t="str">
        <f t="shared" si="73"/>
        <v>卖出</v>
      </c>
      <c r="AB53" s="211">
        <v>238</v>
      </c>
      <c r="AC53" s="140">
        <v>0.2</v>
      </c>
      <c r="AD53" s="104"/>
      <c r="AE53" s="104"/>
      <c r="AF53" s="104"/>
    </row>
    <row r="54" spans="1:33" ht="24.95" customHeight="1" x14ac:dyDescent="0.15">
      <c r="A54" s="139" t="s">
        <v>245</v>
      </c>
      <c r="B54" s="139" t="s">
        <v>257</v>
      </c>
      <c r="C54" s="139" t="str">
        <f t="shared" ref="C54" si="75">IF(Q54="","存续","到期")</f>
        <v>存续</v>
      </c>
      <c r="D54" s="142" t="s">
        <v>467</v>
      </c>
      <c r="E54" s="139" t="s">
        <v>252</v>
      </c>
      <c r="F54" s="48">
        <v>43832</v>
      </c>
      <c r="G54" s="48">
        <v>43845</v>
      </c>
      <c r="H54" s="211" t="s">
        <v>468</v>
      </c>
      <c r="I54" s="213" t="s">
        <v>241</v>
      </c>
      <c r="J54" s="139" t="s">
        <v>470</v>
      </c>
      <c r="K54" s="213">
        <v>8120.9</v>
      </c>
      <c r="L54" s="213">
        <v>1918</v>
      </c>
      <c r="M54" s="213">
        <v>1918</v>
      </c>
      <c r="N54" s="213">
        <v>22.68</v>
      </c>
      <c r="O54" s="213">
        <v>184182.01</v>
      </c>
      <c r="P54" s="103" t="s">
        <v>469</v>
      </c>
      <c r="Q54" s="104"/>
      <c r="R54" s="104"/>
      <c r="S54" s="104"/>
      <c r="T54" s="104"/>
      <c r="U54" s="104"/>
      <c r="V54" s="104"/>
      <c r="W54" s="104"/>
      <c r="X54" s="104"/>
      <c r="Y54" s="131">
        <f t="shared" ref="Y54" si="76">M54*K54</f>
        <v>15575886.199999999</v>
      </c>
      <c r="Z54" s="213" t="str">
        <f t="shared" si="69"/>
        <v>北大荒粮食集团有限公司c2005-卖出</v>
      </c>
      <c r="AA54" s="213" t="str">
        <f t="shared" si="73"/>
        <v>卖出</v>
      </c>
      <c r="AB54" s="213">
        <v>238</v>
      </c>
      <c r="AC54" s="140">
        <v>0.18</v>
      </c>
      <c r="AD54" s="104"/>
      <c r="AE54" s="213" t="s">
        <v>316</v>
      </c>
      <c r="AF54" s="104"/>
      <c r="AG54" s="105" t="s">
        <v>471</v>
      </c>
    </row>
  </sheetData>
  <phoneticPr fontId="1" type="noConversion"/>
  <dataValidations disablePrompts="1" count="1">
    <dataValidation type="list" allowBlank="1" showInputMessage="1" showErrorMessage="1" sqref="C1 C30:C31 C36:C38 C43:C44">
      <formula1>"存续，到期"</formula1>
    </dataValidation>
  </dataValidations>
  <pageMargins left="0.70866141732283472" right="0.70866141732283472" top="0.74803149606299213" bottom="0.74803149606299213" header="0.31496062992125984" footer="0.31496062992125984"/>
  <pageSetup paperSize="9" scale="80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H3"/>
  <sheetViews>
    <sheetView topLeftCell="M1" zoomScaleNormal="100" workbookViewId="0">
      <selection activeCell="AC30" sqref="AC30"/>
    </sheetView>
  </sheetViews>
  <sheetFormatPr defaultRowHeight="13.5" x14ac:dyDescent="0.15"/>
  <cols>
    <col min="4" max="4" width="19.5" customWidth="1"/>
    <col min="7" max="7" width="10.5" bestFit="1" customWidth="1"/>
    <col min="8" max="8" width="12.375" customWidth="1"/>
    <col min="16" max="16" width="17.875" customWidth="1"/>
    <col min="17" max="17" width="19.125" customWidth="1"/>
    <col min="20" max="20" width="10.5" bestFit="1" customWidth="1"/>
    <col min="25" max="25" width="11.625" bestFit="1" customWidth="1"/>
    <col min="34" max="34" width="12.75" bestFit="1" customWidth="1"/>
  </cols>
  <sheetData>
    <row r="1" spans="1:34" s="121" customFormat="1" ht="67.5" x14ac:dyDescent="0.15">
      <c r="A1" s="107" t="s">
        <v>326</v>
      </c>
      <c r="B1" s="107" t="s">
        <v>327</v>
      </c>
      <c r="C1" s="107" t="s">
        <v>328</v>
      </c>
      <c r="D1" s="107" t="s">
        <v>0</v>
      </c>
      <c r="E1" s="107" t="s">
        <v>18</v>
      </c>
      <c r="F1" s="119" t="s">
        <v>1</v>
      </c>
      <c r="G1" s="119" t="s">
        <v>329</v>
      </c>
      <c r="H1" s="107" t="s">
        <v>3</v>
      </c>
      <c r="I1" s="107" t="s">
        <v>4</v>
      </c>
      <c r="J1" s="107" t="s">
        <v>5</v>
      </c>
      <c r="K1" s="120" t="s">
        <v>330</v>
      </c>
      <c r="L1" s="120" t="s">
        <v>7</v>
      </c>
      <c r="M1" s="120" t="s">
        <v>14</v>
      </c>
      <c r="N1" s="120" t="s">
        <v>8</v>
      </c>
      <c r="O1" s="120" t="s">
        <v>15</v>
      </c>
      <c r="P1" s="107" t="s">
        <v>9</v>
      </c>
      <c r="Q1" s="119" t="s">
        <v>10</v>
      </c>
      <c r="R1" s="120" t="s">
        <v>331</v>
      </c>
      <c r="S1" s="120" t="s">
        <v>332</v>
      </c>
      <c r="T1" s="107" t="s">
        <v>333</v>
      </c>
      <c r="U1" s="120" t="s">
        <v>334</v>
      </c>
      <c r="V1" s="120" t="s">
        <v>335</v>
      </c>
      <c r="W1" s="107" t="s">
        <v>336</v>
      </c>
      <c r="X1" s="120" t="s">
        <v>337</v>
      </c>
      <c r="Y1" s="129" t="s">
        <v>16</v>
      </c>
      <c r="Z1" s="107" t="s">
        <v>338</v>
      </c>
      <c r="AA1" s="107" t="s">
        <v>339</v>
      </c>
      <c r="AB1" s="143" t="s">
        <v>340</v>
      </c>
      <c r="AC1" s="121" t="s">
        <v>341</v>
      </c>
      <c r="AD1" s="121" t="s">
        <v>342</v>
      </c>
      <c r="AE1" s="121" t="s">
        <v>17</v>
      </c>
      <c r="AF1" s="121" t="s">
        <v>343</v>
      </c>
      <c r="AG1" s="121" t="s">
        <v>344</v>
      </c>
      <c r="AH1" s="151" t="s">
        <v>345</v>
      </c>
    </row>
    <row r="2" spans="1:34" s="105" customFormat="1" ht="24.95" customHeight="1" x14ac:dyDescent="0.15">
      <c r="A2" s="139" t="s">
        <v>244</v>
      </c>
      <c r="B2" s="115" t="s">
        <v>346</v>
      </c>
      <c r="C2" s="139" t="s">
        <v>347</v>
      </c>
      <c r="D2" s="100" t="s">
        <v>348</v>
      </c>
      <c r="E2" s="139" t="s">
        <v>137</v>
      </c>
      <c r="F2" s="48">
        <v>43717</v>
      </c>
      <c r="G2" s="150">
        <v>43808</v>
      </c>
      <c r="H2" s="149" t="s">
        <v>321</v>
      </c>
      <c r="I2" s="149" t="s">
        <v>38</v>
      </c>
      <c r="J2" s="139" t="s">
        <v>349</v>
      </c>
      <c r="K2" s="104">
        <v>25</v>
      </c>
      <c r="L2" s="103"/>
      <c r="M2" s="103">
        <v>5797.25</v>
      </c>
      <c r="N2" s="103"/>
      <c r="O2" s="103">
        <v>0</v>
      </c>
      <c r="P2" s="103" t="s">
        <v>320</v>
      </c>
      <c r="Q2" s="103" t="s">
        <v>322</v>
      </c>
      <c r="R2" s="103"/>
      <c r="S2" s="103"/>
      <c r="T2" s="48">
        <v>43719</v>
      </c>
      <c r="U2" s="103">
        <v>5805.75</v>
      </c>
      <c r="V2" s="103"/>
      <c r="W2" s="103"/>
      <c r="X2" s="103">
        <v>1512.41</v>
      </c>
      <c r="Y2" s="131">
        <f>M2*K2</f>
        <v>144931.25</v>
      </c>
      <c r="Z2" s="149" t="s">
        <v>350</v>
      </c>
      <c r="AA2" s="104" t="s">
        <v>21</v>
      </c>
      <c r="AB2" s="104">
        <v>103</v>
      </c>
      <c r="AE2" s="105" t="s">
        <v>349</v>
      </c>
      <c r="AG2" s="105">
        <f>X2/((U2-M2)*K2)</f>
        <v>7.1172235294117652</v>
      </c>
      <c r="AH2" s="152">
        <f>Y2*AG2</f>
        <v>1031508.1026470589</v>
      </c>
    </row>
    <row r="3" spans="1:34" s="105" customFormat="1" ht="24.95" customHeight="1" x14ac:dyDescent="0.15">
      <c r="A3" s="139" t="s">
        <v>244</v>
      </c>
      <c r="B3" s="115" t="s">
        <v>346</v>
      </c>
      <c r="C3" s="139" t="s">
        <v>347</v>
      </c>
      <c r="D3" s="100" t="s">
        <v>348</v>
      </c>
      <c r="E3" s="139" t="s">
        <v>137</v>
      </c>
      <c r="F3" s="48">
        <v>43717</v>
      </c>
      <c r="G3" s="150">
        <v>43808</v>
      </c>
      <c r="H3" s="149" t="s">
        <v>321</v>
      </c>
      <c r="I3" s="149" t="s">
        <v>21</v>
      </c>
      <c r="J3" s="139" t="s">
        <v>349</v>
      </c>
      <c r="K3" s="104">
        <v>25</v>
      </c>
      <c r="L3" s="103"/>
      <c r="M3" s="103">
        <v>5800.75</v>
      </c>
      <c r="N3" s="103"/>
      <c r="O3" s="103">
        <v>0</v>
      </c>
      <c r="P3" s="103" t="s">
        <v>351</v>
      </c>
      <c r="Q3" s="103" t="s">
        <v>323</v>
      </c>
      <c r="R3" s="103"/>
      <c r="S3" s="103"/>
      <c r="T3" s="48">
        <v>43719</v>
      </c>
      <c r="U3" s="103">
        <v>5800</v>
      </c>
      <c r="V3" s="103"/>
      <c r="W3" s="103"/>
      <c r="X3" s="103">
        <v>133.44</v>
      </c>
      <c r="Y3" s="131">
        <f>M3*K3</f>
        <v>145018.75</v>
      </c>
      <c r="Z3" s="149" t="s">
        <v>350</v>
      </c>
      <c r="AA3" s="104" t="s">
        <v>38</v>
      </c>
      <c r="AB3" s="104">
        <v>104</v>
      </c>
      <c r="AE3" s="105" t="s">
        <v>349</v>
      </c>
      <c r="AG3" s="105">
        <f>-X3/((U3-M3)*K3)</f>
        <v>7.1167999999999996</v>
      </c>
      <c r="AH3" s="152">
        <f>AG3*Y3</f>
        <v>1032069.44</v>
      </c>
    </row>
  </sheetData>
  <phoneticPr fontId="13" type="noConversion"/>
  <dataValidations count="1">
    <dataValidation type="list" allowBlank="1" showInputMessage="1" showErrorMessage="1" sqref="C1">
      <formula1>"存续，到期"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9" sqref="M39"/>
    </sheetView>
  </sheetViews>
  <sheetFormatPr defaultRowHeight="13.5" x14ac:dyDescent="0.15"/>
  <sheetData/>
  <phoneticPr fontId="1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/>
  <dimension ref="A1:AB129"/>
  <sheetViews>
    <sheetView workbookViewId="0">
      <pane ySplit="79" topLeftCell="A80" activePane="bottomLeft" state="frozen"/>
      <selection pane="bottomLeft" activeCell="I97" sqref="I97"/>
    </sheetView>
  </sheetViews>
  <sheetFormatPr defaultColWidth="9" defaultRowHeight="14.25" x14ac:dyDescent="0.15"/>
  <cols>
    <col min="1" max="1" width="9" style="1"/>
    <col min="2" max="2" width="30.5" style="3" customWidth="1"/>
    <col min="3" max="4" width="14.625" style="4" customWidth="1"/>
    <col min="5" max="5" width="13.75" style="3" customWidth="1"/>
    <col min="6" max="6" width="11.5" style="3" customWidth="1"/>
    <col min="7" max="7" width="21.875" style="3" customWidth="1"/>
    <col min="8" max="8" width="18.375" style="3" customWidth="1"/>
    <col min="9" max="9" width="20.25" style="3" customWidth="1"/>
    <col min="10" max="10" width="14" style="3" customWidth="1"/>
    <col min="11" max="11" width="19.25" style="3" customWidth="1"/>
    <col min="12" max="12" width="11.5" style="3" customWidth="1"/>
    <col min="13" max="13" width="14.375" style="3" customWidth="1"/>
    <col min="14" max="14" width="15" style="3" customWidth="1"/>
    <col min="15" max="15" width="15.75" style="3" customWidth="1"/>
    <col min="16" max="16" width="11.875" style="10" customWidth="1"/>
    <col min="17" max="17" width="16.125" style="11" customWidth="1"/>
    <col min="18" max="18" width="17.625" style="11" customWidth="1"/>
    <col min="19" max="19" width="14.625" style="3" customWidth="1"/>
    <col min="20" max="20" width="10.5" style="1" customWidth="1"/>
    <col min="21" max="21" width="9" style="1"/>
    <col min="22" max="22" width="10.5" style="1" customWidth="1"/>
    <col min="23" max="16384" width="9" style="1"/>
  </cols>
  <sheetData>
    <row r="1" spans="1:21" s="6" customFormat="1" ht="28.5" x14ac:dyDescent="0.15">
      <c r="A1" s="72" t="s">
        <v>248</v>
      </c>
      <c r="B1" s="73" t="s">
        <v>0</v>
      </c>
      <c r="C1" s="73" t="s">
        <v>1</v>
      </c>
      <c r="D1" s="73" t="s">
        <v>2</v>
      </c>
      <c r="E1" s="73" t="s">
        <v>3</v>
      </c>
      <c r="F1" s="73" t="s">
        <v>4</v>
      </c>
      <c r="G1" s="7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73" t="s">
        <v>13</v>
      </c>
      <c r="P1" s="74" t="s">
        <v>14</v>
      </c>
      <c r="Q1" s="75" t="s">
        <v>15</v>
      </c>
      <c r="R1" s="76" t="s">
        <v>16</v>
      </c>
      <c r="S1" s="73" t="s">
        <v>17</v>
      </c>
      <c r="T1" s="77" t="s">
        <v>18</v>
      </c>
      <c r="U1" s="72"/>
    </row>
    <row r="2" spans="1:21" s="7" customFormat="1" hidden="1" x14ac:dyDescent="0.15">
      <c r="B2" s="3" t="s">
        <v>19</v>
      </c>
      <c r="C2" s="4">
        <v>42962</v>
      </c>
      <c r="D2" s="4">
        <v>43063</v>
      </c>
      <c r="E2" s="3" t="s">
        <v>20</v>
      </c>
      <c r="F2" s="3" t="s">
        <v>21</v>
      </c>
      <c r="G2" s="3" t="s">
        <v>22</v>
      </c>
      <c r="H2" s="3">
        <v>2000</v>
      </c>
      <c r="I2" s="3">
        <v>6500</v>
      </c>
      <c r="J2" s="3">
        <v>68</v>
      </c>
      <c r="K2" s="3" t="s">
        <v>23</v>
      </c>
      <c r="L2" s="3" t="s">
        <v>24</v>
      </c>
      <c r="M2" s="3">
        <v>6409</v>
      </c>
      <c r="N2" s="3">
        <f t="shared" ref="N2:N8" si="0">(I2-M2)*H2</f>
        <v>182000</v>
      </c>
      <c r="O2" s="4">
        <f t="shared" ref="O2:O27" si="1">D2</f>
        <v>43063</v>
      </c>
      <c r="P2" s="10">
        <f>[1]!s_dq_settle(E2,C2)</f>
        <v>0</v>
      </c>
      <c r="Q2" s="11">
        <v>136000</v>
      </c>
      <c r="R2" s="11">
        <f t="shared" ref="R2:R27" si="2">P2*H2</f>
        <v>0</v>
      </c>
    </row>
    <row r="3" spans="1:21" s="7" customFormat="1" hidden="1" x14ac:dyDescent="0.15">
      <c r="B3" s="3" t="s">
        <v>19</v>
      </c>
      <c r="C3" s="4">
        <v>42962</v>
      </c>
      <c r="D3" s="4">
        <v>43063</v>
      </c>
      <c r="E3" s="3" t="s">
        <v>20</v>
      </c>
      <c r="F3" s="3" t="s">
        <v>21</v>
      </c>
      <c r="G3" s="3" t="s">
        <v>25</v>
      </c>
      <c r="H3" s="3">
        <v>2000</v>
      </c>
      <c r="I3" s="3">
        <v>5800</v>
      </c>
      <c r="J3" s="3">
        <v>35</v>
      </c>
      <c r="K3" s="3" t="s">
        <v>23</v>
      </c>
      <c r="L3" s="3" t="s">
        <v>24</v>
      </c>
      <c r="M3" s="3">
        <v>6409</v>
      </c>
      <c r="N3" s="3">
        <f>(I3-M3)*H3*-1</f>
        <v>1218000</v>
      </c>
      <c r="O3" s="4">
        <f t="shared" si="1"/>
        <v>43063</v>
      </c>
      <c r="P3" s="10">
        <f>[1]!s_dq_settle(E3,C3)</f>
        <v>0</v>
      </c>
      <c r="Q3" s="11">
        <v>70000</v>
      </c>
      <c r="R3" s="11">
        <f t="shared" si="2"/>
        <v>0</v>
      </c>
    </row>
    <row r="4" spans="1:21" s="7" customFormat="1" hidden="1" x14ac:dyDescent="0.15">
      <c r="B4" s="3" t="s">
        <v>19</v>
      </c>
      <c r="C4" s="4">
        <v>42965</v>
      </c>
      <c r="D4" s="4">
        <v>43063</v>
      </c>
      <c r="E4" s="3" t="s">
        <v>20</v>
      </c>
      <c r="F4" s="3" t="s">
        <v>21</v>
      </c>
      <c r="G4" s="3" t="s">
        <v>22</v>
      </c>
      <c r="H4" s="3">
        <v>2000</v>
      </c>
      <c r="I4" s="3">
        <v>6600</v>
      </c>
      <c r="J4" s="3">
        <v>45</v>
      </c>
      <c r="K4" s="3" t="s">
        <v>26</v>
      </c>
      <c r="L4" s="3" t="s">
        <v>27</v>
      </c>
      <c r="M4" s="3">
        <v>6409</v>
      </c>
      <c r="N4" s="3">
        <f t="shared" si="0"/>
        <v>382000</v>
      </c>
      <c r="O4" s="4">
        <f t="shared" si="1"/>
        <v>43063</v>
      </c>
      <c r="P4" s="10">
        <f>[1]!s_dq_settle(E4,C4)</f>
        <v>0</v>
      </c>
      <c r="Q4" s="11">
        <v>90000</v>
      </c>
      <c r="R4" s="11">
        <f t="shared" si="2"/>
        <v>0</v>
      </c>
    </row>
    <row r="5" spans="1:21" s="7" customFormat="1" hidden="1" x14ac:dyDescent="0.15">
      <c r="B5" s="3" t="s">
        <v>19</v>
      </c>
      <c r="C5" s="4">
        <v>42965</v>
      </c>
      <c r="D5" s="4">
        <v>43063</v>
      </c>
      <c r="E5" s="3" t="s">
        <v>20</v>
      </c>
      <c r="F5" s="3" t="s">
        <v>21</v>
      </c>
      <c r="G5" s="3" t="s">
        <v>22</v>
      </c>
      <c r="H5" s="3">
        <v>2000</v>
      </c>
      <c r="I5" s="3">
        <v>6600</v>
      </c>
      <c r="J5" s="3">
        <v>52</v>
      </c>
      <c r="K5" s="3" t="s">
        <v>28</v>
      </c>
      <c r="L5" s="3" t="s">
        <v>29</v>
      </c>
      <c r="M5" s="3">
        <v>6409</v>
      </c>
      <c r="N5" s="3">
        <f t="shared" si="0"/>
        <v>382000</v>
      </c>
      <c r="O5" s="4">
        <f t="shared" si="1"/>
        <v>43063</v>
      </c>
      <c r="P5" s="10">
        <f>[1]!s_dq_settle(E5,C5)</f>
        <v>0</v>
      </c>
      <c r="Q5" s="11">
        <v>104000</v>
      </c>
      <c r="R5" s="11">
        <f t="shared" si="2"/>
        <v>0</v>
      </c>
    </row>
    <row r="6" spans="1:21" s="7" customFormat="1" hidden="1" x14ac:dyDescent="0.15">
      <c r="B6" s="3" t="s">
        <v>19</v>
      </c>
      <c r="C6" s="4">
        <v>42970</v>
      </c>
      <c r="D6" s="4">
        <v>43063</v>
      </c>
      <c r="E6" s="3" t="s">
        <v>20</v>
      </c>
      <c r="F6" s="3" t="s">
        <v>21</v>
      </c>
      <c r="G6" s="3" t="s">
        <v>25</v>
      </c>
      <c r="H6" s="3">
        <v>2000</v>
      </c>
      <c r="I6" s="3">
        <v>6000</v>
      </c>
      <c r="J6" s="3">
        <v>35</v>
      </c>
      <c r="K6" s="3" t="s">
        <v>30</v>
      </c>
      <c r="L6" s="3" t="s">
        <v>31</v>
      </c>
      <c r="M6" s="3">
        <v>6409</v>
      </c>
      <c r="N6" s="3">
        <f>(I6-M6)*H6*-1</f>
        <v>818000</v>
      </c>
      <c r="O6" s="4">
        <f t="shared" si="1"/>
        <v>43063</v>
      </c>
      <c r="P6" s="10">
        <f>[1]!s_dq_settle(E6,C6)</f>
        <v>0</v>
      </c>
      <c r="Q6" s="11">
        <v>70000</v>
      </c>
      <c r="R6" s="11">
        <f t="shared" si="2"/>
        <v>0</v>
      </c>
    </row>
    <row r="7" spans="1:21" s="7" customFormat="1" hidden="1" x14ac:dyDescent="0.15">
      <c r="B7" s="3" t="s">
        <v>19</v>
      </c>
      <c r="C7" s="4">
        <v>42972</v>
      </c>
      <c r="D7" s="4">
        <v>43063</v>
      </c>
      <c r="E7" s="3" t="s">
        <v>20</v>
      </c>
      <c r="F7" s="3" t="s">
        <v>21</v>
      </c>
      <c r="G7" s="3" t="s">
        <v>22</v>
      </c>
      <c r="H7" s="3">
        <v>1000</v>
      </c>
      <c r="I7" s="3">
        <v>6600</v>
      </c>
      <c r="J7" s="3">
        <v>53.5</v>
      </c>
      <c r="K7" s="3" t="s">
        <v>32</v>
      </c>
      <c r="L7" s="3" t="s">
        <v>33</v>
      </c>
      <c r="M7" s="3">
        <v>6409</v>
      </c>
      <c r="N7" s="3">
        <f t="shared" si="0"/>
        <v>191000</v>
      </c>
      <c r="O7" s="4">
        <f t="shared" si="1"/>
        <v>43063</v>
      </c>
      <c r="P7" s="10">
        <f>[1]!s_dq_settle(E7,C7)</f>
        <v>0</v>
      </c>
      <c r="Q7" s="11">
        <v>53500</v>
      </c>
      <c r="R7" s="11">
        <f t="shared" si="2"/>
        <v>0</v>
      </c>
    </row>
    <row r="8" spans="1:21" s="7" customFormat="1" hidden="1" x14ac:dyDescent="0.15">
      <c r="B8" s="3" t="s">
        <v>19</v>
      </c>
      <c r="C8" s="4">
        <v>42977</v>
      </c>
      <c r="D8" s="4">
        <v>43063</v>
      </c>
      <c r="E8" s="3" t="s">
        <v>20</v>
      </c>
      <c r="F8" s="3" t="s">
        <v>21</v>
      </c>
      <c r="G8" s="3" t="s">
        <v>22</v>
      </c>
      <c r="H8" s="3">
        <v>2000</v>
      </c>
      <c r="I8" s="3">
        <v>6600</v>
      </c>
      <c r="J8" s="3">
        <v>55</v>
      </c>
      <c r="K8" s="3" t="s">
        <v>34</v>
      </c>
      <c r="L8" s="3" t="s">
        <v>35</v>
      </c>
      <c r="M8" s="3">
        <v>6409</v>
      </c>
      <c r="N8" s="3">
        <f t="shared" si="0"/>
        <v>382000</v>
      </c>
      <c r="O8" s="4">
        <f t="shared" si="1"/>
        <v>43063</v>
      </c>
      <c r="P8" s="10">
        <f>[1]!s_dq_settle(E8,C8)</f>
        <v>0</v>
      </c>
      <c r="Q8" s="11">
        <v>110000</v>
      </c>
      <c r="R8" s="11">
        <f t="shared" si="2"/>
        <v>0</v>
      </c>
    </row>
    <row r="9" spans="1:21" hidden="1" x14ac:dyDescent="0.15">
      <c r="B9" s="3" t="s">
        <v>36</v>
      </c>
      <c r="C9" s="4">
        <v>42979</v>
      </c>
      <c r="D9" s="4">
        <v>43007</v>
      </c>
      <c r="E9" s="3" t="s">
        <v>37</v>
      </c>
      <c r="F9" s="3" t="s">
        <v>38</v>
      </c>
      <c r="G9" s="3" t="s">
        <v>39</v>
      </c>
      <c r="H9" s="3">
        <v>427</v>
      </c>
      <c r="I9" s="3">
        <v>15230</v>
      </c>
      <c r="J9" s="3">
        <v>678.69594847775204</v>
      </c>
      <c r="K9" s="3" t="s">
        <v>40</v>
      </c>
      <c r="L9" s="3" t="s">
        <v>41</v>
      </c>
      <c r="M9" s="3">
        <v>15498.33</v>
      </c>
      <c r="N9" s="3">
        <v>0</v>
      </c>
      <c r="O9" s="4">
        <f t="shared" si="1"/>
        <v>43007</v>
      </c>
      <c r="P9" s="16">
        <f>[1]!s_dq_settle(E9,C9)</f>
        <v>0</v>
      </c>
      <c r="Q9" s="11">
        <v>289803.17</v>
      </c>
      <c r="R9" s="11">
        <f t="shared" si="2"/>
        <v>0</v>
      </c>
      <c r="S9" s="3">
        <f>SUM(R9:R41)</f>
        <v>1073640000</v>
      </c>
    </row>
    <row r="10" spans="1:21" hidden="1" x14ac:dyDescent="0.15">
      <c r="B10" s="3" t="s">
        <v>42</v>
      </c>
      <c r="C10" s="4">
        <v>42979</v>
      </c>
      <c r="D10" s="4">
        <v>43007</v>
      </c>
      <c r="E10" s="3" t="s">
        <v>43</v>
      </c>
      <c r="F10" s="3" t="s">
        <v>38</v>
      </c>
      <c r="G10" s="3" t="s">
        <v>39</v>
      </c>
      <c r="H10" s="3">
        <v>670</v>
      </c>
      <c r="I10" s="3">
        <v>16545</v>
      </c>
      <c r="J10" s="3">
        <v>790.8</v>
      </c>
      <c r="K10" s="3" t="s">
        <v>44</v>
      </c>
      <c r="L10" s="3" t="s">
        <v>45</v>
      </c>
      <c r="M10" s="3">
        <v>15741.43</v>
      </c>
      <c r="N10" s="3">
        <f>(I10-M10)*H10</f>
        <v>538391.89999999979</v>
      </c>
      <c r="O10" s="4">
        <f t="shared" si="1"/>
        <v>43007</v>
      </c>
      <c r="P10" s="16">
        <f>[1]!s_dq_settle(E10,C10)</f>
        <v>0</v>
      </c>
      <c r="Q10" s="11">
        <v>529836</v>
      </c>
      <c r="R10" s="11">
        <f t="shared" si="2"/>
        <v>0</v>
      </c>
    </row>
    <row r="11" spans="1:21" hidden="1" x14ac:dyDescent="0.15">
      <c r="B11" s="3" t="s">
        <v>46</v>
      </c>
      <c r="C11" s="4">
        <v>42979</v>
      </c>
      <c r="D11" s="4">
        <v>43098</v>
      </c>
      <c r="E11" s="3" t="s">
        <v>47</v>
      </c>
      <c r="F11" s="3" t="s">
        <v>38</v>
      </c>
      <c r="G11" s="3" t="s">
        <v>39</v>
      </c>
      <c r="H11" s="3">
        <v>22500</v>
      </c>
      <c r="I11" s="3">
        <v>1687</v>
      </c>
      <c r="J11" s="3">
        <v>60</v>
      </c>
      <c r="K11" s="3" t="s">
        <v>48</v>
      </c>
      <c r="O11" s="4">
        <f t="shared" si="1"/>
        <v>43098</v>
      </c>
      <c r="P11" s="16">
        <f>[1]!s_dq_settle(E11,C11)</f>
        <v>0</v>
      </c>
      <c r="Q11" s="11">
        <v>1350000</v>
      </c>
      <c r="R11" s="11">
        <f t="shared" si="2"/>
        <v>0</v>
      </c>
    </row>
    <row r="12" spans="1:21" hidden="1" x14ac:dyDescent="0.15">
      <c r="B12" s="3" t="s">
        <v>19</v>
      </c>
      <c r="C12" s="4">
        <v>42982</v>
      </c>
      <c r="D12" s="4">
        <v>43063</v>
      </c>
      <c r="E12" s="3" t="s">
        <v>20</v>
      </c>
      <c r="F12" s="3" t="s">
        <v>21</v>
      </c>
      <c r="G12" s="3" t="s">
        <v>25</v>
      </c>
      <c r="H12" s="3">
        <v>2000</v>
      </c>
      <c r="I12" s="3">
        <v>6100</v>
      </c>
      <c r="J12" s="3">
        <v>49</v>
      </c>
      <c r="K12" s="3" t="s">
        <v>49</v>
      </c>
      <c r="L12" s="3" t="s">
        <v>50</v>
      </c>
      <c r="M12" s="3">
        <v>6409</v>
      </c>
      <c r="N12" s="3">
        <f>(I12-M12)*H12*-1</f>
        <v>618000</v>
      </c>
      <c r="O12" s="4">
        <f t="shared" si="1"/>
        <v>43063</v>
      </c>
      <c r="P12" s="16">
        <f>[1]!s_dq_settle(E12,C12)</f>
        <v>0</v>
      </c>
      <c r="Q12" s="11">
        <v>98000</v>
      </c>
      <c r="R12" s="11">
        <f t="shared" si="2"/>
        <v>0</v>
      </c>
    </row>
    <row r="13" spans="1:21" hidden="1" x14ac:dyDescent="0.15">
      <c r="B13" s="3" t="s">
        <v>19</v>
      </c>
      <c r="C13" s="4">
        <v>42985</v>
      </c>
      <c r="D13" s="4">
        <v>43063</v>
      </c>
      <c r="E13" s="3" t="s">
        <v>20</v>
      </c>
      <c r="F13" s="3" t="s">
        <v>21</v>
      </c>
      <c r="G13" s="3" t="s">
        <v>25</v>
      </c>
      <c r="H13" s="3">
        <v>2000</v>
      </c>
      <c r="I13" s="3">
        <v>6000</v>
      </c>
      <c r="J13" s="3">
        <v>56</v>
      </c>
      <c r="K13" s="3" t="s">
        <v>51</v>
      </c>
      <c r="L13" s="3" t="s">
        <v>52</v>
      </c>
      <c r="M13" s="3">
        <v>6409</v>
      </c>
      <c r="N13" s="3">
        <f>(I13-M13)*H13*-1</f>
        <v>818000</v>
      </c>
      <c r="O13" s="4">
        <f t="shared" si="1"/>
        <v>43063</v>
      </c>
      <c r="P13" s="16">
        <f>[1]!s_dq_settle(E13,C13)</f>
        <v>0</v>
      </c>
      <c r="Q13" s="11">
        <v>112000</v>
      </c>
      <c r="R13" s="11">
        <f t="shared" si="2"/>
        <v>0</v>
      </c>
    </row>
    <row r="14" spans="1:21" hidden="1" x14ac:dyDescent="0.15">
      <c r="B14" s="3" t="s">
        <v>36</v>
      </c>
      <c r="C14" s="4">
        <v>42993</v>
      </c>
      <c r="D14" s="4">
        <v>43021</v>
      </c>
      <c r="E14" s="3" t="s">
        <v>20</v>
      </c>
      <c r="F14" s="3" t="s">
        <v>38</v>
      </c>
      <c r="G14" s="3" t="s">
        <v>39</v>
      </c>
      <c r="H14" s="3">
        <v>1462.5</v>
      </c>
      <c r="I14" s="3">
        <v>6392</v>
      </c>
      <c r="J14" s="3">
        <v>222.22</v>
      </c>
      <c r="K14" s="3" t="s">
        <v>53</v>
      </c>
      <c r="L14" s="3" t="s">
        <v>54</v>
      </c>
      <c r="M14" s="3">
        <v>6150.19</v>
      </c>
      <c r="N14" s="3">
        <f>(I14-M14)*H14*0.4</f>
        <v>141458.85000000024</v>
      </c>
      <c r="O14" s="4">
        <f t="shared" si="1"/>
        <v>43021</v>
      </c>
      <c r="P14" s="16">
        <f>[1]!s_dq_settle(E14,C14)</f>
        <v>0</v>
      </c>
      <c r="Q14" s="11">
        <v>324996.75</v>
      </c>
      <c r="R14" s="11">
        <f t="shared" si="2"/>
        <v>0</v>
      </c>
    </row>
    <row r="15" spans="1:21" hidden="1" x14ac:dyDescent="0.15">
      <c r="B15" s="3" t="s">
        <v>55</v>
      </c>
      <c r="C15" s="4">
        <v>43004</v>
      </c>
      <c r="D15" s="4">
        <v>43034</v>
      </c>
      <c r="E15" s="3" t="s">
        <v>43</v>
      </c>
      <c r="F15" s="3" t="s">
        <v>21</v>
      </c>
      <c r="G15" s="3" t="s">
        <v>56</v>
      </c>
      <c r="H15" s="3">
        <v>200</v>
      </c>
      <c r="I15" s="3">
        <v>16500</v>
      </c>
      <c r="J15" s="3">
        <v>27</v>
      </c>
      <c r="K15" s="3" t="s">
        <v>57</v>
      </c>
      <c r="L15" s="3" t="s">
        <v>58</v>
      </c>
      <c r="M15" s="3">
        <v>13570</v>
      </c>
      <c r="N15" s="3">
        <f>J15*H15</f>
        <v>5400</v>
      </c>
      <c r="O15" s="4">
        <f t="shared" si="1"/>
        <v>43034</v>
      </c>
      <c r="P15" s="16">
        <f>[1]!s_dq_settle(E15,C15)</f>
        <v>0</v>
      </c>
      <c r="Q15" s="11">
        <v>5400</v>
      </c>
      <c r="R15" s="11">
        <f t="shared" si="2"/>
        <v>0</v>
      </c>
    </row>
    <row r="16" spans="1:21" hidden="1" x14ac:dyDescent="0.15">
      <c r="B16" s="3" t="s">
        <v>55</v>
      </c>
      <c r="C16" s="4">
        <v>43004</v>
      </c>
      <c r="D16" s="4">
        <v>43034</v>
      </c>
      <c r="E16" s="3" t="s">
        <v>43</v>
      </c>
      <c r="F16" s="3" t="s">
        <v>21</v>
      </c>
      <c r="G16" s="3" t="s">
        <v>59</v>
      </c>
      <c r="H16" s="3">
        <v>200</v>
      </c>
      <c r="I16" s="3">
        <v>13250</v>
      </c>
      <c r="J16" s="3">
        <v>40</v>
      </c>
      <c r="K16" s="3" t="s">
        <v>57</v>
      </c>
      <c r="L16" s="3" t="s">
        <v>58</v>
      </c>
      <c r="M16" s="3">
        <v>13570</v>
      </c>
      <c r="N16" s="3">
        <f>J16*H16</f>
        <v>8000</v>
      </c>
      <c r="O16" s="4">
        <f t="shared" si="1"/>
        <v>43034</v>
      </c>
      <c r="P16" s="16">
        <f>[1]!s_dq_settle(E16,C16)</f>
        <v>0</v>
      </c>
      <c r="Q16" s="11">
        <v>8000</v>
      </c>
      <c r="R16" s="11">
        <f t="shared" si="2"/>
        <v>0</v>
      </c>
    </row>
    <row r="17" spans="2:19" hidden="1" x14ac:dyDescent="0.15">
      <c r="B17" s="3" t="s">
        <v>36</v>
      </c>
      <c r="C17" s="4">
        <v>43017</v>
      </c>
      <c r="D17" s="4">
        <v>43039</v>
      </c>
      <c r="E17" s="3" t="s">
        <v>37</v>
      </c>
      <c r="F17" s="3" t="s">
        <v>38</v>
      </c>
      <c r="G17" s="3" t="s">
        <v>39</v>
      </c>
      <c r="H17" s="3">
        <v>427</v>
      </c>
      <c r="I17" s="3">
        <v>15100</v>
      </c>
      <c r="J17" s="3">
        <v>678.69594847775204</v>
      </c>
      <c r="K17" s="3" t="s">
        <v>40</v>
      </c>
      <c r="L17" s="3" t="s">
        <v>60</v>
      </c>
      <c r="M17" s="3">
        <v>15054.21</v>
      </c>
      <c r="N17" s="3">
        <f>(I17-M17)*H17</f>
        <v>19552.330000000373</v>
      </c>
      <c r="O17" s="4">
        <f t="shared" si="1"/>
        <v>43039</v>
      </c>
      <c r="P17" s="16">
        <f>[1]!s_dq_settle(E17,C17)</f>
        <v>0</v>
      </c>
      <c r="Q17" s="11">
        <v>289803.17</v>
      </c>
      <c r="R17" s="11">
        <f t="shared" si="2"/>
        <v>0</v>
      </c>
    </row>
    <row r="18" spans="2:19" hidden="1" x14ac:dyDescent="0.15">
      <c r="B18" s="3" t="s">
        <v>42</v>
      </c>
      <c r="C18" s="4">
        <v>43017</v>
      </c>
      <c r="D18" s="4">
        <v>43039</v>
      </c>
      <c r="E18" s="3" t="s">
        <v>43</v>
      </c>
      <c r="F18" s="3" t="s">
        <v>38</v>
      </c>
      <c r="G18" s="3" t="s">
        <v>39</v>
      </c>
      <c r="H18" s="3">
        <v>670</v>
      </c>
      <c r="I18" s="3">
        <v>13495</v>
      </c>
      <c r="J18" s="3">
        <v>790.8</v>
      </c>
      <c r="K18" s="3" t="s">
        <v>44</v>
      </c>
      <c r="L18" s="3" t="s">
        <v>61</v>
      </c>
      <c r="M18" s="3">
        <v>13440.88</v>
      </c>
      <c r="N18" s="3">
        <f>(I18-M18)*H18</f>
        <v>36260.400000000533</v>
      </c>
      <c r="O18" s="4">
        <f t="shared" si="1"/>
        <v>43039</v>
      </c>
      <c r="P18" s="16">
        <f>[1]!s_dq_settle(E18,C18)</f>
        <v>0</v>
      </c>
      <c r="Q18" s="11">
        <v>529836</v>
      </c>
      <c r="R18" s="11">
        <f t="shared" si="2"/>
        <v>0</v>
      </c>
    </row>
    <row r="19" spans="2:19" hidden="1" x14ac:dyDescent="0.15">
      <c r="B19" s="3" t="s">
        <v>36</v>
      </c>
      <c r="C19" s="4">
        <v>43024</v>
      </c>
      <c r="D19" s="4">
        <v>43053</v>
      </c>
      <c r="E19" s="3" t="s">
        <v>20</v>
      </c>
      <c r="F19" s="3" t="s">
        <v>38</v>
      </c>
      <c r="G19" s="3" t="s">
        <v>39</v>
      </c>
      <c r="H19" s="3">
        <v>1462.5</v>
      </c>
      <c r="I19" s="3">
        <v>6465</v>
      </c>
      <c r="J19" s="3">
        <v>222.22</v>
      </c>
      <c r="K19" s="3" t="s">
        <v>53</v>
      </c>
      <c r="L19" s="3" t="s">
        <v>62</v>
      </c>
      <c r="M19" s="3">
        <v>6360.27</v>
      </c>
      <c r="N19" s="3">
        <f>(I19-M19)*H19*0.4</f>
        <v>61267.049999999748</v>
      </c>
      <c r="O19" s="4">
        <f t="shared" si="1"/>
        <v>43053</v>
      </c>
      <c r="P19" s="16">
        <f>[1]!s_dq_settle(E19,C19)</f>
        <v>0</v>
      </c>
      <c r="Q19" s="11">
        <f>J19*H19</f>
        <v>324996.75</v>
      </c>
      <c r="R19" s="11">
        <f t="shared" si="2"/>
        <v>0</v>
      </c>
    </row>
    <row r="20" spans="2:19" hidden="1" x14ac:dyDescent="0.15">
      <c r="B20" s="3" t="s">
        <v>63</v>
      </c>
      <c r="C20" s="4">
        <v>43035</v>
      </c>
      <c r="D20" s="4">
        <v>43126</v>
      </c>
      <c r="E20" s="3" t="s">
        <v>64</v>
      </c>
      <c r="F20" s="3" t="s">
        <v>38</v>
      </c>
      <c r="G20" s="3" t="s">
        <v>25</v>
      </c>
      <c r="H20" s="3">
        <v>4000</v>
      </c>
      <c r="I20" s="3">
        <v>3723</v>
      </c>
      <c r="J20" s="3">
        <v>100</v>
      </c>
      <c r="K20" s="3" t="s">
        <v>65</v>
      </c>
      <c r="L20" s="3" t="s">
        <v>66</v>
      </c>
      <c r="O20" s="4"/>
      <c r="P20" s="16">
        <f>[1]!s_dq_settle(E20,C20)</f>
        <v>0</v>
      </c>
      <c r="Q20" s="11">
        <f>J20*H20</f>
        <v>400000</v>
      </c>
      <c r="R20" s="11">
        <f t="shared" si="2"/>
        <v>0</v>
      </c>
    </row>
    <row r="21" spans="2:19" hidden="1" x14ac:dyDescent="0.15">
      <c r="B21" s="3" t="s">
        <v>63</v>
      </c>
      <c r="C21" s="4">
        <v>43035</v>
      </c>
      <c r="D21" s="4">
        <v>43126</v>
      </c>
      <c r="E21" s="3" t="s">
        <v>64</v>
      </c>
      <c r="F21" s="3" t="s">
        <v>21</v>
      </c>
      <c r="G21" s="3" t="s">
        <v>25</v>
      </c>
      <c r="H21" s="3">
        <v>4000</v>
      </c>
      <c r="I21" s="3">
        <v>3350.7</v>
      </c>
      <c r="J21" s="3">
        <v>5</v>
      </c>
      <c r="K21" s="3" t="s">
        <v>65</v>
      </c>
      <c r="L21" s="3" t="s">
        <v>66</v>
      </c>
      <c r="O21" s="4"/>
      <c r="P21" s="16">
        <f>[1]!s_dq_settle(E21,C21)</f>
        <v>0</v>
      </c>
      <c r="Q21" s="11">
        <f>J21*H21</f>
        <v>20000</v>
      </c>
      <c r="R21" s="11">
        <f t="shared" si="2"/>
        <v>0</v>
      </c>
      <c r="S21" s="1"/>
    </row>
    <row r="22" spans="2:19" hidden="1" x14ac:dyDescent="0.15">
      <c r="B22" s="3" t="s">
        <v>67</v>
      </c>
      <c r="C22" s="4">
        <v>43039</v>
      </c>
      <c r="D22" s="4">
        <v>43131</v>
      </c>
      <c r="E22" s="3" t="s">
        <v>68</v>
      </c>
      <c r="F22" s="3" t="s">
        <v>38</v>
      </c>
      <c r="G22" s="3" t="s">
        <v>59</v>
      </c>
      <c r="H22" s="3">
        <v>2000</v>
      </c>
      <c r="I22" s="3">
        <v>3781</v>
      </c>
      <c r="J22" s="3">
        <v>0</v>
      </c>
      <c r="K22" s="3" t="s">
        <v>69</v>
      </c>
      <c r="L22" s="3" t="s">
        <v>70</v>
      </c>
      <c r="M22" s="3">
        <v>3623</v>
      </c>
      <c r="N22" s="3">
        <v>58000</v>
      </c>
      <c r="O22" s="4">
        <f t="shared" si="1"/>
        <v>43131</v>
      </c>
      <c r="P22" s="16">
        <f>[1]!s_dq_settle(E22,C22)</f>
        <v>0</v>
      </c>
      <c r="Q22" s="11">
        <v>0</v>
      </c>
      <c r="R22" s="11">
        <f t="shared" si="2"/>
        <v>0</v>
      </c>
      <c r="S22" s="216" t="s">
        <v>71</v>
      </c>
    </row>
    <row r="23" spans="2:19" hidden="1" x14ac:dyDescent="0.15">
      <c r="B23" s="3" t="s">
        <v>67</v>
      </c>
      <c r="C23" s="4">
        <v>43039</v>
      </c>
      <c r="D23" s="4">
        <v>43131</v>
      </c>
      <c r="E23" s="3" t="s">
        <v>68</v>
      </c>
      <c r="F23" s="3" t="s">
        <v>21</v>
      </c>
      <c r="G23" s="3" t="s">
        <v>59</v>
      </c>
      <c r="H23" s="3">
        <v>2000</v>
      </c>
      <c r="I23" s="3">
        <v>2981</v>
      </c>
      <c r="J23" s="3">
        <v>0</v>
      </c>
      <c r="K23" s="3" t="s">
        <v>69</v>
      </c>
      <c r="L23" s="3" t="s">
        <v>70</v>
      </c>
      <c r="M23" s="3">
        <v>3623</v>
      </c>
      <c r="N23" s="3">
        <v>0</v>
      </c>
      <c r="O23" s="4">
        <f t="shared" si="1"/>
        <v>43131</v>
      </c>
      <c r="P23" s="16">
        <f>[1]!s_dq_settle(E23,C23)</f>
        <v>0</v>
      </c>
      <c r="Q23" s="11">
        <v>0</v>
      </c>
      <c r="R23" s="11">
        <f t="shared" si="2"/>
        <v>0</v>
      </c>
      <c r="S23" s="216"/>
    </row>
    <row r="24" spans="2:19" hidden="1" x14ac:dyDescent="0.15">
      <c r="B24" s="3" t="s">
        <v>42</v>
      </c>
      <c r="C24" s="4">
        <v>43040</v>
      </c>
      <c r="D24" s="4">
        <v>43069</v>
      </c>
      <c r="E24" s="3" t="s">
        <v>43</v>
      </c>
      <c r="F24" s="3" t="s">
        <v>38</v>
      </c>
      <c r="G24" s="3" t="s">
        <v>39</v>
      </c>
      <c r="H24" s="3">
        <v>670</v>
      </c>
      <c r="I24" s="3">
        <v>13260</v>
      </c>
      <c r="J24" s="3">
        <v>790.8</v>
      </c>
      <c r="K24" s="3" t="s">
        <v>44</v>
      </c>
      <c r="L24" s="3" t="s">
        <v>72</v>
      </c>
      <c r="M24" s="3">
        <v>13667.05</v>
      </c>
      <c r="N24" s="3">
        <v>0</v>
      </c>
      <c r="O24" s="4">
        <f t="shared" si="1"/>
        <v>43069</v>
      </c>
      <c r="P24" s="16">
        <f>[1]!s_dq_settle(E24,C24)</f>
        <v>0</v>
      </c>
      <c r="Q24" s="11">
        <f>J24*H24</f>
        <v>529836</v>
      </c>
      <c r="R24" s="11">
        <f t="shared" si="2"/>
        <v>0</v>
      </c>
    </row>
    <row r="25" spans="2:19" hidden="1" x14ac:dyDescent="0.15">
      <c r="B25" s="3" t="s">
        <v>36</v>
      </c>
      <c r="C25" s="4">
        <v>43040</v>
      </c>
      <c r="D25" s="4">
        <v>43069</v>
      </c>
      <c r="E25" s="3" t="s">
        <v>37</v>
      </c>
      <c r="F25" s="3" t="s">
        <v>38</v>
      </c>
      <c r="G25" s="3" t="s">
        <v>39</v>
      </c>
      <c r="H25" s="3">
        <v>427</v>
      </c>
      <c r="I25" s="3">
        <v>14970</v>
      </c>
      <c r="J25" s="3">
        <v>678.69594847775204</v>
      </c>
      <c r="K25" s="3" t="s">
        <v>40</v>
      </c>
      <c r="L25" s="3" t="s">
        <v>73</v>
      </c>
      <c r="M25" s="3">
        <v>15060.91</v>
      </c>
      <c r="N25" s="3">
        <v>0</v>
      </c>
      <c r="O25" s="4">
        <f t="shared" si="1"/>
        <v>43069</v>
      </c>
      <c r="P25" s="16">
        <f>[1]!s_dq_settle(E25,C25)</f>
        <v>0</v>
      </c>
      <c r="Q25" s="11">
        <f>J25*H25</f>
        <v>289803.1700000001</v>
      </c>
      <c r="R25" s="11">
        <f t="shared" si="2"/>
        <v>0</v>
      </c>
    </row>
    <row r="26" spans="2:19" hidden="1" x14ac:dyDescent="0.15">
      <c r="B26" s="3" t="s">
        <v>36</v>
      </c>
      <c r="C26" s="4">
        <v>43053</v>
      </c>
      <c r="D26" s="4">
        <v>43083</v>
      </c>
      <c r="E26" s="3" t="s">
        <v>20</v>
      </c>
      <c r="F26" s="3" t="s">
        <v>38</v>
      </c>
      <c r="G26" s="3" t="s">
        <v>39</v>
      </c>
      <c r="H26" s="3">
        <v>1575</v>
      </c>
      <c r="I26" s="3">
        <v>6694</v>
      </c>
      <c r="J26" s="3">
        <v>222.23</v>
      </c>
      <c r="K26" s="3" t="s">
        <v>53</v>
      </c>
      <c r="L26" s="3" t="s">
        <v>74</v>
      </c>
      <c r="M26" s="3">
        <v>6434.3</v>
      </c>
      <c r="N26" s="3">
        <v>-163611</v>
      </c>
      <c r="O26" s="4">
        <f t="shared" si="1"/>
        <v>43083</v>
      </c>
      <c r="P26" s="16">
        <f>[1]!s_dq_settle(E26,C26)</f>
        <v>0</v>
      </c>
      <c r="Q26" s="11">
        <f t="shared" ref="Q26:Q58" si="3">J26*H26</f>
        <v>350012.25</v>
      </c>
      <c r="R26" s="11">
        <f t="shared" si="2"/>
        <v>0</v>
      </c>
    </row>
    <row r="27" spans="2:19" hidden="1" x14ac:dyDescent="0.15">
      <c r="B27" s="3" t="s">
        <v>75</v>
      </c>
      <c r="C27" s="4">
        <v>43068</v>
      </c>
      <c r="D27" s="4">
        <v>43084</v>
      </c>
      <c r="E27" s="3" t="s">
        <v>76</v>
      </c>
      <c r="F27" s="3" t="s">
        <v>21</v>
      </c>
      <c r="G27" s="3" t="s">
        <v>59</v>
      </c>
      <c r="H27" s="3">
        <v>5000</v>
      </c>
      <c r="I27" s="3">
        <v>3800</v>
      </c>
      <c r="J27" s="3">
        <v>61</v>
      </c>
      <c r="K27" s="3" t="s">
        <v>77</v>
      </c>
      <c r="L27" s="3" t="s">
        <v>78</v>
      </c>
      <c r="M27" s="3">
        <v>4205</v>
      </c>
      <c r="N27" s="3">
        <v>305000</v>
      </c>
      <c r="O27" s="4">
        <f t="shared" si="1"/>
        <v>43084</v>
      </c>
      <c r="P27" s="16">
        <f>[1]!s_dq_settle(E27,C27)</f>
        <v>0</v>
      </c>
      <c r="Q27" s="11">
        <f t="shared" si="3"/>
        <v>305000</v>
      </c>
      <c r="R27" s="11">
        <f t="shared" si="2"/>
        <v>0</v>
      </c>
    </row>
    <row r="28" spans="2:19" hidden="1" x14ac:dyDescent="0.15">
      <c r="B28" s="3" t="s">
        <v>79</v>
      </c>
      <c r="C28" s="4">
        <v>43075</v>
      </c>
      <c r="D28" s="4">
        <v>43089</v>
      </c>
      <c r="E28" s="3" t="s">
        <v>80</v>
      </c>
      <c r="F28" s="3" t="s">
        <v>21</v>
      </c>
      <c r="G28" s="3" t="s">
        <v>22</v>
      </c>
      <c r="H28" s="3">
        <v>5000</v>
      </c>
      <c r="I28" s="3">
        <v>5502</v>
      </c>
      <c r="J28" s="3">
        <v>64.373000000000005</v>
      </c>
      <c r="K28" s="3" t="s">
        <v>81</v>
      </c>
      <c r="L28" s="3" t="s">
        <v>82</v>
      </c>
      <c r="M28" s="3">
        <v>139.97999999999999</v>
      </c>
      <c r="N28" s="3">
        <f>(M28-J28)*H28</f>
        <v>378034.99999999994</v>
      </c>
      <c r="O28" s="4">
        <v>43076</v>
      </c>
      <c r="P28" s="16">
        <f>[1]!s_dq_settle(E28,C28)</f>
        <v>0</v>
      </c>
      <c r="Q28" s="11">
        <f t="shared" si="3"/>
        <v>321865</v>
      </c>
      <c r="R28" s="11">
        <f>P28*H28*2</f>
        <v>0</v>
      </c>
      <c r="S28" s="3" t="s">
        <v>83</v>
      </c>
    </row>
    <row r="29" spans="2:19" hidden="1" x14ac:dyDescent="0.15">
      <c r="B29" s="3" t="s">
        <v>79</v>
      </c>
      <c r="C29" s="4">
        <v>43075</v>
      </c>
      <c r="D29" s="4">
        <v>43089</v>
      </c>
      <c r="E29" s="3" t="s">
        <v>80</v>
      </c>
      <c r="F29" s="3" t="s">
        <v>21</v>
      </c>
      <c r="G29" s="3" t="s">
        <v>25</v>
      </c>
      <c r="H29" s="3">
        <v>5000</v>
      </c>
      <c r="I29" s="3">
        <v>5502</v>
      </c>
      <c r="J29" s="3">
        <v>64.373000000000005</v>
      </c>
      <c r="K29" s="3" t="s">
        <v>81</v>
      </c>
      <c r="L29" s="3" t="s">
        <v>82</v>
      </c>
      <c r="M29" s="3">
        <v>18.2</v>
      </c>
      <c r="N29" s="3">
        <f>(M29-J29)*H29</f>
        <v>-230865</v>
      </c>
      <c r="O29" s="4">
        <v>43076</v>
      </c>
      <c r="P29" s="16">
        <f>[1]!s_dq_settle(E29,C29)</f>
        <v>0</v>
      </c>
      <c r="Q29" s="11">
        <f t="shared" si="3"/>
        <v>321865</v>
      </c>
      <c r="R29" s="11">
        <f>P29*H29*2</f>
        <v>0</v>
      </c>
      <c r="S29" s="3" t="s">
        <v>83</v>
      </c>
    </row>
    <row r="30" spans="2:19" hidden="1" x14ac:dyDescent="0.15">
      <c r="B30" s="3" t="s">
        <v>79</v>
      </c>
      <c r="C30" s="4">
        <v>43075</v>
      </c>
      <c r="D30" s="4">
        <v>43089</v>
      </c>
      <c r="E30" s="3" t="s">
        <v>84</v>
      </c>
      <c r="F30" s="3" t="s">
        <v>21</v>
      </c>
      <c r="G30" s="3" t="s">
        <v>22</v>
      </c>
      <c r="H30" s="3">
        <v>6000</v>
      </c>
      <c r="I30" s="3">
        <v>537</v>
      </c>
      <c r="J30" s="3">
        <v>14.848000000000001</v>
      </c>
      <c r="K30" s="3" t="s">
        <v>81</v>
      </c>
      <c r="L30" s="3" t="s">
        <v>85</v>
      </c>
      <c r="M30" s="3">
        <v>527</v>
      </c>
      <c r="O30" s="4">
        <f>D30</f>
        <v>43089</v>
      </c>
      <c r="P30" s="16">
        <f>[1]!s_dq_settle(E30,C30)</f>
        <v>0</v>
      </c>
      <c r="Q30" s="11">
        <f t="shared" si="3"/>
        <v>89088</v>
      </c>
      <c r="R30" s="11">
        <f t="shared" ref="R30:R38" si="4">P30*H30</f>
        <v>0</v>
      </c>
    </row>
    <row r="31" spans="2:19" hidden="1" x14ac:dyDescent="0.15">
      <c r="B31" s="3" t="s">
        <v>79</v>
      </c>
      <c r="C31" s="4">
        <v>43075</v>
      </c>
      <c r="D31" s="4">
        <v>43089</v>
      </c>
      <c r="E31" s="3" t="s">
        <v>84</v>
      </c>
      <c r="F31" s="3" t="s">
        <v>21</v>
      </c>
      <c r="G31" s="3" t="s">
        <v>25</v>
      </c>
      <c r="H31" s="3">
        <v>6000</v>
      </c>
      <c r="I31" s="3">
        <v>537</v>
      </c>
      <c r="J31" s="3">
        <v>14.848000000000001</v>
      </c>
      <c r="K31" s="3" t="s">
        <v>81</v>
      </c>
      <c r="L31" s="3" t="s">
        <v>86</v>
      </c>
      <c r="M31" s="3">
        <v>527</v>
      </c>
      <c r="O31" s="4">
        <f t="shared" ref="O31:O37" si="5">D31</f>
        <v>43089</v>
      </c>
      <c r="P31" s="16">
        <f>[1]!s_dq_settle(E31,C31)</f>
        <v>0</v>
      </c>
      <c r="Q31" s="11">
        <f t="shared" si="3"/>
        <v>89088</v>
      </c>
      <c r="R31" s="11">
        <f t="shared" si="4"/>
        <v>0</v>
      </c>
    </row>
    <row r="32" spans="2:19" hidden="1" x14ac:dyDescent="0.15">
      <c r="B32" s="3" t="s">
        <v>79</v>
      </c>
      <c r="C32" s="4">
        <v>43076</v>
      </c>
      <c r="D32" s="4">
        <v>43089</v>
      </c>
      <c r="E32" s="3" t="s">
        <v>76</v>
      </c>
      <c r="F32" s="3" t="s">
        <v>21</v>
      </c>
      <c r="G32" s="3" t="s">
        <v>22</v>
      </c>
      <c r="H32" s="3">
        <v>2500</v>
      </c>
      <c r="I32" s="3">
        <v>3895</v>
      </c>
      <c r="J32" s="3">
        <v>78.873699999999999</v>
      </c>
      <c r="K32" s="3" t="s">
        <v>87</v>
      </c>
      <c r="L32" s="3" t="s">
        <v>88</v>
      </c>
      <c r="M32" s="3">
        <v>3800</v>
      </c>
      <c r="O32" s="4">
        <f t="shared" si="5"/>
        <v>43089</v>
      </c>
      <c r="P32" s="16">
        <f>[1]!s_dq_settle(E32,C32)</f>
        <v>0</v>
      </c>
      <c r="Q32" s="11">
        <f t="shared" si="3"/>
        <v>197184.25</v>
      </c>
      <c r="R32" s="11">
        <f t="shared" si="4"/>
        <v>0</v>
      </c>
    </row>
    <row r="33" spans="2:19" hidden="1" x14ac:dyDescent="0.15">
      <c r="B33" s="3" t="s">
        <v>79</v>
      </c>
      <c r="C33" s="4">
        <v>43076</v>
      </c>
      <c r="D33" s="4">
        <v>43089</v>
      </c>
      <c r="E33" s="3" t="s">
        <v>76</v>
      </c>
      <c r="F33" s="3" t="s">
        <v>21</v>
      </c>
      <c r="G33" s="3" t="s">
        <v>25</v>
      </c>
      <c r="H33" s="3">
        <v>2500</v>
      </c>
      <c r="I33" s="3">
        <v>3895</v>
      </c>
      <c r="J33" s="3">
        <v>78.873699999999999</v>
      </c>
      <c r="K33" s="3" t="s">
        <v>89</v>
      </c>
      <c r="L33" s="3" t="s">
        <v>90</v>
      </c>
      <c r="M33" s="3">
        <v>3800</v>
      </c>
      <c r="O33" s="4">
        <f t="shared" si="5"/>
        <v>43089</v>
      </c>
      <c r="P33" s="16">
        <f>[1]!s_dq_settle(E33,C33)</f>
        <v>0</v>
      </c>
      <c r="Q33" s="11">
        <f t="shared" si="3"/>
        <v>197184.25</v>
      </c>
      <c r="R33" s="11">
        <f t="shared" si="4"/>
        <v>0</v>
      </c>
    </row>
    <row r="34" spans="2:19" hidden="1" x14ac:dyDescent="0.15">
      <c r="B34" s="3" t="s">
        <v>91</v>
      </c>
      <c r="C34" s="4">
        <v>43076</v>
      </c>
      <c r="D34" s="4">
        <v>43090</v>
      </c>
      <c r="E34" s="3" t="s">
        <v>84</v>
      </c>
      <c r="F34" s="3" t="s">
        <v>21</v>
      </c>
      <c r="G34" s="3" t="s">
        <v>22</v>
      </c>
      <c r="H34" s="3">
        <v>50000</v>
      </c>
      <c r="I34" s="3">
        <v>516.5</v>
      </c>
      <c r="J34" s="3">
        <v>14.39</v>
      </c>
      <c r="K34" s="3" t="s">
        <v>92</v>
      </c>
      <c r="L34" s="3" t="s">
        <v>93</v>
      </c>
      <c r="M34" s="3">
        <v>9.07</v>
      </c>
      <c r="N34" s="3">
        <f>(M34-J34)*H34</f>
        <v>-266000</v>
      </c>
      <c r="O34" s="4">
        <v>43077</v>
      </c>
      <c r="P34" s="16">
        <f>[1]!s_dq_settle(E34,C34)</f>
        <v>0</v>
      </c>
      <c r="Q34" s="11">
        <f t="shared" si="3"/>
        <v>719500</v>
      </c>
      <c r="R34" s="11">
        <f>P34*H34*2</f>
        <v>0</v>
      </c>
      <c r="S34" s="3" t="s">
        <v>83</v>
      </c>
    </row>
    <row r="35" spans="2:19" hidden="1" x14ac:dyDescent="0.15">
      <c r="B35" s="3" t="s">
        <v>91</v>
      </c>
      <c r="C35" s="4">
        <v>43076</v>
      </c>
      <c r="D35" s="4">
        <v>43090</v>
      </c>
      <c r="E35" s="3" t="s">
        <v>84</v>
      </c>
      <c r="F35" s="3" t="s">
        <v>21</v>
      </c>
      <c r="G35" s="3" t="s">
        <v>25</v>
      </c>
      <c r="H35" s="3">
        <v>50000</v>
      </c>
      <c r="I35" s="3">
        <v>516.5</v>
      </c>
      <c r="J35" s="3">
        <v>14.39</v>
      </c>
      <c r="K35" s="3" t="s">
        <v>92</v>
      </c>
      <c r="L35" s="3" t="s">
        <v>94</v>
      </c>
      <c r="N35" s="3">
        <f>(M35-J35)*H35</f>
        <v>-719500</v>
      </c>
      <c r="O35" s="4">
        <f t="shared" si="5"/>
        <v>43090</v>
      </c>
      <c r="P35" s="16">
        <f>[1]!s_dq_settle(E35,C35)</f>
        <v>0</v>
      </c>
      <c r="Q35" s="11">
        <f t="shared" si="3"/>
        <v>719500</v>
      </c>
      <c r="R35" s="11">
        <f t="shared" si="4"/>
        <v>0</v>
      </c>
    </row>
    <row r="36" spans="2:19" hidden="1" x14ac:dyDescent="0.15">
      <c r="B36" s="3" t="s">
        <v>91</v>
      </c>
      <c r="C36" s="4">
        <v>43076</v>
      </c>
      <c r="D36" s="4">
        <v>43090</v>
      </c>
      <c r="E36" s="3" t="s">
        <v>84</v>
      </c>
      <c r="F36" s="3" t="s">
        <v>21</v>
      </c>
      <c r="G36" s="3" t="s">
        <v>22</v>
      </c>
      <c r="H36" s="3">
        <v>25000</v>
      </c>
      <c r="I36" s="3">
        <v>494.5</v>
      </c>
      <c r="J36" s="3">
        <v>13.91</v>
      </c>
      <c r="K36" s="3" t="s">
        <v>95</v>
      </c>
      <c r="L36" s="3" t="s">
        <v>96</v>
      </c>
      <c r="M36" s="3">
        <v>19.649999999999999</v>
      </c>
      <c r="N36" s="3">
        <f>(M36-J36)*H36</f>
        <v>143499.99999999997</v>
      </c>
      <c r="O36" s="4">
        <v>43077</v>
      </c>
      <c r="P36" s="16">
        <f>[1]!s_dq_settle(E36,C36)</f>
        <v>0</v>
      </c>
      <c r="Q36" s="11">
        <f t="shared" si="3"/>
        <v>347750</v>
      </c>
      <c r="R36" s="11">
        <f>P36*H36*2</f>
        <v>0</v>
      </c>
      <c r="S36" s="3" t="s">
        <v>83</v>
      </c>
    </row>
    <row r="37" spans="2:19" hidden="1" x14ac:dyDescent="0.15">
      <c r="B37" s="3" t="s">
        <v>91</v>
      </c>
      <c r="C37" s="4">
        <v>43076</v>
      </c>
      <c r="D37" s="4">
        <v>43090</v>
      </c>
      <c r="E37" s="3" t="s">
        <v>84</v>
      </c>
      <c r="F37" s="3" t="s">
        <v>21</v>
      </c>
      <c r="G37" s="3" t="s">
        <v>25</v>
      </c>
      <c r="H37" s="3">
        <v>25000</v>
      </c>
      <c r="I37" s="3">
        <v>494.5</v>
      </c>
      <c r="J37" s="3">
        <v>13.91</v>
      </c>
      <c r="K37" s="3" t="s">
        <v>95</v>
      </c>
      <c r="L37" s="3" t="s">
        <v>97</v>
      </c>
      <c r="N37" s="3">
        <f>(M37-J37)*H37</f>
        <v>-347750</v>
      </c>
      <c r="O37" s="4">
        <f t="shared" si="5"/>
        <v>43090</v>
      </c>
      <c r="P37" s="16">
        <f>[1]!s_dq_settle(E37,C37)</f>
        <v>0</v>
      </c>
      <c r="Q37" s="11">
        <f t="shared" si="3"/>
        <v>347750</v>
      </c>
      <c r="R37" s="11">
        <f t="shared" si="4"/>
        <v>0</v>
      </c>
    </row>
    <row r="38" spans="2:19" hidden="1" x14ac:dyDescent="0.15">
      <c r="B38" s="3" t="s">
        <v>75</v>
      </c>
      <c r="C38" s="4">
        <v>43077</v>
      </c>
      <c r="D38" s="4">
        <v>43189</v>
      </c>
      <c r="E38" s="3" t="s">
        <v>98</v>
      </c>
      <c r="F38" s="3" t="s">
        <v>21</v>
      </c>
      <c r="G38" s="3" t="s">
        <v>25</v>
      </c>
      <c r="H38" s="3">
        <v>30000</v>
      </c>
      <c r="I38" s="3">
        <v>1200</v>
      </c>
      <c r="J38" s="3">
        <v>77.8</v>
      </c>
      <c r="K38" s="3" t="s">
        <v>99</v>
      </c>
      <c r="P38" s="16">
        <f>[1]!s_dq_settle(E38,C38)</f>
        <v>0</v>
      </c>
      <c r="Q38" s="11">
        <f t="shared" si="3"/>
        <v>2334000</v>
      </c>
      <c r="R38" s="11">
        <f t="shared" si="4"/>
        <v>0</v>
      </c>
    </row>
    <row r="39" spans="2:19" hidden="1" x14ac:dyDescent="0.15">
      <c r="B39" s="3" t="s">
        <v>100</v>
      </c>
      <c r="C39" s="4">
        <v>43080</v>
      </c>
      <c r="D39" s="4">
        <v>43095</v>
      </c>
      <c r="E39" s="3" t="s">
        <v>76</v>
      </c>
      <c r="F39" s="3" t="s">
        <v>101</v>
      </c>
      <c r="G39" s="3" t="s">
        <v>22</v>
      </c>
      <c r="H39" s="3">
        <v>10000</v>
      </c>
      <c r="I39" s="3" t="s">
        <v>102</v>
      </c>
      <c r="J39" s="3">
        <v>0.1</v>
      </c>
      <c r="K39" s="3" t="s">
        <v>103</v>
      </c>
      <c r="L39" s="3" t="s">
        <v>104</v>
      </c>
      <c r="M39" s="3" t="s">
        <v>105</v>
      </c>
      <c r="N39" s="3">
        <v>200</v>
      </c>
      <c r="O39" s="4">
        <v>43082</v>
      </c>
      <c r="P39" s="16">
        <f>[1]!s_dq_settle(E39,C39)</f>
        <v>0</v>
      </c>
      <c r="Q39" s="11">
        <f t="shared" si="3"/>
        <v>1000</v>
      </c>
      <c r="R39" s="11">
        <f>2*H39*3900*4</f>
        <v>312000000</v>
      </c>
      <c r="S39" s="3" t="s">
        <v>83</v>
      </c>
    </row>
    <row r="40" spans="2:19" hidden="1" x14ac:dyDescent="0.15">
      <c r="B40" s="3" t="s">
        <v>100</v>
      </c>
      <c r="C40" s="4">
        <v>43084</v>
      </c>
      <c r="D40" s="4">
        <v>43098</v>
      </c>
      <c r="E40" s="3" t="s">
        <v>76</v>
      </c>
      <c r="F40" s="3" t="s">
        <v>101</v>
      </c>
      <c r="G40" s="3" t="s">
        <v>22</v>
      </c>
      <c r="H40" s="3">
        <v>10000</v>
      </c>
      <c r="I40" s="3" t="s">
        <v>102</v>
      </c>
      <c r="J40" s="3">
        <v>0.03</v>
      </c>
      <c r="K40" s="3" t="s">
        <v>106</v>
      </c>
      <c r="L40" s="3" t="s">
        <v>107</v>
      </c>
      <c r="M40" s="3" t="s">
        <v>108</v>
      </c>
      <c r="N40" s="3">
        <v>8</v>
      </c>
      <c r="O40" s="4">
        <v>43090</v>
      </c>
      <c r="P40" s="16">
        <f>[1]!s_dq_settle(E40,C40)</f>
        <v>0</v>
      </c>
      <c r="Q40" s="11">
        <f t="shared" si="3"/>
        <v>300</v>
      </c>
      <c r="R40" s="11">
        <f>H40*3804*4*2</f>
        <v>304320000</v>
      </c>
      <c r="S40" s="3" t="s">
        <v>83</v>
      </c>
    </row>
    <row r="41" spans="2:19" hidden="1" x14ac:dyDescent="0.15">
      <c r="B41" s="3" t="s">
        <v>100</v>
      </c>
      <c r="C41" s="4">
        <v>43089</v>
      </c>
      <c r="D41" s="4">
        <v>43105</v>
      </c>
      <c r="E41" s="3" t="s">
        <v>76</v>
      </c>
      <c r="F41" s="3" t="s">
        <v>101</v>
      </c>
      <c r="G41" s="3" t="s">
        <v>22</v>
      </c>
      <c r="H41" s="3">
        <v>15000</v>
      </c>
      <c r="I41" s="3" t="s">
        <v>102</v>
      </c>
      <c r="J41" s="3">
        <v>2.1999999999999999E-2</v>
      </c>
      <c r="K41" s="3" t="s">
        <v>109</v>
      </c>
      <c r="L41" s="3" t="s">
        <v>110</v>
      </c>
      <c r="M41" s="3">
        <v>3811</v>
      </c>
      <c r="N41" s="3">
        <v>300</v>
      </c>
      <c r="O41" s="4">
        <v>43098</v>
      </c>
      <c r="P41" s="16">
        <f>[1]!s_dq_settle(E41,C41)</f>
        <v>0</v>
      </c>
      <c r="Q41" s="11">
        <f t="shared" si="3"/>
        <v>330</v>
      </c>
      <c r="R41" s="11">
        <f>H41*M41*4*2</f>
        <v>457320000</v>
      </c>
      <c r="S41" s="3" t="s">
        <v>83</v>
      </c>
    </row>
    <row r="42" spans="2:19" hidden="1" x14ac:dyDescent="0.15">
      <c r="B42" s="3" t="s">
        <v>79</v>
      </c>
      <c r="C42" s="4">
        <v>43119</v>
      </c>
      <c r="D42" s="4">
        <v>43154</v>
      </c>
      <c r="E42" s="3" t="s">
        <v>76</v>
      </c>
      <c r="F42" s="3" t="s">
        <v>21</v>
      </c>
      <c r="G42" s="3" t="s">
        <v>22</v>
      </c>
      <c r="H42" s="3">
        <v>5000</v>
      </c>
      <c r="J42" s="3">
        <v>66.3</v>
      </c>
      <c r="M42" s="3">
        <v>3933</v>
      </c>
      <c r="O42" s="4">
        <f>D42</f>
        <v>43154</v>
      </c>
      <c r="P42" s="16">
        <f>[1]!s_dq_settle(E42,C42)</f>
        <v>0</v>
      </c>
      <c r="Q42" s="11">
        <f t="shared" si="3"/>
        <v>331500</v>
      </c>
      <c r="R42" s="11">
        <f>H42*M42</f>
        <v>19665000</v>
      </c>
    </row>
    <row r="43" spans="2:19" hidden="1" x14ac:dyDescent="0.15">
      <c r="B43" s="3" t="s">
        <v>111</v>
      </c>
      <c r="C43" s="4">
        <v>43167</v>
      </c>
      <c r="D43" s="4">
        <v>43194</v>
      </c>
      <c r="E43" s="3" t="s">
        <v>80</v>
      </c>
      <c r="F43" s="3" t="s">
        <v>21</v>
      </c>
      <c r="G43" s="3" t="s">
        <v>25</v>
      </c>
      <c r="H43" s="3">
        <v>5000</v>
      </c>
      <c r="I43" s="3">
        <v>5654</v>
      </c>
      <c r="J43" s="3">
        <v>72.37</v>
      </c>
      <c r="K43" s="3" t="s">
        <v>112</v>
      </c>
      <c r="O43" s="4">
        <f>D43</f>
        <v>43194</v>
      </c>
      <c r="P43" s="16">
        <f>[1]!s_dq_settle(E43,C43)</f>
        <v>0</v>
      </c>
      <c r="Q43" s="11">
        <f t="shared" si="3"/>
        <v>361850</v>
      </c>
      <c r="R43" s="11">
        <f>H43*I43</f>
        <v>28270000</v>
      </c>
      <c r="S43" s="3">
        <f>R43</f>
        <v>28270000</v>
      </c>
    </row>
    <row r="44" spans="2:19" hidden="1" x14ac:dyDescent="0.15">
      <c r="B44" s="3" t="s">
        <v>113</v>
      </c>
      <c r="C44" s="4">
        <v>43167</v>
      </c>
      <c r="D44" s="4">
        <v>43198</v>
      </c>
      <c r="E44" s="3" t="s">
        <v>114</v>
      </c>
      <c r="F44" s="3" t="s">
        <v>38</v>
      </c>
      <c r="G44" s="3" t="s">
        <v>22</v>
      </c>
      <c r="H44" s="3">
        <v>500</v>
      </c>
      <c r="I44" s="3">
        <v>51420</v>
      </c>
      <c r="J44" s="3">
        <v>1040</v>
      </c>
      <c r="K44" s="3" t="s">
        <v>115</v>
      </c>
      <c r="L44" s="3" t="s">
        <v>116</v>
      </c>
      <c r="O44" s="4">
        <f>D44</f>
        <v>43198</v>
      </c>
      <c r="P44" s="16">
        <f>[1]!s_dq_settle(E44,C44)</f>
        <v>0</v>
      </c>
      <c r="Q44" s="11">
        <f t="shared" si="3"/>
        <v>520000</v>
      </c>
      <c r="R44" s="11">
        <f>H44*I44</f>
        <v>25710000</v>
      </c>
    </row>
    <row r="45" spans="2:19" hidden="1" x14ac:dyDescent="0.15">
      <c r="B45" s="3" t="s">
        <v>19</v>
      </c>
      <c r="C45" s="4">
        <v>43168</v>
      </c>
      <c r="D45" s="4">
        <v>43210</v>
      </c>
      <c r="E45" s="3" t="s">
        <v>117</v>
      </c>
      <c r="F45" s="3" t="s">
        <v>21</v>
      </c>
      <c r="G45" s="3" t="s">
        <v>25</v>
      </c>
      <c r="H45" s="3">
        <v>500</v>
      </c>
      <c r="I45" s="3">
        <v>-50</v>
      </c>
      <c r="J45" s="3">
        <v>14.44</v>
      </c>
      <c r="K45" s="3" t="s">
        <v>118</v>
      </c>
      <c r="L45" s="3" t="s">
        <v>119</v>
      </c>
      <c r="O45" s="4">
        <f t="shared" ref="O45:O50" si="6">D45</f>
        <v>43210</v>
      </c>
      <c r="P45" s="16">
        <f>[1]!s_dq_settle("sr805.czc",C45)</f>
        <v>0</v>
      </c>
      <c r="Q45" s="11">
        <f t="shared" si="3"/>
        <v>7220</v>
      </c>
      <c r="R45" s="11">
        <f>H45*P45*2</f>
        <v>0</v>
      </c>
      <c r="S45" s="3">
        <f>R45</f>
        <v>0</v>
      </c>
    </row>
    <row r="46" spans="2:19" hidden="1" x14ac:dyDescent="0.15">
      <c r="B46" s="3" t="s">
        <v>19</v>
      </c>
      <c r="C46" s="4">
        <v>43168</v>
      </c>
      <c r="D46" s="4">
        <v>43210</v>
      </c>
      <c r="E46" s="3" t="s">
        <v>117</v>
      </c>
      <c r="F46" s="3" t="s">
        <v>21</v>
      </c>
      <c r="G46" s="3" t="s">
        <v>25</v>
      </c>
      <c r="H46" s="3">
        <v>500</v>
      </c>
      <c r="I46" s="3">
        <v>-60</v>
      </c>
      <c r="J46" s="3">
        <v>12.2</v>
      </c>
      <c r="K46" s="3" t="s">
        <v>120</v>
      </c>
      <c r="L46" s="3" t="s">
        <v>121</v>
      </c>
      <c r="O46" s="4">
        <f t="shared" si="6"/>
        <v>43210</v>
      </c>
      <c r="P46" s="16">
        <f>[1]!s_dq_settle("sr805.czc",C46)</f>
        <v>0</v>
      </c>
      <c r="Q46" s="11">
        <f t="shared" si="3"/>
        <v>6100</v>
      </c>
      <c r="R46" s="11">
        <f>H46*P46*2</f>
        <v>0</v>
      </c>
      <c r="S46" s="3">
        <f>R46</f>
        <v>0</v>
      </c>
    </row>
    <row r="47" spans="2:19" hidden="1" x14ac:dyDescent="0.15">
      <c r="B47" s="3" t="s">
        <v>19</v>
      </c>
      <c r="C47" s="4">
        <v>43168</v>
      </c>
      <c r="D47" s="4">
        <v>43210</v>
      </c>
      <c r="E47" s="3" t="s">
        <v>117</v>
      </c>
      <c r="F47" s="3" t="s">
        <v>21</v>
      </c>
      <c r="G47" s="3" t="s">
        <v>25</v>
      </c>
      <c r="H47" s="3">
        <v>500</v>
      </c>
      <c r="I47" s="3">
        <v>-70</v>
      </c>
      <c r="J47" s="3">
        <v>9.1999999999999993</v>
      </c>
      <c r="K47" s="3" t="s">
        <v>122</v>
      </c>
      <c r="L47" s="3" t="s">
        <v>123</v>
      </c>
      <c r="O47" s="4">
        <f t="shared" si="6"/>
        <v>43210</v>
      </c>
      <c r="P47" s="16">
        <f>[1]!s_dq_settle("sr805.czc",C47)</f>
        <v>0</v>
      </c>
      <c r="Q47" s="11">
        <f t="shared" si="3"/>
        <v>4600</v>
      </c>
      <c r="R47" s="11">
        <f>H47*P47*2</f>
        <v>0</v>
      </c>
      <c r="S47" s="3">
        <f>R47</f>
        <v>0</v>
      </c>
    </row>
    <row r="48" spans="2:19" hidden="1" x14ac:dyDescent="0.15">
      <c r="B48" s="3" t="s">
        <v>19</v>
      </c>
      <c r="C48" s="4">
        <v>43207</v>
      </c>
      <c r="D48" s="4">
        <v>43220</v>
      </c>
      <c r="E48" s="3" t="s">
        <v>117</v>
      </c>
      <c r="F48" s="3" t="s">
        <v>21</v>
      </c>
      <c r="G48" s="3" t="s">
        <v>25</v>
      </c>
      <c r="H48" s="3">
        <v>300</v>
      </c>
      <c r="I48" s="3">
        <v>-80</v>
      </c>
      <c r="J48" s="3">
        <v>12</v>
      </c>
      <c r="K48" s="3" t="s">
        <v>124</v>
      </c>
      <c r="L48" s="3" t="s">
        <v>125</v>
      </c>
      <c r="O48" s="4">
        <f t="shared" si="6"/>
        <v>43220</v>
      </c>
      <c r="P48" s="16">
        <f>[1]!s_dq_settle("sr805.czc",C48)</f>
        <v>0</v>
      </c>
      <c r="Q48" s="11">
        <f t="shared" si="3"/>
        <v>3600</v>
      </c>
      <c r="R48" s="11">
        <f>H48*P48*2</f>
        <v>0</v>
      </c>
      <c r="S48" s="3">
        <f>R48</f>
        <v>0</v>
      </c>
    </row>
    <row r="49" spans="2:20" hidden="1" x14ac:dyDescent="0.15">
      <c r="B49" s="3" t="s">
        <v>19</v>
      </c>
      <c r="C49" s="4">
        <v>43207</v>
      </c>
      <c r="D49" s="4">
        <v>43220</v>
      </c>
      <c r="E49" s="3" t="s">
        <v>117</v>
      </c>
      <c r="F49" s="3" t="s">
        <v>21</v>
      </c>
      <c r="G49" s="3" t="s">
        <v>25</v>
      </c>
      <c r="H49" s="3">
        <v>300</v>
      </c>
      <c r="I49" s="3">
        <v>-90</v>
      </c>
      <c r="J49" s="3">
        <v>12</v>
      </c>
      <c r="K49" s="3" t="s">
        <v>124</v>
      </c>
      <c r="L49" s="3" t="s">
        <v>125</v>
      </c>
      <c r="O49" s="4">
        <f t="shared" si="6"/>
        <v>43220</v>
      </c>
      <c r="P49" s="16">
        <f>[1]!s_dq_settle("sr805.czc",C49)</f>
        <v>0</v>
      </c>
      <c r="Q49" s="11">
        <f t="shared" si="3"/>
        <v>3600</v>
      </c>
      <c r="R49" s="11">
        <f>H49*P49*2</f>
        <v>0</v>
      </c>
      <c r="S49" s="3">
        <f>R49</f>
        <v>0</v>
      </c>
    </row>
    <row r="50" spans="2:20" hidden="1" x14ac:dyDescent="0.15">
      <c r="B50" s="3" t="s">
        <v>42</v>
      </c>
      <c r="C50" s="4">
        <v>43241</v>
      </c>
      <c r="D50" s="4">
        <v>43302</v>
      </c>
      <c r="E50" s="3" t="s">
        <v>126</v>
      </c>
      <c r="F50" s="3" t="s">
        <v>38</v>
      </c>
      <c r="G50" s="3" t="s">
        <v>127</v>
      </c>
      <c r="H50" s="3">
        <v>5000</v>
      </c>
      <c r="I50" s="3">
        <v>12015</v>
      </c>
      <c r="J50" s="3">
        <v>391.3</v>
      </c>
      <c r="K50" s="3" t="s">
        <v>128</v>
      </c>
      <c r="O50" s="4">
        <f t="shared" si="6"/>
        <v>43302</v>
      </c>
      <c r="P50" s="16">
        <v>12015</v>
      </c>
      <c r="Q50" s="11">
        <f t="shared" si="3"/>
        <v>1956500</v>
      </c>
      <c r="R50" s="11">
        <f>H50*P50</f>
        <v>60075000</v>
      </c>
      <c r="S50" s="3" t="s">
        <v>129</v>
      </c>
    </row>
    <row r="51" spans="2:20" hidden="1" x14ac:dyDescent="0.15">
      <c r="B51" s="3" t="s">
        <v>46</v>
      </c>
      <c r="C51" s="4">
        <v>43297</v>
      </c>
      <c r="D51" s="4">
        <v>43357</v>
      </c>
      <c r="E51" s="3" t="s">
        <v>130</v>
      </c>
      <c r="F51" s="3" t="s">
        <v>38</v>
      </c>
      <c r="G51" s="3" t="s">
        <v>131</v>
      </c>
      <c r="H51" s="3">
        <v>30000</v>
      </c>
      <c r="I51" s="3">
        <v>1847</v>
      </c>
      <c r="J51" s="3">
        <v>28.3</v>
      </c>
      <c r="K51" s="3" t="s">
        <v>132</v>
      </c>
      <c r="O51" s="4"/>
      <c r="P51" s="10">
        <v>1847</v>
      </c>
      <c r="Q51" s="11">
        <f t="shared" si="3"/>
        <v>849000</v>
      </c>
      <c r="R51" s="11">
        <f>H51*P51</f>
        <v>55410000</v>
      </c>
      <c r="S51" s="3" t="s">
        <v>129</v>
      </c>
    </row>
    <row r="52" spans="2:20" hidden="1" x14ac:dyDescent="0.15">
      <c r="B52" s="3" t="s">
        <v>46</v>
      </c>
      <c r="C52" s="4">
        <v>43325</v>
      </c>
      <c r="D52" s="4">
        <v>43446</v>
      </c>
      <c r="E52" s="3" t="s">
        <v>133</v>
      </c>
      <c r="F52" s="3" t="s">
        <v>38</v>
      </c>
      <c r="G52" s="3" t="s">
        <v>131</v>
      </c>
      <c r="H52" s="3">
        <v>15000</v>
      </c>
      <c r="I52" s="3">
        <v>3813</v>
      </c>
      <c r="J52" s="3">
        <v>101.33</v>
      </c>
      <c r="K52" s="3" t="s">
        <v>134</v>
      </c>
      <c r="O52" s="4">
        <v>43357</v>
      </c>
      <c r="P52" s="10">
        <f>I52</f>
        <v>3813</v>
      </c>
      <c r="Q52" s="11">
        <f t="shared" si="3"/>
        <v>1519950</v>
      </c>
      <c r="R52" s="11">
        <f>H52*P52</f>
        <v>57195000</v>
      </c>
    </row>
    <row r="53" spans="2:20" hidden="1" x14ac:dyDescent="0.15">
      <c r="B53" s="3" t="s">
        <v>46</v>
      </c>
      <c r="C53" s="4">
        <v>43346</v>
      </c>
      <c r="D53" s="4">
        <v>43406</v>
      </c>
      <c r="E53" s="3" t="s">
        <v>130</v>
      </c>
      <c r="F53" s="3" t="s">
        <v>38</v>
      </c>
      <c r="G53" s="3" t="s">
        <v>131</v>
      </c>
      <c r="H53" s="3">
        <v>30000</v>
      </c>
      <c r="I53" s="3">
        <v>1902.5</v>
      </c>
      <c r="J53" s="3">
        <v>28.3</v>
      </c>
      <c r="K53" s="3" t="s">
        <v>135</v>
      </c>
      <c r="L53" s="3" t="s">
        <v>136</v>
      </c>
      <c r="O53" s="4">
        <v>43406</v>
      </c>
      <c r="P53" s="10">
        <f>I53</f>
        <v>1902.5</v>
      </c>
      <c r="Q53" s="11">
        <f t="shared" si="3"/>
        <v>849000</v>
      </c>
      <c r="R53" s="11">
        <f>H53*P53</f>
        <v>57075000</v>
      </c>
      <c r="T53" s="1" t="s">
        <v>137</v>
      </c>
    </row>
    <row r="54" spans="2:20" hidden="1" x14ac:dyDescent="0.15">
      <c r="B54" s="3" t="s">
        <v>46</v>
      </c>
      <c r="C54" s="4">
        <v>43294</v>
      </c>
      <c r="D54" s="4">
        <v>43416</v>
      </c>
      <c r="E54" s="3" t="s">
        <v>130</v>
      </c>
      <c r="F54" s="3" t="s">
        <v>38</v>
      </c>
      <c r="G54" s="3" t="s">
        <v>131</v>
      </c>
      <c r="H54" s="3">
        <v>20374</v>
      </c>
      <c r="I54" s="3">
        <v>1842.5</v>
      </c>
      <c r="J54" s="3">
        <v>59.83</v>
      </c>
      <c r="K54" s="3" t="s">
        <v>138</v>
      </c>
      <c r="L54" s="3" t="s">
        <v>139</v>
      </c>
      <c r="O54" s="4">
        <v>43416</v>
      </c>
      <c r="P54" s="10">
        <f>I54</f>
        <v>1842.5</v>
      </c>
      <c r="Q54" s="11">
        <f t="shared" si="3"/>
        <v>1218976.42</v>
      </c>
      <c r="R54" s="11">
        <f>H54*P54</f>
        <v>37539095</v>
      </c>
      <c r="T54" s="1" t="s">
        <v>140</v>
      </c>
    </row>
    <row r="55" spans="2:20" hidden="1" x14ac:dyDescent="0.15">
      <c r="B55" s="3" t="s">
        <v>42</v>
      </c>
      <c r="C55" s="4">
        <v>43342</v>
      </c>
      <c r="D55" s="4">
        <v>43370</v>
      </c>
      <c r="E55" s="3" t="s">
        <v>141</v>
      </c>
      <c r="F55" s="3" t="s">
        <v>38</v>
      </c>
      <c r="G55" s="3" t="s">
        <v>142</v>
      </c>
      <c r="H55" s="3">
        <v>1500</v>
      </c>
      <c r="I55" s="3">
        <v>3832</v>
      </c>
      <c r="J55" s="3">
        <v>164</v>
      </c>
      <c r="K55" s="3" t="s">
        <v>143</v>
      </c>
      <c r="L55" s="3" t="s">
        <v>144</v>
      </c>
      <c r="O55" s="4">
        <v>43357</v>
      </c>
      <c r="P55" s="10">
        <f>I55</f>
        <v>3832</v>
      </c>
      <c r="Q55" s="11">
        <f t="shared" si="3"/>
        <v>246000</v>
      </c>
      <c r="R55" s="11">
        <f>H55*P55*2</f>
        <v>11496000</v>
      </c>
    </row>
    <row r="56" spans="2:20" hidden="1" x14ac:dyDescent="0.15">
      <c r="B56" s="3" t="s">
        <v>42</v>
      </c>
      <c r="C56" s="4">
        <v>43371</v>
      </c>
      <c r="D56" s="4">
        <v>43399</v>
      </c>
      <c r="E56" s="3" t="s">
        <v>141</v>
      </c>
      <c r="F56" s="3" t="s">
        <v>38</v>
      </c>
      <c r="G56" s="3" t="s">
        <v>142</v>
      </c>
      <c r="H56" s="3">
        <v>1500</v>
      </c>
      <c r="I56" s="3">
        <v>3931</v>
      </c>
      <c r="J56" s="3">
        <v>164</v>
      </c>
      <c r="K56" s="3" t="s">
        <v>143</v>
      </c>
      <c r="L56" s="3" t="s">
        <v>145</v>
      </c>
      <c r="O56" s="4"/>
      <c r="P56" s="10">
        <f t="shared" ref="P56:P62" si="7">I56</f>
        <v>3931</v>
      </c>
      <c r="Q56" s="11">
        <f t="shared" si="3"/>
        <v>246000</v>
      </c>
      <c r="R56" s="11">
        <f>H56*P56*2</f>
        <v>11793000</v>
      </c>
    </row>
    <row r="57" spans="2:20" s="8" customFormat="1" hidden="1" x14ac:dyDescent="0.15">
      <c r="B57" s="12" t="s">
        <v>42</v>
      </c>
      <c r="C57" s="13">
        <v>43402</v>
      </c>
      <c r="D57" s="13">
        <v>43432</v>
      </c>
      <c r="E57" s="12" t="s">
        <v>141</v>
      </c>
      <c r="F57" s="12" t="s">
        <v>38</v>
      </c>
      <c r="G57" s="12" t="s">
        <v>142</v>
      </c>
      <c r="H57" s="12">
        <v>1500</v>
      </c>
      <c r="I57" s="12">
        <v>4342</v>
      </c>
      <c r="J57" s="12">
        <v>164</v>
      </c>
      <c r="K57" s="12" t="s">
        <v>143</v>
      </c>
      <c r="L57" s="12"/>
      <c r="M57" s="12"/>
      <c r="N57" s="12"/>
      <c r="O57" s="13"/>
      <c r="P57" s="17">
        <f t="shared" si="7"/>
        <v>4342</v>
      </c>
      <c r="Q57" s="18">
        <f t="shared" si="3"/>
        <v>246000</v>
      </c>
      <c r="R57" s="18">
        <f>H57*P57*2</f>
        <v>13026000</v>
      </c>
      <c r="S57" s="12"/>
      <c r="T57" s="8" t="s">
        <v>140</v>
      </c>
    </row>
    <row r="58" spans="2:20" s="9" customFormat="1" hidden="1" x14ac:dyDescent="0.15">
      <c r="B58" s="14" t="s">
        <v>42</v>
      </c>
      <c r="C58" s="15">
        <v>43433</v>
      </c>
      <c r="D58" s="15">
        <v>43462</v>
      </c>
      <c r="E58" s="14" t="s">
        <v>146</v>
      </c>
      <c r="F58" s="14" t="s">
        <v>38</v>
      </c>
      <c r="G58" s="14" t="s">
        <v>142</v>
      </c>
      <c r="H58" s="14">
        <v>1500</v>
      </c>
      <c r="I58" s="14">
        <v>4116</v>
      </c>
      <c r="J58" s="14">
        <v>164</v>
      </c>
      <c r="K58" s="14" t="s">
        <v>143</v>
      </c>
      <c r="L58" s="14"/>
      <c r="M58" s="14"/>
      <c r="N58" s="14"/>
      <c r="O58" s="15"/>
      <c r="P58" s="19">
        <v>3537</v>
      </c>
      <c r="Q58" s="20">
        <f t="shared" si="3"/>
        <v>246000</v>
      </c>
      <c r="R58" s="20">
        <f>H58*P58*2</f>
        <v>10611000</v>
      </c>
      <c r="S58" s="14"/>
    </row>
    <row r="59" spans="2:20" s="9" customFormat="1" hidden="1" x14ac:dyDescent="0.15">
      <c r="B59" s="14" t="s">
        <v>147</v>
      </c>
      <c r="C59" s="15">
        <v>43242</v>
      </c>
      <c r="D59" s="15">
        <v>43273</v>
      </c>
      <c r="E59" s="14" t="s">
        <v>148</v>
      </c>
      <c r="F59" s="14" t="s">
        <v>21</v>
      </c>
      <c r="G59" s="14" t="s">
        <v>149</v>
      </c>
      <c r="H59" s="14">
        <v>300</v>
      </c>
      <c r="I59" s="14">
        <v>9290</v>
      </c>
      <c r="J59" s="14">
        <v>320.7</v>
      </c>
      <c r="K59" s="14" t="s">
        <v>150</v>
      </c>
      <c r="L59" s="14"/>
      <c r="M59" s="14"/>
      <c r="N59" s="14"/>
      <c r="O59" s="15"/>
      <c r="P59" s="19">
        <f t="shared" si="7"/>
        <v>9290</v>
      </c>
      <c r="Q59" s="20">
        <v>96210</v>
      </c>
      <c r="R59" s="20">
        <f>H59*P59*2</f>
        <v>5574000</v>
      </c>
      <c r="S59" s="14"/>
    </row>
    <row r="60" spans="2:20" s="9" customFormat="1" hidden="1" x14ac:dyDescent="0.15">
      <c r="B60" s="14" t="s">
        <v>46</v>
      </c>
      <c r="C60" s="15">
        <v>43360</v>
      </c>
      <c r="D60" s="15">
        <v>43382</v>
      </c>
      <c r="E60" s="14" t="s">
        <v>133</v>
      </c>
      <c r="F60" s="14" t="s">
        <v>38</v>
      </c>
      <c r="G60" s="14" t="s">
        <v>131</v>
      </c>
      <c r="H60" s="14">
        <v>15000</v>
      </c>
      <c r="I60" s="14">
        <v>3665.1</v>
      </c>
      <c r="J60" s="14">
        <v>1</v>
      </c>
      <c r="K60" s="14" t="s">
        <v>151</v>
      </c>
      <c r="L60" s="14" t="s">
        <v>152</v>
      </c>
      <c r="M60" s="14"/>
      <c r="N60" s="14"/>
      <c r="O60" s="15"/>
      <c r="P60" s="19">
        <f t="shared" si="7"/>
        <v>3665.1</v>
      </c>
      <c r="Q60" s="20">
        <f t="shared" ref="Q60:Q79" si="8">J60*H60</f>
        <v>15000</v>
      </c>
      <c r="R60" s="20">
        <f>H60*P60</f>
        <v>54976500</v>
      </c>
      <c r="S60" s="14"/>
    </row>
    <row r="61" spans="2:20" s="9" customFormat="1" hidden="1" x14ac:dyDescent="0.15">
      <c r="B61" s="14" t="s">
        <v>36</v>
      </c>
      <c r="C61" s="15">
        <v>43399</v>
      </c>
      <c r="D61" s="15">
        <v>43429</v>
      </c>
      <c r="E61" s="14" t="s">
        <v>153</v>
      </c>
      <c r="F61" s="14" t="s">
        <v>38</v>
      </c>
      <c r="G61" s="14" t="s">
        <v>131</v>
      </c>
      <c r="H61" s="14">
        <v>1000</v>
      </c>
      <c r="I61" s="14">
        <v>10761.8</v>
      </c>
      <c r="J61" s="14">
        <v>465</v>
      </c>
      <c r="K61" s="14" t="s">
        <v>154</v>
      </c>
      <c r="L61" s="14"/>
      <c r="M61" s="14">
        <v>11534.19</v>
      </c>
      <c r="N61" s="14"/>
      <c r="O61" s="15">
        <v>43430</v>
      </c>
      <c r="P61" s="19">
        <f t="shared" si="7"/>
        <v>10761.8</v>
      </c>
      <c r="Q61" s="20">
        <f t="shared" si="8"/>
        <v>465000</v>
      </c>
      <c r="R61" s="20">
        <f t="shared" ref="R61:R79" si="9">H61*P61</f>
        <v>10761800</v>
      </c>
      <c r="S61" s="14"/>
      <c r="T61" s="9" t="s">
        <v>140</v>
      </c>
    </row>
    <row r="62" spans="2:20" s="9" customFormat="1" hidden="1" x14ac:dyDescent="0.15">
      <c r="B62" s="14" t="s">
        <v>36</v>
      </c>
      <c r="C62" s="15">
        <v>43399</v>
      </c>
      <c r="D62" s="15">
        <v>43444</v>
      </c>
      <c r="E62" s="14" t="s">
        <v>155</v>
      </c>
      <c r="F62" s="14" t="s">
        <v>38</v>
      </c>
      <c r="G62" s="14" t="s">
        <v>156</v>
      </c>
      <c r="H62" s="14">
        <v>3000</v>
      </c>
      <c r="I62" s="14">
        <v>5130.2</v>
      </c>
      <c r="J62" s="14">
        <v>150</v>
      </c>
      <c r="K62" s="14" t="s">
        <v>157</v>
      </c>
      <c r="L62" s="14"/>
      <c r="M62" s="14">
        <v>4994.1899999999996</v>
      </c>
      <c r="N62" s="14"/>
      <c r="O62" s="15">
        <v>43444</v>
      </c>
      <c r="P62" s="19">
        <f t="shared" si="7"/>
        <v>5130.2</v>
      </c>
      <c r="Q62" s="20">
        <f t="shared" si="8"/>
        <v>450000</v>
      </c>
      <c r="R62" s="20">
        <f t="shared" si="9"/>
        <v>15390600</v>
      </c>
      <c r="S62" s="14"/>
      <c r="T62" s="9" t="s">
        <v>137</v>
      </c>
    </row>
    <row r="63" spans="2:20" s="9" customFormat="1" hidden="1" x14ac:dyDescent="0.15">
      <c r="B63" s="14" t="s">
        <v>158</v>
      </c>
      <c r="C63" s="15">
        <v>43406</v>
      </c>
      <c r="D63" s="15">
        <v>43449</v>
      </c>
      <c r="E63" s="14" t="s">
        <v>130</v>
      </c>
      <c r="F63" s="14" t="s">
        <v>38</v>
      </c>
      <c r="G63" s="14" t="s">
        <v>159</v>
      </c>
      <c r="H63" s="14">
        <v>20000</v>
      </c>
      <c r="I63" s="14" t="s">
        <v>160</v>
      </c>
      <c r="J63" s="14">
        <f>48-4.09</f>
        <v>43.91</v>
      </c>
      <c r="K63" s="14"/>
      <c r="L63" s="14"/>
      <c r="M63" s="14"/>
      <c r="N63" s="14"/>
      <c r="O63" s="15">
        <v>43432</v>
      </c>
      <c r="P63" s="19">
        <v>1874</v>
      </c>
      <c r="Q63" s="20">
        <f t="shared" si="8"/>
        <v>878199.99999999988</v>
      </c>
      <c r="R63" s="20">
        <f t="shared" si="9"/>
        <v>37480000</v>
      </c>
      <c r="S63" s="14"/>
      <c r="T63" s="9" t="s">
        <v>140</v>
      </c>
    </row>
    <row r="64" spans="2:20" s="9" customFormat="1" hidden="1" x14ac:dyDescent="0.15">
      <c r="B64" s="14" t="s">
        <v>158</v>
      </c>
      <c r="C64" s="15">
        <v>43406</v>
      </c>
      <c r="D64" s="15">
        <v>43449</v>
      </c>
      <c r="E64" s="14" t="s">
        <v>130</v>
      </c>
      <c r="F64" s="14" t="s">
        <v>38</v>
      </c>
      <c r="G64" s="14" t="s">
        <v>159</v>
      </c>
      <c r="H64" s="14">
        <v>20000</v>
      </c>
      <c r="I64" s="14" t="s">
        <v>161</v>
      </c>
      <c r="J64" s="14">
        <f>48-4.09</f>
        <v>43.91</v>
      </c>
      <c r="K64" s="14"/>
      <c r="L64" s="14"/>
      <c r="M64" s="14"/>
      <c r="N64" s="14"/>
      <c r="O64" s="15">
        <v>43432</v>
      </c>
      <c r="P64" s="19">
        <v>1875</v>
      </c>
      <c r="Q64" s="20">
        <f t="shared" si="8"/>
        <v>878199.99999999988</v>
      </c>
      <c r="R64" s="20">
        <f t="shared" si="9"/>
        <v>37500000</v>
      </c>
      <c r="S64" s="14"/>
      <c r="T64" s="9" t="s">
        <v>140</v>
      </c>
    </row>
    <row r="65" spans="1:21" s="9" customFormat="1" hidden="1" x14ac:dyDescent="0.15">
      <c r="B65" s="14" t="s">
        <v>162</v>
      </c>
      <c r="C65" s="15">
        <v>43409</v>
      </c>
      <c r="D65" s="15">
        <v>43420</v>
      </c>
      <c r="E65" s="14" t="s">
        <v>163</v>
      </c>
      <c r="F65" s="14" t="s">
        <v>38</v>
      </c>
      <c r="G65" s="14" t="s">
        <v>164</v>
      </c>
      <c r="H65" s="14">
        <v>5000</v>
      </c>
      <c r="I65" s="14">
        <v>11300</v>
      </c>
      <c r="J65" s="14">
        <v>390.56</v>
      </c>
      <c r="K65" s="14"/>
      <c r="L65" s="14"/>
      <c r="M65" s="14">
        <v>11251.1</v>
      </c>
      <c r="N65" s="14"/>
      <c r="O65" s="15">
        <v>43420</v>
      </c>
      <c r="P65" s="19">
        <f>I65</f>
        <v>11300</v>
      </c>
      <c r="Q65" s="20">
        <f t="shared" si="8"/>
        <v>1952800</v>
      </c>
      <c r="R65" s="20">
        <f t="shared" si="9"/>
        <v>56500000</v>
      </c>
      <c r="S65" s="14"/>
      <c r="T65" s="9" t="s">
        <v>137</v>
      </c>
    </row>
    <row r="66" spans="1:21" s="9" customFormat="1" hidden="1" x14ac:dyDescent="0.15">
      <c r="B66" s="14" t="s">
        <v>158</v>
      </c>
      <c r="C66" s="15">
        <v>43410</v>
      </c>
      <c r="D66" s="15">
        <v>43449</v>
      </c>
      <c r="E66" s="14" t="s">
        <v>130</v>
      </c>
      <c r="F66" s="14" t="s">
        <v>38</v>
      </c>
      <c r="G66" s="14" t="s">
        <v>159</v>
      </c>
      <c r="H66" s="14">
        <v>10000</v>
      </c>
      <c r="I66" s="14" t="s">
        <v>165</v>
      </c>
      <c r="J66" s="14">
        <f>48-4.09</f>
        <v>43.91</v>
      </c>
      <c r="K66" s="14"/>
      <c r="L66" s="14"/>
      <c r="M66" s="14"/>
      <c r="N66" s="14"/>
      <c r="O66" s="15">
        <v>43432</v>
      </c>
      <c r="P66" s="19">
        <v>1886</v>
      </c>
      <c r="Q66" s="20">
        <f t="shared" si="8"/>
        <v>439099.99999999994</v>
      </c>
      <c r="R66" s="20">
        <f t="shared" si="9"/>
        <v>18860000</v>
      </c>
      <c r="S66" s="14"/>
      <c r="T66" s="9" t="s">
        <v>140</v>
      </c>
    </row>
    <row r="67" spans="1:21" s="9" customFormat="1" hidden="1" x14ac:dyDescent="0.15">
      <c r="B67" s="14" t="s">
        <v>158</v>
      </c>
      <c r="C67" s="15">
        <v>43412</v>
      </c>
      <c r="D67" s="15">
        <v>43449</v>
      </c>
      <c r="E67" s="14" t="s">
        <v>130</v>
      </c>
      <c r="F67" s="14" t="s">
        <v>38</v>
      </c>
      <c r="G67" s="14" t="s">
        <v>159</v>
      </c>
      <c r="H67" s="14">
        <v>10000</v>
      </c>
      <c r="I67" s="14" t="s">
        <v>166</v>
      </c>
      <c r="J67" s="14">
        <f>48-4.09</f>
        <v>43.91</v>
      </c>
      <c r="K67" s="14"/>
      <c r="L67" s="14"/>
      <c r="M67" s="14"/>
      <c r="N67" s="14"/>
      <c r="O67" s="15">
        <v>43432</v>
      </c>
      <c r="P67" s="19">
        <v>1892</v>
      </c>
      <c r="Q67" s="20">
        <f t="shared" si="8"/>
        <v>439099.99999999994</v>
      </c>
      <c r="R67" s="20">
        <f t="shared" si="9"/>
        <v>18920000</v>
      </c>
      <c r="S67" s="14"/>
      <c r="T67" s="9" t="s">
        <v>140</v>
      </c>
    </row>
    <row r="68" spans="1:21" s="9" customFormat="1" hidden="1" x14ac:dyDescent="0.15">
      <c r="B68" s="14" t="s">
        <v>158</v>
      </c>
      <c r="C68" s="15">
        <v>43412</v>
      </c>
      <c r="D68" s="15">
        <v>43449</v>
      </c>
      <c r="E68" s="14" t="s">
        <v>130</v>
      </c>
      <c r="F68" s="14" t="s">
        <v>38</v>
      </c>
      <c r="G68" s="14" t="s">
        <v>159</v>
      </c>
      <c r="H68" s="14">
        <v>20000</v>
      </c>
      <c r="I68" s="14" t="s">
        <v>166</v>
      </c>
      <c r="J68" s="14">
        <f>48-4.09</f>
        <v>43.91</v>
      </c>
      <c r="K68" s="14"/>
      <c r="L68" s="14"/>
      <c r="M68" s="14"/>
      <c r="N68" s="14"/>
      <c r="O68" s="15">
        <v>43432</v>
      </c>
      <c r="P68" s="19">
        <v>1892</v>
      </c>
      <c r="Q68" s="20">
        <f t="shared" si="8"/>
        <v>878199.99999999988</v>
      </c>
      <c r="R68" s="20">
        <f t="shared" si="9"/>
        <v>37840000</v>
      </c>
      <c r="S68" s="14"/>
      <c r="T68" s="9" t="s">
        <v>140</v>
      </c>
    </row>
    <row r="69" spans="1:21" s="9" customFormat="1" hidden="1" x14ac:dyDescent="0.15">
      <c r="B69" s="14" t="s">
        <v>167</v>
      </c>
      <c r="C69" s="15">
        <v>43413</v>
      </c>
      <c r="D69" s="15">
        <v>43441</v>
      </c>
      <c r="E69" s="14" t="s">
        <v>153</v>
      </c>
      <c r="F69" s="14" t="s">
        <v>21</v>
      </c>
      <c r="G69" s="14" t="s">
        <v>56</v>
      </c>
      <c r="H69" s="14">
        <v>1000</v>
      </c>
      <c r="I69" s="14">
        <v>11550</v>
      </c>
      <c r="J69" s="14">
        <f>I69*0.0308</f>
        <v>355.74</v>
      </c>
      <c r="K69" s="14" t="s">
        <v>168</v>
      </c>
      <c r="L69" s="14"/>
      <c r="M69" s="14">
        <v>11608</v>
      </c>
      <c r="N69" s="14"/>
      <c r="O69" s="15">
        <v>43441</v>
      </c>
      <c r="P69" s="19">
        <v>11550</v>
      </c>
      <c r="Q69" s="20">
        <f t="shared" si="8"/>
        <v>355740</v>
      </c>
      <c r="R69" s="20">
        <f t="shared" si="9"/>
        <v>11550000</v>
      </c>
      <c r="S69" s="14"/>
    </row>
    <row r="70" spans="1:21" s="9" customFormat="1" hidden="1" x14ac:dyDescent="0.15">
      <c r="B70" s="14" t="s">
        <v>167</v>
      </c>
      <c r="C70" s="15">
        <v>43413</v>
      </c>
      <c r="D70" s="15">
        <v>43441</v>
      </c>
      <c r="E70" s="14" t="s">
        <v>153</v>
      </c>
      <c r="F70" s="14" t="s">
        <v>21</v>
      </c>
      <c r="G70" s="14" t="s">
        <v>59</v>
      </c>
      <c r="H70" s="14">
        <v>1000</v>
      </c>
      <c r="I70" s="14">
        <v>11550</v>
      </c>
      <c r="J70" s="14">
        <f>I70*0.0308</f>
        <v>355.74</v>
      </c>
      <c r="K70" s="14" t="s">
        <v>169</v>
      </c>
      <c r="L70" s="14"/>
      <c r="M70" s="14">
        <v>11608</v>
      </c>
      <c r="N70" s="14"/>
      <c r="O70" s="15">
        <v>43441</v>
      </c>
      <c r="P70" s="19">
        <v>11550</v>
      </c>
      <c r="Q70" s="20">
        <f t="shared" si="8"/>
        <v>355740</v>
      </c>
      <c r="R70" s="20">
        <f t="shared" si="9"/>
        <v>11550000</v>
      </c>
      <c r="S70" s="14"/>
    </row>
    <row r="71" spans="1:21" s="9" customFormat="1" hidden="1" x14ac:dyDescent="0.15">
      <c r="B71" s="14" t="s">
        <v>170</v>
      </c>
      <c r="C71" s="15">
        <v>43426</v>
      </c>
      <c r="D71" s="15">
        <v>43454</v>
      </c>
      <c r="E71" s="14" t="s">
        <v>171</v>
      </c>
      <c r="F71" s="14" t="s">
        <v>38</v>
      </c>
      <c r="G71" s="14" t="s">
        <v>59</v>
      </c>
      <c r="H71" s="14">
        <v>5000</v>
      </c>
      <c r="I71" s="14">
        <v>3385</v>
      </c>
      <c r="J71" s="14">
        <v>341.4</v>
      </c>
      <c r="K71" s="14" t="s">
        <v>172</v>
      </c>
      <c r="L71" s="14"/>
      <c r="M71" s="14">
        <v>3765</v>
      </c>
      <c r="N71" s="14"/>
      <c r="O71" s="15">
        <v>43454</v>
      </c>
      <c r="P71" s="19">
        <f>I71</f>
        <v>3385</v>
      </c>
      <c r="Q71" s="20">
        <f t="shared" si="8"/>
        <v>1707000</v>
      </c>
      <c r="R71" s="20">
        <f t="shared" si="9"/>
        <v>16925000</v>
      </c>
      <c r="S71" s="14"/>
    </row>
    <row r="72" spans="1:21" s="9" customFormat="1" hidden="1" x14ac:dyDescent="0.15">
      <c r="B72" s="215" t="s">
        <v>173</v>
      </c>
      <c r="C72" s="217">
        <v>43427</v>
      </c>
      <c r="D72" s="217">
        <v>43458.625</v>
      </c>
      <c r="E72" s="215" t="s">
        <v>174</v>
      </c>
      <c r="F72" s="39" t="s">
        <v>38</v>
      </c>
      <c r="G72" s="39" t="s">
        <v>22</v>
      </c>
      <c r="H72" s="39">
        <v>2100</v>
      </c>
      <c r="I72" s="39">
        <v>2218.6999999999998</v>
      </c>
      <c r="J72" s="39">
        <v>91.9</v>
      </c>
      <c r="K72" s="218" t="s">
        <v>175</v>
      </c>
      <c r="L72" s="14"/>
      <c r="M72" s="14"/>
      <c r="N72" s="14">
        <v>166.2</v>
      </c>
      <c r="O72" s="15">
        <v>43458</v>
      </c>
      <c r="P72" s="19">
        <f t="shared" ref="P72:P77" si="10">I72</f>
        <v>2218.6999999999998</v>
      </c>
      <c r="Q72" s="20">
        <f t="shared" si="8"/>
        <v>192990</v>
      </c>
      <c r="R72" s="20">
        <f t="shared" si="9"/>
        <v>4659270</v>
      </c>
      <c r="S72" s="14"/>
    </row>
    <row r="73" spans="1:21" s="9" customFormat="1" hidden="1" x14ac:dyDescent="0.15">
      <c r="B73" s="215"/>
      <c r="C73" s="217"/>
      <c r="D73" s="217"/>
      <c r="E73" s="215"/>
      <c r="F73" s="39" t="s">
        <v>38</v>
      </c>
      <c r="G73" s="39" t="s">
        <v>22</v>
      </c>
      <c r="H73" s="39">
        <v>4200</v>
      </c>
      <c r="I73" s="39">
        <v>2268.6999999999998</v>
      </c>
      <c r="J73" s="39">
        <v>70.400000000000006</v>
      </c>
      <c r="K73" s="219"/>
      <c r="L73" s="14"/>
      <c r="M73" s="14"/>
      <c r="N73" s="14">
        <v>132</v>
      </c>
      <c r="O73" s="15">
        <v>43458</v>
      </c>
      <c r="P73" s="19">
        <f t="shared" si="10"/>
        <v>2268.6999999999998</v>
      </c>
      <c r="Q73" s="20">
        <f t="shared" si="8"/>
        <v>295680</v>
      </c>
      <c r="R73" s="20">
        <f t="shared" si="9"/>
        <v>9528540</v>
      </c>
      <c r="S73" s="14"/>
    </row>
    <row r="74" spans="1:21" s="9" customFormat="1" hidden="1" x14ac:dyDescent="0.15">
      <c r="B74" s="215" t="s">
        <v>79</v>
      </c>
      <c r="C74" s="217">
        <v>43432</v>
      </c>
      <c r="D74" s="217">
        <v>43455</v>
      </c>
      <c r="E74" s="215" t="s">
        <v>176</v>
      </c>
      <c r="F74" s="215" t="s">
        <v>38</v>
      </c>
      <c r="G74" s="39" t="s">
        <v>177</v>
      </c>
      <c r="H74" s="21">
        <v>25000</v>
      </c>
      <c r="I74" s="39">
        <v>424.4</v>
      </c>
      <c r="J74" s="39">
        <v>16.98</v>
      </c>
      <c r="K74" s="215" t="s">
        <v>178</v>
      </c>
      <c r="L74" s="14"/>
      <c r="M74" s="14"/>
      <c r="N74" s="14">
        <v>404.8</v>
      </c>
      <c r="O74" s="15">
        <v>43455</v>
      </c>
      <c r="P74" s="19">
        <f t="shared" si="10"/>
        <v>424.4</v>
      </c>
      <c r="Q74" s="20">
        <f t="shared" si="8"/>
        <v>424500</v>
      </c>
      <c r="R74" s="20">
        <f t="shared" si="9"/>
        <v>10610000</v>
      </c>
      <c r="S74" s="14"/>
    </row>
    <row r="75" spans="1:21" s="9" customFormat="1" hidden="1" x14ac:dyDescent="0.15">
      <c r="B75" s="215"/>
      <c r="C75" s="217"/>
      <c r="D75" s="217"/>
      <c r="E75" s="215"/>
      <c r="F75" s="215"/>
      <c r="G75" s="39" t="s">
        <v>25</v>
      </c>
      <c r="H75" s="21">
        <v>25000</v>
      </c>
      <c r="I75" s="39">
        <v>424.4</v>
      </c>
      <c r="J75" s="39">
        <v>16.98</v>
      </c>
      <c r="K75" s="215"/>
      <c r="L75" s="14"/>
      <c r="M75" s="14"/>
      <c r="N75" s="14">
        <v>404.8</v>
      </c>
      <c r="O75" s="15">
        <v>43455</v>
      </c>
      <c r="P75" s="19">
        <f t="shared" si="10"/>
        <v>424.4</v>
      </c>
      <c r="Q75" s="20">
        <f t="shared" si="8"/>
        <v>424500</v>
      </c>
      <c r="R75" s="20">
        <f t="shared" si="9"/>
        <v>10610000</v>
      </c>
      <c r="S75" s="14"/>
    </row>
    <row r="76" spans="1:21" s="9" customFormat="1" ht="27.75" hidden="1" customHeight="1" x14ac:dyDescent="0.15">
      <c r="B76" s="14" t="s">
        <v>179</v>
      </c>
      <c r="C76" s="15">
        <v>43432</v>
      </c>
      <c r="D76" s="15">
        <v>43446</v>
      </c>
      <c r="E76" s="14" t="s">
        <v>180</v>
      </c>
      <c r="F76" s="14" t="s">
        <v>38</v>
      </c>
      <c r="G76" s="14" t="s">
        <v>25</v>
      </c>
      <c r="H76" s="22">
        <v>2000</v>
      </c>
      <c r="I76" s="14">
        <v>3560</v>
      </c>
      <c r="J76" s="14">
        <v>76.900000000000006</v>
      </c>
      <c r="K76" s="14" t="s">
        <v>181</v>
      </c>
      <c r="L76" s="14"/>
      <c r="M76" s="14"/>
      <c r="N76" s="14">
        <v>0</v>
      </c>
      <c r="O76" s="15">
        <v>43446</v>
      </c>
      <c r="P76" s="19">
        <f t="shared" si="10"/>
        <v>3560</v>
      </c>
      <c r="Q76" s="20">
        <f t="shared" si="8"/>
        <v>153800</v>
      </c>
      <c r="R76" s="20">
        <f t="shared" si="9"/>
        <v>7120000</v>
      </c>
      <c r="S76" s="14"/>
    </row>
    <row r="77" spans="1:21" s="30" customFormat="1" ht="27.75" hidden="1" customHeight="1" x14ac:dyDescent="0.15">
      <c r="B77" s="25" t="s">
        <v>36</v>
      </c>
      <c r="C77" s="26">
        <v>43437</v>
      </c>
      <c r="D77" s="26">
        <v>43462</v>
      </c>
      <c r="E77" s="25" t="s">
        <v>182</v>
      </c>
      <c r="F77" s="25" t="s">
        <v>38</v>
      </c>
      <c r="G77" s="27" t="s">
        <v>131</v>
      </c>
      <c r="H77" s="25">
        <v>1000</v>
      </c>
      <c r="I77" s="25">
        <v>11505</v>
      </c>
      <c r="J77" s="25">
        <v>465</v>
      </c>
      <c r="K77" s="25" t="s">
        <v>183</v>
      </c>
      <c r="L77" s="25"/>
      <c r="M77" s="25"/>
      <c r="N77" s="25"/>
      <c r="O77" s="25"/>
      <c r="P77" s="28">
        <f t="shared" si="10"/>
        <v>11505</v>
      </c>
      <c r="Q77" s="29">
        <f t="shared" si="8"/>
        <v>465000</v>
      </c>
      <c r="R77" s="29">
        <f t="shared" si="9"/>
        <v>11505000</v>
      </c>
      <c r="S77" s="25"/>
      <c r="T77" s="30" t="s">
        <v>137</v>
      </c>
    </row>
    <row r="78" spans="1:21" ht="27.75" hidden="1" customHeight="1" thickBot="1" x14ac:dyDescent="0.2">
      <c r="B78" s="3" t="s">
        <v>36</v>
      </c>
      <c r="C78" s="4">
        <v>43467</v>
      </c>
      <c r="D78" s="4">
        <v>43496</v>
      </c>
      <c r="E78" s="3" t="s">
        <v>182</v>
      </c>
      <c r="F78" s="3" t="s">
        <v>38</v>
      </c>
      <c r="G78" s="23" t="s">
        <v>131</v>
      </c>
      <c r="H78" s="3">
        <v>1000</v>
      </c>
      <c r="I78" s="3" t="s">
        <v>184</v>
      </c>
      <c r="J78" s="3">
        <v>465</v>
      </c>
      <c r="K78" s="3" t="s">
        <v>185</v>
      </c>
      <c r="Q78" s="11">
        <f t="shared" si="8"/>
        <v>465000</v>
      </c>
      <c r="T78" s="1" t="s">
        <v>137</v>
      </c>
    </row>
    <row r="79" spans="1:21" s="30" customFormat="1" ht="27.75" hidden="1" customHeight="1" thickBot="1" x14ac:dyDescent="0.2">
      <c r="B79" s="25" t="s">
        <v>42</v>
      </c>
      <c r="C79" s="26">
        <v>43440</v>
      </c>
      <c r="D79" s="26">
        <v>43462</v>
      </c>
      <c r="E79" s="25" t="s">
        <v>186</v>
      </c>
      <c r="F79" s="25" t="s">
        <v>38</v>
      </c>
      <c r="G79" s="25" t="s">
        <v>187</v>
      </c>
      <c r="H79" s="25">
        <v>1000</v>
      </c>
      <c r="I79" s="25">
        <v>14635</v>
      </c>
      <c r="J79" s="25">
        <v>175.39</v>
      </c>
      <c r="K79" s="25" t="s">
        <v>188</v>
      </c>
      <c r="L79" s="25"/>
      <c r="M79" s="25"/>
      <c r="N79" s="25"/>
      <c r="O79" s="25"/>
      <c r="P79" s="28">
        <v>14616</v>
      </c>
      <c r="Q79" s="29">
        <f t="shared" si="8"/>
        <v>175390</v>
      </c>
      <c r="R79" s="29">
        <f t="shared" si="9"/>
        <v>14616000</v>
      </c>
      <c r="S79" s="25"/>
      <c r="T79" s="30" t="s">
        <v>137</v>
      </c>
    </row>
    <row r="80" spans="1:21" ht="27.75" customHeight="1" x14ac:dyDescent="0.15">
      <c r="A80" s="67"/>
      <c r="B80" s="68" t="s">
        <v>246</v>
      </c>
      <c r="C80" s="69">
        <v>43445</v>
      </c>
      <c r="D80" s="69">
        <v>43489</v>
      </c>
      <c r="E80" s="68" t="s">
        <v>204</v>
      </c>
      <c r="F80" s="68" t="s">
        <v>241</v>
      </c>
      <c r="G80" s="66" t="s">
        <v>156</v>
      </c>
      <c r="H80" s="3">
        <v>3000</v>
      </c>
      <c r="I80" s="3">
        <v>4507</v>
      </c>
      <c r="J80" s="3">
        <v>183.33</v>
      </c>
      <c r="K80" s="3" t="s">
        <v>209</v>
      </c>
      <c r="O80" s="68"/>
      <c r="P80" s="70">
        <v>4905</v>
      </c>
      <c r="Q80" s="71">
        <f t="shared" ref="Q80:Q86" si="11">J80*H80</f>
        <v>549990</v>
      </c>
      <c r="R80" s="71">
        <f t="shared" ref="R80:R86" si="12">H80*P80</f>
        <v>14715000</v>
      </c>
      <c r="S80" s="68"/>
      <c r="T80" s="67" t="s">
        <v>137</v>
      </c>
      <c r="U80" s="67"/>
    </row>
    <row r="81" spans="1:21" ht="15" customHeight="1" x14ac:dyDescent="0.15">
      <c r="A81" s="94"/>
      <c r="B81" s="94" t="s">
        <v>205</v>
      </c>
      <c r="C81" s="95">
        <v>43452</v>
      </c>
      <c r="D81" s="95">
        <v>43514</v>
      </c>
      <c r="E81" s="94" t="s">
        <v>202</v>
      </c>
      <c r="F81" s="94" t="s">
        <v>222</v>
      </c>
      <c r="G81" s="94" t="s">
        <v>254</v>
      </c>
      <c r="H81" s="94">
        <v>1000</v>
      </c>
      <c r="I81" s="94">
        <v>6365</v>
      </c>
      <c r="J81" s="94">
        <v>146.9</v>
      </c>
      <c r="K81" s="94" t="s">
        <v>210</v>
      </c>
      <c r="L81" s="94"/>
      <c r="M81" s="94"/>
      <c r="N81" s="94"/>
      <c r="O81" s="94"/>
      <c r="P81" s="70">
        <f t="shared" ref="P81:P86" si="13">I81</f>
        <v>6365</v>
      </c>
      <c r="Q81" s="71">
        <f t="shared" si="11"/>
        <v>146900</v>
      </c>
      <c r="R81" s="71">
        <f t="shared" si="12"/>
        <v>6365000</v>
      </c>
      <c r="S81" s="94"/>
      <c r="T81" s="94" t="s">
        <v>252</v>
      </c>
      <c r="U81" s="94"/>
    </row>
    <row r="82" spans="1:21" x14ac:dyDescent="0.15">
      <c r="A82" s="94"/>
      <c r="B82" s="94" t="s">
        <v>205</v>
      </c>
      <c r="C82" s="95">
        <v>43452</v>
      </c>
      <c r="D82" s="95">
        <v>43514</v>
      </c>
      <c r="E82" s="94" t="s">
        <v>202</v>
      </c>
      <c r="F82" s="94" t="s">
        <v>222</v>
      </c>
      <c r="G82" s="94" t="s">
        <v>25</v>
      </c>
      <c r="H82" s="94">
        <v>1000</v>
      </c>
      <c r="I82" s="94">
        <v>6365</v>
      </c>
      <c r="J82" s="94">
        <v>146.9</v>
      </c>
      <c r="K82" s="94"/>
      <c r="L82" s="94"/>
      <c r="M82" s="94"/>
      <c r="N82" s="94"/>
      <c r="O82" s="94"/>
      <c r="P82" s="10">
        <f t="shared" si="13"/>
        <v>6365</v>
      </c>
      <c r="Q82" s="11">
        <f t="shared" si="11"/>
        <v>146900</v>
      </c>
      <c r="R82" s="11">
        <f t="shared" si="12"/>
        <v>6365000</v>
      </c>
      <c r="S82" s="96"/>
      <c r="T82" s="96" t="s">
        <v>137</v>
      </c>
      <c r="U82" s="96"/>
    </row>
    <row r="83" spans="1:21" x14ac:dyDescent="0.15">
      <c r="A83" s="94"/>
      <c r="B83" s="94" t="s">
        <v>208</v>
      </c>
      <c r="C83" s="95">
        <v>43454</v>
      </c>
      <c r="D83" s="95">
        <v>43483</v>
      </c>
      <c r="E83" s="94" t="s">
        <v>207</v>
      </c>
      <c r="F83" s="94" t="s">
        <v>21</v>
      </c>
      <c r="G83" s="94" t="s">
        <v>177</v>
      </c>
      <c r="H83" s="94">
        <v>2000</v>
      </c>
      <c r="I83" s="94">
        <v>2332</v>
      </c>
      <c r="J83" s="94">
        <v>29.15</v>
      </c>
      <c r="K83" s="94" t="s">
        <v>211</v>
      </c>
      <c r="L83" s="94"/>
      <c r="M83" s="94"/>
      <c r="N83" s="94"/>
      <c r="O83" s="94"/>
      <c r="P83" s="70">
        <f t="shared" si="13"/>
        <v>2332</v>
      </c>
      <c r="Q83" s="71">
        <f t="shared" si="11"/>
        <v>58300</v>
      </c>
      <c r="R83" s="71">
        <f t="shared" si="12"/>
        <v>4664000</v>
      </c>
      <c r="S83" s="67"/>
      <c r="T83" s="67"/>
      <c r="U83" s="67"/>
    </row>
    <row r="84" spans="1:21" ht="14.25" hidden="1" customHeight="1" x14ac:dyDescent="0.15">
      <c r="A84" s="94"/>
      <c r="B84" s="94"/>
      <c r="C84" s="95"/>
      <c r="D84" s="95"/>
      <c r="E84" s="94"/>
      <c r="F84" s="94"/>
      <c r="G84" s="94" t="s">
        <v>25</v>
      </c>
      <c r="H84" s="94">
        <v>2000</v>
      </c>
      <c r="I84" s="94">
        <v>2332</v>
      </c>
      <c r="J84" s="94">
        <v>29.15</v>
      </c>
      <c r="K84" s="94"/>
      <c r="L84" s="94"/>
      <c r="M84" s="94"/>
      <c r="N84" s="94"/>
      <c r="O84" s="94"/>
      <c r="P84" s="10">
        <f t="shared" si="13"/>
        <v>2332</v>
      </c>
      <c r="Q84" s="11">
        <f t="shared" si="11"/>
        <v>58300</v>
      </c>
      <c r="R84" s="11">
        <f t="shared" si="12"/>
        <v>4664000</v>
      </c>
      <c r="S84" s="1"/>
    </row>
    <row r="85" spans="1:21" x14ac:dyDescent="0.15">
      <c r="A85" s="94"/>
      <c r="B85" s="94" t="s">
        <v>208</v>
      </c>
      <c r="C85" s="95">
        <v>43455</v>
      </c>
      <c r="D85" s="95">
        <v>43486</v>
      </c>
      <c r="E85" s="94" t="s">
        <v>231</v>
      </c>
      <c r="F85" s="94" t="s">
        <v>21</v>
      </c>
      <c r="G85" s="94" t="s">
        <v>177</v>
      </c>
      <c r="H85" s="94">
        <v>1500</v>
      </c>
      <c r="I85" s="94">
        <v>6030</v>
      </c>
      <c r="J85" s="94">
        <v>150.21</v>
      </c>
      <c r="K85" s="94" t="s">
        <v>212</v>
      </c>
      <c r="L85" s="94"/>
      <c r="M85" s="94"/>
      <c r="N85" s="94"/>
      <c r="O85" s="94"/>
      <c r="P85" s="70">
        <f t="shared" si="13"/>
        <v>6030</v>
      </c>
      <c r="Q85" s="71">
        <f t="shared" si="11"/>
        <v>225315</v>
      </c>
      <c r="R85" s="71">
        <f t="shared" si="12"/>
        <v>9045000</v>
      </c>
      <c r="S85" s="67"/>
      <c r="T85" s="67"/>
      <c r="U85" s="67"/>
    </row>
    <row r="86" spans="1:21" ht="14.25" hidden="1" customHeight="1" x14ac:dyDescent="0.15">
      <c r="A86" s="94"/>
      <c r="B86" s="94"/>
      <c r="C86" s="95"/>
      <c r="D86" s="95"/>
      <c r="E86" s="94"/>
      <c r="F86" s="94"/>
      <c r="G86" s="94" t="s">
        <v>25</v>
      </c>
      <c r="H86" s="94">
        <v>1500</v>
      </c>
      <c r="I86" s="94">
        <v>6030</v>
      </c>
      <c r="J86" s="94">
        <v>150.21</v>
      </c>
      <c r="K86" s="94"/>
      <c r="L86" s="94"/>
      <c r="M86" s="94"/>
      <c r="N86" s="94"/>
      <c r="O86" s="94"/>
      <c r="P86" s="10">
        <f t="shared" si="13"/>
        <v>6030</v>
      </c>
      <c r="Q86" s="11">
        <f t="shared" si="11"/>
        <v>225315</v>
      </c>
      <c r="R86" s="11">
        <f t="shared" si="12"/>
        <v>9045000</v>
      </c>
      <c r="S86" s="1"/>
    </row>
    <row r="87" spans="1:21" x14ac:dyDescent="0.15">
      <c r="A87" s="94"/>
      <c r="B87" s="94" t="s">
        <v>213</v>
      </c>
      <c r="C87" s="95">
        <v>43458</v>
      </c>
      <c r="D87" s="95">
        <v>43473</v>
      </c>
      <c r="E87" s="94" t="s">
        <v>233</v>
      </c>
      <c r="F87" s="94" t="s">
        <v>21</v>
      </c>
      <c r="G87" s="94" t="s">
        <v>190</v>
      </c>
      <c r="H87" s="94">
        <f>ROUND(R87/P87,0)</f>
        <v>350447</v>
      </c>
      <c r="I87" s="94">
        <v>328.15</v>
      </c>
      <c r="J87" s="98">
        <f>Q87/H87</f>
        <v>6.8483964765000127E-2</v>
      </c>
      <c r="K87" s="94" t="s">
        <v>214</v>
      </c>
      <c r="L87" s="94"/>
      <c r="M87" s="94"/>
      <c r="N87" s="94"/>
      <c r="O87" s="94"/>
      <c r="P87" s="71">
        <v>285.35000000000002</v>
      </c>
      <c r="Q87" s="71">
        <f>R87*0.00024</f>
        <v>24000</v>
      </c>
      <c r="R87" s="71">
        <v>100000000</v>
      </c>
      <c r="S87" s="67"/>
      <c r="T87" s="67"/>
      <c r="U87" s="67"/>
    </row>
    <row r="88" spans="1:21" x14ac:dyDescent="0.15">
      <c r="A88" s="94"/>
      <c r="B88" s="94" t="s">
        <v>170</v>
      </c>
      <c r="C88" s="95">
        <v>43458</v>
      </c>
      <c r="D88" s="95">
        <v>43473</v>
      </c>
      <c r="E88" s="94" t="s">
        <v>233</v>
      </c>
      <c r="F88" s="94" t="s">
        <v>38</v>
      </c>
      <c r="G88" s="94" t="s">
        <v>190</v>
      </c>
      <c r="H88" s="94">
        <f t="shared" ref="H88:H94" si="14">ROUND(R88/P88,0)</f>
        <v>350447</v>
      </c>
      <c r="I88" s="94">
        <v>331.01</v>
      </c>
      <c r="J88" s="98">
        <f t="shared" ref="J88:J94" si="15">Q88/H88</f>
        <v>1.1413994127500021E-2</v>
      </c>
      <c r="K88" s="94" t="s">
        <v>191</v>
      </c>
      <c r="L88" s="94"/>
      <c r="M88" s="94"/>
      <c r="N88" s="94"/>
      <c r="O88" s="94"/>
      <c r="P88" s="71">
        <v>285.35000000000002</v>
      </c>
      <c r="Q88" s="71">
        <v>4000</v>
      </c>
      <c r="R88" s="71">
        <v>100000000</v>
      </c>
      <c r="S88" s="67"/>
      <c r="T88" s="67"/>
      <c r="U88" s="67"/>
    </row>
    <row r="89" spans="1:21" x14ac:dyDescent="0.15">
      <c r="A89" s="94"/>
      <c r="B89" s="94" t="s">
        <v>170</v>
      </c>
      <c r="C89" s="95">
        <v>43458</v>
      </c>
      <c r="D89" s="95">
        <v>43473</v>
      </c>
      <c r="E89" s="94" t="s">
        <v>234</v>
      </c>
      <c r="F89" s="94" t="s">
        <v>38</v>
      </c>
      <c r="G89" s="94" t="s">
        <v>190</v>
      </c>
      <c r="H89" s="94">
        <f t="shared" si="14"/>
        <v>27855</v>
      </c>
      <c r="I89" s="94">
        <v>4128.5</v>
      </c>
      <c r="J89" s="98">
        <f t="shared" si="15"/>
        <v>0.86160473882606359</v>
      </c>
      <c r="K89" s="94" t="s">
        <v>215</v>
      </c>
      <c r="L89" s="94"/>
      <c r="M89" s="94"/>
      <c r="N89" s="94"/>
      <c r="O89" s="94"/>
      <c r="P89" s="71">
        <v>3590</v>
      </c>
      <c r="Q89" s="71">
        <f>R89*0.00024</f>
        <v>24000</v>
      </c>
      <c r="R89" s="71">
        <v>100000000</v>
      </c>
      <c r="S89" s="67"/>
      <c r="T89" s="67"/>
      <c r="U89" s="67"/>
    </row>
    <row r="90" spans="1:21" x14ac:dyDescent="0.15">
      <c r="A90" s="94"/>
      <c r="B90" s="94" t="s">
        <v>170</v>
      </c>
      <c r="C90" s="95">
        <v>43458</v>
      </c>
      <c r="D90" s="95">
        <v>43473</v>
      </c>
      <c r="E90" s="94" t="s">
        <v>234</v>
      </c>
      <c r="F90" s="94" t="s">
        <v>21</v>
      </c>
      <c r="G90" s="94" t="s">
        <v>190</v>
      </c>
      <c r="H90" s="94">
        <f t="shared" si="14"/>
        <v>27855</v>
      </c>
      <c r="I90" s="94">
        <v>4164.3999999999996</v>
      </c>
      <c r="J90" s="98">
        <f t="shared" si="15"/>
        <v>0.14360078980434393</v>
      </c>
      <c r="K90" s="94" t="s">
        <v>192</v>
      </c>
      <c r="L90" s="94"/>
      <c r="M90" s="94"/>
      <c r="N90" s="94"/>
      <c r="O90" s="94"/>
      <c r="P90" s="71">
        <v>3590</v>
      </c>
      <c r="Q90" s="71">
        <v>4000</v>
      </c>
      <c r="R90" s="71">
        <v>100000000</v>
      </c>
      <c r="S90" s="67"/>
      <c r="T90" s="67"/>
      <c r="U90" s="67"/>
    </row>
    <row r="91" spans="1:21" x14ac:dyDescent="0.15">
      <c r="A91" s="94"/>
      <c r="B91" s="94" t="s">
        <v>216</v>
      </c>
      <c r="C91" s="95">
        <v>43458</v>
      </c>
      <c r="D91" s="95">
        <v>43472</v>
      </c>
      <c r="E91" s="94" t="s">
        <v>233</v>
      </c>
      <c r="F91" s="94" t="s">
        <v>21</v>
      </c>
      <c r="G91" s="94" t="s">
        <v>190</v>
      </c>
      <c r="H91" s="94">
        <f t="shared" si="14"/>
        <v>350385</v>
      </c>
      <c r="I91" s="94">
        <v>328.21</v>
      </c>
      <c r="J91" s="98">
        <f t="shared" si="15"/>
        <v>5.7080069066883572E-2</v>
      </c>
      <c r="K91" s="94" t="s">
        <v>194</v>
      </c>
      <c r="L91" s="94"/>
      <c r="M91" s="94"/>
      <c r="N91" s="94"/>
      <c r="O91" s="94"/>
      <c r="P91" s="71">
        <v>285.39999999999998</v>
      </c>
      <c r="Q91" s="71">
        <v>20000</v>
      </c>
      <c r="R91" s="71">
        <v>100000000</v>
      </c>
      <c r="S91" s="67"/>
      <c r="T91" s="67"/>
      <c r="U91" s="67"/>
    </row>
    <row r="92" spans="1:21" x14ac:dyDescent="0.15">
      <c r="A92" s="94"/>
      <c r="B92" s="94" t="s">
        <v>193</v>
      </c>
      <c r="C92" s="95">
        <v>43458</v>
      </c>
      <c r="D92" s="95">
        <v>43472</v>
      </c>
      <c r="E92" s="94" t="s">
        <v>233</v>
      </c>
      <c r="F92" s="94" t="s">
        <v>38</v>
      </c>
      <c r="G92" s="94" t="s">
        <v>190</v>
      </c>
      <c r="H92" s="94">
        <f t="shared" si="14"/>
        <v>350385</v>
      </c>
      <c r="I92" s="94">
        <v>331.06400000000002</v>
      </c>
      <c r="J92" s="98">
        <f t="shared" si="15"/>
        <v>2.8540034533441786E-2</v>
      </c>
      <c r="K92" s="94" t="s">
        <v>194</v>
      </c>
      <c r="L92" s="94"/>
      <c r="M92" s="94"/>
      <c r="N92" s="94"/>
      <c r="O92" s="94"/>
      <c r="P92" s="71">
        <v>285.39999999999998</v>
      </c>
      <c r="Q92" s="71">
        <v>10000</v>
      </c>
      <c r="R92" s="71">
        <v>100000000</v>
      </c>
      <c r="S92" s="67"/>
      <c r="T92" s="67"/>
      <c r="U92" s="67"/>
    </row>
    <row r="93" spans="1:21" x14ac:dyDescent="0.15">
      <c r="A93" s="94"/>
      <c r="B93" s="94" t="s">
        <v>193</v>
      </c>
      <c r="C93" s="95">
        <v>43458</v>
      </c>
      <c r="D93" s="95">
        <v>43472</v>
      </c>
      <c r="E93" s="94" t="s">
        <v>234</v>
      </c>
      <c r="F93" s="94" t="s">
        <v>38</v>
      </c>
      <c r="G93" s="94" t="s">
        <v>190</v>
      </c>
      <c r="H93" s="94">
        <f t="shared" si="14"/>
        <v>27847</v>
      </c>
      <c r="I93" s="94">
        <v>4129.6499999999996</v>
      </c>
      <c r="J93" s="98">
        <f t="shared" si="15"/>
        <v>0.71821022013143243</v>
      </c>
      <c r="K93" s="94" t="s">
        <v>195</v>
      </c>
      <c r="L93" s="94"/>
      <c r="M93" s="94"/>
      <c r="N93" s="94"/>
      <c r="O93" s="94"/>
      <c r="P93" s="71">
        <v>3591</v>
      </c>
      <c r="Q93" s="71">
        <v>20000</v>
      </c>
      <c r="R93" s="71">
        <v>100000000</v>
      </c>
      <c r="S93" s="67"/>
      <c r="T93" s="67"/>
      <c r="U93" s="67"/>
    </row>
    <row r="94" spans="1:21" x14ac:dyDescent="0.15">
      <c r="A94" s="67"/>
      <c r="B94" s="68" t="s">
        <v>193</v>
      </c>
      <c r="C94" s="95">
        <v>43458</v>
      </c>
      <c r="D94" s="95">
        <v>43472</v>
      </c>
      <c r="E94" s="68" t="s">
        <v>234</v>
      </c>
      <c r="F94" s="68" t="s">
        <v>21</v>
      </c>
      <c r="G94" s="67" t="s">
        <v>190</v>
      </c>
      <c r="H94" s="94">
        <f t="shared" si="14"/>
        <v>27847</v>
      </c>
      <c r="I94" s="94">
        <v>4165.5600000000004</v>
      </c>
      <c r="J94" s="98">
        <f t="shared" si="15"/>
        <v>0.35910511006571622</v>
      </c>
      <c r="K94" s="94" t="s">
        <v>195</v>
      </c>
      <c r="L94" s="94"/>
      <c r="M94" s="94"/>
      <c r="N94" s="94"/>
      <c r="O94" s="67"/>
      <c r="P94" s="71">
        <v>3591</v>
      </c>
      <c r="Q94" s="71">
        <v>10000</v>
      </c>
      <c r="R94" s="71">
        <v>100000000</v>
      </c>
      <c r="S94" s="67"/>
      <c r="T94" s="67"/>
      <c r="U94" s="67"/>
    </row>
    <row r="95" spans="1:21" ht="15.75" customHeight="1" x14ac:dyDescent="0.15">
      <c r="A95" s="94"/>
      <c r="B95" s="94" t="s">
        <v>208</v>
      </c>
      <c r="C95" s="95">
        <v>43459</v>
      </c>
      <c r="D95" s="95">
        <v>43489</v>
      </c>
      <c r="E95" s="94" t="s">
        <v>253</v>
      </c>
      <c r="F95" s="94" t="s">
        <v>222</v>
      </c>
      <c r="G95" s="94" t="s">
        <v>254</v>
      </c>
      <c r="H95" s="94">
        <v>700</v>
      </c>
      <c r="I95" s="94">
        <v>14750</v>
      </c>
      <c r="J95" s="98">
        <v>250.75</v>
      </c>
      <c r="K95" s="94" t="s">
        <v>218</v>
      </c>
      <c r="L95" s="94"/>
      <c r="M95" s="94"/>
      <c r="N95" s="94"/>
      <c r="O95" s="94"/>
      <c r="P95" s="71">
        <f>I95</f>
        <v>14750</v>
      </c>
      <c r="Q95" s="71">
        <f>J95*H95</f>
        <v>175525</v>
      </c>
      <c r="R95" s="71">
        <f>H95*P95</f>
        <v>10325000</v>
      </c>
      <c r="S95" s="67"/>
      <c r="T95" s="67"/>
      <c r="U95" s="67"/>
    </row>
    <row r="96" spans="1:21" ht="15.75" customHeight="1" thickBot="1" x14ac:dyDescent="0.2">
      <c r="A96" s="94"/>
      <c r="B96" s="94" t="s">
        <v>208</v>
      </c>
      <c r="C96" s="95">
        <v>43459</v>
      </c>
      <c r="D96" s="95">
        <v>43489</v>
      </c>
      <c r="E96" s="94" t="s">
        <v>253</v>
      </c>
      <c r="F96" s="94" t="s">
        <v>222</v>
      </c>
      <c r="G96" s="94" t="s">
        <v>25</v>
      </c>
      <c r="H96" s="94">
        <v>700</v>
      </c>
      <c r="I96" s="94">
        <v>14750</v>
      </c>
      <c r="J96" s="98">
        <v>250.75</v>
      </c>
      <c r="K96" s="94"/>
      <c r="L96" s="94"/>
      <c r="M96" s="94"/>
      <c r="N96" s="94"/>
      <c r="O96" s="94"/>
      <c r="P96" s="71">
        <f>I96</f>
        <v>14750</v>
      </c>
      <c r="Q96" s="71">
        <f>J96*H96</f>
        <v>175525</v>
      </c>
      <c r="R96" s="71">
        <f>H96*P96</f>
        <v>10325000</v>
      </c>
      <c r="S96" s="1"/>
    </row>
    <row r="97" spans="1:28" s="34" customFormat="1" x14ac:dyDescent="0.15">
      <c r="A97" s="67"/>
      <c r="B97" s="68" t="s">
        <v>196</v>
      </c>
      <c r="C97" s="69">
        <v>43460</v>
      </c>
      <c r="D97" s="69">
        <v>43474</v>
      </c>
      <c r="E97" s="68" t="s">
        <v>233</v>
      </c>
      <c r="F97" s="68" t="s">
        <v>21</v>
      </c>
      <c r="G97" s="67" t="s">
        <v>190</v>
      </c>
      <c r="H97" s="94">
        <f>ROUND(R97/P97,0)</f>
        <v>695652</v>
      </c>
      <c r="I97" s="94">
        <v>330.625</v>
      </c>
      <c r="J97" s="98">
        <f t="shared" ref="J97:J104" si="16">Q97/H97</f>
        <v>8.6250021562505386E-2</v>
      </c>
      <c r="K97" s="94" t="s">
        <v>197</v>
      </c>
      <c r="L97" s="94"/>
      <c r="M97" s="94"/>
      <c r="N97" s="94"/>
      <c r="O97" s="67"/>
      <c r="P97" s="70">
        <v>287.5</v>
      </c>
      <c r="Q97" s="71">
        <v>60000</v>
      </c>
      <c r="R97" s="71">
        <v>200000000</v>
      </c>
      <c r="S97" s="67"/>
      <c r="T97" s="67"/>
      <c r="U97" s="67"/>
      <c r="V97" s="1"/>
      <c r="W97" s="1"/>
      <c r="X97" s="1"/>
      <c r="Y97" s="1"/>
      <c r="Z97" s="1"/>
      <c r="AA97" s="1"/>
      <c r="AB97" s="1"/>
    </row>
    <row r="98" spans="1:28" s="35" customFormat="1" x14ac:dyDescent="0.15">
      <c r="A98" s="67"/>
      <c r="B98" s="68" t="s">
        <v>196</v>
      </c>
      <c r="C98" s="69">
        <v>43460</v>
      </c>
      <c r="D98" s="69">
        <v>43474</v>
      </c>
      <c r="E98" s="68" t="s">
        <v>233</v>
      </c>
      <c r="F98" s="68" t="s">
        <v>38</v>
      </c>
      <c r="G98" s="67" t="s">
        <v>190</v>
      </c>
      <c r="H98" s="94">
        <f>ROUND(R98/P98,0)</f>
        <v>695652</v>
      </c>
      <c r="I98" s="94">
        <v>333.5</v>
      </c>
      <c r="J98" s="98">
        <f t="shared" si="16"/>
        <v>2.8750007187501796E-2</v>
      </c>
      <c r="K98" s="94" t="s">
        <v>197</v>
      </c>
      <c r="L98" s="94"/>
      <c r="M98" s="94"/>
      <c r="N98" s="94"/>
      <c r="O98" s="68"/>
      <c r="P98" s="70">
        <v>287.5</v>
      </c>
      <c r="Q98" s="71">
        <v>20000</v>
      </c>
      <c r="R98" s="71">
        <v>200000000</v>
      </c>
      <c r="S98" s="68"/>
      <c r="T98" s="67"/>
      <c r="U98" s="67"/>
      <c r="V98" s="1"/>
      <c r="W98" s="1"/>
      <c r="X98" s="1"/>
      <c r="Y98" s="1"/>
      <c r="Z98" s="1"/>
      <c r="AA98" s="1"/>
      <c r="AB98" s="1"/>
    </row>
    <row r="99" spans="1:28" s="35" customFormat="1" x14ac:dyDescent="0.15">
      <c r="A99" s="67"/>
      <c r="B99" s="68" t="s">
        <v>196</v>
      </c>
      <c r="C99" s="69">
        <v>43460</v>
      </c>
      <c r="D99" s="69">
        <v>43474</v>
      </c>
      <c r="E99" s="68" t="s">
        <v>234</v>
      </c>
      <c r="F99" s="68" t="s">
        <v>38</v>
      </c>
      <c r="G99" s="67" t="s">
        <v>190</v>
      </c>
      <c r="H99" s="94">
        <f>ROUND(R99/P99,0)</f>
        <v>55310</v>
      </c>
      <c r="I99" s="94">
        <v>4158.3999999999996</v>
      </c>
      <c r="J99" s="98">
        <f t="shared" si="16"/>
        <v>1.0847947929849937</v>
      </c>
      <c r="K99" s="94" t="s">
        <v>198</v>
      </c>
      <c r="L99" s="94"/>
      <c r="M99" s="94"/>
      <c r="N99" s="94"/>
      <c r="O99" s="68"/>
      <c r="P99" s="70">
        <v>3616</v>
      </c>
      <c r="Q99" s="71">
        <v>60000</v>
      </c>
      <c r="R99" s="71">
        <v>200000000</v>
      </c>
      <c r="S99" s="68"/>
      <c r="T99" s="67"/>
      <c r="U99" s="67"/>
      <c r="V99" s="1"/>
      <c r="W99" s="1"/>
      <c r="X99" s="1"/>
      <c r="Y99" s="1"/>
      <c r="Z99" s="1"/>
      <c r="AA99" s="1"/>
      <c r="AB99" s="1"/>
    </row>
    <row r="100" spans="1:28" s="35" customFormat="1" ht="15" thickBot="1" x14ac:dyDescent="0.2">
      <c r="A100" s="67"/>
      <c r="B100" s="68" t="s">
        <v>196</v>
      </c>
      <c r="C100" s="69">
        <v>43460</v>
      </c>
      <c r="D100" s="69">
        <v>43474</v>
      </c>
      <c r="E100" s="68" t="s">
        <v>234</v>
      </c>
      <c r="F100" s="68" t="s">
        <v>21</v>
      </c>
      <c r="G100" s="67" t="s">
        <v>190</v>
      </c>
      <c r="H100" s="94">
        <f>ROUND(R100/P100,0)</f>
        <v>55310</v>
      </c>
      <c r="I100" s="94">
        <v>4194.5600000000004</v>
      </c>
      <c r="J100" s="98">
        <f t="shared" si="16"/>
        <v>0.3615982643283312</v>
      </c>
      <c r="K100" s="94" t="s">
        <v>198</v>
      </c>
      <c r="L100" s="94"/>
      <c r="M100" s="94"/>
      <c r="N100" s="94"/>
      <c r="O100" s="68"/>
      <c r="P100" s="70">
        <v>3616</v>
      </c>
      <c r="Q100" s="71">
        <v>20000</v>
      </c>
      <c r="R100" s="71">
        <v>200000000</v>
      </c>
      <c r="S100" s="68"/>
      <c r="T100" s="67"/>
      <c r="U100" s="67"/>
      <c r="V100" s="1"/>
      <c r="W100" s="1"/>
      <c r="X100" s="1"/>
      <c r="Y100" s="1"/>
      <c r="Z100" s="1"/>
      <c r="AA100" s="1"/>
      <c r="AB100" s="1"/>
    </row>
    <row r="101" spans="1:28" s="34" customFormat="1" x14ac:dyDescent="0.15">
      <c r="A101" s="67"/>
      <c r="B101" s="68" t="s">
        <v>193</v>
      </c>
      <c r="C101" s="69">
        <v>43461</v>
      </c>
      <c r="D101" s="69">
        <v>43692</v>
      </c>
      <c r="E101" s="68" t="s">
        <v>199</v>
      </c>
      <c r="F101" s="68" t="s">
        <v>21</v>
      </c>
      <c r="G101" s="67" t="s">
        <v>190</v>
      </c>
      <c r="H101" s="94">
        <f>1930*5</f>
        <v>9650</v>
      </c>
      <c r="I101" s="94">
        <v>8260</v>
      </c>
      <c r="J101" s="98">
        <f t="shared" si="16"/>
        <v>478.95378238341971</v>
      </c>
      <c r="K101" s="94" t="s">
        <v>201</v>
      </c>
      <c r="L101" s="94"/>
      <c r="M101" s="94"/>
      <c r="N101" s="94"/>
      <c r="O101" s="67"/>
      <c r="P101" s="71">
        <v>8260</v>
      </c>
      <c r="Q101" s="71">
        <f>9243808/2</f>
        <v>4621904</v>
      </c>
      <c r="R101" s="71">
        <f>P101*H101</f>
        <v>79709000</v>
      </c>
      <c r="S101" s="67"/>
      <c r="T101" s="67"/>
      <c r="U101" s="67"/>
      <c r="V101" s="1"/>
      <c r="W101" s="1"/>
      <c r="X101" s="1"/>
      <c r="Y101" s="1"/>
      <c r="Z101" s="1"/>
      <c r="AA101" s="1"/>
      <c r="AB101" s="1"/>
    </row>
    <row r="102" spans="1:28" s="35" customFormat="1" x14ac:dyDescent="0.15">
      <c r="A102" s="67"/>
      <c r="B102" s="68" t="s">
        <v>193</v>
      </c>
      <c r="C102" s="69">
        <v>43461</v>
      </c>
      <c r="D102" s="69">
        <v>43692</v>
      </c>
      <c r="E102" s="68" t="s">
        <v>199</v>
      </c>
      <c r="F102" s="68" t="s">
        <v>21</v>
      </c>
      <c r="G102" s="67" t="s">
        <v>200</v>
      </c>
      <c r="H102" s="94">
        <f>2130*5</f>
        <v>10650</v>
      </c>
      <c r="I102" s="94">
        <v>8260</v>
      </c>
      <c r="J102" s="98">
        <f t="shared" si="16"/>
        <v>433.98159624413148</v>
      </c>
      <c r="K102" s="94" t="s">
        <v>201</v>
      </c>
      <c r="L102" s="94"/>
      <c r="M102" s="94"/>
      <c r="N102" s="94"/>
      <c r="O102" s="67"/>
      <c r="P102" s="71">
        <v>8260</v>
      </c>
      <c r="Q102" s="71">
        <f>9243808/2</f>
        <v>4621904</v>
      </c>
      <c r="R102" s="71">
        <f>P102*H102</f>
        <v>87969000</v>
      </c>
      <c r="S102" s="67"/>
      <c r="T102" s="67"/>
      <c r="U102" s="67"/>
      <c r="V102" s="1"/>
      <c r="W102" s="1"/>
      <c r="X102" s="1"/>
      <c r="Y102" s="1"/>
      <c r="Z102" s="1"/>
      <c r="AA102" s="1"/>
      <c r="AB102" s="1"/>
    </row>
    <row r="103" spans="1:28" s="35" customFormat="1" x14ac:dyDescent="0.15">
      <c r="A103" s="67"/>
      <c r="B103" s="68" t="s">
        <v>193</v>
      </c>
      <c r="C103" s="69">
        <v>43461</v>
      </c>
      <c r="D103" s="69">
        <v>43490</v>
      </c>
      <c r="E103" s="68" t="s">
        <v>199</v>
      </c>
      <c r="F103" s="68" t="s">
        <v>38</v>
      </c>
      <c r="G103" s="67" t="s">
        <v>190</v>
      </c>
      <c r="H103" s="94">
        <f>720*5</f>
        <v>3600</v>
      </c>
      <c r="I103" s="94">
        <v>8260</v>
      </c>
      <c r="J103" s="98">
        <f t="shared" si="16"/>
        <v>164.57</v>
      </c>
      <c r="K103" s="94" t="s">
        <v>201</v>
      </c>
      <c r="L103" s="94"/>
      <c r="M103" s="94"/>
      <c r="N103" s="94"/>
      <c r="O103" s="67"/>
      <c r="P103" s="71">
        <v>8260</v>
      </c>
      <c r="Q103" s="71">
        <f>1184904/2</f>
        <v>592452</v>
      </c>
      <c r="R103" s="71">
        <f>P103*H103</f>
        <v>29736000</v>
      </c>
      <c r="S103" s="67"/>
      <c r="T103" s="67"/>
      <c r="U103" s="67"/>
      <c r="V103" s="1"/>
      <c r="W103" s="1"/>
      <c r="X103" s="1"/>
      <c r="Y103" s="1"/>
      <c r="Z103" s="1"/>
      <c r="AA103" s="1"/>
      <c r="AB103" s="1"/>
    </row>
    <row r="104" spans="1:28" s="36" customFormat="1" ht="15" thickBot="1" x14ac:dyDescent="0.2">
      <c r="A104" s="67"/>
      <c r="B104" s="68" t="s">
        <v>193</v>
      </c>
      <c r="C104" s="69">
        <v>43461</v>
      </c>
      <c r="D104" s="69">
        <v>43490</v>
      </c>
      <c r="E104" s="68" t="s">
        <v>199</v>
      </c>
      <c r="F104" s="68" t="s">
        <v>38</v>
      </c>
      <c r="G104" s="67" t="s">
        <v>200</v>
      </c>
      <c r="H104" s="94">
        <f>720*5</f>
        <v>3600</v>
      </c>
      <c r="I104" s="94">
        <v>8260</v>
      </c>
      <c r="J104" s="98">
        <f t="shared" si="16"/>
        <v>164.57</v>
      </c>
      <c r="K104" s="94" t="s">
        <v>201</v>
      </c>
      <c r="L104" s="94"/>
      <c r="M104" s="94"/>
      <c r="N104" s="94"/>
      <c r="O104" s="67"/>
      <c r="P104" s="71">
        <v>8260</v>
      </c>
      <c r="Q104" s="71">
        <f>1184904/2</f>
        <v>592452</v>
      </c>
      <c r="R104" s="71">
        <f>P104*H104</f>
        <v>29736000</v>
      </c>
      <c r="S104" s="67"/>
      <c r="T104" s="67"/>
      <c r="U104" s="67"/>
      <c r="V104" s="1"/>
      <c r="W104" s="1"/>
      <c r="X104" s="1"/>
      <c r="Y104" s="1"/>
      <c r="Z104" s="1"/>
      <c r="AA104" s="1"/>
      <c r="AB104" s="1"/>
    </row>
    <row r="105" spans="1:28" s="35" customFormat="1" x14ac:dyDescent="0.15">
      <c r="A105" s="67"/>
      <c r="B105" s="94" t="s">
        <v>189</v>
      </c>
      <c r="C105" s="95">
        <v>43462</v>
      </c>
      <c r="D105" s="95">
        <v>43493</v>
      </c>
      <c r="E105" s="94" t="s">
        <v>255</v>
      </c>
      <c r="F105" s="67" t="s">
        <v>21</v>
      </c>
      <c r="G105" s="67" t="s">
        <v>25</v>
      </c>
      <c r="H105" s="94">
        <v>1000</v>
      </c>
      <c r="I105" s="94">
        <v>6445</v>
      </c>
      <c r="J105" s="98">
        <v>111.11</v>
      </c>
      <c r="K105" s="94" t="s">
        <v>256</v>
      </c>
      <c r="L105" s="94"/>
      <c r="M105" s="94"/>
      <c r="N105" s="94"/>
      <c r="O105" s="67"/>
      <c r="P105" s="71">
        <v>6445</v>
      </c>
      <c r="Q105" s="71">
        <v>111110</v>
      </c>
      <c r="R105" s="71">
        <v>6445000</v>
      </c>
      <c r="S105" s="67"/>
      <c r="T105" s="67"/>
      <c r="U105" s="67"/>
      <c r="V105" s="1"/>
      <c r="W105" s="1"/>
      <c r="X105" s="1"/>
      <c r="Y105" s="1"/>
      <c r="Z105" s="1"/>
      <c r="AA105" s="1"/>
      <c r="AB105" s="1"/>
    </row>
    <row r="106" spans="1:28" x14ac:dyDescent="0.15">
      <c r="A106" s="67"/>
      <c r="B106" s="94" t="s">
        <v>189</v>
      </c>
      <c r="C106" s="95">
        <v>43462</v>
      </c>
      <c r="D106" s="95">
        <v>43493</v>
      </c>
      <c r="E106" s="94" t="s">
        <v>202</v>
      </c>
      <c r="F106" s="67" t="s">
        <v>21</v>
      </c>
      <c r="G106" s="67" t="s">
        <v>177</v>
      </c>
      <c r="H106" s="94">
        <v>1000</v>
      </c>
      <c r="I106" s="94">
        <v>6445</v>
      </c>
      <c r="J106" s="98">
        <v>111.11</v>
      </c>
      <c r="K106" s="94" t="s">
        <v>203</v>
      </c>
      <c r="L106" s="94"/>
      <c r="M106" s="94"/>
      <c r="N106" s="94"/>
      <c r="O106" s="67"/>
      <c r="P106" s="71">
        <v>6445</v>
      </c>
      <c r="Q106" s="71">
        <v>111110</v>
      </c>
      <c r="R106" s="71">
        <v>6445000</v>
      </c>
      <c r="S106" s="67"/>
      <c r="T106" s="67"/>
      <c r="U106" s="67"/>
    </row>
    <row r="107" spans="1:28" ht="15" hidden="1" customHeight="1" thickBot="1" x14ac:dyDescent="0.2">
      <c r="A107" s="67"/>
      <c r="B107" s="67"/>
      <c r="C107" s="95"/>
      <c r="D107" s="95"/>
      <c r="E107" s="67"/>
      <c r="F107" s="67"/>
      <c r="G107" s="67" t="s">
        <v>25</v>
      </c>
      <c r="H107" s="67">
        <v>1000</v>
      </c>
      <c r="I107" s="94">
        <v>6445</v>
      </c>
      <c r="J107" s="94">
        <v>111.11</v>
      </c>
      <c r="K107" s="94"/>
      <c r="L107" s="94"/>
      <c r="M107" s="94"/>
      <c r="N107" s="94"/>
      <c r="O107" s="67"/>
      <c r="P107" s="67">
        <f>I107</f>
        <v>6445</v>
      </c>
      <c r="Q107" s="67">
        <f>J107*H107</f>
        <v>111110</v>
      </c>
      <c r="R107" s="67">
        <f>H107*P107</f>
        <v>6445000</v>
      </c>
      <c r="S107" s="67"/>
      <c r="T107" s="67"/>
      <c r="U107" s="67"/>
    </row>
    <row r="108" spans="1:28" ht="14.25" hidden="1" customHeight="1" x14ac:dyDescent="0.15">
      <c r="A108" s="67"/>
      <c r="B108" s="67" t="s">
        <v>189</v>
      </c>
      <c r="C108" s="95">
        <v>43467</v>
      </c>
      <c r="D108" s="95">
        <v>43497</v>
      </c>
      <c r="E108" s="67" t="s">
        <v>219</v>
      </c>
      <c r="F108" s="67" t="s">
        <v>21</v>
      </c>
      <c r="G108" s="67" t="s">
        <v>177</v>
      </c>
      <c r="H108" s="67">
        <v>30000</v>
      </c>
      <c r="I108" s="94">
        <v>372</v>
      </c>
      <c r="J108" s="94">
        <v>16</v>
      </c>
      <c r="K108" s="94" t="s">
        <v>236</v>
      </c>
      <c r="L108" s="94">
        <v>6445</v>
      </c>
      <c r="M108" s="94">
        <v>111110</v>
      </c>
      <c r="N108" s="94">
        <v>6445000</v>
      </c>
      <c r="O108" s="67"/>
      <c r="P108" s="67">
        <v>372</v>
      </c>
      <c r="Q108" s="67">
        <f>J108*H108</f>
        <v>480000</v>
      </c>
      <c r="R108" s="67">
        <f>H108*P108</f>
        <v>11160000</v>
      </c>
    </row>
    <row r="109" spans="1:28" ht="15" hidden="1" customHeight="1" thickBot="1" x14ac:dyDescent="0.2">
      <c r="A109" s="67"/>
      <c r="B109" s="67"/>
      <c r="C109" s="95"/>
      <c r="D109" s="95"/>
      <c r="E109" s="67"/>
      <c r="F109" s="67"/>
      <c r="G109" s="67" t="s">
        <v>25</v>
      </c>
      <c r="H109" s="67">
        <v>30000</v>
      </c>
      <c r="I109" s="94">
        <v>372</v>
      </c>
      <c r="J109" s="94">
        <v>16</v>
      </c>
      <c r="K109" s="94"/>
      <c r="L109" s="94">
        <v>6445</v>
      </c>
      <c r="M109" s="94">
        <v>111110</v>
      </c>
      <c r="N109" s="94">
        <v>6445000</v>
      </c>
      <c r="O109" s="67"/>
      <c r="P109" s="67">
        <v>372</v>
      </c>
      <c r="Q109" s="67">
        <f>J109*H109</f>
        <v>480000</v>
      </c>
      <c r="R109" s="67">
        <f>H109*P109</f>
        <v>11160000</v>
      </c>
    </row>
    <row r="110" spans="1:28" ht="14.25" hidden="1" customHeight="1" x14ac:dyDescent="0.15">
      <c r="A110" s="67"/>
      <c r="B110" s="67" t="s">
        <v>225</v>
      </c>
      <c r="C110" s="95">
        <v>43467</v>
      </c>
      <c r="D110" s="95">
        <v>43495</v>
      </c>
      <c r="E110" s="67" t="s">
        <v>230</v>
      </c>
      <c r="F110" s="67" t="s">
        <v>222</v>
      </c>
      <c r="G110" s="67" t="s">
        <v>223</v>
      </c>
      <c r="H110" s="67">
        <v>200</v>
      </c>
      <c r="I110" s="94">
        <v>50130</v>
      </c>
      <c r="J110" s="94">
        <v>397.36</v>
      </c>
      <c r="K110" s="94" t="s">
        <v>235</v>
      </c>
      <c r="L110" s="94"/>
      <c r="M110" s="94"/>
      <c r="N110" s="94"/>
      <c r="O110" s="67"/>
      <c r="P110" s="67">
        <v>47870</v>
      </c>
      <c r="Q110" s="67">
        <f>J110*H110</f>
        <v>79472</v>
      </c>
      <c r="R110" s="67">
        <f>P110*H110*2</f>
        <v>19148000</v>
      </c>
    </row>
    <row r="111" spans="1:28" ht="14.25" hidden="1" customHeight="1" x14ac:dyDescent="0.15">
      <c r="A111" s="67"/>
      <c r="B111" s="67"/>
      <c r="C111" s="95"/>
      <c r="D111" s="95"/>
      <c r="E111" s="67"/>
      <c r="F111" s="67"/>
      <c r="G111" s="67" t="s">
        <v>224</v>
      </c>
      <c r="H111" s="67">
        <v>200</v>
      </c>
      <c r="I111" s="94">
        <v>46300</v>
      </c>
      <c r="J111" s="94"/>
      <c r="K111" s="94"/>
      <c r="L111" s="94"/>
      <c r="M111" s="94"/>
      <c r="N111" s="94"/>
      <c r="O111" s="67"/>
      <c r="P111" s="67"/>
      <c r="Q111" s="67"/>
      <c r="R111" s="67"/>
    </row>
    <row r="112" spans="1:28" s="37" customFormat="1" ht="14.25" hidden="1" customHeight="1" x14ac:dyDescent="0.15">
      <c r="A112" s="67"/>
      <c r="B112" s="67" t="s">
        <v>226</v>
      </c>
      <c r="C112" s="95">
        <v>43467</v>
      </c>
      <c r="D112" s="95">
        <v>43495</v>
      </c>
      <c r="E112" s="67" t="s">
        <v>221</v>
      </c>
      <c r="F112" s="67" t="s">
        <v>222</v>
      </c>
      <c r="G112" s="67" t="s">
        <v>223</v>
      </c>
      <c r="H112" s="67">
        <v>200</v>
      </c>
      <c r="I112" s="94">
        <v>50130</v>
      </c>
      <c r="J112" s="94">
        <v>397.36</v>
      </c>
      <c r="K112" s="94" t="s">
        <v>237</v>
      </c>
      <c r="L112" s="94"/>
      <c r="M112" s="94"/>
      <c r="N112" s="94"/>
      <c r="O112" s="67"/>
      <c r="P112" s="67">
        <v>47870</v>
      </c>
      <c r="Q112" s="67">
        <f>J112*H112</f>
        <v>79472</v>
      </c>
      <c r="R112" s="67">
        <f>P112*H112*2</f>
        <v>19148000</v>
      </c>
      <c r="S112" s="5"/>
      <c r="V112" s="1"/>
      <c r="W112" s="1"/>
      <c r="X112" s="1"/>
      <c r="Y112" s="1"/>
      <c r="Z112" s="1"/>
      <c r="AA112" s="1"/>
      <c r="AB112" s="1"/>
    </row>
    <row r="113" spans="1:28" s="37" customFormat="1" ht="14.25" hidden="1" customHeight="1" x14ac:dyDescent="0.15">
      <c r="A113" s="67"/>
      <c r="B113" s="67"/>
      <c r="C113" s="95"/>
      <c r="D113" s="95"/>
      <c r="E113" s="67"/>
      <c r="F113" s="67"/>
      <c r="G113" s="67" t="s">
        <v>224</v>
      </c>
      <c r="H113" s="67">
        <v>200</v>
      </c>
      <c r="I113" s="94">
        <v>46300</v>
      </c>
      <c r="J113" s="94"/>
      <c r="K113" s="94"/>
      <c r="L113" s="94"/>
      <c r="M113" s="94"/>
      <c r="N113" s="94"/>
      <c r="O113" s="67"/>
      <c r="P113" s="67"/>
      <c r="Q113" s="67"/>
      <c r="R113" s="67"/>
      <c r="S113" s="5"/>
      <c r="V113" s="1"/>
      <c r="W113" s="1"/>
      <c r="X113" s="1"/>
      <c r="Y113" s="1"/>
      <c r="Z113" s="1"/>
      <c r="AA113" s="1"/>
      <c r="AB113" s="1"/>
    </row>
    <row r="114" spans="1:28" ht="14.25" hidden="1" customHeight="1" x14ac:dyDescent="0.15">
      <c r="A114" s="67"/>
      <c r="B114" s="67" t="s">
        <v>227</v>
      </c>
      <c r="C114" s="95">
        <v>43467</v>
      </c>
      <c r="D114" s="95">
        <v>43495</v>
      </c>
      <c r="E114" s="67" t="s">
        <v>221</v>
      </c>
      <c r="F114" s="67" t="s">
        <v>222</v>
      </c>
      <c r="G114" s="67" t="s">
        <v>223</v>
      </c>
      <c r="H114" s="67">
        <v>200</v>
      </c>
      <c r="I114" s="94">
        <v>50130</v>
      </c>
      <c r="J114" s="94">
        <v>397.36</v>
      </c>
      <c r="K114" s="94" t="s">
        <v>238</v>
      </c>
      <c r="L114" s="94"/>
      <c r="M114" s="94"/>
      <c r="N114" s="94"/>
      <c r="O114" s="67"/>
      <c r="P114" s="67">
        <v>47870</v>
      </c>
      <c r="Q114" s="67">
        <f>J114*H114</f>
        <v>79472</v>
      </c>
      <c r="R114" s="67">
        <f>P114*H114*2</f>
        <v>19148000</v>
      </c>
    </row>
    <row r="115" spans="1:28" ht="14.25" hidden="1" customHeight="1" x14ac:dyDescent="0.15">
      <c r="A115" s="67"/>
      <c r="B115" s="67"/>
      <c r="C115" s="95"/>
      <c r="D115" s="95"/>
      <c r="E115" s="67"/>
      <c r="F115" s="67"/>
      <c r="G115" s="67" t="s">
        <v>224</v>
      </c>
      <c r="H115" s="67">
        <v>200</v>
      </c>
      <c r="I115" s="94">
        <v>46300</v>
      </c>
      <c r="J115" s="94"/>
      <c r="K115" s="94"/>
      <c r="L115" s="94"/>
      <c r="M115" s="94"/>
      <c r="N115" s="94"/>
      <c r="O115" s="67"/>
      <c r="P115" s="67"/>
      <c r="Q115" s="67"/>
      <c r="R115" s="67"/>
    </row>
    <row r="116" spans="1:28" s="37" customFormat="1" ht="12" hidden="1" customHeight="1" x14ac:dyDescent="0.15">
      <c r="A116" s="67"/>
      <c r="B116" s="67" t="s">
        <v>228</v>
      </c>
      <c r="C116" s="95">
        <v>43467</v>
      </c>
      <c r="D116" s="95">
        <v>43495</v>
      </c>
      <c r="E116" s="67" t="s">
        <v>221</v>
      </c>
      <c r="F116" s="67" t="s">
        <v>222</v>
      </c>
      <c r="G116" s="67" t="s">
        <v>223</v>
      </c>
      <c r="H116" s="67">
        <v>200</v>
      </c>
      <c r="I116" s="94">
        <v>50130</v>
      </c>
      <c r="J116" s="94">
        <v>397.36</v>
      </c>
      <c r="K116" s="94" t="s">
        <v>239</v>
      </c>
      <c r="L116" s="94"/>
      <c r="M116" s="94"/>
      <c r="N116" s="94"/>
      <c r="O116" s="67"/>
      <c r="P116" s="67">
        <v>47870</v>
      </c>
      <c r="Q116" s="67">
        <f>J116*H116</f>
        <v>79472</v>
      </c>
      <c r="R116" s="67">
        <f>P116*H116*2</f>
        <v>19148000</v>
      </c>
      <c r="S116" s="5"/>
      <c r="V116" s="1"/>
      <c r="W116" s="1"/>
      <c r="X116" s="1"/>
      <c r="Y116" s="1"/>
      <c r="Z116" s="1"/>
      <c r="AA116" s="1"/>
      <c r="AB116" s="1"/>
    </row>
    <row r="117" spans="1:28" s="37" customFormat="1" hidden="1" x14ac:dyDescent="0.15">
      <c r="A117" s="67"/>
      <c r="B117" s="67"/>
      <c r="C117" s="95"/>
      <c r="D117" s="95"/>
      <c r="E117" s="67"/>
      <c r="F117" s="67"/>
      <c r="G117" s="67" t="s">
        <v>224</v>
      </c>
      <c r="H117" s="67">
        <v>200</v>
      </c>
      <c r="I117" s="94">
        <v>46300</v>
      </c>
      <c r="J117" s="94"/>
      <c r="K117" s="94"/>
      <c r="L117" s="94"/>
      <c r="M117" s="94"/>
      <c r="N117" s="94"/>
      <c r="O117" s="67"/>
      <c r="P117" s="67"/>
      <c r="Q117" s="67"/>
      <c r="R117" s="67"/>
      <c r="S117" s="5"/>
      <c r="V117" s="1"/>
      <c r="W117" s="1"/>
      <c r="X117" s="1"/>
      <c r="Y117" s="1"/>
      <c r="Z117" s="1"/>
      <c r="AA117" s="1"/>
      <c r="AB117" s="1"/>
    </row>
    <row r="118" spans="1:28" hidden="1" x14ac:dyDescent="0.15">
      <c r="A118" s="67"/>
      <c r="B118" s="67" t="s">
        <v>229</v>
      </c>
      <c r="C118" s="95">
        <v>43467</v>
      </c>
      <c r="D118" s="95">
        <v>43495</v>
      </c>
      <c r="E118" s="67" t="s">
        <v>221</v>
      </c>
      <c r="F118" s="67" t="s">
        <v>222</v>
      </c>
      <c r="G118" s="67" t="s">
        <v>223</v>
      </c>
      <c r="H118" s="67">
        <v>200</v>
      </c>
      <c r="I118" s="94">
        <v>50130</v>
      </c>
      <c r="J118" s="94">
        <v>397.36</v>
      </c>
      <c r="K118" s="94" t="s">
        <v>240</v>
      </c>
      <c r="L118" s="94"/>
      <c r="M118" s="94"/>
      <c r="N118" s="94"/>
      <c r="O118" s="67"/>
      <c r="P118" s="67">
        <v>47870</v>
      </c>
      <c r="Q118" s="67">
        <f>J118*H118</f>
        <v>79472</v>
      </c>
      <c r="R118" s="67">
        <f>P118*H118*2</f>
        <v>19148000</v>
      </c>
    </row>
    <row r="119" spans="1:28" ht="12.75" hidden="1" customHeight="1" x14ac:dyDescent="0.15">
      <c r="A119" s="67"/>
      <c r="B119" s="67"/>
      <c r="C119" s="95"/>
      <c r="D119" s="95"/>
      <c r="E119" s="67"/>
      <c r="F119" s="67"/>
      <c r="G119" s="67" t="s">
        <v>224</v>
      </c>
      <c r="H119" s="67">
        <v>200</v>
      </c>
      <c r="I119" s="94">
        <v>46300</v>
      </c>
      <c r="J119" s="94"/>
      <c r="K119" s="94"/>
      <c r="L119" s="94"/>
      <c r="M119" s="94"/>
      <c r="N119" s="94"/>
      <c r="O119" s="67"/>
      <c r="P119" s="67"/>
      <c r="Q119" s="67"/>
      <c r="R119" s="67"/>
    </row>
    <row r="120" spans="1:28" ht="21" hidden="1" customHeight="1" x14ac:dyDescent="0.15">
      <c r="A120" s="67"/>
      <c r="B120" s="67"/>
      <c r="C120" s="67"/>
      <c r="D120" s="67"/>
      <c r="E120" s="67"/>
      <c r="F120" s="67"/>
      <c r="G120" s="67"/>
      <c r="H120" s="67"/>
      <c r="I120" s="94"/>
      <c r="J120" s="94"/>
      <c r="K120" s="94"/>
      <c r="L120" s="94"/>
      <c r="M120" s="94"/>
      <c r="N120" s="94"/>
      <c r="O120" s="67"/>
      <c r="P120" s="67"/>
      <c r="Q120" s="67"/>
      <c r="R120" s="99"/>
    </row>
    <row r="121" spans="1:28" x14ac:dyDescent="0.15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</row>
    <row r="122" spans="1:28" x14ac:dyDescent="0.15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</row>
    <row r="123" spans="1:28" x14ac:dyDescent="0.15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</row>
    <row r="124" spans="1:28" x14ac:dyDescent="0.15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</row>
    <row r="125" spans="1:28" x14ac:dyDescent="0.1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</row>
    <row r="126" spans="1:28" x14ac:dyDescent="0.15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</row>
    <row r="127" spans="1:28" x14ac:dyDescent="0.15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</row>
    <row r="128" spans="1:28" x14ac:dyDescent="0.15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</row>
    <row r="129" spans="1:21" x14ac:dyDescent="0.15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</row>
  </sheetData>
  <autoFilter ref="B1:S120">
    <filterColumn colId="1">
      <customFilters>
        <customFilter operator="lessThan" val="43465"/>
      </customFilters>
    </filterColumn>
    <filterColumn colId="2">
      <customFilters>
        <customFilter operator="greaterThan" val="43465"/>
      </customFilters>
    </filterColumn>
  </autoFilter>
  <mergeCells count="12">
    <mergeCell ref="K74:K75"/>
    <mergeCell ref="S22:S23"/>
    <mergeCell ref="B72:B73"/>
    <mergeCell ref="C72:C73"/>
    <mergeCell ref="D72:D73"/>
    <mergeCell ref="E72:E73"/>
    <mergeCell ref="K72:K73"/>
    <mergeCell ref="B74:B75"/>
    <mergeCell ref="C74:C75"/>
    <mergeCell ref="D74:D75"/>
    <mergeCell ref="E74:E75"/>
    <mergeCell ref="F74:F75"/>
  </mergeCells>
  <phoneticPr fontId="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CI121"/>
  <sheetViews>
    <sheetView topLeftCell="A86" workbookViewId="0">
      <selection activeCell="P105" sqref="P105:R119"/>
    </sheetView>
  </sheetViews>
  <sheetFormatPr defaultColWidth="9" defaultRowHeight="14.25" x14ac:dyDescent="0.15"/>
  <cols>
    <col min="1" max="1" width="7.375" style="1" customWidth="1"/>
    <col min="2" max="2" width="30.5" style="3" customWidth="1"/>
    <col min="3" max="4" width="14.625" style="4" customWidth="1"/>
    <col min="5" max="5" width="13.75" style="3" customWidth="1"/>
    <col min="6" max="6" width="11.5" style="3" customWidth="1"/>
    <col min="7" max="7" width="21.875" style="3" customWidth="1"/>
    <col min="8" max="8" width="18.375" style="3" customWidth="1"/>
    <col min="9" max="9" width="20.25" style="3" customWidth="1"/>
    <col min="10" max="10" width="14" style="3" customWidth="1"/>
    <col min="11" max="11" width="19.25" style="3" customWidth="1"/>
    <col min="12" max="12" width="11.5" style="3" customWidth="1"/>
    <col min="13" max="13" width="14.375" style="3" customWidth="1"/>
    <col min="14" max="14" width="15" style="3" customWidth="1"/>
    <col min="15" max="15" width="15.75" style="3" customWidth="1"/>
    <col min="16" max="16" width="11.875" style="10" customWidth="1"/>
    <col min="17" max="17" width="16.125" style="11" customWidth="1"/>
    <col min="18" max="18" width="17.625" style="11" customWidth="1"/>
    <col min="19" max="19" width="14.625" style="3" customWidth="1"/>
    <col min="20" max="20" width="10.5" style="1" customWidth="1"/>
    <col min="21" max="21" width="9" style="1"/>
    <col min="22" max="22" width="10.5" style="1" customWidth="1"/>
    <col min="23" max="16384" width="9" style="1"/>
  </cols>
  <sheetData>
    <row r="1" spans="1:21" s="6" customFormat="1" ht="29.25" thickBot="1" x14ac:dyDescent="0.2">
      <c r="A1" s="58" t="s">
        <v>220</v>
      </c>
      <c r="B1" s="59" t="s">
        <v>0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6</v>
      </c>
      <c r="I1" s="59" t="s">
        <v>7</v>
      </c>
      <c r="J1" s="59" t="s">
        <v>8</v>
      </c>
      <c r="K1" s="59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60" t="s">
        <v>14</v>
      </c>
      <c r="Q1" s="61" t="s">
        <v>15</v>
      </c>
      <c r="R1" s="62" t="s">
        <v>16</v>
      </c>
      <c r="S1" s="59" t="s">
        <v>17</v>
      </c>
      <c r="T1" s="63" t="s">
        <v>18</v>
      </c>
      <c r="U1" s="64"/>
    </row>
    <row r="2" spans="1:21" s="7" customFormat="1" hidden="1" x14ac:dyDescent="0.15">
      <c r="B2" s="3" t="s">
        <v>19</v>
      </c>
      <c r="C2" s="4">
        <v>42962</v>
      </c>
      <c r="D2" s="4">
        <v>43063</v>
      </c>
      <c r="E2" s="3" t="s">
        <v>20</v>
      </c>
      <c r="F2" s="3" t="s">
        <v>21</v>
      </c>
      <c r="G2" s="3" t="s">
        <v>22</v>
      </c>
      <c r="H2" s="3">
        <v>2000</v>
      </c>
      <c r="I2" s="3">
        <v>6500</v>
      </c>
      <c r="J2" s="3">
        <v>68</v>
      </c>
      <c r="K2" s="3" t="s">
        <v>23</v>
      </c>
      <c r="L2" s="3" t="s">
        <v>24</v>
      </c>
      <c r="M2" s="3">
        <v>6409</v>
      </c>
      <c r="N2" s="3">
        <f t="shared" ref="N2:N8" si="0">(I2-M2)*H2</f>
        <v>182000</v>
      </c>
      <c r="O2" s="4">
        <f t="shared" ref="O2:O27" si="1">D2</f>
        <v>43063</v>
      </c>
      <c r="P2" s="10">
        <f>[1]!s_dq_settle(E2,C2)</f>
        <v>0</v>
      </c>
      <c r="Q2" s="11">
        <v>136000</v>
      </c>
      <c r="R2" s="11">
        <f t="shared" ref="R2:R27" si="2">P2*H2</f>
        <v>0</v>
      </c>
    </row>
    <row r="3" spans="1:21" s="7" customFormat="1" hidden="1" x14ac:dyDescent="0.15">
      <c r="B3" s="3" t="s">
        <v>19</v>
      </c>
      <c r="C3" s="4">
        <v>42962</v>
      </c>
      <c r="D3" s="4">
        <v>43063</v>
      </c>
      <c r="E3" s="3" t="s">
        <v>20</v>
      </c>
      <c r="F3" s="3" t="s">
        <v>21</v>
      </c>
      <c r="G3" s="3" t="s">
        <v>25</v>
      </c>
      <c r="H3" s="3">
        <v>2000</v>
      </c>
      <c r="I3" s="3">
        <v>5800</v>
      </c>
      <c r="J3" s="3">
        <v>35</v>
      </c>
      <c r="K3" s="3" t="s">
        <v>23</v>
      </c>
      <c r="L3" s="3" t="s">
        <v>24</v>
      </c>
      <c r="M3" s="3">
        <v>6409</v>
      </c>
      <c r="N3" s="3">
        <f>(I3-M3)*H3*-1</f>
        <v>1218000</v>
      </c>
      <c r="O3" s="4">
        <f t="shared" si="1"/>
        <v>43063</v>
      </c>
      <c r="P3" s="10">
        <f>[1]!s_dq_settle(E3,C3)</f>
        <v>0</v>
      </c>
      <c r="Q3" s="11">
        <v>70000</v>
      </c>
      <c r="R3" s="11">
        <f t="shared" si="2"/>
        <v>0</v>
      </c>
    </row>
    <row r="4" spans="1:21" s="7" customFormat="1" hidden="1" x14ac:dyDescent="0.15">
      <c r="B4" s="3" t="s">
        <v>19</v>
      </c>
      <c r="C4" s="4">
        <v>42965</v>
      </c>
      <c r="D4" s="4">
        <v>43063</v>
      </c>
      <c r="E4" s="3" t="s">
        <v>20</v>
      </c>
      <c r="F4" s="3" t="s">
        <v>21</v>
      </c>
      <c r="G4" s="3" t="s">
        <v>22</v>
      </c>
      <c r="H4" s="3">
        <v>2000</v>
      </c>
      <c r="I4" s="3">
        <v>6600</v>
      </c>
      <c r="J4" s="3">
        <v>45</v>
      </c>
      <c r="K4" s="3" t="s">
        <v>26</v>
      </c>
      <c r="L4" s="3" t="s">
        <v>27</v>
      </c>
      <c r="M4" s="3">
        <v>6409</v>
      </c>
      <c r="N4" s="3">
        <f t="shared" si="0"/>
        <v>382000</v>
      </c>
      <c r="O4" s="4">
        <f t="shared" si="1"/>
        <v>43063</v>
      </c>
      <c r="P4" s="10">
        <f>[1]!s_dq_settle(E4,C4)</f>
        <v>0</v>
      </c>
      <c r="Q4" s="11">
        <v>90000</v>
      </c>
      <c r="R4" s="11">
        <f t="shared" si="2"/>
        <v>0</v>
      </c>
    </row>
    <row r="5" spans="1:21" s="7" customFormat="1" hidden="1" x14ac:dyDescent="0.15">
      <c r="B5" s="3" t="s">
        <v>19</v>
      </c>
      <c r="C5" s="4">
        <v>42965</v>
      </c>
      <c r="D5" s="4">
        <v>43063</v>
      </c>
      <c r="E5" s="3" t="s">
        <v>20</v>
      </c>
      <c r="F5" s="3" t="s">
        <v>21</v>
      </c>
      <c r="G5" s="3" t="s">
        <v>22</v>
      </c>
      <c r="H5" s="3">
        <v>2000</v>
      </c>
      <c r="I5" s="3">
        <v>6600</v>
      </c>
      <c r="J5" s="3">
        <v>52</v>
      </c>
      <c r="K5" s="3" t="s">
        <v>28</v>
      </c>
      <c r="L5" s="3" t="s">
        <v>29</v>
      </c>
      <c r="M5" s="3">
        <v>6409</v>
      </c>
      <c r="N5" s="3">
        <f t="shared" si="0"/>
        <v>382000</v>
      </c>
      <c r="O5" s="4">
        <f t="shared" si="1"/>
        <v>43063</v>
      </c>
      <c r="P5" s="10">
        <f>[1]!s_dq_settle(E5,C5)</f>
        <v>0</v>
      </c>
      <c r="Q5" s="11">
        <v>104000</v>
      </c>
      <c r="R5" s="11">
        <f t="shared" si="2"/>
        <v>0</v>
      </c>
    </row>
    <row r="6" spans="1:21" s="7" customFormat="1" hidden="1" x14ac:dyDescent="0.15">
      <c r="B6" s="3" t="s">
        <v>19</v>
      </c>
      <c r="C6" s="4">
        <v>42970</v>
      </c>
      <c r="D6" s="4">
        <v>43063</v>
      </c>
      <c r="E6" s="3" t="s">
        <v>20</v>
      </c>
      <c r="F6" s="3" t="s">
        <v>21</v>
      </c>
      <c r="G6" s="3" t="s">
        <v>25</v>
      </c>
      <c r="H6" s="3">
        <v>2000</v>
      </c>
      <c r="I6" s="3">
        <v>6000</v>
      </c>
      <c r="J6" s="3">
        <v>35</v>
      </c>
      <c r="K6" s="3" t="s">
        <v>30</v>
      </c>
      <c r="L6" s="3" t="s">
        <v>31</v>
      </c>
      <c r="M6" s="3">
        <v>6409</v>
      </c>
      <c r="N6" s="3">
        <f>(I6-M6)*H6*-1</f>
        <v>818000</v>
      </c>
      <c r="O6" s="4">
        <f t="shared" si="1"/>
        <v>43063</v>
      </c>
      <c r="P6" s="10">
        <f>[1]!s_dq_settle(E6,C6)</f>
        <v>0</v>
      </c>
      <c r="Q6" s="11">
        <v>70000</v>
      </c>
      <c r="R6" s="11">
        <f t="shared" si="2"/>
        <v>0</v>
      </c>
    </row>
    <row r="7" spans="1:21" s="7" customFormat="1" hidden="1" x14ac:dyDescent="0.15">
      <c r="B7" s="3" t="s">
        <v>19</v>
      </c>
      <c r="C7" s="4">
        <v>42972</v>
      </c>
      <c r="D7" s="4">
        <v>43063</v>
      </c>
      <c r="E7" s="3" t="s">
        <v>20</v>
      </c>
      <c r="F7" s="3" t="s">
        <v>21</v>
      </c>
      <c r="G7" s="3" t="s">
        <v>22</v>
      </c>
      <c r="H7" s="3">
        <v>1000</v>
      </c>
      <c r="I7" s="3">
        <v>6600</v>
      </c>
      <c r="J7" s="3">
        <v>53.5</v>
      </c>
      <c r="K7" s="3" t="s">
        <v>32</v>
      </c>
      <c r="L7" s="3" t="s">
        <v>33</v>
      </c>
      <c r="M7" s="3">
        <v>6409</v>
      </c>
      <c r="N7" s="3">
        <f t="shared" si="0"/>
        <v>191000</v>
      </c>
      <c r="O7" s="4">
        <f t="shared" si="1"/>
        <v>43063</v>
      </c>
      <c r="P7" s="10">
        <f>[1]!s_dq_settle(E7,C7)</f>
        <v>0</v>
      </c>
      <c r="Q7" s="11">
        <v>53500</v>
      </c>
      <c r="R7" s="11">
        <f t="shared" si="2"/>
        <v>0</v>
      </c>
    </row>
    <row r="8" spans="1:21" s="7" customFormat="1" hidden="1" x14ac:dyDescent="0.15">
      <c r="B8" s="3" t="s">
        <v>19</v>
      </c>
      <c r="C8" s="4">
        <v>42977</v>
      </c>
      <c r="D8" s="4">
        <v>43063</v>
      </c>
      <c r="E8" s="3" t="s">
        <v>20</v>
      </c>
      <c r="F8" s="3" t="s">
        <v>21</v>
      </c>
      <c r="G8" s="3" t="s">
        <v>22</v>
      </c>
      <c r="H8" s="3">
        <v>2000</v>
      </c>
      <c r="I8" s="3">
        <v>6600</v>
      </c>
      <c r="J8" s="3">
        <v>55</v>
      </c>
      <c r="K8" s="3" t="s">
        <v>34</v>
      </c>
      <c r="L8" s="3" t="s">
        <v>35</v>
      </c>
      <c r="M8" s="3">
        <v>6409</v>
      </c>
      <c r="N8" s="3">
        <f t="shared" si="0"/>
        <v>382000</v>
      </c>
      <c r="O8" s="4">
        <f t="shared" si="1"/>
        <v>43063</v>
      </c>
      <c r="P8" s="10">
        <f>[1]!s_dq_settle(E8,C8)</f>
        <v>0</v>
      </c>
      <c r="Q8" s="11">
        <v>110000</v>
      </c>
      <c r="R8" s="11">
        <f t="shared" si="2"/>
        <v>0</v>
      </c>
    </row>
    <row r="9" spans="1:21" hidden="1" x14ac:dyDescent="0.15">
      <c r="B9" s="3" t="s">
        <v>36</v>
      </c>
      <c r="C9" s="4">
        <v>42979</v>
      </c>
      <c r="D9" s="4">
        <v>43007</v>
      </c>
      <c r="E9" s="3" t="s">
        <v>37</v>
      </c>
      <c r="F9" s="3" t="s">
        <v>38</v>
      </c>
      <c r="G9" s="3" t="s">
        <v>39</v>
      </c>
      <c r="H9" s="3">
        <v>427</v>
      </c>
      <c r="I9" s="3">
        <v>15230</v>
      </c>
      <c r="J9" s="3">
        <v>678.69594847775204</v>
      </c>
      <c r="K9" s="3" t="s">
        <v>40</v>
      </c>
      <c r="L9" s="3" t="s">
        <v>41</v>
      </c>
      <c r="M9" s="3">
        <v>15498.33</v>
      </c>
      <c r="N9" s="3">
        <v>0</v>
      </c>
      <c r="O9" s="4">
        <f t="shared" si="1"/>
        <v>43007</v>
      </c>
      <c r="P9" s="16">
        <f>[1]!s_dq_settle(E9,C9)</f>
        <v>0</v>
      </c>
      <c r="Q9" s="11">
        <v>289803.17</v>
      </c>
      <c r="R9" s="11">
        <f t="shared" si="2"/>
        <v>0</v>
      </c>
      <c r="S9" s="3">
        <f>SUM(R9:R41)</f>
        <v>1073640000</v>
      </c>
    </row>
    <row r="10" spans="1:21" hidden="1" x14ac:dyDescent="0.15">
      <c r="B10" s="3" t="s">
        <v>42</v>
      </c>
      <c r="C10" s="4">
        <v>42979</v>
      </c>
      <c r="D10" s="4">
        <v>43007</v>
      </c>
      <c r="E10" s="3" t="s">
        <v>43</v>
      </c>
      <c r="F10" s="3" t="s">
        <v>38</v>
      </c>
      <c r="G10" s="3" t="s">
        <v>39</v>
      </c>
      <c r="H10" s="3">
        <v>670</v>
      </c>
      <c r="I10" s="3">
        <v>16545</v>
      </c>
      <c r="J10" s="3">
        <v>790.8</v>
      </c>
      <c r="K10" s="3" t="s">
        <v>44</v>
      </c>
      <c r="L10" s="3" t="s">
        <v>45</v>
      </c>
      <c r="M10" s="3">
        <v>15741.43</v>
      </c>
      <c r="N10" s="3">
        <f>(I10-M10)*H10</f>
        <v>538391.89999999979</v>
      </c>
      <c r="O10" s="4">
        <f t="shared" si="1"/>
        <v>43007</v>
      </c>
      <c r="P10" s="16">
        <f>[1]!s_dq_settle(E10,C10)</f>
        <v>0</v>
      </c>
      <c r="Q10" s="11">
        <v>529836</v>
      </c>
      <c r="R10" s="11">
        <f t="shared" si="2"/>
        <v>0</v>
      </c>
    </row>
    <row r="11" spans="1:21" hidden="1" x14ac:dyDescent="0.15">
      <c r="B11" s="3" t="s">
        <v>46</v>
      </c>
      <c r="C11" s="4">
        <v>42979</v>
      </c>
      <c r="D11" s="4">
        <v>43098</v>
      </c>
      <c r="E11" s="3" t="s">
        <v>47</v>
      </c>
      <c r="F11" s="3" t="s">
        <v>38</v>
      </c>
      <c r="G11" s="3" t="s">
        <v>39</v>
      </c>
      <c r="H11" s="3">
        <v>22500</v>
      </c>
      <c r="I11" s="3">
        <v>1687</v>
      </c>
      <c r="J11" s="3">
        <v>60</v>
      </c>
      <c r="K11" s="3" t="s">
        <v>48</v>
      </c>
      <c r="O11" s="4">
        <f t="shared" si="1"/>
        <v>43098</v>
      </c>
      <c r="P11" s="16">
        <f>[1]!s_dq_settle(E11,C11)</f>
        <v>0</v>
      </c>
      <c r="Q11" s="11">
        <v>1350000</v>
      </c>
      <c r="R11" s="11">
        <f t="shared" si="2"/>
        <v>0</v>
      </c>
    </row>
    <row r="12" spans="1:21" hidden="1" x14ac:dyDescent="0.15">
      <c r="B12" s="3" t="s">
        <v>19</v>
      </c>
      <c r="C12" s="4">
        <v>42982</v>
      </c>
      <c r="D12" s="4">
        <v>43063</v>
      </c>
      <c r="E12" s="3" t="s">
        <v>20</v>
      </c>
      <c r="F12" s="3" t="s">
        <v>21</v>
      </c>
      <c r="G12" s="3" t="s">
        <v>25</v>
      </c>
      <c r="H12" s="3">
        <v>2000</v>
      </c>
      <c r="I12" s="3">
        <v>6100</v>
      </c>
      <c r="J12" s="3">
        <v>49</v>
      </c>
      <c r="K12" s="3" t="s">
        <v>49</v>
      </c>
      <c r="L12" s="3" t="s">
        <v>50</v>
      </c>
      <c r="M12" s="3">
        <v>6409</v>
      </c>
      <c r="N12" s="3">
        <f>(I12-M12)*H12*-1</f>
        <v>618000</v>
      </c>
      <c r="O12" s="4">
        <f t="shared" si="1"/>
        <v>43063</v>
      </c>
      <c r="P12" s="16">
        <f>[1]!s_dq_settle(E12,C12)</f>
        <v>0</v>
      </c>
      <c r="Q12" s="11">
        <v>98000</v>
      </c>
      <c r="R12" s="11">
        <f t="shared" si="2"/>
        <v>0</v>
      </c>
    </row>
    <row r="13" spans="1:21" hidden="1" x14ac:dyDescent="0.15">
      <c r="B13" s="3" t="s">
        <v>19</v>
      </c>
      <c r="C13" s="4">
        <v>42985</v>
      </c>
      <c r="D13" s="4">
        <v>43063</v>
      </c>
      <c r="E13" s="3" t="s">
        <v>20</v>
      </c>
      <c r="F13" s="3" t="s">
        <v>21</v>
      </c>
      <c r="G13" s="3" t="s">
        <v>25</v>
      </c>
      <c r="H13" s="3">
        <v>2000</v>
      </c>
      <c r="I13" s="3">
        <v>6000</v>
      </c>
      <c r="J13" s="3">
        <v>56</v>
      </c>
      <c r="K13" s="3" t="s">
        <v>51</v>
      </c>
      <c r="L13" s="3" t="s">
        <v>52</v>
      </c>
      <c r="M13" s="3">
        <v>6409</v>
      </c>
      <c r="N13" s="3">
        <f>(I13-M13)*H13*-1</f>
        <v>818000</v>
      </c>
      <c r="O13" s="4">
        <f t="shared" si="1"/>
        <v>43063</v>
      </c>
      <c r="P13" s="16">
        <f>[1]!s_dq_settle(E13,C13)</f>
        <v>0</v>
      </c>
      <c r="Q13" s="11">
        <v>112000</v>
      </c>
      <c r="R13" s="11">
        <f t="shared" si="2"/>
        <v>0</v>
      </c>
    </row>
    <row r="14" spans="1:21" hidden="1" x14ac:dyDescent="0.15">
      <c r="B14" s="3" t="s">
        <v>36</v>
      </c>
      <c r="C14" s="4">
        <v>42993</v>
      </c>
      <c r="D14" s="4">
        <v>43021</v>
      </c>
      <c r="E14" s="3" t="s">
        <v>20</v>
      </c>
      <c r="F14" s="3" t="s">
        <v>38</v>
      </c>
      <c r="G14" s="3" t="s">
        <v>39</v>
      </c>
      <c r="H14" s="3">
        <v>1462.5</v>
      </c>
      <c r="I14" s="3">
        <v>6392</v>
      </c>
      <c r="J14" s="3">
        <v>222.22</v>
      </c>
      <c r="K14" s="3" t="s">
        <v>53</v>
      </c>
      <c r="L14" s="3" t="s">
        <v>54</v>
      </c>
      <c r="M14" s="3">
        <v>6150.19</v>
      </c>
      <c r="N14" s="3">
        <f>(I14-M14)*H14*0.4</f>
        <v>141458.85000000024</v>
      </c>
      <c r="O14" s="4">
        <f t="shared" si="1"/>
        <v>43021</v>
      </c>
      <c r="P14" s="16">
        <f>[1]!s_dq_settle(E14,C14)</f>
        <v>0</v>
      </c>
      <c r="Q14" s="11">
        <v>324996.75</v>
      </c>
      <c r="R14" s="11">
        <f t="shared" si="2"/>
        <v>0</v>
      </c>
    </row>
    <row r="15" spans="1:21" hidden="1" x14ac:dyDescent="0.15">
      <c r="B15" s="3" t="s">
        <v>55</v>
      </c>
      <c r="C15" s="4">
        <v>43004</v>
      </c>
      <c r="D15" s="4">
        <v>43034</v>
      </c>
      <c r="E15" s="3" t="s">
        <v>43</v>
      </c>
      <c r="F15" s="3" t="s">
        <v>21</v>
      </c>
      <c r="G15" s="3" t="s">
        <v>56</v>
      </c>
      <c r="H15" s="3">
        <v>200</v>
      </c>
      <c r="I15" s="3">
        <v>16500</v>
      </c>
      <c r="J15" s="3">
        <v>27</v>
      </c>
      <c r="K15" s="3" t="s">
        <v>57</v>
      </c>
      <c r="L15" s="3" t="s">
        <v>58</v>
      </c>
      <c r="M15" s="3">
        <v>13570</v>
      </c>
      <c r="N15" s="3">
        <f>J15*H15</f>
        <v>5400</v>
      </c>
      <c r="O15" s="4">
        <f t="shared" si="1"/>
        <v>43034</v>
      </c>
      <c r="P15" s="16">
        <f>[1]!s_dq_settle(E15,C15)</f>
        <v>0</v>
      </c>
      <c r="Q15" s="11">
        <v>5400</v>
      </c>
      <c r="R15" s="11">
        <f t="shared" si="2"/>
        <v>0</v>
      </c>
    </row>
    <row r="16" spans="1:21" hidden="1" x14ac:dyDescent="0.15">
      <c r="B16" s="3" t="s">
        <v>55</v>
      </c>
      <c r="C16" s="4">
        <v>43004</v>
      </c>
      <c r="D16" s="4">
        <v>43034</v>
      </c>
      <c r="E16" s="3" t="s">
        <v>43</v>
      </c>
      <c r="F16" s="3" t="s">
        <v>21</v>
      </c>
      <c r="G16" s="3" t="s">
        <v>59</v>
      </c>
      <c r="H16" s="3">
        <v>200</v>
      </c>
      <c r="I16" s="3">
        <v>13250</v>
      </c>
      <c r="J16" s="3">
        <v>40</v>
      </c>
      <c r="K16" s="3" t="s">
        <v>57</v>
      </c>
      <c r="L16" s="3" t="s">
        <v>58</v>
      </c>
      <c r="M16" s="3">
        <v>13570</v>
      </c>
      <c r="N16" s="3">
        <f>J16*H16</f>
        <v>8000</v>
      </c>
      <c r="O16" s="4">
        <f t="shared" si="1"/>
        <v>43034</v>
      </c>
      <c r="P16" s="16">
        <f>[1]!s_dq_settle(E16,C16)</f>
        <v>0</v>
      </c>
      <c r="Q16" s="11">
        <v>8000</v>
      </c>
      <c r="R16" s="11">
        <f t="shared" si="2"/>
        <v>0</v>
      </c>
    </row>
    <row r="17" spans="2:19" hidden="1" x14ac:dyDescent="0.15">
      <c r="B17" s="3" t="s">
        <v>36</v>
      </c>
      <c r="C17" s="4">
        <v>43017</v>
      </c>
      <c r="D17" s="4">
        <v>43039</v>
      </c>
      <c r="E17" s="3" t="s">
        <v>37</v>
      </c>
      <c r="F17" s="3" t="s">
        <v>38</v>
      </c>
      <c r="G17" s="3" t="s">
        <v>39</v>
      </c>
      <c r="H17" s="3">
        <v>427</v>
      </c>
      <c r="I17" s="3">
        <v>15100</v>
      </c>
      <c r="J17" s="3">
        <v>678.69594847775204</v>
      </c>
      <c r="K17" s="3" t="s">
        <v>40</v>
      </c>
      <c r="L17" s="3" t="s">
        <v>60</v>
      </c>
      <c r="M17" s="3">
        <v>15054.21</v>
      </c>
      <c r="N17" s="3">
        <f>(I17-M17)*H17</f>
        <v>19552.330000000373</v>
      </c>
      <c r="O17" s="4">
        <f t="shared" si="1"/>
        <v>43039</v>
      </c>
      <c r="P17" s="16">
        <f>[1]!s_dq_settle(E17,C17)</f>
        <v>0</v>
      </c>
      <c r="Q17" s="11">
        <v>289803.17</v>
      </c>
      <c r="R17" s="11">
        <f t="shared" si="2"/>
        <v>0</v>
      </c>
    </row>
    <row r="18" spans="2:19" hidden="1" x14ac:dyDescent="0.15">
      <c r="B18" s="3" t="s">
        <v>42</v>
      </c>
      <c r="C18" s="4">
        <v>43017</v>
      </c>
      <c r="D18" s="4">
        <v>43039</v>
      </c>
      <c r="E18" s="3" t="s">
        <v>43</v>
      </c>
      <c r="F18" s="3" t="s">
        <v>38</v>
      </c>
      <c r="G18" s="3" t="s">
        <v>39</v>
      </c>
      <c r="H18" s="3">
        <v>670</v>
      </c>
      <c r="I18" s="3">
        <v>13495</v>
      </c>
      <c r="J18" s="3">
        <v>790.8</v>
      </c>
      <c r="K18" s="3" t="s">
        <v>44</v>
      </c>
      <c r="L18" s="3" t="s">
        <v>61</v>
      </c>
      <c r="M18" s="3">
        <v>13440.88</v>
      </c>
      <c r="N18" s="3">
        <f>(I18-M18)*H18</f>
        <v>36260.400000000533</v>
      </c>
      <c r="O18" s="4">
        <f t="shared" si="1"/>
        <v>43039</v>
      </c>
      <c r="P18" s="16">
        <f>[1]!s_dq_settle(E18,C18)</f>
        <v>0</v>
      </c>
      <c r="Q18" s="11">
        <v>529836</v>
      </c>
      <c r="R18" s="11">
        <f t="shared" si="2"/>
        <v>0</v>
      </c>
    </row>
    <row r="19" spans="2:19" hidden="1" x14ac:dyDescent="0.15">
      <c r="B19" s="3" t="s">
        <v>36</v>
      </c>
      <c r="C19" s="4">
        <v>43024</v>
      </c>
      <c r="D19" s="4">
        <v>43053</v>
      </c>
      <c r="E19" s="3" t="s">
        <v>20</v>
      </c>
      <c r="F19" s="3" t="s">
        <v>38</v>
      </c>
      <c r="G19" s="3" t="s">
        <v>39</v>
      </c>
      <c r="H19" s="3">
        <v>1462.5</v>
      </c>
      <c r="I19" s="3">
        <v>6465</v>
      </c>
      <c r="J19" s="3">
        <v>222.22</v>
      </c>
      <c r="K19" s="3" t="s">
        <v>53</v>
      </c>
      <c r="L19" s="3" t="s">
        <v>62</v>
      </c>
      <c r="M19" s="3">
        <v>6360.27</v>
      </c>
      <c r="N19" s="3">
        <f>(I19-M19)*H19*0.4</f>
        <v>61267.049999999748</v>
      </c>
      <c r="O19" s="4">
        <f t="shared" si="1"/>
        <v>43053</v>
      </c>
      <c r="P19" s="16">
        <f>[1]!s_dq_settle(E19,C19)</f>
        <v>0</v>
      </c>
      <c r="Q19" s="11">
        <f>J19*H19</f>
        <v>324996.75</v>
      </c>
      <c r="R19" s="11">
        <f t="shared" si="2"/>
        <v>0</v>
      </c>
    </row>
    <row r="20" spans="2:19" hidden="1" x14ac:dyDescent="0.15">
      <c r="B20" s="3" t="s">
        <v>63</v>
      </c>
      <c r="C20" s="4">
        <v>43035</v>
      </c>
      <c r="D20" s="4">
        <v>43126</v>
      </c>
      <c r="E20" s="3" t="s">
        <v>64</v>
      </c>
      <c r="F20" s="3" t="s">
        <v>38</v>
      </c>
      <c r="G20" s="3" t="s">
        <v>25</v>
      </c>
      <c r="H20" s="3">
        <v>4000</v>
      </c>
      <c r="I20" s="3">
        <v>3723</v>
      </c>
      <c r="J20" s="3">
        <v>100</v>
      </c>
      <c r="K20" s="3" t="s">
        <v>65</v>
      </c>
      <c r="L20" s="3" t="s">
        <v>66</v>
      </c>
      <c r="O20" s="4"/>
      <c r="P20" s="16">
        <f>[1]!s_dq_settle(E20,C20)</f>
        <v>0</v>
      </c>
      <c r="Q20" s="11">
        <f>J20*H20</f>
        <v>400000</v>
      </c>
      <c r="R20" s="11">
        <f t="shared" si="2"/>
        <v>0</v>
      </c>
    </row>
    <row r="21" spans="2:19" hidden="1" x14ac:dyDescent="0.15">
      <c r="B21" s="3" t="s">
        <v>63</v>
      </c>
      <c r="C21" s="4">
        <v>43035</v>
      </c>
      <c r="D21" s="4">
        <v>43126</v>
      </c>
      <c r="E21" s="3" t="s">
        <v>64</v>
      </c>
      <c r="F21" s="3" t="s">
        <v>21</v>
      </c>
      <c r="G21" s="3" t="s">
        <v>25</v>
      </c>
      <c r="H21" s="3">
        <v>4000</v>
      </c>
      <c r="I21" s="3">
        <v>3350.7</v>
      </c>
      <c r="J21" s="3">
        <v>5</v>
      </c>
      <c r="K21" s="3" t="s">
        <v>65</v>
      </c>
      <c r="L21" s="3" t="s">
        <v>66</v>
      </c>
      <c r="O21" s="4"/>
      <c r="P21" s="16">
        <f>[1]!s_dq_settle(E21,C21)</f>
        <v>0</v>
      </c>
      <c r="Q21" s="11">
        <f>J21*H21</f>
        <v>20000</v>
      </c>
      <c r="R21" s="11">
        <f t="shared" si="2"/>
        <v>0</v>
      </c>
      <c r="S21" s="1"/>
    </row>
    <row r="22" spans="2:19" hidden="1" x14ac:dyDescent="0.15">
      <c r="B22" s="3" t="s">
        <v>67</v>
      </c>
      <c r="C22" s="4">
        <v>43039</v>
      </c>
      <c r="D22" s="4">
        <v>43131</v>
      </c>
      <c r="E22" s="3" t="s">
        <v>68</v>
      </c>
      <c r="F22" s="3" t="s">
        <v>38</v>
      </c>
      <c r="G22" s="3" t="s">
        <v>59</v>
      </c>
      <c r="H22" s="3">
        <v>2000</v>
      </c>
      <c r="I22" s="3">
        <v>3781</v>
      </c>
      <c r="J22" s="3">
        <v>0</v>
      </c>
      <c r="K22" s="3" t="s">
        <v>69</v>
      </c>
      <c r="L22" s="3" t="s">
        <v>70</v>
      </c>
      <c r="M22" s="3">
        <v>3623</v>
      </c>
      <c r="N22" s="3">
        <v>58000</v>
      </c>
      <c r="O22" s="4">
        <f t="shared" si="1"/>
        <v>43131</v>
      </c>
      <c r="P22" s="16">
        <f>[1]!s_dq_settle(E22,C22)</f>
        <v>0</v>
      </c>
      <c r="Q22" s="11">
        <v>0</v>
      </c>
      <c r="R22" s="11">
        <f t="shared" si="2"/>
        <v>0</v>
      </c>
      <c r="S22" s="216" t="s">
        <v>71</v>
      </c>
    </row>
    <row r="23" spans="2:19" hidden="1" x14ac:dyDescent="0.15">
      <c r="B23" s="3" t="s">
        <v>67</v>
      </c>
      <c r="C23" s="4">
        <v>43039</v>
      </c>
      <c r="D23" s="4">
        <v>43131</v>
      </c>
      <c r="E23" s="3" t="s">
        <v>68</v>
      </c>
      <c r="F23" s="3" t="s">
        <v>21</v>
      </c>
      <c r="G23" s="3" t="s">
        <v>59</v>
      </c>
      <c r="H23" s="3">
        <v>2000</v>
      </c>
      <c r="I23" s="3">
        <v>2981</v>
      </c>
      <c r="J23" s="3">
        <v>0</v>
      </c>
      <c r="K23" s="3" t="s">
        <v>69</v>
      </c>
      <c r="L23" s="3" t="s">
        <v>70</v>
      </c>
      <c r="M23" s="3">
        <v>3623</v>
      </c>
      <c r="N23" s="3">
        <v>0</v>
      </c>
      <c r="O23" s="4">
        <f t="shared" si="1"/>
        <v>43131</v>
      </c>
      <c r="P23" s="16">
        <f>[1]!s_dq_settle(E23,C23)</f>
        <v>0</v>
      </c>
      <c r="Q23" s="11">
        <v>0</v>
      </c>
      <c r="R23" s="11">
        <f t="shared" si="2"/>
        <v>0</v>
      </c>
      <c r="S23" s="216"/>
    </row>
    <row r="24" spans="2:19" hidden="1" x14ac:dyDescent="0.15">
      <c r="B24" s="3" t="s">
        <v>42</v>
      </c>
      <c r="C24" s="4">
        <v>43040</v>
      </c>
      <c r="D24" s="4">
        <v>43069</v>
      </c>
      <c r="E24" s="3" t="s">
        <v>43</v>
      </c>
      <c r="F24" s="3" t="s">
        <v>38</v>
      </c>
      <c r="G24" s="3" t="s">
        <v>39</v>
      </c>
      <c r="H24" s="3">
        <v>670</v>
      </c>
      <c r="I24" s="3">
        <v>13260</v>
      </c>
      <c r="J24" s="3">
        <v>790.8</v>
      </c>
      <c r="K24" s="3" t="s">
        <v>44</v>
      </c>
      <c r="L24" s="3" t="s">
        <v>72</v>
      </c>
      <c r="M24" s="3">
        <v>13667.05</v>
      </c>
      <c r="N24" s="3">
        <v>0</v>
      </c>
      <c r="O24" s="4">
        <f t="shared" si="1"/>
        <v>43069</v>
      </c>
      <c r="P24" s="16">
        <f>[1]!s_dq_settle(E24,C24)</f>
        <v>0</v>
      </c>
      <c r="Q24" s="11">
        <f>J24*H24</f>
        <v>529836</v>
      </c>
      <c r="R24" s="11">
        <f t="shared" si="2"/>
        <v>0</v>
      </c>
    </row>
    <row r="25" spans="2:19" hidden="1" x14ac:dyDescent="0.15">
      <c r="B25" s="3" t="s">
        <v>36</v>
      </c>
      <c r="C25" s="4">
        <v>43040</v>
      </c>
      <c r="D25" s="4">
        <v>43069</v>
      </c>
      <c r="E25" s="3" t="s">
        <v>37</v>
      </c>
      <c r="F25" s="3" t="s">
        <v>38</v>
      </c>
      <c r="G25" s="3" t="s">
        <v>39</v>
      </c>
      <c r="H25" s="3">
        <v>427</v>
      </c>
      <c r="I25" s="3">
        <v>14970</v>
      </c>
      <c r="J25" s="3">
        <v>678.69594847775204</v>
      </c>
      <c r="K25" s="3" t="s">
        <v>40</v>
      </c>
      <c r="L25" s="3" t="s">
        <v>73</v>
      </c>
      <c r="M25" s="3">
        <v>15060.91</v>
      </c>
      <c r="N25" s="3">
        <v>0</v>
      </c>
      <c r="O25" s="4">
        <f t="shared" si="1"/>
        <v>43069</v>
      </c>
      <c r="P25" s="16">
        <f>[1]!s_dq_settle(E25,C25)</f>
        <v>0</v>
      </c>
      <c r="Q25" s="11">
        <f>J25*H25</f>
        <v>289803.1700000001</v>
      </c>
      <c r="R25" s="11">
        <f t="shared" si="2"/>
        <v>0</v>
      </c>
    </row>
    <row r="26" spans="2:19" hidden="1" x14ac:dyDescent="0.15">
      <c r="B26" s="3" t="s">
        <v>36</v>
      </c>
      <c r="C26" s="4">
        <v>43053</v>
      </c>
      <c r="D26" s="4">
        <v>43083</v>
      </c>
      <c r="E26" s="3" t="s">
        <v>20</v>
      </c>
      <c r="F26" s="3" t="s">
        <v>38</v>
      </c>
      <c r="G26" s="3" t="s">
        <v>39</v>
      </c>
      <c r="H26" s="3">
        <v>1575</v>
      </c>
      <c r="I26" s="3">
        <v>6694</v>
      </c>
      <c r="J26" s="3">
        <v>222.23</v>
      </c>
      <c r="K26" s="3" t="s">
        <v>53</v>
      </c>
      <c r="L26" s="3" t="s">
        <v>74</v>
      </c>
      <c r="M26" s="3">
        <v>6434.3</v>
      </c>
      <c r="N26" s="3">
        <v>-163611</v>
      </c>
      <c r="O26" s="4">
        <f t="shared" si="1"/>
        <v>43083</v>
      </c>
      <c r="P26" s="16">
        <f>[1]!s_dq_settle(E26,C26)</f>
        <v>0</v>
      </c>
      <c r="Q26" s="11">
        <f t="shared" ref="Q26:Q58" si="3">J26*H26</f>
        <v>350012.25</v>
      </c>
      <c r="R26" s="11">
        <f t="shared" si="2"/>
        <v>0</v>
      </c>
    </row>
    <row r="27" spans="2:19" hidden="1" x14ac:dyDescent="0.15">
      <c r="B27" s="3" t="s">
        <v>75</v>
      </c>
      <c r="C27" s="4">
        <v>43068</v>
      </c>
      <c r="D27" s="4">
        <v>43084</v>
      </c>
      <c r="E27" s="3" t="s">
        <v>76</v>
      </c>
      <c r="F27" s="3" t="s">
        <v>21</v>
      </c>
      <c r="G27" s="3" t="s">
        <v>59</v>
      </c>
      <c r="H27" s="3">
        <v>5000</v>
      </c>
      <c r="I27" s="3">
        <v>3800</v>
      </c>
      <c r="J27" s="3">
        <v>61</v>
      </c>
      <c r="K27" s="3" t="s">
        <v>77</v>
      </c>
      <c r="L27" s="3" t="s">
        <v>78</v>
      </c>
      <c r="M27" s="3">
        <v>4205</v>
      </c>
      <c r="N27" s="3">
        <v>305000</v>
      </c>
      <c r="O27" s="4">
        <f t="shared" si="1"/>
        <v>43084</v>
      </c>
      <c r="P27" s="16">
        <f>[1]!s_dq_settle(E27,C27)</f>
        <v>0</v>
      </c>
      <c r="Q27" s="11">
        <f t="shared" si="3"/>
        <v>305000</v>
      </c>
      <c r="R27" s="11">
        <f t="shared" si="2"/>
        <v>0</v>
      </c>
    </row>
    <row r="28" spans="2:19" hidden="1" x14ac:dyDescent="0.15">
      <c r="B28" s="3" t="s">
        <v>79</v>
      </c>
      <c r="C28" s="4">
        <v>43075</v>
      </c>
      <c r="D28" s="4">
        <v>43089</v>
      </c>
      <c r="E28" s="3" t="s">
        <v>80</v>
      </c>
      <c r="F28" s="3" t="s">
        <v>21</v>
      </c>
      <c r="G28" s="3" t="s">
        <v>22</v>
      </c>
      <c r="H28" s="3">
        <v>5000</v>
      </c>
      <c r="I28" s="3">
        <v>5502</v>
      </c>
      <c r="J28" s="3">
        <v>64.373000000000005</v>
      </c>
      <c r="K28" s="3" t="s">
        <v>81</v>
      </c>
      <c r="L28" s="3" t="s">
        <v>82</v>
      </c>
      <c r="M28" s="3">
        <v>139.97999999999999</v>
      </c>
      <c r="N28" s="3">
        <f>(M28-J28)*H28</f>
        <v>378034.99999999994</v>
      </c>
      <c r="O28" s="4">
        <v>43076</v>
      </c>
      <c r="P28" s="16">
        <f>[1]!s_dq_settle(E28,C28)</f>
        <v>0</v>
      </c>
      <c r="Q28" s="11">
        <f t="shared" si="3"/>
        <v>321865</v>
      </c>
      <c r="R28" s="11">
        <f>P28*H28*2</f>
        <v>0</v>
      </c>
      <c r="S28" s="3" t="s">
        <v>83</v>
      </c>
    </row>
    <row r="29" spans="2:19" hidden="1" x14ac:dyDescent="0.15">
      <c r="B29" s="3" t="s">
        <v>79</v>
      </c>
      <c r="C29" s="4">
        <v>43075</v>
      </c>
      <c r="D29" s="4">
        <v>43089</v>
      </c>
      <c r="E29" s="3" t="s">
        <v>80</v>
      </c>
      <c r="F29" s="3" t="s">
        <v>21</v>
      </c>
      <c r="G29" s="3" t="s">
        <v>25</v>
      </c>
      <c r="H29" s="3">
        <v>5000</v>
      </c>
      <c r="I29" s="3">
        <v>5502</v>
      </c>
      <c r="J29" s="3">
        <v>64.373000000000005</v>
      </c>
      <c r="K29" s="3" t="s">
        <v>81</v>
      </c>
      <c r="L29" s="3" t="s">
        <v>82</v>
      </c>
      <c r="M29" s="3">
        <v>18.2</v>
      </c>
      <c r="N29" s="3">
        <f>(M29-J29)*H29</f>
        <v>-230865</v>
      </c>
      <c r="O29" s="4">
        <v>43076</v>
      </c>
      <c r="P29" s="16">
        <f>[1]!s_dq_settle(E29,C29)</f>
        <v>0</v>
      </c>
      <c r="Q29" s="11">
        <f t="shared" si="3"/>
        <v>321865</v>
      </c>
      <c r="R29" s="11">
        <f>P29*H29*2</f>
        <v>0</v>
      </c>
      <c r="S29" s="3" t="s">
        <v>83</v>
      </c>
    </row>
    <row r="30" spans="2:19" hidden="1" x14ac:dyDescent="0.15">
      <c r="B30" s="3" t="s">
        <v>79</v>
      </c>
      <c r="C30" s="4">
        <v>43075</v>
      </c>
      <c r="D30" s="4">
        <v>43089</v>
      </c>
      <c r="E30" s="3" t="s">
        <v>84</v>
      </c>
      <c r="F30" s="3" t="s">
        <v>21</v>
      </c>
      <c r="G30" s="3" t="s">
        <v>22</v>
      </c>
      <c r="H30" s="3">
        <v>6000</v>
      </c>
      <c r="I30" s="3">
        <v>537</v>
      </c>
      <c r="J30" s="3">
        <v>14.848000000000001</v>
      </c>
      <c r="K30" s="3" t="s">
        <v>81</v>
      </c>
      <c r="L30" s="3" t="s">
        <v>85</v>
      </c>
      <c r="M30" s="3">
        <v>527</v>
      </c>
      <c r="O30" s="4">
        <f>D30</f>
        <v>43089</v>
      </c>
      <c r="P30" s="16">
        <f>[1]!s_dq_settle(E30,C30)</f>
        <v>0</v>
      </c>
      <c r="Q30" s="11">
        <f t="shared" si="3"/>
        <v>89088</v>
      </c>
      <c r="R30" s="11">
        <f t="shared" ref="R30:R38" si="4">P30*H30</f>
        <v>0</v>
      </c>
    </row>
    <row r="31" spans="2:19" hidden="1" x14ac:dyDescent="0.15">
      <c r="B31" s="3" t="s">
        <v>79</v>
      </c>
      <c r="C31" s="4">
        <v>43075</v>
      </c>
      <c r="D31" s="4">
        <v>43089</v>
      </c>
      <c r="E31" s="3" t="s">
        <v>84</v>
      </c>
      <c r="F31" s="3" t="s">
        <v>21</v>
      </c>
      <c r="G31" s="3" t="s">
        <v>25</v>
      </c>
      <c r="H31" s="3">
        <v>6000</v>
      </c>
      <c r="I31" s="3">
        <v>537</v>
      </c>
      <c r="J31" s="3">
        <v>14.848000000000001</v>
      </c>
      <c r="K31" s="3" t="s">
        <v>81</v>
      </c>
      <c r="L31" s="3" t="s">
        <v>86</v>
      </c>
      <c r="M31" s="3">
        <v>527</v>
      </c>
      <c r="O31" s="4">
        <f t="shared" ref="O31:O37" si="5">D31</f>
        <v>43089</v>
      </c>
      <c r="P31" s="16">
        <f>[1]!s_dq_settle(E31,C31)</f>
        <v>0</v>
      </c>
      <c r="Q31" s="11">
        <f t="shared" si="3"/>
        <v>89088</v>
      </c>
      <c r="R31" s="11">
        <f t="shared" si="4"/>
        <v>0</v>
      </c>
    </row>
    <row r="32" spans="2:19" hidden="1" x14ac:dyDescent="0.15">
      <c r="B32" s="3" t="s">
        <v>79</v>
      </c>
      <c r="C32" s="4">
        <v>43076</v>
      </c>
      <c r="D32" s="4">
        <v>43089</v>
      </c>
      <c r="E32" s="3" t="s">
        <v>76</v>
      </c>
      <c r="F32" s="3" t="s">
        <v>21</v>
      </c>
      <c r="G32" s="3" t="s">
        <v>22</v>
      </c>
      <c r="H32" s="3">
        <v>2500</v>
      </c>
      <c r="I32" s="3">
        <v>3895</v>
      </c>
      <c r="J32" s="3">
        <v>78.873699999999999</v>
      </c>
      <c r="K32" s="3" t="s">
        <v>87</v>
      </c>
      <c r="L32" s="3" t="s">
        <v>88</v>
      </c>
      <c r="M32" s="3">
        <v>3800</v>
      </c>
      <c r="O32" s="4">
        <f t="shared" si="5"/>
        <v>43089</v>
      </c>
      <c r="P32" s="16">
        <f>[1]!s_dq_settle(E32,C32)</f>
        <v>0</v>
      </c>
      <c r="Q32" s="11">
        <f t="shared" si="3"/>
        <v>197184.25</v>
      </c>
      <c r="R32" s="11">
        <f t="shared" si="4"/>
        <v>0</v>
      </c>
    </row>
    <row r="33" spans="2:19" hidden="1" x14ac:dyDescent="0.15">
      <c r="B33" s="3" t="s">
        <v>79</v>
      </c>
      <c r="C33" s="4">
        <v>43076</v>
      </c>
      <c r="D33" s="4">
        <v>43089</v>
      </c>
      <c r="E33" s="3" t="s">
        <v>76</v>
      </c>
      <c r="F33" s="3" t="s">
        <v>21</v>
      </c>
      <c r="G33" s="3" t="s">
        <v>25</v>
      </c>
      <c r="H33" s="3">
        <v>2500</v>
      </c>
      <c r="I33" s="3">
        <v>3895</v>
      </c>
      <c r="J33" s="3">
        <v>78.873699999999999</v>
      </c>
      <c r="K33" s="3" t="s">
        <v>89</v>
      </c>
      <c r="L33" s="3" t="s">
        <v>90</v>
      </c>
      <c r="M33" s="3">
        <v>3800</v>
      </c>
      <c r="O33" s="4">
        <f t="shared" si="5"/>
        <v>43089</v>
      </c>
      <c r="P33" s="16">
        <f>[1]!s_dq_settle(E33,C33)</f>
        <v>0</v>
      </c>
      <c r="Q33" s="11">
        <f t="shared" si="3"/>
        <v>197184.25</v>
      </c>
      <c r="R33" s="11">
        <f t="shared" si="4"/>
        <v>0</v>
      </c>
    </row>
    <row r="34" spans="2:19" hidden="1" x14ac:dyDescent="0.15">
      <c r="B34" s="3" t="s">
        <v>91</v>
      </c>
      <c r="C34" s="4">
        <v>43076</v>
      </c>
      <c r="D34" s="4">
        <v>43090</v>
      </c>
      <c r="E34" s="3" t="s">
        <v>84</v>
      </c>
      <c r="F34" s="3" t="s">
        <v>21</v>
      </c>
      <c r="G34" s="3" t="s">
        <v>22</v>
      </c>
      <c r="H34" s="3">
        <v>50000</v>
      </c>
      <c r="I34" s="3">
        <v>516.5</v>
      </c>
      <c r="J34" s="3">
        <v>14.39</v>
      </c>
      <c r="K34" s="3" t="s">
        <v>92</v>
      </c>
      <c r="L34" s="3" t="s">
        <v>93</v>
      </c>
      <c r="M34" s="3">
        <v>9.07</v>
      </c>
      <c r="N34" s="3">
        <f>(M34-J34)*H34</f>
        <v>-266000</v>
      </c>
      <c r="O34" s="4">
        <v>43077</v>
      </c>
      <c r="P34" s="16">
        <f>[1]!s_dq_settle(E34,C34)</f>
        <v>0</v>
      </c>
      <c r="Q34" s="11">
        <f t="shared" si="3"/>
        <v>719500</v>
      </c>
      <c r="R34" s="11">
        <f>P34*H34*2</f>
        <v>0</v>
      </c>
      <c r="S34" s="3" t="s">
        <v>83</v>
      </c>
    </row>
    <row r="35" spans="2:19" hidden="1" x14ac:dyDescent="0.15">
      <c r="B35" s="3" t="s">
        <v>91</v>
      </c>
      <c r="C35" s="4">
        <v>43076</v>
      </c>
      <c r="D35" s="4">
        <v>43090</v>
      </c>
      <c r="E35" s="3" t="s">
        <v>84</v>
      </c>
      <c r="F35" s="3" t="s">
        <v>21</v>
      </c>
      <c r="G35" s="3" t="s">
        <v>25</v>
      </c>
      <c r="H35" s="3">
        <v>50000</v>
      </c>
      <c r="I35" s="3">
        <v>516.5</v>
      </c>
      <c r="J35" s="3">
        <v>14.39</v>
      </c>
      <c r="K35" s="3" t="s">
        <v>92</v>
      </c>
      <c r="L35" s="3" t="s">
        <v>94</v>
      </c>
      <c r="N35" s="3">
        <f>(M35-J35)*H35</f>
        <v>-719500</v>
      </c>
      <c r="O35" s="4">
        <f t="shared" si="5"/>
        <v>43090</v>
      </c>
      <c r="P35" s="16">
        <f>[1]!s_dq_settle(E35,C35)</f>
        <v>0</v>
      </c>
      <c r="Q35" s="11">
        <f t="shared" si="3"/>
        <v>719500</v>
      </c>
      <c r="R35" s="11">
        <f t="shared" si="4"/>
        <v>0</v>
      </c>
    </row>
    <row r="36" spans="2:19" hidden="1" x14ac:dyDescent="0.15">
      <c r="B36" s="3" t="s">
        <v>91</v>
      </c>
      <c r="C36" s="4">
        <v>43076</v>
      </c>
      <c r="D36" s="4">
        <v>43090</v>
      </c>
      <c r="E36" s="3" t="s">
        <v>84</v>
      </c>
      <c r="F36" s="3" t="s">
        <v>21</v>
      </c>
      <c r="G36" s="3" t="s">
        <v>22</v>
      </c>
      <c r="H36" s="3">
        <v>25000</v>
      </c>
      <c r="I36" s="3">
        <v>494.5</v>
      </c>
      <c r="J36" s="3">
        <v>13.91</v>
      </c>
      <c r="K36" s="3" t="s">
        <v>95</v>
      </c>
      <c r="L36" s="3" t="s">
        <v>96</v>
      </c>
      <c r="M36" s="3">
        <v>19.649999999999999</v>
      </c>
      <c r="N36" s="3">
        <f>(M36-J36)*H36</f>
        <v>143499.99999999997</v>
      </c>
      <c r="O36" s="4">
        <v>43077</v>
      </c>
      <c r="P36" s="16">
        <f>[1]!s_dq_settle(E36,C36)</f>
        <v>0</v>
      </c>
      <c r="Q36" s="11">
        <f t="shared" si="3"/>
        <v>347750</v>
      </c>
      <c r="R36" s="11">
        <f>P36*H36*2</f>
        <v>0</v>
      </c>
      <c r="S36" s="3" t="s">
        <v>83</v>
      </c>
    </row>
    <row r="37" spans="2:19" hidden="1" x14ac:dyDescent="0.15">
      <c r="B37" s="3" t="s">
        <v>91</v>
      </c>
      <c r="C37" s="4">
        <v>43076</v>
      </c>
      <c r="D37" s="4">
        <v>43090</v>
      </c>
      <c r="E37" s="3" t="s">
        <v>84</v>
      </c>
      <c r="F37" s="3" t="s">
        <v>21</v>
      </c>
      <c r="G37" s="3" t="s">
        <v>25</v>
      </c>
      <c r="H37" s="3">
        <v>25000</v>
      </c>
      <c r="I37" s="3">
        <v>494.5</v>
      </c>
      <c r="J37" s="3">
        <v>13.91</v>
      </c>
      <c r="K37" s="3" t="s">
        <v>95</v>
      </c>
      <c r="L37" s="3" t="s">
        <v>97</v>
      </c>
      <c r="N37" s="3">
        <f>(M37-J37)*H37</f>
        <v>-347750</v>
      </c>
      <c r="O37" s="4">
        <f t="shared" si="5"/>
        <v>43090</v>
      </c>
      <c r="P37" s="16">
        <f>[1]!s_dq_settle(E37,C37)</f>
        <v>0</v>
      </c>
      <c r="Q37" s="11">
        <f t="shared" si="3"/>
        <v>347750</v>
      </c>
      <c r="R37" s="11">
        <f t="shared" si="4"/>
        <v>0</v>
      </c>
    </row>
    <row r="38" spans="2:19" hidden="1" x14ac:dyDescent="0.15">
      <c r="B38" s="3" t="s">
        <v>75</v>
      </c>
      <c r="C38" s="4">
        <v>43077</v>
      </c>
      <c r="D38" s="4">
        <v>43189</v>
      </c>
      <c r="E38" s="3" t="s">
        <v>98</v>
      </c>
      <c r="F38" s="3" t="s">
        <v>21</v>
      </c>
      <c r="G38" s="3" t="s">
        <v>25</v>
      </c>
      <c r="H38" s="3">
        <v>30000</v>
      </c>
      <c r="I38" s="3">
        <v>1200</v>
      </c>
      <c r="J38" s="3">
        <v>77.8</v>
      </c>
      <c r="K38" s="3" t="s">
        <v>99</v>
      </c>
      <c r="P38" s="16">
        <f>[1]!s_dq_settle(E38,C38)</f>
        <v>0</v>
      </c>
      <c r="Q38" s="11">
        <f t="shared" si="3"/>
        <v>2334000</v>
      </c>
      <c r="R38" s="11">
        <f t="shared" si="4"/>
        <v>0</v>
      </c>
    </row>
    <row r="39" spans="2:19" hidden="1" x14ac:dyDescent="0.15">
      <c r="B39" s="3" t="s">
        <v>100</v>
      </c>
      <c r="C39" s="4">
        <v>43080</v>
      </c>
      <c r="D39" s="4">
        <v>43095</v>
      </c>
      <c r="E39" s="3" t="s">
        <v>76</v>
      </c>
      <c r="F39" s="3" t="s">
        <v>101</v>
      </c>
      <c r="G39" s="3" t="s">
        <v>22</v>
      </c>
      <c r="H39" s="3">
        <v>10000</v>
      </c>
      <c r="I39" s="3" t="s">
        <v>102</v>
      </c>
      <c r="J39" s="3">
        <v>0.1</v>
      </c>
      <c r="K39" s="3" t="s">
        <v>103</v>
      </c>
      <c r="L39" s="3" t="s">
        <v>104</v>
      </c>
      <c r="M39" s="3" t="s">
        <v>105</v>
      </c>
      <c r="N39" s="3">
        <v>200</v>
      </c>
      <c r="O39" s="4">
        <v>43082</v>
      </c>
      <c r="P39" s="16">
        <f>[1]!s_dq_settle(E39,C39)</f>
        <v>0</v>
      </c>
      <c r="Q39" s="11">
        <f t="shared" si="3"/>
        <v>1000</v>
      </c>
      <c r="R39" s="11">
        <f>2*H39*3900*4</f>
        <v>312000000</v>
      </c>
      <c r="S39" s="3" t="s">
        <v>83</v>
      </c>
    </row>
    <row r="40" spans="2:19" hidden="1" x14ac:dyDescent="0.15">
      <c r="B40" s="3" t="s">
        <v>100</v>
      </c>
      <c r="C40" s="4">
        <v>43084</v>
      </c>
      <c r="D40" s="4">
        <v>43098</v>
      </c>
      <c r="E40" s="3" t="s">
        <v>76</v>
      </c>
      <c r="F40" s="3" t="s">
        <v>101</v>
      </c>
      <c r="G40" s="3" t="s">
        <v>22</v>
      </c>
      <c r="H40" s="3">
        <v>10000</v>
      </c>
      <c r="I40" s="3" t="s">
        <v>102</v>
      </c>
      <c r="J40" s="3">
        <v>0.03</v>
      </c>
      <c r="K40" s="3" t="s">
        <v>106</v>
      </c>
      <c r="L40" s="3" t="s">
        <v>107</v>
      </c>
      <c r="M40" s="3" t="s">
        <v>108</v>
      </c>
      <c r="N40" s="3">
        <v>8</v>
      </c>
      <c r="O40" s="4">
        <v>43090</v>
      </c>
      <c r="P40" s="16">
        <f>[1]!s_dq_settle(E40,C40)</f>
        <v>0</v>
      </c>
      <c r="Q40" s="11">
        <f t="shared" si="3"/>
        <v>300</v>
      </c>
      <c r="R40" s="11">
        <f>H40*3804*4*2</f>
        <v>304320000</v>
      </c>
      <c r="S40" s="3" t="s">
        <v>83</v>
      </c>
    </row>
    <row r="41" spans="2:19" hidden="1" x14ac:dyDescent="0.15">
      <c r="B41" s="3" t="s">
        <v>100</v>
      </c>
      <c r="C41" s="4">
        <v>43089</v>
      </c>
      <c r="D41" s="4">
        <v>43105</v>
      </c>
      <c r="E41" s="3" t="s">
        <v>76</v>
      </c>
      <c r="F41" s="3" t="s">
        <v>101</v>
      </c>
      <c r="G41" s="3" t="s">
        <v>22</v>
      </c>
      <c r="H41" s="3">
        <v>15000</v>
      </c>
      <c r="I41" s="3" t="s">
        <v>102</v>
      </c>
      <c r="J41" s="3">
        <v>2.1999999999999999E-2</v>
      </c>
      <c r="K41" s="3" t="s">
        <v>109</v>
      </c>
      <c r="L41" s="3" t="s">
        <v>110</v>
      </c>
      <c r="M41" s="3">
        <v>3811</v>
      </c>
      <c r="N41" s="3">
        <v>300</v>
      </c>
      <c r="O41" s="4">
        <v>43098</v>
      </c>
      <c r="P41" s="16">
        <f>[1]!s_dq_settle(E41,C41)</f>
        <v>0</v>
      </c>
      <c r="Q41" s="11">
        <f t="shared" si="3"/>
        <v>330</v>
      </c>
      <c r="R41" s="11">
        <f>H41*M41*4*2</f>
        <v>457320000</v>
      </c>
      <c r="S41" s="3" t="s">
        <v>83</v>
      </c>
    </row>
    <row r="42" spans="2:19" hidden="1" x14ac:dyDescent="0.15">
      <c r="B42" s="3" t="s">
        <v>79</v>
      </c>
      <c r="C42" s="4">
        <v>43119</v>
      </c>
      <c r="D42" s="4">
        <v>43154</v>
      </c>
      <c r="E42" s="3" t="s">
        <v>76</v>
      </c>
      <c r="F42" s="3" t="s">
        <v>21</v>
      </c>
      <c r="G42" s="3" t="s">
        <v>22</v>
      </c>
      <c r="H42" s="3">
        <v>5000</v>
      </c>
      <c r="J42" s="3">
        <v>66.3</v>
      </c>
      <c r="M42" s="3">
        <v>3933</v>
      </c>
      <c r="O42" s="4">
        <f>D42</f>
        <v>43154</v>
      </c>
      <c r="P42" s="16">
        <f>[1]!s_dq_settle(E42,C42)</f>
        <v>0</v>
      </c>
      <c r="Q42" s="11">
        <f t="shared" si="3"/>
        <v>331500</v>
      </c>
      <c r="R42" s="11">
        <f>H42*M42</f>
        <v>19665000</v>
      </c>
    </row>
    <row r="43" spans="2:19" hidden="1" x14ac:dyDescent="0.15">
      <c r="B43" s="3" t="s">
        <v>111</v>
      </c>
      <c r="C43" s="4">
        <v>43167</v>
      </c>
      <c r="D43" s="4">
        <v>43194</v>
      </c>
      <c r="E43" s="3" t="s">
        <v>80</v>
      </c>
      <c r="F43" s="3" t="s">
        <v>21</v>
      </c>
      <c r="G43" s="3" t="s">
        <v>25</v>
      </c>
      <c r="H43" s="3">
        <v>5000</v>
      </c>
      <c r="I43" s="3">
        <v>5654</v>
      </c>
      <c r="J43" s="3">
        <v>72.37</v>
      </c>
      <c r="K43" s="3" t="s">
        <v>112</v>
      </c>
      <c r="O43" s="4">
        <f>D43</f>
        <v>43194</v>
      </c>
      <c r="P43" s="16">
        <f>[1]!s_dq_settle(E43,C43)</f>
        <v>0</v>
      </c>
      <c r="Q43" s="11">
        <f t="shared" si="3"/>
        <v>361850</v>
      </c>
      <c r="R43" s="11">
        <f>H43*I43</f>
        <v>28270000</v>
      </c>
      <c r="S43" s="3">
        <f>R43</f>
        <v>28270000</v>
      </c>
    </row>
    <row r="44" spans="2:19" hidden="1" x14ac:dyDescent="0.15">
      <c r="B44" s="3" t="s">
        <v>113</v>
      </c>
      <c r="C44" s="4">
        <v>43167</v>
      </c>
      <c r="D44" s="4">
        <v>43198</v>
      </c>
      <c r="E44" s="3" t="s">
        <v>114</v>
      </c>
      <c r="F44" s="3" t="s">
        <v>38</v>
      </c>
      <c r="G44" s="3" t="s">
        <v>22</v>
      </c>
      <c r="H44" s="3">
        <v>500</v>
      </c>
      <c r="I44" s="3">
        <v>51420</v>
      </c>
      <c r="J44" s="3">
        <v>1040</v>
      </c>
      <c r="K44" s="3" t="s">
        <v>115</v>
      </c>
      <c r="L44" s="3" t="s">
        <v>116</v>
      </c>
      <c r="O44" s="4">
        <f>D44</f>
        <v>43198</v>
      </c>
      <c r="P44" s="16">
        <f>[1]!s_dq_settle(E44,C44)</f>
        <v>0</v>
      </c>
      <c r="Q44" s="11">
        <f t="shared" si="3"/>
        <v>520000</v>
      </c>
      <c r="R44" s="11">
        <f>H44*I44</f>
        <v>25710000</v>
      </c>
    </row>
    <row r="45" spans="2:19" hidden="1" x14ac:dyDescent="0.15">
      <c r="B45" s="3" t="s">
        <v>19</v>
      </c>
      <c r="C45" s="4">
        <v>43168</v>
      </c>
      <c r="D45" s="4">
        <v>43210</v>
      </c>
      <c r="E45" s="3" t="s">
        <v>117</v>
      </c>
      <c r="F45" s="3" t="s">
        <v>21</v>
      </c>
      <c r="G45" s="3" t="s">
        <v>25</v>
      </c>
      <c r="H45" s="3">
        <v>500</v>
      </c>
      <c r="I45" s="3">
        <v>-50</v>
      </c>
      <c r="J45" s="3">
        <v>14.44</v>
      </c>
      <c r="K45" s="3" t="s">
        <v>118</v>
      </c>
      <c r="L45" s="3" t="s">
        <v>119</v>
      </c>
      <c r="O45" s="4">
        <f t="shared" ref="O45:O50" si="6">D45</f>
        <v>43210</v>
      </c>
      <c r="P45" s="16">
        <f>[1]!s_dq_settle("sr805.czc",C45)</f>
        <v>0</v>
      </c>
      <c r="Q45" s="11">
        <f t="shared" si="3"/>
        <v>7220</v>
      </c>
      <c r="R45" s="11">
        <f>H45*P45*2</f>
        <v>0</v>
      </c>
      <c r="S45" s="3">
        <f>R45</f>
        <v>0</v>
      </c>
    </row>
    <row r="46" spans="2:19" hidden="1" x14ac:dyDescent="0.15">
      <c r="B46" s="3" t="s">
        <v>19</v>
      </c>
      <c r="C46" s="4">
        <v>43168</v>
      </c>
      <c r="D46" s="4">
        <v>43210</v>
      </c>
      <c r="E46" s="3" t="s">
        <v>117</v>
      </c>
      <c r="F46" s="3" t="s">
        <v>21</v>
      </c>
      <c r="G46" s="3" t="s">
        <v>25</v>
      </c>
      <c r="H46" s="3">
        <v>500</v>
      </c>
      <c r="I46" s="3">
        <v>-60</v>
      </c>
      <c r="J46" s="3">
        <v>12.2</v>
      </c>
      <c r="K46" s="3" t="s">
        <v>120</v>
      </c>
      <c r="L46" s="3" t="s">
        <v>121</v>
      </c>
      <c r="O46" s="4">
        <f t="shared" si="6"/>
        <v>43210</v>
      </c>
      <c r="P46" s="16">
        <f>[1]!s_dq_settle("sr805.czc",C46)</f>
        <v>0</v>
      </c>
      <c r="Q46" s="11">
        <f t="shared" si="3"/>
        <v>6100</v>
      </c>
      <c r="R46" s="11">
        <f>H46*P46*2</f>
        <v>0</v>
      </c>
      <c r="S46" s="3">
        <f>R46</f>
        <v>0</v>
      </c>
    </row>
    <row r="47" spans="2:19" hidden="1" x14ac:dyDescent="0.15">
      <c r="B47" s="3" t="s">
        <v>19</v>
      </c>
      <c r="C47" s="4">
        <v>43168</v>
      </c>
      <c r="D47" s="4">
        <v>43210</v>
      </c>
      <c r="E47" s="3" t="s">
        <v>117</v>
      </c>
      <c r="F47" s="3" t="s">
        <v>21</v>
      </c>
      <c r="G47" s="3" t="s">
        <v>25</v>
      </c>
      <c r="H47" s="3">
        <v>500</v>
      </c>
      <c r="I47" s="3">
        <v>-70</v>
      </c>
      <c r="J47" s="3">
        <v>9.1999999999999993</v>
      </c>
      <c r="K47" s="3" t="s">
        <v>122</v>
      </c>
      <c r="L47" s="3" t="s">
        <v>123</v>
      </c>
      <c r="O47" s="4">
        <f t="shared" si="6"/>
        <v>43210</v>
      </c>
      <c r="P47" s="16">
        <f>[1]!s_dq_settle("sr805.czc",C47)</f>
        <v>0</v>
      </c>
      <c r="Q47" s="11">
        <f t="shared" si="3"/>
        <v>4600</v>
      </c>
      <c r="R47" s="11">
        <f>H47*P47*2</f>
        <v>0</v>
      </c>
      <c r="S47" s="3">
        <f>R47</f>
        <v>0</v>
      </c>
    </row>
    <row r="48" spans="2:19" hidden="1" x14ac:dyDescent="0.15">
      <c r="B48" s="3" t="s">
        <v>19</v>
      </c>
      <c r="C48" s="4">
        <v>43207</v>
      </c>
      <c r="D48" s="4">
        <v>43220</v>
      </c>
      <c r="E48" s="3" t="s">
        <v>117</v>
      </c>
      <c r="F48" s="3" t="s">
        <v>21</v>
      </c>
      <c r="G48" s="3" t="s">
        <v>25</v>
      </c>
      <c r="H48" s="3">
        <v>300</v>
      </c>
      <c r="I48" s="3">
        <v>-80</v>
      </c>
      <c r="J48" s="3">
        <v>12</v>
      </c>
      <c r="K48" s="3" t="s">
        <v>124</v>
      </c>
      <c r="L48" s="3" t="s">
        <v>125</v>
      </c>
      <c r="O48" s="4">
        <f t="shared" si="6"/>
        <v>43220</v>
      </c>
      <c r="P48" s="16">
        <f>[1]!s_dq_settle("sr805.czc",C48)</f>
        <v>0</v>
      </c>
      <c r="Q48" s="11">
        <f t="shared" si="3"/>
        <v>3600</v>
      </c>
      <c r="R48" s="11">
        <f>H48*P48*2</f>
        <v>0</v>
      </c>
      <c r="S48" s="3">
        <f>R48</f>
        <v>0</v>
      </c>
    </row>
    <row r="49" spans="2:20" hidden="1" x14ac:dyDescent="0.15">
      <c r="B49" s="3" t="s">
        <v>19</v>
      </c>
      <c r="C49" s="4">
        <v>43207</v>
      </c>
      <c r="D49" s="4">
        <v>43220</v>
      </c>
      <c r="E49" s="3" t="s">
        <v>117</v>
      </c>
      <c r="F49" s="3" t="s">
        <v>21</v>
      </c>
      <c r="G49" s="3" t="s">
        <v>25</v>
      </c>
      <c r="H49" s="3">
        <v>300</v>
      </c>
      <c r="I49" s="3">
        <v>-90</v>
      </c>
      <c r="J49" s="3">
        <v>12</v>
      </c>
      <c r="K49" s="3" t="s">
        <v>124</v>
      </c>
      <c r="L49" s="3" t="s">
        <v>125</v>
      </c>
      <c r="O49" s="4">
        <f t="shared" si="6"/>
        <v>43220</v>
      </c>
      <c r="P49" s="16">
        <f>[1]!s_dq_settle("sr805.czc",C49)</f>
        <v>0</v>
      </c>
      <c r="Q49" s="11">
        <f t="shared" si="3"/>
        <v>3600</v>
      </c>
      <c r="R49" s="11">
        <f>H49*P49*2</f>
        <v>0</v>
      </c>
      <c r="S49" s="3">
        <f>R49</f>
        <v>0</v>
      </c>
    </row>
    <row r="50" spans="2:20" hidden="1" x14ac:dyDescent="0.15">
      <c r="B50" s="3" t="s">
        <v>42</v>
      </c>
      <c r="C50" s="4">
        <v>43241</v>
      </c>
      <c r="D50" s="4">
        <v>43302</v>
      </c>
      <c r="E50" s="3" t="s">
        <v>126</v>
      </c>
      <c r="F50" s="3" t="s">
        <v>38</v>
      </c>
      <c r="G50" s="3" t="s">
        <v>127</v>
      </c>
      <c r="H50" s="3">
        <v>5000</v>
      </c>
      <c r="I50" s="3">
        <v>12015</v>
      </c>
      <c r="J50" s="3">
        <v>391.3</v>
      </c>
      <c r="K50" s="3" t="s">
        <v>128</v>
      </c>
      <c r="O50" s="4">
        <f t="shared" si="6"/>
        <v>43302</v>
      </c>
      <c r="P50" s="16">
        <v>12015</v>
      </c>
      <c r="Q50" s="11">
        <f t="shared" si="3"/>
        <v>1956500</v>
      </c>
      <c r="R50" s="11">
        <f>H50*P50</f>
        <v>60075000</v>
      </c>
      <c r="S50" s="3" t="s">
        <v>129</v>
      </c>
    </row>
    <row r="51" spans="2:20" hidden="1" x14ac:dyDescent="0.15">
      <c r="B51" s="3" t="s">
        <v>46</v>
      </c>
      <c r="C51" s="4">
        <v>43297</v>
      </c>
      <c r="D51" s="4">
        <v>43357</v>
      </c>
      <c r="E51" s="3" t="s">
        <v>130</v>
      </c>
      <c r="F51" s="3" t="s">
        <v>38</v>
      </c>
      <c r="G51" s="3" t="s">
        <v>131</v>
      </c>
      <c r="H51" s="3">
        <v>30000</v>
      </c>
      <c r="I51" s="3">
        <v>1847</v>
      </c>
      <c r="J51" s="3">
        <v>28.3</v>
      </c>
      <c r="K51" s="3" t="s">
        <v>132</v>
      </c>
      <c r="O51" s="4"/>
      <c r="P51" s="10">
        <v>1847</v>
      </c>
      <c r="Q51" s="11">
        <f t="shared" si="3"/>
        <v>849000</v>
      </c>
      <c r="R51" s="11">
        <f>H51*P51</f>
        <v>55410000</v>
      </c>
      <c r="S51" s="3" t="s">
        <v>129</v>
      </c>
    </row>
    <row r="52" spans="2:20" hidden="1" x14ac:dyDescent="0.15">
      <c r="B52" s="3" t="s">
        <v>46</v>
      </c>
      <c r="C52" s="4">
        <v>43325</v>
      </c>
      <c r="D52" s="4">
        <v>43446</v>
      </c>
      <c r="E52" s="3" t="s">
        <v>133</v>
      </c>
      <c r="F52" s="3" t="s">
        <v>38</v>
      </c>
      <c r="G52" s="3" t="s">
        <v>131</v>
      </c>
      <c r="H52" s="3">
        <v>15000</v>
      </c>
      <c r="I52" s="3">
        <v>3813</v>
      </c>
      <c r="J52" s="3">
        <v>101.33</v>
      </c>
      <c r="K52" s="3" t="s">
        <v>134</v>
      </c>
      <c r="O52" s="4">
        <v>43357</v>
      </c>
      <c r="P52" s="10">
        <f>I52</f>
        <v>3813</v>
      </c>
      <c r="Q52" s="11">
        <f t="shared" si="3"/>
        <v>1519950</v>
      </c>
      <c r="R52" s="11">
        <f>H52*P52</f>
        <v>57195000</v>
      </c>
    </row>
    <row r="53" spans="2:20" hidden="1" x14ac:dyDescent="0.15">
      <c r="B53" s="3" t="s">
        <v>46</v>
      </c>
      <c r="C53" s="4">
        <v>43346</v>
      </c>
      <c r="D53" s="4">
        <v>43406</v>
      </c>
      <c r="E53" s="3" t="s">
        <v>130</v>
      </c>
      <c r="F53" s="3" t="s">
        <v>38</v>
      </c>
      <c r="G53" s="3" t="s">
        <v>131</v>
      </c>
      <c r="H53" s="3">
        <v>30000</v>
      </c>
      <c r="I53" s="3">
        <v>1902.5</v>
      </c>
      <c r="J53" s="3">
        <v>28.3</v>
      </c>
      <c r="K53" s="3" t="s">
        <v>135</v>
      </c>
      <c r="L53" s="3" t="s">
        <v>136</v>
      </c>
      <c r="O53" s="4">
        <v>43406</v>
      </c>
      <c r="P53" s="10">
        <f>I53</f>
        <v>1902.5</v>
      </c>
      <c r="Q53" s="11">
        <f t="shared" si="3"/>
        <v>849000</v>
      </c>
      <c r="R53" s="11">
        <f>H53*P53</f>
        <v>57075000</v>
      </c>
      <c r="T53" s="1" t="s">
        <v>137</v>
      </c>
    </row>
    <row r="54" spans="2:20" hidden="1" x14ac:dyDescent="0.15">
      <c r="B54" s="3" t="s">
        <v>46</v>
      </c>
      <c r="C54" s="4">
        <v>43294</v>
      </c>
      <c r="D54" s="4">
        <v>43416</v>
      </c>
      <c r="E54" s="3" t="s">
        <v>130</v>
      </c>
      <c r="F54" s="3" t="s">
        <v>38</v>
      </c>
      <c r="G54" s="3" t="s">
        <v>131</v>
      </c>
      <c r="H54" s="3">
        <v>20374</v>
      </c>
      <c r="I54" s="3">
        <v>1842.5</v>
      </c>
      <c r="J54" s="3">
        <v>59.83</v>
      </c>
      <c r="K54" s="3" t="s">
        <v>138</v>
      </c>
      <c r="L54" s="3" t="s">
        <v>139</v>
      </c>
      <c r="O54" s="4">
        <v>43416</v>
      </c>
      <c r="P54" s="10">
        <f>I54</f>
        <v>1842.5</v>
      </c>
      <c r="Q54" s="11">
        <f t="shared" si="3"/>
        <v>1218976.42</v>
      </c>
      <c r="R54" s="11">
        <f>H54*P54</f>
        <v>37539095</v>
      </c>
      <c r="T54" s="1" t="s">
        <v>140</v>
      </c>
    </row>
    <row r="55" spans="2:20" hidden="1" x14ac:dyDescent="0.15">
      <c r="B55" s="3" t="s">
        <v>42</v>
      </c>
      <c r="C55" s="4">
        <v>43342</v>
      </c>
      <c r="D55" s="4">
        <v>43370</v>
      </c>
      <c r="E55" s="3" t="s">
        <v>141</v>
      </c>
      <c r="F55" s="3" t="s">
        <v>38</v>
      </c>
      <c r="G55" s="3" t="s">
        <v>142</v>
      </c>
      <c r="H55" s="3">
        <v>1500</v>
      </c>
      <c r="I55" s="3">
        <v>3832</v>
      </c>
      <c r="J55" s="3">
        <v>164</v>
      </c>
      <c r="K55" s="3" t="s">
        <v>143</v>
      </c>
      <c r="L55" s="3" t="s">
        <v>144</v>
      </c>
      <c r="O55" s="4">
        <v>43357</v>
      </c>
      <c r="P55" s="10">
        <f>I55</f>
        <v>3832</v>
      </c>
      <c r="Q55" s="11">
        <f t="shared" si="3"/>
        <v>246000</v>
      </c>
      <c r="R55" s="11">
        <f>H55*P55*2</f>
        <v>11496000</v>
      </c>
    </row>
    <row r="56" spans="2:20" hidden="1" x14ac:dyDescent="0.15">
      <c r="B56" s="3" t="s">
        <v>42</v>
      </c>
      <c r="C56" s="4">
        <v>43371</v>
      </c>
      <c r="D56" s="4">
        <v>43399</v>
      </c>
      <c r="E56" s="3" t="s">
        <v>141</v>
      </c>
      <c r="F56" s="3" t="s">
        <v>38</v>
      </c>
      <c r="G56" s="3" t="s">
        <v>142</v>
      </c>
      <c r="H56" s="3">
        <v>1500</v>
      </c>
      <c r="I56" s="3">
        <v>3931</v>
      </c>
      <c r="J56" s="3">
        <v>164</v>
      </c>
      <c r="K56" s="3" t="s">
        <v>143</v>
      </c>
      <c r="L56" s="3" t="s">
        <v>145</v>
      </c>
      <c r="O56" s="4"/>
      <c r="P56" s="10">
        <f t="shared" ref="P56:P62" si="7">I56</f>
        <v>3931</v>
      </c>
      <c r="Q56" s="11">
        <f t="shared" si="3"/>
        <v>246000</v>
      </c>
      <c r="R56" s="11">
        <f>H56*P56*2</f>
        <v>11793000</v>
      </c>
    </row>
    <row r="57" spans="2:20" s="8" customFormat="1" hidden="1" x14ac:dyDescent="0.15">
      <c r="B57" s="12" t="s">
        <v>42</v>
      </c>
      <c r="C57" s="13">
        <v>43402</v>
      </c>
      <c r="D57" s="13">
        <v>43432</v>
      </c>
      <c r="E57" s="12" t="s">
        <v>141</v>
      </c>
      <c r="F57" s="12" t="s">
        <v>38</v>
      </c>
      <c r="G57" s="12" t="s">
        <v>142</v>
      </c>
      <c r="H57" s="12">
        <v>1500</v>
      </c>
      <c r="I57" s="12">
        <v>4342</v>
      </c>
      <c r="J57" s="12">
        <v>164</v>
      </c>
      <c r="K57" s="12" t="s">
        <v>143</v>
      </c>
      <c r="L57" s="12"/>
      <c r="M57" s="12"/>
      <c r="N57" s="12"/>
      <c r="O57" s="13"/>
      <c r="P57" s="17">
        <f t="shared" si="7"/>
        <v>4342</v>
      </c>
      <c r="Q57" s="18">
        <f t="shared" si="3"/>
        <v>246000</v>
      </c>
      <c r="R57" s="18">
        <f>H57*P57*2</f>
        <v>13026000</v>
      </c>
      <c r="S57" s="12"/>
      <c r="T57" s="8" t="s">
        <v>140</v>
      </c>
    </row>
    <row r="58" spans="2:20" s="9" customFormat="1" hidden="1" x14ac:dyDescent="0.15">
      <c r="B58" s="14" t="s">
        <v>42</v>
      </c>
      <c r="C58" s="15">
        <v>43433</v>
      </c>
      <c r="D58" s="15">
        <v>43462</v>
      </c>
      <c r="E58" s="14" t="s">
        <v>146</v>
      </c>
      <c r="F58" s="14" t="s">
        <v>38</v>
      </c>
      <c r="G58" s="14" t="s">
        <v>142</v>
      </c>
      <c r="H58" s="14">
        <v>1500</v>
      </c>
      <c r="I58" s="14">
        <v>4116</v>
      </c>
      <c r="J58" s="14">
        <v>164</v>
      </c>
      <c r="K58" s="14" t="s">
        <v>143</v>
      </c>
      <c r="L58" s="14"/>
      <c r="M58" s="14"/>
      <c r="N58" s="14"/>
      <c r="O58" s="15"/>
      <c r="P58" s="19">
        <v>3537</v>
      </c>
      <c r="Q58" s="20">
        <f t="shared" si="3"/>
        <v>246000</v>
      </c>
      <c r="R58" s="20">
        <f>H58*P58*2</f>
        <v>10611000</v>
      </c>
      <c r="S58" s="14"/>
    </row>
    <row r="59" spans="2:20" s="9" customFormat="1" hidden="1" x14ac:dyDescent="0.15">
      <c r="B59" s="14" t="s">
        <v>147</v>
      </c>
      <c r="C59" s="15">
        <v>43242</v>
      </c>
      <c r="D59" s="15">
        <v>43273</v>
      </c>
      <c r="E59" s="14" t="s">
        <v>148</v>
      </c>
      <c r="F59" s="14" t="s">
        <v>21</v>
      </c>
      <c r="G59" s="14" t="s">
        <v>149</v>
      </c>
      <c r="H59" s="14">
        <v>300</v>
      </c>
      <c r="I59" s="14">
        <v>9290</v>
      </c>
      <c r="J59" s="14">
        <v>320.7</v>
      </c>
      <c r="K59" s="14" t="s">
        <v>150</v>
      </c>
      <c r="L59" s="14"/>
      <c r="M59" s="14"/>
      <c r="N59" s="14"/>
      <c r="O59" s="15"/>
      <c r="P59" s="19">
        <f t="shared" si="7"/>
        <v>9290</v>
      </c>
      <c r="Q59" s="20">
        <v>96210</v>
      </c>
      <c r="R59" s="20">
        <f>H59*P59*2</f>
        <v>5574000</v>
      </c>
      <c r="S59" s="14"/>
    </row>
    <row r="60" spans="2:20" s="9" customFormat="1" hidden="1" x14ac:dyDescent="0.15">
      <c r="B60" s="14" t="s">
        <v>46</v>
      </c>
      <c r="C60" s="15">
        <v>43360</v>
      </c>
      <c r="D60" s="15">
        <v>43382</v>
      </c>
      <c r="E60" s="14" t="s">
        <v>133</v>
      </c>
      <c r="F60" s="14" t="s">
        <v>38</v>
      </c>
      <c r="G60" s="14" t="s">
        <v>131</v>
      </c>
      <c r="H60" s="14">
        <v>15000</v>
      </c>
      <c r="I60" s="14">
        <v>3665.1</v>
      </c>
      <c r="J60" s="14">
        <v>1</v>
      </c>
      <c r="K60" s="14" t="s">
        <v>151</v>
      </c>
      <c r="L60" s="14" t="s">
        <v>152</v>
      </c>
      <c r="M60" s="14"/>
      <c r="N60" s="14"/>
      <c r="O60" s="15"/>
      <c r="P60" s="19">
        <f t="shared" si="7"/>
        <v>3665.1</v>
      </c>
      <c r="Q60" s="20">
        <f t="shared" ref="Q60:Q78" si="8">J60*H60</f>
        <v>15000</v>
      </c>
      <c r="R60" s="20">
        <f>H60*P60</f>
        <v>54976500</v>
      </c>
      <c r="S60" s="14"/>
    </row>
    <row r="61" spans="2:20" s="9" customFormat="1" hidden="1" x14ac:dyDescent="0.15">
      <c r="B61" s="14" t="s">
        <v>36</v>
      </c>
      <c r="C61" s="15">
        <v>43399</v>
      </c>
      <c r="D61" s="15">
        <v>43429</v>
      </c>
      <c r="E61" s="14" t="s">
        <v>153</v>
      </c>
      <c r="F61" s="14" t="s">
        <v>38</v>
      </c>
      <c r="G61" s="14" t="s">
        <v>131</v>
      </c>
      <c r="H61" s="14">
        <v>1000</v>
      </c>
      <c r="I61" s="14">
        <v>10761.8</v>
      </c>
      <c r="J61" s="14">
        <v>465</v>
      </c>
      <c r="K61" s="14" t="s">
        <v>154</v>
      </c>
      <c r="L61" s="14"/>
      <c r="M61" s="14">
        <v>11534.19</v>
      </c>
      <c r="N61" s="14"/>
      <c r="O61" s="15">
        <v>43430</v>
      </c>
      <c r="P61" s="19">
        <f t="shared" si="7"/>
        <v>10761.8</v>
      </c>
      <c r="Q61" s="20">
        <f t="shared" si="8"/>
        <v>465000</v>
      </c>
      <c r="R61" s="20">
        <f t="shared" ref="R61:R78" si="9">H61*P61</f>
        <v>10761800</v>
      </c>
      <c r="S61" s="14"/>
      <c r="T61" s="9" t="s">
        <v>140</v>
      </c>
    </row>
    <row r="62" spans="2:20" s="9" customFormat="1" hidden="1" x14ac:dyDescent="0.15">
      <c r="B62" s="14" t="s">
        <v>36</v>
      </c>
      <c r="C62" s="15">
        <v>43399</v>
      </c>
      <c r="D62" s="15">
        <v>43444</v>
      </c>
      <c r="E62" s="14" t="s">
        <v>155</v>
      </c>
      <c r="F62" s="14" t="s">
        <v>38</v>
      </c>
      <c r="G62" s="14" t="s">
        <v>156</v>
      </c>
      <c r="H62" s="14">
        <v>3000</v>
      </c>
      <c r="I62" s="14">
        <v>5130.2</v>
      </c>
      <c r="J62" s="14">
        <v>150</v>
      </c>
      <c r="K62" s="14" t="s">
        <v>157</v>
      </c>
      <c r="L62" s="14"/>
      <c r="M62" s="14">
        <v>4994.1899999999996</v>
      </c>
      <c r="N62" s="14"/>
      <c r="O62" s="15">
        <v>43444</v>
      </c>
      <c r="P62" s="19">
        <f t="shared" si="7"/>
        <v>5130.2</v>
      </c>
      <c r="Q62" s="20">
        <f t="shared" si="8"/>
        <v>450000</v>
      </c>
      <c r="R62" s="20">
        <f t="shared" si="9"/>
        <v>15390600</v>
      </c>
      <c r="S62" s="14"/>
      <c r="T62" s="9" t="s">
        <v>137</v>
      </c>
    </row>
    <row r="63" spans="2:20" s="9" customFormat="1" hidden="1" x14ac:dyDescent="0.15">
      <c r="B63" s="14" t="s">
        <v>158</v>
      </c>
      <c r="C63" s="15">
        <v>43406</v>
      </c>
      <c r="D63" s="15">
        <v>43449</v>
      </c>
      <c r="E63" s="14" t="s">
        <v>130</v>
      </c>
      <c r="F63" s="14" t="s">
        <v>38</v>
      </c>
      <c r="G63" s="14" t="s">
        <v>159</v>
      </c>
      <c r="H63" s="14">
        <v>20000</v>
      </c>
      <c r="I63" s="14" t="s">
        <v>160</v>
      </c>
      <c r="J63" s="14">
        <f>48-4.09</f>
        <v>43.91</v>
      </c>
      <c r="K63" s="14"/>
      <c r="L63" s="14"/>
      <c r="M63" s="14"/>
      <c r="N63" s="14"/>
      <c r="O63" s="15">
        <v>43432</v>
      </c>
      <c r="P63" s="19">
        <v>1874</v>
      </c>
      <c r="Q63" s="20">
        <f t="shared" si="8"/>
        <v>878199.99999999988</v>
      </c>
      <c r="R63" s="20">
        <f t="shared" si="9"/>
        <v>37480000</v>
      </c>
      <c r="S63" s="14"/>
      <c r="T63" s="9" t="s">
        <v>140</v>
      </c>
    </row>
    <row r="64" spans="2:20" s="9" customFormat="1" hidden="1" x14ac:dyDescent="0.15">
      <c r="B64" s="14" t="s">
        <v>158</v>
      </c>
      <c r="C64" s="15">
        <v>43406</v>
      </c>
      <c r="D64" s="15">
        <v>43449</v>
      </c>
      <c r="E64" s="14" t="s">
        <v>130</v>
      </c>
      <c r="F64" s="14" t="s">
        <v>38</v>
      </c>
      <c r="G64" s="14" t="s">
        <v>159</v>
      </c>
      <c r="H64" s="14">
        <v>20000</v>
      </c>
      <c r="I64" s="14" t="s">
        <v>161</v>
      </c>
      <c r="J64" s="14">
        <f>48-4.09</f>
        <v>43.91</v>
      </c>
      <c r="K64" s="14"/>
      <c r="L64" s="14"/>
      <c r="M64" s="14"/>
      <c r="N64" s="14"/>
      <c r="O64" s="15">
        <v>43432</v>
      </c>
      <c r="P64" s="19">
        <v>1875</v>
      </c>
      <c r="Q64" s="20">
        <f t="shared" si="8"/>
        <v>878199.99999999988</v>
      </c>
      <c r="R64" s="20">
        <f t="shared" si="9"/>
        <v>37500000</v>
      </c>
      <c r="S64" s="14"/>
      <c r="T64" s="9" t="s">
        <v>140</v>
      </c>
    </row>
    <row r="65" spans="1:87" s="9" customFormat="1" hidden="1" x14ac:dyDescent="0.15">
      <c r="B65" s="14" t="s">
        <v>162</v>
      </c>
      <c r="C65" s="15">
        <v>43409</v>
      </c>
      <c r="D65" s="15">
        <v>43420</v>
      </c>
      <c r="E65" s="14" t="s">
        <v>163</v>
      </c>
      <c r="F65" s="14" t="s">
        <v>38</v>
      </c>
      <c r="G65" s="14" t="s">
        <v>164</v>
      </c>
      <c r="H65" s="14">
        <v>5000</v>
      </c>
      <c r="I65" s="14">
        <v>11300</v>
      </c>
      <c r="J65" s="14">
        <v>390.56</v>
      </c>
      <c r="K65" s="14"/>
      <c r="L65" s="14"/>
      <c r="M65" s="14">
        <v>11251.1</v>
      </c>
      <c r="N65" s="14"/>
      <c r="O65" s="15">
        <v>43420</v>
      </c>
      <c r="P65" s="19">
        <f>I65</f>
        <v>11300</v>
      </c>
      <c r="Q65" s="20">
        <f t="shared" si="8"/>
        <v>1952800</v>
      </c>
      <c r="R65" s="20">
        <f t="shared" si="9"/>
        <v>56500000</v>
      </c>
      <c r="S65" s="14"/>
      <c r="T65" s="9" t="s">
        <v>137</v>
      </c>
    </row>
    <row r="66" spans="1:87" s="9" customFormat="1" hidden="1" x14ac:dyDescent="0.15">
      <c r="B66" s="14" t="s">
        <v>158</v>
      </c>
      <c r="C66" s="15">
        <v>43410</v>
      </c>
      <c r="D66" s="15">
        <v>43449</v>
      </c>
      <c r="E66" s="14" t="s">
        <v>130</v>
      </c>
      <c r="F66" s="14" t="s">
        <v>38</v>
      </c>
      <c r="G66" s="14" t="s">
        <v>159</v>
      </c>
      <c r="H66" s="14">
        <v>10000</v>
      </c>
      <c r="I66" s="14" t="s">
        <v>165</v>
      </c>
      <c r="J66" s="14">
        <f>48-4.09</f>
        <v>43.91</v>
      </c>
      <c r="K66" s="14"/>
      <c r="L66" s="14"/>
      <c r="M66" s="14"/>
      <c r="N66" s="14"/>
      <c r="O66" s="15">
        <v>43432</v>
      </c>
      <c r="P66" s="19">
        <v>1886</v>
      </c>
      <c r="Q66" s="20">
        <f t="shared" si="8"/>
        <v>439099.99999999994</v>
      </c>
      <c r="R66" s="20">
        <f t="shared" si="9"/>
        <v>18860000</v>
      </c>
      <c r="S66" s="14"/>
      <c r="T66" s="9" t="s">
        <v>140</v>
      </c>
    </row>
    <row r="67" spans="1:87" s="9" customFormat="1" hidden="1" x14ac:dyDescent="0.15">
      <c r="B67" s="14" t="s">
        <v>158</v>
      </c>
      <c r="C67" s="15">
        <v>43412</v>
      </c>
      <c r="D67" s="15">
        <v>43449</v>
      </c>
      <c r="E67" s="14" t="s">
        <v>130</v>
      </c>
      <c r="F67" s="14" t="s">
        <v>38</v>
      </c>
      <c r="G67" s="14" t="s">
        <v>159</v>
      </c>
      <c r="H67" s="14">
        <v>10000</v>
      </c>
      <c r="I67" s="14" t="s">
        <v>166</v>
      </c>
      <c r="J67" s="14">
        <f>48-4.09</f>
        <v>43.91</v>
      </c>
      <c r="K67" s="14"/>
      <c r="L67" s="14"/>
      <c r="M67" s="14"/>
      <c r="N67" s="14"/>
      <c r="O67" s="15">
        <v>43432</v>
      </c>
      <c r="P67" s="19">
        <v>1892</v>
      </c>
      <c r="Q67" s="20">
        <f t="shared" si="8"/>
        <v>439099.99999999994</v>
      </c>
      <c r="R67" s="20">
        <f t="shared" si="9"/>
        <v>18920000</v>
      </c>
      <c r="S67" s="14"/>
      <c r="T67" s="9" t="s">
        <v>140</v>
      </c>
    </row>
    <row r="68" spans="1:87" s="9" customFormat="1" hidden="1" x14ac:dyDescent="0.15">
      <c r="B68" s="14" t="s">
        <v>158</v>
      </c>
      <c r="C68" s="15">
        <v>43412</v>
      </c>
      <c r="D68" s="15">
        <v>43449</v>
      </c>
      <c r="E68" s="14" t="s">
        <v>130</v>
      </c>
      <c r="F68" s="14" t="s">
        <v>38</v>
      </c>
      <c r="G68" s="14" t="s">
        <v>159</v>
      </c>
      <c r="H68" s="14">
        <v>20000</v>
      </c>
      <c r="I68" s="14" t="s">
        <v>166</v>
      </c>
      <c r="J68" s="14">
        <f>48-4.09</f>
        <v>43.91</v>
      </c>
      <c r="K68" s="14"/>
      <c r="L68" s="14"/>
      <c r="M68" s="14"/>
      <c r="N68" s="14"/>
      <c r="O68" s="15">
        <v>43432</v>
      </c>
      <c r="P68" s="19">
        <v>1892</v>
      </c>
      <c r="Q68" s="20">
        <f t="shared" si="8"/>
        <v>878199.99999999988</v>
      </c>
      <c r="R68" s="20">
        <f t="shared" si="9"/>
        <v>37840000</v>
      </c>
      <c r="S68" s="14"/>
      <c r="T68" s="9" t="s">
        <v>140</v>
      </c>
    </row>
    <row r="69" spans="1:87" s="9" customFormat="1" hidden="1" x14ac:dyDescent="0.15">
      <c r="B69" s="14" t="s">
        <v>167</v>
      </c>
      <c r="C69" s="15">
        <v>43413</v>
      </c>
      <c r="D69" s="15">
        <v>43441</v>
      </c>
      <c r="E69" s="14" t="s">
        <v>153</v>
      </c>
      <c r="F69" s="14" t="s">
        <v>21</v>
      </c>
      <c r="G69" s="14" t="s">
        <v>56</v>
      </c>
      <c r="H69" s="14">
        <v>1000</v>
      </c>
      <c r="I69" s="14">
        <v>11550</v>
      </c>
      <c r="J69" s="14">
        <f>I69*0.0308</f>
        <v>355.74</v>
      </c>
      <c r="K69" s="14" t="s">
        <v>168</v>
      </c>
      <c r="L69" s="14"/>
      <c r="M69" s="14">
        <v>11608</v>
      </c>
      <c r="N69" s="14"/>
      <c r="O69" s="15">
        <v>43441</v>
      </c>
      <c r="P69" s="19">
        <v>11550</v>
      </c>
      <c r="Q69" s="20">
        <f t="shared" si="8"/>
        <v>355740</v>
      </c>
      <c r="R69" s="20">
        <f t="shared" si="9"/>
        <v>11550000</v>
      </c>
      <c r="S69" s="14"/>
    </row>
    <row r="70" spans="1:87" s="9" customFormat="1" hidden="1" x14ac:dyDescent="0.15">
      <c r="B70" s="14" t="s">
        <v>167</v>
      </c>
      <c r="C70" s="15">
        <v>43413</v>
      </c>
      <c r="D70" s="15">
        <v>43441</v>
      </c>
      <c r="E70" s="14" t="s">
        <v>153</v>
      </c>
      <c r="F70" s="14" t="s">
        <v>21</v>
      </c>
      <c r="G70" s="14" t="s">
        <v>59</v>
      </c>
      <c r="H70" s="14">
        <v>1000</v>
      </c>
      <c r="I70" s="14">
        <v>11550</v>
      </c>
      <c r="J70" s="14">
        <f>I70*0.0308</f>
        <v>355.74</v>
      </c>
      <c r="K70" s="14" t="s">
        <v>169</v>
      </c>
      <c r="L70" s="14"/>
      <c r="M70" s="14">
        <v>11608</v>
      </c>
      <c r="N70" s="14"/>
      <c r="O70" s="15">
        <v>43441</v>
      </c>
      <c r="P70" s="19">
        <v>11550</v>
      </c>
      <c r="Q70" s="20">
        <f t="shared" si="8"/>
        <v>355740</v>
      </c>
      <c r="R70" s="20">
        <f t="shared" si="9"/>
        <v>11550000</v>
      </c>
      <c r="S70" s="14"/>
    </row>
    <row r="71" spans="1:87" s="9" customFormat="1" hidden="1" x14ac:dyDescent="0.15">
      <c r="B71" s="14" t="s">
        <v>170</v>
      </c>
      <c r="C71" s="15">
        <v>43426</v>
      </c>
      <c r="D71" s="15">
        <v>43454</v>
      </c>
      <c r="E71" s="14" t="s">
        <v>171</v>
      </c>
      <c r="F71" s="14" t="s">
        <v>38</v>
      </c>
      <c r="G71" s="14" t="s">
        <v>59</v>
      </c>
      <c r="H71" s="14">
        <v>5000</v>
      </c>
      <c r="I71" s="14">
        <v>3385</v>
      </c>
      <c r="J71" s="14">
        <v>341.4</v>
      </c>
      <c r="K71" s="14" t="s">
        <v>172</v>
      </c>
      <c r="L71" s="14"/>
      <c r="M71" s="14">
        <v>3765</v>
      </c>
      <c r="N71" s="14"/>
      <c r="O71" s="15">
        <v>43454</v>
      </c>
      <c r="P71" s="19">
        <f>I71</f>
        <v>3385</v>
      </c>
      <c r="Q71" s="20">
        <f t="shared" si="8"/>
        <v>1707000</v>
      </c>
      <c r="R71" s="20">
        <f t="shared" si="9"/>
        <v>16925000</v>
      </c>
      <c r="S71" s="14"/>
    </row>
    <row r="72" spans="1:87" s="9" customFormat="1" hidden="1" x14ac:dyDescent="0.15">
      <c r="B72" s="215" t="s">
        <v>173</v>
      </c>
      <c r="C72" s="217">
        <v>43427</v>
      </c>
      <c r="D72" s="217">
        <v>43458.625</v>
      </c>
      <c r="E72" s="215" t="s">
        <v>174</v>
      </c>
      <c r="F72" s="39" t="s">
        <v>38</v>
      </c>
      <c r="G72" s="39" t="s">
        <v>22</v>
      </c>
      <c r="H72" s="39">
        <v>2100</v>
      </c>
      <c r="I72" s="39">
        <v>2218.6999999999998</v>
      </c>
      <c r="J72" s="39">
        <v>91.9</v>
      </c>
      <c r="K72" s="218" t="s">
        <v>175</v>
      </c>
      <c r="L72" s="14"/>
      <c r="M72" s="14"/>
      <c r="N72" s="14">
        <v>166.2</v>
      </c>
      <c r="O72" s="15">
        <v>43458</v>
      </c>
      <c r="P72" s="19">
        <f t="shared" ref="P72:P77" si="10">I72</f>
        <v>2218.6999999999998</v>
      </c>
      <c r="Q72" s="20">
        <f t="shared" si="8"/>
        <v>192990</v>
      </c>
      <c r="R72" s="20">
        <f t="shared" si="9"/>
        <v>4659270</v>
      </c>
      <c r="S72" s="14"/>
    </row>
    <row r="73" spans="1:87" s="9" customFormat="1" hidden="1" x14ac:dyDescent="0.15">
      <c r="B73" s="215"/>
      <c r="C73" s="217"/>
      <c r="D73" s="217"/>
      <c r="E73" s="215"/>
      <c r="F73" s="39" t="s">
        <v>38</v>
      </c>
      <c r="G73" s="39" t="s">
        <v>22</v>
      </c>
      <c r="H73" s="39">
        <v>4200</v>
      </c>
      <c r="I73" s="39">
        <v>2268.6999999999998</v>
      </c>
      <c r="J73" s="39">
        <v>70.400000000000006</v>
      </c>
      <c r="K73" s="219"/>
      <c r="L73" s="14"/>
      <c r="M73" s="14"/>
      <c r="N73" s="14">
        <v>132</v>
      </c>
      <c r="O73" s="15">
        <v>43458</v>
      </c>
      <c r="P73" s="19">
        <f t="shared" si="10"/>
        <v>2268.6999999999998</v>
      </c>
      <c r="Q73" s="20">
        <f t="shared" si="8"/>
        <v>295680</v>
      </c>
      <c r="R73" s="20">
        <f t="shared" si="9"/>
        <v>9528540</v>
      </c>
      <c r="S73" s="14"/>
    </row>
    <row r="74" spans="1:87" s="9" customFormat="1" hidden="1" x14ac:dyDescent="0.15">
      <c r="B74" s="215" t="s">
        <v>79</v>
      </c>
      <c r="C74" s="217">
        <v>43432</v>
      </c>
      <c r="D74" s="217">
        <v>43455</v>
      </c>
      <c r="E74" s="215" t="s">
        <v>176</v>
      </c>
      <c r="F74" s="215" t="s">
        <v>38</v>
      </c>
      <c r="G74" s="39" t="s">
        <v>177</v>
      </c>
      <c r="H74" s="21">
        <v>25000</v>
      </c>
      <c r="I74" s="39">
        <v>424.4</v>
      </c>
      <c r="J74" s="39">
        <v>16.98</v>
      </c>
      <c r="K74" s="215" t="s">
        <v>178</v>
      </c>
      <c r="L74" s="14"/>
      <c r="M74" s="14"/>
      <c r="N74" s="14">
        <v>404.8</v>
      </c>
      <c r="O74" s="15">
        <v>43455</v>
      </c>
      <c r="P74" s="19">
        <f t="shared" si="10"/>
        <v>424.4</v>
      </c>
      <c r="Q74" s="20">
        <f t="shared" si="8"/>
        <v>424500</v>
      </c>
      <c r="R74" s="20">
        <f t="shared" si="9"/>
        <v>10610000</v>
      </c>
      <c r="S74" s="14"/>
    </row>
    <row r="75" spans="1:87" s="9" customFormat="1" hidden="1" x14ac:dyDescent="0.15">
      <c r="B75" s="215"/>
      <c r="C75" s="217"/>
      <c r="D75" s="217"/>
      <c r="E75" s="215"/>
      <c r="F75" s="215"/>
      <c r="G75" s="39" t="s">
        <v>25</v>
      </c>
      <c r="H75" s="21">
        <v>25000</v>
      </c>
      <c r="I75" s="39">
        <v>424.4</v>
      </c>
      <c r="J75" s="39">
        <v>16.98</v>
      </c>
      <c r="K75" s="215"/>
      <c r="L75" s="14"/>
      <c r="M75" s="14"/>
      <c r="N75" s="14">
        <v>404.8</v>
      </c>
      <c r="O75" s="15">
        <v>43455</v>
      </c>
      <c r="P75" s="19">
        <f t="shared" si="10"/>
        <v>424.4</v>
      </c>
      <c r="Q75" s="20">
        <f t="shared" si="8"/>
        <v>424500</v>
      </c>
      <c r="R75" s="20">
        <f t="shared" si="9"/>
        <v>10610000</v>
      </c>
      <c r="S75" s="14"/>
    </row>
    <row r="76" spans="1:87" s="9" customFormat="1" ht="27.75" hidden="1" customHeight="1" x14ac:dyDescent="0.15">
      <c r="B76" s="14" t="s">
        <v>179</v>
      </c>
      <c r="C76" s="15">
        <v>43432</v>
      </c>
      <c r="D76" s="15">
        <v>43446</v>
      </c>
      <c r="E76" s="14" t="s">
        <v>180</v>
      </c>
      <c r="F76" s="14" t="s">
        <v>38</v>
      </c>
      <c r="G76" s="14" t="s">
        <v>25</v>
      </c>
      <c r="H76" s="22">
        <v>2000</v>
      </c>
      <c r="I76" s="14">
        <v>3560</v>
      </c>
      <c r="J76" s="14">
        <v>76.900000000000006</v>
      </c>
      <c r="K76" s="14" t="s">
        <v>181</v>
      </c>
      <c r="L76" s="14"/>
      <c r="M76" s="14"/>
      <c r="N76" s="14">
        <v>0</v>
      </c>
      <c r="O76" s="15">
        <v>43446</v>
      </c>
      <c r="P76" s="19">
        <f t="shared" si="10"/>
        <v>3560</v>
      </c>
      <c r="Q76" s="20">
        <f t="shared" si="8"/>
        <v>153800</v>
      </c>
      <c r="R76" s="20">
        <f t="shared" si="9"/>
        <v>7120000</v>
      </c>
      <c r="S76" s="14"/>
    </row>
    <row r="77" spans="1:87" s="30" customFormat="1" ht="30" customHeight="1" x14ac:dyDescent="0.15">
      <c r="A77" s="53"/>
      <c r="B77" s="47" t="s">
        <v>36</v>
      </c>
      <c r="C77" s="54">
        <v>43437</v>
      </c>
      <c r="D77" s="54">
        <v>43462</v>
      </c>
      <c r="E77" s="47" t="s">
        <v>182</v>
      </c>
      <c r="F77" s="92" t="s">
        <v>38</v>
      </c>
      <c r="G77" s="46" t="s">
        <v>131</v>
      </c>
      <c r="H77" s="47">
        <v>1000</v>
      </c>
      <c r="I77" s="47">
        <v>11505</v>
      </c>
      <c r="J77" s="47">
        <v>465</v>
      </c>
      <c r="K77" s="47" t="s">
        <v>183</v>
      </c>
      <c r="L77" s="97"/>
      <c r="M77" s="97"/>
      <c r="N77" s="97"/>
      <c r="O77" s="97"/>
      <c r="P77" s="55">
        <f t="shared" si="10"/>
        <v>11505</v>
      </c>
      <c r="Q77" s="56">
        <f t="shared" si="8"/>
        <v>465000</v>
      </c>
      <c r="R77" s="56">
        <f t="shared" si="9"/>
        <v>11505000</v>
      </c>
      <c r="S77" s="56"/>
      <c r="T77" s="52" t="s">
        <v>137</v>
      </c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52"/>
      <c r="CC77" s="52"/>
      <c r="CD77" s="52"/>
      <c r="CE77" s="52"/>
      <c r="CF77" s="52"/>
      <c r="CG77" s="52"/>
      <c r="CH77" s="52"/>
      <c r="CI77" s="52"/>
    </row>
    <row r="78" spans="1:87" s="30" customFormat="1" ht="20.25" customHeight="1" x14ac:dyDescent="0.15">
      <c r="A78" s="53"/>
      <c r="B78" s="47" t="s">
        <v>42</v>
      </c>
      <c r="C78" s="54">
        <v>43440</v>
      </c>
      <c r="D78" s="54">
        <v>43462</v>
      </c>
      <c r="E78" s="47" t="s">
        <v>186</v>
      </c>
      <c r="F78" s="92" t="s">
        <v>38</v>
      </c>
      <c r="G78" s="47" t="s">
        <v>187</v>
      </c>
      <c r="H78" s="47">
        <v>1000</v>
      </c>
      <c r="I78" s="47">
        <v>14635</v>
      </c>
      <c r="J78" s="47">
        <v>175.39</v>
      </c>
      <c r="K78" s="47" t="s">
        <v>188</v>
      </c>
      <c r="L78" s="97"/>
      <c r="M78" s="97"/>
      <c r="N78" s="97"/>
      <c r="O78" s="97"/>
      <c r="P78" s="55">
        <v>14616</v>
      </c>
      <c r="Q78" s="56">
        <f t="shared" si="8"/>
        <v>175390</v>
      </c>
      <c r="R78" s="56">
        <f t="shared" si="9"/>
        <v>14616000</v>
      </c>
      <c r="S78" s="56"/>
      <c r="T78" s="52" t="s">
        <v>137</v>
      </c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52"/>
      <c r="CC78" s="52"/>
      <c r="CD78" s="52"/>
      <c r="CE78" s="52"/>
      <c r="CF78" s="52"/>
      <c r="CG78" s="52"/>
      <c r="CH78" s="52"/>
      <c r="CI78" s="52"/>
    </row>
    <row r="79" spans="1:87" ht="20.25" customHeight="1" x14ac:dyDescent="0.15">
      <c r="A79" s="53"/>
      <c r="B79" s="47" t="s">
        <v>246</v>
      </c>
      <c r="C79" s="54">
        <v>43445</v>
      </c>
      <c r="D79" s="54">
        <v>43489</v>
      </c>
      <c r="E79" s="47" t="s">
        <v>204</v>
      </c>
      <c r="F79" s="92" t="s">
        <v>241</v>
      </c>
      <c r="G79" s="46" t="s">
        <v>156</v>
      </c>
      <c r="H79" s="47">
        <v>3000</v>
      </c>
      <c r="I79" s="47">
        <v>4507</v>
      </c>
      <c r="J79" s="47">
        <v>183.33</v>
      </c>
      <c r="K79" s="97" t="s">
        <v>209</v>
      </c>
      <c r="L79" s="97"/>
      <c r="M79" s="97"/>
      <c r="N79" s="97"/>
      <c r="O79" s="97"/>
      <c r="P79" s="55">
        <v>4905</v>
      </c>
      <c r="Q79" s="56">
        <f t="shared" ref="Q79:Q85" si="11">J79*H79</f>
        <v>549990</v>
      </c>
      <c r="R79" s="56">
        <f t="shared" ref="R79:R85" si="12">H79*P79</f>
        <v>14715000</v>
      </c>
      <c r="S79" s="56"/>
      <c r="T79" s="52" t="s">
        <v>137</v>
      </c>
      <c r="CB79" s="52"/>
      <c r="CC79" s="52"/>
      <c r="CD79" s="52"/>
      <c r="CE79" s="52"/>
      <c r="CF79" s="52"/>
      <c r="CG79" s="52"/>
      <c r="CH79" s="52"/>
      <c r="CI79" s="52"/>
    </row>
    <row r="80" spans="1:87" ht="20.25" customHeight="1" x14ac:dyDescent="0.15">
      <c r="A80" s="92"/>
      <c r="B80" s="92" t="s">
        <v>250</v>
      </c>
      <c r="C80" s="93">
        <v>43452</v>
      </c>
      <c r="D80" s="93">
        <v>43514</v>
      </c>
      <c r="E80" s="92" t="s">
        <v>202</v>
      </c>
      <c r="F80" s="92" t="s">
        <v>21</v>
      </c>
      <c r="G80" s="47" t="s">
        <v>177</v>
      </c>
      <c r="H80" s="57">
        <v>1000</v>
      </c>
      <c r="I80" s="47">
        <v>6365</v>
      </c>
      <c r="J80" s="47">
        <v>146.9</v>
      </c>
      <c r="K80" s="92" t="s">
        <v>210</v>
      </c>
      <c r="L80" s="97"/>
      <c r="M80" s="97"/>
      <c r="N80" s="97"/>
      <c r="O80" s="97"/>
      <c r="P80" s="55">
        <f t="shared" ref="P80:P85" si="13">I80</f>
        <v>6365</v>
      </c>
      <c r="Q80" s="56">
        <f t="shared" si="11"/>
        <v>146900</v>
      </c>
      <c r="R80" s="56">
        <f t="shared" si="12"/>
        <v>6365000</v>
      </c>
      <c r="S80" s="56"/>
      <c r="T80" s="52" t="s">
        <v>137</v>
      </c>
    </row>
    <row r="81" spans="1:20" ht="20.25" customHeight="1" x14ac:dyDescent="0.15">
      <c r="A81" s="92"/>
      <c r="B81" s="92" t="s">
        <v>250</v>
      </c>
      <c r="C81" s="93">
        <v>43452</v>
      </c>
      <c r="D81" s="93">
        <v>43514</v>
      </c>
      <c r="E81" s="92" t="s">
        <v>202</v>
      </c>
      <c r="F81" s="92" t="s">
        <v>21</v>
      </c>
      <c r="G81" s="92" t="s">
        <v>25</v>
      </c>
      <c r="H81" s="92">
        <v>1000</v>
      </c>
      <c r="I81" s="92">
        <v>6365</v>
      </c>
      <c r="J81" s="56">
        <v>146.9</v>
      </c>
      <c r="K81" s="56" t="s">
        <v>251</v>
      </c>
      <c r="L81" s="97"/>
      <c r="M81" s="97"/>
      <c r="N81" s="97"/>
      <c r="O81" s="97"/>
      <c r="P81" s="56">
        <f t="shared" si="13"/>
        <v>6365</v>
      </c>
      <c r="Q81" s="56">
        <f t="shared" si="11"/>
        <v>146900</v>
      </c>
      <c r="R81" s="56">
        <f t="shared" si="12"/>
        <v>6365000</v>
      </c>
      <c r="S81" s="92"/>
      <c r="T81" s="92" t="s">
        <v>252</v>
      </c>
    </row>
    <row r="82" spans="1:20" ht="20.25" customHeight="1" x14ac:dyDescent="0.15">
      <c r="A82" s="53"/>
      <c r="B82" s="220" t="s">
        <v>208</v>
      </c>
      <c r="C82" s="223">
        <v>43454</v>
      </c>
      <c r="D82" s="223">
        <v>43483</v>
      </c>
      <c r="E82" s="220" t="s">
        <v>207</v>
      </c>
      <c r="F82" s="220" t="s">
        <v>21</v>
      </c>
      <c r="G82" s="47" t="s">
        <v>177</v>
      </c>
      <c r="H82" s="47">
        <v>2000</v>
      </c>
      <c r="I82" s="47">
        <v>2332</v>
      </c>
      <c r="J82" s="47">
        <v>29.15</v>
      </c>
      <c r="K82" s="220" t="s">
        <v>247</v>
      </c>
      <c r="L82" s="97"/>
      <c r="M82" s="97"/>
      <c r="N82" s="97"/>
      <c r="O82" s="97"/>
      <c r="P82" s="55">
        <f t="shared" si="13"/>
        <v>2332</v>
      </c>
      <c r="Q82" s="56">
        <f t="shared" si="11"/>
        <v>58300</v>
      </c>
      <c r="R82" s="56">
        <f t="shared" si="12"/>
        <v>4664000</v>
      </c>
      <c r="S82" s="56"/>
      <c r="T82" s="52"/>
    </row>
    <row r="83" spans="1:20" ht="14.25" hidden="1" customHeight="1" x14ac:dyDescent="0.15">
      <c r="A83" s="31"/>
      <c r="B83" s="222"/>
      <c r="C83" s="224"/>
      <c r="D83" s="224"/>
      <c r="E83" s="221"/>
      <c r="F83" s="221"/>
      <c r="G83" s="50" t="s">
        <v>25</v>
      </c>
      <c r="H83" s="51">
        <v>2000</v>
      </c>
      <c r="I83" s="51">
        <v>2332</v>
      </c>
      <c r="J83" s="50">
        <v>29.15</v>
      </c>
      <c r="K83" s="221"/>
      <c r="L83" s="97"/>
      <c r="M83" s="97"/>
      <c r="N83" s="97"/>
      <c r="O83" s="97"/>
      <c r="P83" s="10">
        <f t="shared" si="13"/>
        <v>2332</v>
      </c>
      <c r="Q83" s="11">
        <f t="shared" si="11"/>
        <v>58300</v>
      </c>
      <c r="R83" s="11">
        <f t="shared" si="12"/>
        <v>4664000</v>
      </c>
      <c r="S83" s="56"/>
    </row>
    <row r="84" spans="1:20" ht="20.25" customHeight="1" x14ac:dyDescent="0.15">
      <c r="A84" s="53"/>
      <c r="B84" s="220" t="s">
        <v>208</v>
      </c>
      <c r="C84" s="223">
        <v>43455</v>
      </c>
      <c r="D84" s="223">
        <v>43486</v>
      </c>
      <c r="E84" s="220" t="s">
        <v>231</v>
      </c>
      <c r="F84" s="220" t="s">
        <v>21</v>
      </c>
      <c r="G84" s="47" t="s">
        <v>177</v>
      </c>
      <c r="H84" s="47">
        <v>1500</v>
      </c>
      <c r="I84" s="47">
        <v>6030</v>
      </c>
      <c r="J84" s="47">
        <v>150.21</v>
      </c>
      <c r="K84" s="220" t="s">
        <v>212</v>
      </c>
      <c r="L84" s="97"/>
      <c r="M84" s="97"/>
      <c r="N84" s="97"/>
      <c r="O84" s="97"/>
      <c r="P84" s="55">
        <f t="shared" si="13"/>
        <v>6030</v>
      </c>
      <c r="Q84" s="56">
        <f t="shared" si="11"/>
        <v>225315</v>
      </c>
      <c r="R84" s="56">
        <f t="shared" si="12"/>
        <v>9045000</v>
      </c>
      <c r="S84" s="56"/>
      <c r="T84" s="52"/>
    </row>
    <row r="85" spans="1:20" ht="14.25" hidden="1" customHeight="1" x14ac:dyDescent="0.15">
      <c r="A85" s="31"/>
      <c r="B85" s="222"/>
      <c r="C85" s="224"/>
      <c r="D85" s="224"/>
      <c r="E85" s="221"/>
      <c r="F85" s="221"/>
      <c r="G85" s="50" t="s">
        <v>25</v>
      </c>
      <c r="H85" s="51">
        <v>1500</v>
      </c>
      <c r="I85" s="51">
        <v>6030</v>
      </c>
      <c r="J85" s="50">
        <v>150.21</v>
      </c>
      <c r="K85" s="221"/>
      <c r="L85" s="97"/>
      <c r="M85" s="97"/>
      <c r="N85" s="97"/>
      <c r="O85" s="97"/>
      <c r="P85" s="10">
        <f t="shared" si="13"/>
        <v>6030</v>
      </c>
      <c r="Q85" s="11">
        <f t="shared" si="11"/>
        <v>225315</v>
      </c>
      <c r="R85" s="11">
        <f t="shared" si="12"/>
        <v>9045000</v>
      </c>
      <c r="S85" s="56"/>
    </row>
    <row r="86" spans="1:20" ht="20.25" customHeight="1" x14ac:dyDescent="0.15">
      <c r="A86" s="53"/>
      <c r="B86" s="47" t="s">
        <v>213</v>
      </c>
      <c r="C86" s="54">
        <v>43458</v>
      </c>
      <c r="D86" s="54">
        <v>43473</v>
      </c>
      <c r="E86" s="47" t="s">
        <v>233</v>
      </c>
      <c r="F86" s="47" t="s">
        <v>21</v>
      </c>
      <c r="G86" s="47" t="s">
        <v>190</v>
      </c>
      <c r="H86" s="47">
        <f>ROUND(R86/P86,0)</f>
        <v>350447</v>
      </c>
      <c r="I86" s="47">
        <v>328.15</v>
      </c>
      <c r="J86" s="46">
        <f>Q86/H86</f>
        <v>6.8483964765000127E-2</v>
      </c>
      <c r="K86" s="47" t="s">
        <v>242</v>
      </c>
      <c r="L86" s="97"/>
      <c r="M86" s="97"/>
      <c r="N86" s="97"/>
      <c r="O86" s="97"/>
      <c r="P86" s="56">
        <v>285.35000000000002</v>
      </c>
      <c r="Q86" s="56">
        <f>R86*0.00024</f>
        <v>24000</v>
      </c>
      <c r="R86" s="56">
        <v>100000000</v>
      </c>
      <c r="S86" s="56"/>
      <c r="T86" s="52"/>
    </row>
    <row r="87" spans="1:20" ht="20.25" customHeight="1" x14ac:dyDescent="0.15">
      <c r="A87" s="53"/>
      <c r="B87" s="47" t="s">
        <v>170</v>
      </c>
      <c r="C87" s="54">
        <v>43458</v>
      </c>
      <c r="D87" s="54">
        <v>43473</v>
      </c>
      <c r="E87" s="47" t="s">
        <v>233</v>
      </c>
      <c r="F87" s="47" t="s">
        <v>38</v>
      </c>
      <c r="G87" s="47" t="s">
        <v>190</v>
      </c>
      <c r="H87" s="47">
        <f t="shared" ref="H87:H93" si="14">ROUND(R87/P87,0)</f>
        <v>350447</v>
      </c>
      <c r="I87" s="47">
        <v>331.01</v>
      </c>
      <c r="J87" s="46">
        <f t="shared" ref="J87:J93" si="15">Q87/H87</f>
        <v>1.1413994127500021E-2</v>
      </c>
      <c r="K87" s="47" t="s">
        <v>191</v>
      </c>
      <c r="L87" s="97"/>
      <c r="M87" s="97"/>
      <c r="N87" s="97"/>
      <c r="O87" s="97"/>
      <c r="P87" s="56">
        <v>285.35000000000002</v>
      </c>
      <c r="Q87" s="56">
        <v>4000</v>
      </c>
      <c r="R87" s="56">
        <v>100000000</v>
      </c>
      <c r="S87" s="56"/>
      <c r="T87" s="52"/>
    </row>
    <row r="88" spans="1:20" ht="20.25" customHeight="1" x14ac:dyDescent="0.15">
      <c r="A88" s="53"/>
      <c r="B88" s="47" t="s">
        <v>170</v>
      </c>
      <c r="C88" s="54">
        <v>43458</v>
      </c>
      <c r="D88" s="54">
        <v>43473</v>
      </c>
      <c r="E88" s="47" t="s">
        <v>234</v>
      </c>
      <c r="F88" s="47" t="s">
        <v>38</v>
      </c>
      <c r="G88" s="47" t="s">
        <v>190</v>
      </c>
      <c r="H88" s="47">
        <f t="shared" si="14"/>
        <v>27855</v>
      </c>
      <c r="I88" s="47">
        <v>4128.5</v>
      </c>
      <c r="J88" s="46">
        <f t="shared" si="15"/>
        <v>0.86160473882606359</v>
      </c>
      <c r="K88" s="47" t="s">
        <v>215</v>
      </c>
      <c r="L88" s="97"/>
      <c r="M88" s="97"/>
      <c r="N88" s="97"/>
      <c r="O88" s="97"/>
      <c r="P88" s="56">
        <v>3590</v>
      </c>
      <c r="Q88" s="56">
        <f>R88*0.00024</f>
        <v>24000</v>
      </c>
      <c r="R88" s="56">
        <v>100000000</v>
      </c>
      <c r="S88" s="56"/>
      <c r="T88" s="52"/>
    </row>
    <row r="89" spans="1:20" ht="20.25" customHeight="1" x14ac:dyDescent="0.15">
      <c r="A89" s="53"/>
      <c r="B89" s="47" t="s">
        <v>170</v>
      </c>
      <c r="C89" s="54">
        <v>43458</v>
      </c>
      <c r="D89" s="54">
        <v>43473</v>
      </c>
      <c r="E89" s="47" t="s">
        <v>234</v>
      </c>
      <c r="F89" s="47" t="s">
        <v>21</v>
      </c>
      <c r="G89" s="47" t="s">
        <v>190</v>
      </c>
      <c r="H89" s="47">
        <f t="shared" si="14"/>
        <v>27855</v>
      </c>
      <c r="I89" s="47">
        <v>4164.3999999999996</v>
      </c>
      <c r="J89" s="46">
        <f t="shared" si="15"/>
        <v>0.14360078980434393</v>
      </c>
      <c r="K89" s="47" t="s">
        <v>192</v>
      </c>
      <c r="L89" s="97"/>
      <c r="M89" s="97"/>
      <c r="N89" s="97"/>
      <c r="O89" s="97"/>
      <c r="P89" s="56">
        <v>3590</v>
      </c>
      <c r="Q89" s="56">
        <v>4000</v>
      </c>
      <c r="R89" s="56">
        <v>100000000</v>
      </c>
      <c r="S89" s="56"/>
      <c r="T89" s="52"/>
    </row>
    <row r="90" spans="1:20" ht="20.25" customHeight="1" x14ac:dyDescent="0.15">
      <c r="A90" s="53"/>
      <c r="B90" s="47" t="s">
        <v>216</v>
      </c>
      <c r="C90" s="54">
        <v>43458</v>
      </c>
      <c r="D90" s="54">
        <v>43472</v>
      </c>
      <c r="E90" s="47" t="s">
        <v>233</v>
      </c>
      <c r="F90" s="47" t="s">
        <v>21</v>
      </c>
      <c r="G90" s="47" t="s">
        <v>190</v>
      </c>
      <c r="H90" s="47">
        <f t="shared" si="14"/>
        <v>350385</v>
      </c>
      <c r="I90" s="47">
        <v>328.21</v>
      </c>
      <c r="J90" s="46">
        <f t="shared" si="15"/>
        <v>5.7080069066883572E-2</v>
      </c>
      <c r="K90" s="47" t="s">
        <v>194</v>
      </c>
      <c r="L90" s="97"/>
      <c r="M90" s="97"/>
      <c r="N90" s="97"/>
      <c r="O90" s="97"/>
      <c r="P90" s="56">
        <v>285.39999999999998</v>
      </c>
      <c r="Q90" s="56">
        <v>20000</v>
      </c>
      <c r="R90" s="56">
        <v>100000000</v>
      </c>
      <c r="S90" s="56"/>
      <c r="T90" s="52"/>
    </row>
    <row r="91" spans="1:20" ht="20.25" customHeight="1" x14ac:dyDescent="0.15">
      <c r="A91" s="53"/>
      <c r="B91" s="47" t="s">
        <v>193</v>
      </c>
      <c r="C91" s="54">
        <v>43458</v>
      </c>
      <c r="D91" s="54">
        <v>43472</v>
      </c>
      <c r="E91" s="47" t="s">
        <v>233</v>
      </c>
      <c r="F91" s="47" t="s">
        <v>38</v>
      </c>
      <c r="G91" s="47" t="s">
        <v>190</v>
      </c>
      <c r="H91" s="47">
        <f t="shared" si="14"/>
        <v>350385</v>
      </c>
      <c r="I91" s="47">
        <v>331.06400000000002</v>
      </c>
      <c r="J91" s="46">
        <f t="shared" si="15"/>
        <v>2.8540034533441786E-2</v>
      </c>
      <c r="K91" s="47" t="s">
        <v>194</v>
      </c>
      <c r="L91" s="97"/>
      <c r="M91" s="97"/>
      <c r="N91" s="97"/>
      <c r="O91" s="97"/>
      <c r="P91" s="56">
        <v>285.39999999999998</v>
      </c>
      <c r="Q91" s="56">
        <v>10000</v>
      </c>
      <c r="R91" s="56">
        <v>100000000</v>
      </c>
      <c r="S91" s="56"/>
      <c r="T91" s="52"/>
    </row>
    <row r="92" spans="1:20" ht="20.25" customHeight="1" x14ac:dyDescent="0.15">
      <c r="A92" s="53"/>
      <c r="B92" s="47" t="s">
        <v>193</v>
      </c>
      <c r="C92" s="54">
        <v>43458</v>
      </c>
      <c r="D92" s="54">
        <v>43472</v>
      </c>
      <c r="E92" s="47" t="s">
        <v>234</v>
      </c>
      <c r="F92" s="47" t="s">
        <v>38</v>
      </c>
      <c r="G92" s="47" t="s">
        <v>190</v>
      </c>
      <c r="H92" s="47">
        <f t="shared" si="14"/>
        <v>27847</v>
      </c>
      <c r="I92" s="47">
        <v>4129.6499999999996</v>
      </c>
      <c r="J92" s="46">
        <f t="shared" si="15"/>
        <v>0.71821022013143243</v>
      </c>
      <c r="K92" s="47" t="s">
        <v>195</v>
      </c>
      <c r="L92" s="97"/>
      <c r="M92" s="97"/>
      <c r="N92" s="97"/>
      <c r="O92" s="97"/>
      <c r="P92" s="56">
        <v>3591</v>
      </c>
      <c r="Q92" s="56">
        <v>20000</v>
      </c>
      <c r="R92" s="56">
        <v>100000000</v>
      </c>
      <c r="S92" s="56"/>
      <c r="T92" s="52"/>
    </row>
    <row r="93" spans="1:20" ht="20.25" customHeight="1" x14ac:dyDescent="0.15">
      <c r="A93" s="53"/>
      <c r="B93" s="47" t="s">
        <v>193</v>
      </c>
      <c r="C93" s="54">
        <v>43458</v>
      </c>
      <c r="D93" s="54">
        <v>43472</v>
      </c>
      <c r="E93" s="47" t="s">
        <v>234</v>
      </c>
      <c r="F93" s="47" t="s">
        <v>21</v>
      </c>
      <c r="G93" s="47" t="s">
        <v>190</v>
      </c>
      <c r="H93" s="47">
        <f t="shared" si="14"/>
        <v>27847</v>
      </c>
      <c r="I93" s="47">
        <v>4165.5600000000004</v>
      </c>
      <c r="J93" s="46">
        <f t="shared" si="15"/>
        <v>0.35910511006571622</v>
      </c>
      <c r="K93" s="47" t="s">
        <v>195</v>
      </c>
      <c r="L93" s="97"/>
      <c r="M93" s="97"/>
      <c r="N93" s="97"/>
      <c r="O93" s="97"/>
      <c r="P93" s="56">
        <v>3591</v>
      </c>
      <c r="Q93" s="56">
        <v>10000</v>
      </c>
      <c r="R93" s="56">
        <v>100000000</v>
      </c>
      <c r="S93" s="56"/>
      <c r="T93" s="52"/>
    </row>
    <row r="94" spans="1:20" ht="20.25" customHeight="1" x14ac:dyDescent="0.15">
      <c r="A94" s="53"/>
      <c r="B94" s="90" t="s">
        <v>217</v>
      </c>
      <c r="C94" s="48">
        <v>43459</v>
      </c>
      <c r="D94" s="48">
        <v>43489</v>
      </c>
      <c r="E94" s="48" t="s">
        <v>232</v>
      </c>
      <c r="F94" s="48" t="s">
        <v>21</v>
      </c>
      <c r="G94" s="90" t="s">
        <v>25</v>
      </c>
      <c r="H94" s="90">
        <v>700</v>
      </c>
      <c r="I94" s="90">
        <v>14750</v>
      </c>
      <c r="J94" s="90">
        <v>250.75</v>
      </c>
      <c r="K94" s="90" t="s">
        <v>243</v>
      </c>
      <c r="L94" s="97"/>
      <c r="M94" s="97"/>
      <c r="N94" s="97"/>
      <c r="O94" s="97"/>
      <c r="P94" s="91">
        <f>I94</f>
        <v>14750</v>
      </c>
      <c r="Q94" s="89">
        <f>J94*H94</f>
        <v>175525</v>
      </c>
      <c r="R94" s="89">
        <f>H94*P94</f>
        <v>10325000</v>
      </c>
      <c r="S94" s="90"/>
      <c r="T94" s="45"/>
    </row>
    <row r="95" spans="1:20" ht="20.25" customHeight="1" thickBot="1" x14ac:dyDescent="0.2">
      <c r="A95" s="53"/>
      <c r="B95" s="220" t="s">
        <v>208</v>
      </c>
      <c r="C95" s="223">
        <v>43459</v>
      </c>
      <c r="D95" s="223">
        <v>43489</v>
      </c>
      <c r="E95" s="220" t="s">
        <v>232</v>
      </c>
      <c r="F95" s="220" t="s">
        <v>21</v>
      </c>
      <c r="G95" s="47" t="s">
        <v>177</v>
      </c>
      <c r="H95" s="47">
        <v>700</v>
      </c>
      <c r="I95" s="47">
        <v>14750</v>
      </c>
      <c r="J95" s="47">
        <v>250.75</v>
      </c>
      <c r="K95" s="220" t="s">
        <v>243</v>
      </c>
      <c r="L95" s="97"/>
      <c r="M95" s="97"/>
      <c r="N95" s="97"/>
      <c r="O95" s="97"/>
      <c r="P95" s="55">
        <f>I95</f>
        <v>14750</v>
      </c>
      <c r="Q95" s="56">
        <f>J95*H95</f>
        <v>175525</v>
      </c>
      <c r="R95" s="56">
        <f>H95*P95</f>
        <v>10325000</v>
      </c>
      <c r="S95" s="56"/>
      <c r="T95" s="52"/>
    </row>
    <row r="96" spans="1:20" ht="15" hidden="1" customHeight="1" thickBot="1" x14ac:dyDescent="0.2">
      <c r="A96" s="31"/>
      <c r="B96" s="222"/>
      <c r="C96" s="224"/>
      <c r="D96" s="224"/>
      <c r="E96" s="221"/>
      <c r="F96" s="221"/>
      <c r="G96" s="50" t="s">
        <v>25</v>
      </c>
      <c r="H96" s="51">
        <v>700</v>
      </c>
      <c r="I96" s="51">
        <v>14750</v>
      </c>
      <c r="J96" s="50">
        <v>250.75</v>
      </c>
      <c r="K96" s="221"/>
      <c r="L96" s="97"/>
      <c r="M96" s="97"/>
      <c r="N96" s="97"/>
      <c r="O96" s="97"/>
      <c r="P96" s="10">
        <f>I96</f>
        <v>14750</v>
      </c>
      <c r="Q96" s="11">
        <f>J96*H96</f>
        <v>175525</v>
      </c>
      <c r="R96" s="11">
        <f>H96*P96</f>
        <v>10325000</v>
      </c>
      <c r="S96" s="56"/>
    </row>
    <row r="97" spans="1:20" s="34" customFormat="1" ht="20.25" customHeight="1" x14ac:dyDescent="0.15">
      <c r="A97" s="53"/>
      <c r="B97" s="47" t="s">
        <v>196</v>
      </c>
      <c r="C97" s="54">
        <v>43460</v>
      </c>
      <c r="D97" s="54">
        <v>43474</v>
      </c>
      <c r="E97" s="47" t="s">
        <v>233</v>
      </c>
      <c r="F97" s="47" t="s">
        <v>21</v>
      </c>
      <c r="G97" s="47" t="s">
        <v>190</v>
      </c>
      <c r="H97" s="47">
        <f>ROUND(R97/P97,0)</f>
        <v>695652</v>
      </c>
      <c r="I97" s="65">
        <v>330.625</v>
      </c>
      <c r="J97" s="46">
        <f t="shared" ref="J97:J104" si="16">Q97/H97</f>
        <v>8.6250021562505386E-2</v>
      </c>
      <c r="K97" s="47" t="s">
        <v>197</v>
      </c>
      <c r="L97" s="97"/>
      <c r="M97" s="97"/>
      <c r="N97" s="97"/>
      <c r="O97" s="97"/>
      <c r="P97" s="55">
        <v>287.5</v>
      </c>
      <c r="Q97" s="56">
        <v>60000</v>
      </c>
      <c r="R97" s="56">
        <v>200000000</v>
      </c>
      <c r="S97" s="56"/>
      <c r="T97" s="52"/>
    </row>
    <row r="98" spans="1:20" s="35" customFormat="1" ht="20.25" customHeight="1" x14ac:dyDescent="0.15">
      <c r="A98" s="53"/>
      <c r="B98" s="47" t="s">
        <v>196</v>
      </c>
      <c r="C98" s="54">
        <v>43460</v>
      </c>
      <c r="D98" s="54">
        <v>43474</v>
      </c>
      <c r="E98" s="47" t="s">
        <v>233</v>
      </c>
      <c r="F98" s="47" t="s">
        <v>38</v>
      </c>
      <c r="G98" s="47" t="s">
        <v>190</v>
      </c>
      <c r="H98" s="47">
        <f>ROUND(R98/P98,0)</f>
        <v>695652</v>
      </c>
      <c r="I98" s="65">
        <v>333.5</v>
      </c>
      <c r="J98" s="46">
        <f t="shared" si="16"/>
        <v>2.8750007187501796E-2</v>
      </c>
      <c r="K98" s="47" t="s">
        <v>197</v>
      </c>
      <c r="L98" s="97"/>
      <c r="M98" s="97"/>
      <c r="N98" s="97"/>
      <c r="O98" s="97"/>
      <c r="P98" s="55">
        <v>287.5</v>
      </c>
      <c r="Q98" s="56">
        <v>20000</v>
      </c>
      <c r="R98" s="56">
        <v>200000000</v>
      </c>
      <c r="S98" s="56"/>
      <c r="T98" s="52"/>
    </row>
    <row r="99" spans="1:20" s="35" customFormat="1" ht="20.25" customHeight="1" x14ac:dyDescent="0.15">
      <c r="A99" s="53"/>
      <c r="B99" s="47" t="s">
        <v>196</v>
      </c>
      <c r="C99" s="54">
        <v>43460</v>
      </c>
      <c r="D99" s="54">
        <v>43474</v>
      </c>
      <c r="E99" s="47" t="s">
        <v>234</v>
      </c>
      <c r="F99" s="47" t="s">
        <v>38</v>
      </c>
      <c r="G99" s="47" t="s">
        <v>190</v>
      </c>
      <c r="H99" s="47">
        <f>ROUND(R99/P99,0)</f>
        <v>55310</v>
      </c>
      <c r="I99" s="65">
        <v>4158.3999999999996</v>
      </c>
      <c r="J99" s="46">
        <f t="shared" si="16"/>
        <v>1.0847947929849937</v>
      </c>
      <c r="K99" s="47" t="s">
        <v>198</v>
      </c>
      <c r="L99" s="97"/>
      <c r="M99" s="97"/>
      <c r="N99" s="97"/>
      <c r="O99" s="97"/>
      <c r="P99" s="55">
        <v>3616</v>
      </c>
      <c r="Q99" s="56">
        <v>60000</v>
      </c>
      <c r="R99" s="56">
        <v>200000000</v>
      </c>
      <c r="S99" s="56"/>
      <c r="T99" s="52"/>
    </row>
    <row r="100" spans="1:20" s="35" customFormat="1" ht="20.25" customHeight="1" thickBot="1" x14ac:dyDescent="0.2">
      <c r="A100" s="53"/>
      <c r="B100" s="47" t="s">
        <v>196</v>
      </c>
      <c r="C100" s="54">
        <v>43460</v>
      </c>
      <c r="D100" s="54">
        <v>43474</v>
      </c>
      <c r="E100" s="47" t="s">
        <v>234</v>
      </c>
      <c r="F100" s="47" t="s">
        <v>21</v>
      </c>
      <c r="G100" s="47" t="s">
        <v>190</v>
      </c>
      <c r="H100" s="47">
        <f>ROUND(R100/P100,0)</f>
        <v>55310</v>
      </c>
      <c r="I100" s="65">
        <v>4194.5600000000004</v>
      </c>
      <c r="J100" s="46">
        <f t="shared" si="16"/>
        <v>0.3615982643283312</v>
      </c>
      <c r="K100" s="47" t="s">
        <v>198</v>
      </c>
      <c r="L100" s="97"/>
      <c r="M100" s="97"/>
      <c r="N100" s="97"/>
      <c r="O100" s="97"/>
      <c r="P100" s="55">
        <v>3616</v>
      </c>
      <c r="Q100" s="56">
        <v>20000</v>
      </c>
      <c r="R100" s="56">
        <v>200000000</v>
      </c>
      <c r="S100" s="56"/>
      <c r="T100" s="52"/>
    </row>
    <row r="101" spans="1:20" s="34" customFormat="1" ht="20.25" customHeight="1" x14ac:dyDescent="0.15">
      <c r="A101" s="53"/>
      <c r="B101" s="47" t="s">
        <v>193</v>
      </c>
      <c r="C101" s="54">
        <v>43461</v>
      </c>
      <c r="D101" s="54">
        <v>43692</v>
      </c>
      <c r="E101" s="47" t="s">
        <v>199</v>
      </c>
      <c r="F101" s="47" t="s">
        <v>21</v>
      </c>
      <c r="G101" s="47" t="s">
        <v>190</v>
      </c>
      <c r="H101" s="47">
        <f>1930*5</f>
        <v>9650</v>
      </c>
      <c r="I101" s="47">
        <v>8260</v>
      </c>
      <c r="J101" s="65">
        <f t="shared" si="16"/>
        <v>478.95378238341971</v>
      </c>
      <c r="K101" s="47" t="s">
        <v>201</v>
      </c>
      <c r="L101" s="97"/>
      <c r="M101" s="97"/>
      <c r="N101" s="97"/>
      <c r="O101" s="97"/>
      <c r="P101" s="56">
        <v>8260</v>
      </c>
      <c r="Q101" s="56">
        <f>9243808/2</f>
        <v>4621904</v>
      </c>
      <c r="R101" s="56">
        <f>P101*H101</f>
        <v>79709000</v>
      </c>
      <c r="S101" s="56"/>
      <c r="T101" s="52"/>
    </row>
    <row r="102" spans="1:20" s="35" customFormat="1" ht="20.25" customHeight="1" x14ac:dyDescent="0.15">
      <c r="A102" s="53"/>
      <c r="B102" s="47" t="s">
        <v>193</v>
      </c>
      <c r="C102" s="54">
        <v>43461</v>
      </c>
      <c r="D102" s="54">
        <v>43692</v>
      </c>
      <c r="E102" s="47" t="s">
        <v>199</v>
      </c>
      <c r="F102" s="47" t="s">
        <v>21</v>
      </c>
      <c r="G102" s="47" t="s">
        <v>200</v>
      </c>
      <c r="H102" s="47">
        <f>2130*5</f>
        <v>10650</v>
      </c>
      <c r="I102" s="47">
        <v>8260</v>
      </c>
      <c r="J102" s="65">
        <f t="shared" si="16"/>
        <v>433.98159624413148</v>
      </c>
      <c r="K102" s="47" t="s">
        <v>201</v>
      </c>
      <c r="L102" s="97"/>
      <c r="M102" s="97"/>
      <c r="N102" s="97"/>
      <c r="O102" s="97"/>
      <c r="P102" s="56">
        <v>8260</v>
      </c>
      <c r="Q102" s="56">
        <f>9243808/2</f>
        <v>4621904</v>
      </c>
      <c r="R102" s="56">
        <f>P102*H102</f>
        <v>87969000</v>
      </c>
      <c r="S102" s="56"/>
      <c r="T102" s="52"/>
    </row>
    <row r="103" spans="1:20" s="35" customFormat="1" ht="20.25" customHeight="1" x14ac:dyDescent="0.15">
      <c r="A103" s="53"/>
      <c r="B103" s="47" t="s">
        <v>193</v>
      </c>
      <c r="C103" s="54">
        <v>43461</v>
      </c>
      <c r="D103" s="54">
        <v>43490</v>
      </c>
      <c r="E103" s="47" t="s">
        <v>199</v>
      </c>
      <c r="F103" s="47" t="s">
        <v>38</v>
      </c>
      <c r="G103" s="47" t="s">
        <v>190</v>
      </c>
      <c r="H103" s="47">
        <f>720*5</f>
        <v>3600</v>
      </c>
      <c r="I103" s="47">
        <v>8260</v>
      </c>
      <c r="J103" s="65">
        <f t="shared" si="16"/>
        <v>164.57</v>
      </c>
      <c r="K103" s="47" t="s">
        <v>201</v>
      </c>
      <c r="L103" s="97"/>
      <c r="M103" s="97"/>
      <c r="N103" s="97"/>
      <c r="O103" s="97"/>
      <c r="P103" s="56">
        <v>8260</v>
      </c>
      <c r="Q103" s="56">
        <f>1184904/2</f>
        <v>592452</v>
      </c>
      <c r="R103" s="56">
        <f>P103*H103</f>
        <v>29736000</v>
      </c>
      <c r="S103" s="56"/>
      <c r="T103" s="52"/>
    </row>
    <row r="104" spans="1:20" s="36" customFormat="1" ht="20.25" customHeight="1" thickBot="1" x14ac:dyDescent="0.2">
      <c r="A104" s="53"/>
      <c r="B104" s="47" t="s">
        <v>193</v>
      </c>
      <c r="C104" s="54">
        <v>43461</v>
      </c>
      <c r="D104" s="54">
        <v>43490</v>
      </c>
      <c r="E104" s="47" t="s">
        <v>199</v>
      </c>
      <c r="F104" s="47" t="s">
        <v>38</v>
      </c>
      <c r="G104" s="47" t="s">
        <v>200</v>
      </c>
      <c r="H104" s="47">
        <f>720*5</f>
        <v>3600</v>
      </c>
      <c r="I104" s="47">
        <v>8260</v>
      </c>
      <c r="J104" s="65">
        <f t="shared" si="16"/>
        <v>164.57</v>
      </c>
      <c r="K104" s="47" t="s">
        <v>201</v>
      </c>
      <c r="L104" s="97"/>
      <c r="M104" s="97"/>
      <c r="N104" s="97"/>
      <c r="O104" s="97"/>
      <c r="P104" s="56">
        <v>8260</v>
      </c>
      <c r="Q104" s="56">
        <f>1184904/2</f>
        <v>592452</v>
      </c>
      <c r="R104" s="56">
        <f>P104*H104</f>
        <v>29736000</v>
      </c>
      <c r="S104" s="56"/>
      <c r="T104" s="52"/>
    </row>
    <row r="105" spans="1:20" ht="18.75" customHeight="1" x14ac:dyDescent="0.15">
      <c r="A105" s="53"/>
      <c r="B105" s="220" t="s">
        <v>189</v>
      </c>
      <c r="C105" s="223">
        <v>43462</v>
      </c>
      <c r="D105" s="223">
        <v>43493</v>
      </c>
      <c r="E105" s="220" t="s">
        <v>202</v>
      </c>
      <c r="F105" s="220" t="s">
        <v>21</v>
      </c>
      <c r="G105" s="47" t="s">
        <v>177</v>
      </c>
      <c r="H105" s="47">
        <v>1000</v>
      </c>
      <c r="I105" s="47">
        <v>6445</v>
      </c>
      <c r="J105" s="47">
        <v>111.11</v>
      </c>
      <c r="K105" s="220" t="s">
        <v>203</v>
      </c>
      <c r="L105" s="97"/>
      <c r="M105" s="97"/>
      <c r="N105" s="97"/>
      <c r="O105" s="97"/>
      <c r="P105" s="55">
        <f>I105</f>
        <v>6445</v>
      </c>
      <c r="Q105" s="56">
        <f>J105*H105</f>
        <v>111110</v>
      </c>
      <c r="R105" s="56">
        <f>H105*P105</f>
        <v>6445000</v>
      </c>
      <c r="S105" s="56"/>
      <c r="T105" s="52"/>
    </row>
    <row r="106" spans="1:20" ht="15" hidden="1" customHeight="1" thickBot="1" x14ac:dyDescent="0.2">
      <c r="A106" s="32"/>
      <c r="B106" s="227"/>
      <c r="C106" s="228"/>
      <c r="D106" s="229"/>
      <c r="E106" s="230"/>
      <c r="F106" s="230"/>
      <c r="G106" s="43" t="s">
        <v>25</v>
      </c>
      <c r="H106" s="33">
        <v>1000</v>
      </c>
      <c r="I106" s="33">
        <v>6445</v>
      </c>
      <c r="J106" s="43">
        <v>111.11</v>
      </c>
      <c r="K106" s="230"/>
      <c r="L106" s="97"/>
      <c r="M106" s="97"/>
      <c r="N106" s="97"/>
      <c r="O106" s="97"/>
      <c r="P106" s="10">
        <f>I106</f>
        <v>6445</v>
      </c>
      <c r="Q106" s="11">
        <f>J106*H106</f>
        <v>111110</v>
      </c>
      <c r="R106" s="11">
        <f>H106*P106</f>
        <v>6445000</v>
      </c>
      <c r="S106" s="56"/>
    </row>
    <row r="107" spans="1:20" ht="14.25" hidden="1" customHeight="1" x14ac:dyDescent="0.15">
      <c r="A107" s="31"/>
      <c r="B107" s="231" t="s">
        <v>189</v>
      </c>
      <c r="C107" s="233">
        <v>43467</v>
      </c>
      <c r="D107" s="233">
        <v>43497</v>
      </c>
      <c r="E107" s="226" t="s">
        <v>219</v>
      </c>
      <c r="F107" s="226" t="s">
        <v>21</v>
      </c>
      <c r="G107" s="38" t="s">
        <v>177</v>
      </c>
      <c r="H107" s="24">
        <v>30000</v>
      </c>
      <c r="I107" s="24">
        <v>372</v>
      </c>
      <c r="J107" s="38">
        <v>16</v>
      </c>
      <c r="K107" s="226" t="s">
        <v>236</v>
      </c>
      <c r="L107" s="97">
        <v>6445</v>
      </c>
      <c r="M107" s="97">
        <v>111110</v>
      </c>
      <c r="N107" s="97">
        <v>6445000</v>
      </c>
      <c r="O107" s="97"/>
      <c r="P107" s="10">
        <v>372</v>
      </c>
      <c r="Q107" s="11">
        <f>J107*H107</f>
        <v>480000</v>
      </c>
      <c r="R107" s="11">
        <f>H107*P107</f>
        <v>11160000</v>
      </c>
      <c r="S107" s="56"/>
    </row>
    <row r="108" spans="1:20" ht="15" hidden="1" customHeight="1" thickBot="1" x14ac:dyDescent="0.2">
      <c r="A108" s="32"/>
      <c r="B108" s="232"/>
      <c r="C108" s="233"/>
      <c r="D108" s="233"/>
      <c r="E108" s="226"/>
      <c r="F108" s="226"/>
      <c r="G108" s="38" t="s">
        <v>25</v>
      </c>
      <c r="H108" s="24">
        <v>30000</v>
      </c>
      <c r="I108" s="24">
        <v>372</v>
      </c>
      <c r="J108" s="38">
        <v>16</v>
      </c>
      <c r="K108" s="226"/>
      <c r="L108" s="97">
        <v>6445</v>
      </c>
      <c r="M108" s="97">
        <v>111110</v>
      </c>
      <c r="N108" s="97">
        <v>6445000</v>
      </c>
      <c r="O108" s="97"/>
      <c r="P108" s="10">
        <v>372</v>
      </c>
      <c r="Q108" s="11">
        <f>J108*H108</f>
        <v>480000</v>
      </c>
      <c r="R108" s="11">
        <f>H108*P108</f>
        <v>11160000</v>
      </c>
      <c r="S108" s="56"/>
    </row>
    <row r="109" spans="1:20" ht="14.25" hidden="1" customHeight="1" x14ac:dyDescent="0.15">
      <c r="B109" s="225" t="s">
        <v>225</v>
      </c>
      <c r="C109" s="237">
        <v>43467</v>
      </c>
      <c r="D109" s="237">
        <v>43495</v>
      </c>
      <c r="E109" s="225" t="s">
        <v>230</v>
      </c>
      <c r="F109" s="225" t="s">
        <v>222</v>
      </c>
      <c r="G109" s="41" t="s">
        <v>223</v>
      </c>
      <c r="H109" s="41">
        <v>200</v>
      </c>
      <c r="I109" s="41">
        <v>50130</v>
      </c>
      <c r="J109" s="225">
        <v>397.36</v>
      </c>
      <c r="K109" s="225" t="s">
        <v>235</v>
      </c>
      <c r="L109" s="97"/>
      <c r="M109" s="97"/>
      <c r="N109" s="97"/>
      <c r="O109" s="97"/>
      <c r="P109" s="239">
        <v>47870</v>
      </c>
      <c r="Q109" s="234">
        <f>J109*H109</f>
        <v>79472</v>
      </c>
      <c r="R109" s="234">
        <f>P109*H109*2</f>
        <v>19148000</v>
      </c>
      <c r="S109" s="56"/>
    </row>
    <row r="110" spans="1:20" ht="14.25" hidden="1" customHeight="1" x14ac:dyDescent="0.15">
      <c r="B110" s="225"/>
      <c r="C110" s="237"/>
      <c r="D110" s="237"/>
      <c r="E110" s="225"/>
      <c r="F110" s="225"/>
      <c r="G110" s="41" t="s">
        <v>224</v>
      </c>
      <c r="H110" s="41">
        <v>200</v>
      </c>
      <c r="I110" s="41">
        <v>46300</v>
      </c>
      <c r="J110" s="225"/>
      <c r="K110" s="225"/>
      <c r="L110" s="97"/>
      <c r="M110" s="97"/>
      <c r="N110" s="97"/>
      <c r="O110" s="97"/>
      <c r="P110" s="239"/>
      <c r="Q110" s="234"/>
      <c r="R110" s="234"/>
      <c r="S110" s="56"/>
    </row>
    <row r="111" spans="1:20" s="37" customFormat="1" ht="14.25" hidden="1" customHeight="1" x14ac:dyDescent="0.15">
      <c r="B111" s="235" t="s">
        <v>226</v>
      </c>
      <c r="C111" s="236">
        <v>43467</v>
      </c>
      <c r="D111" s="236">
        <v>43495</v>
      </c>
      <c r="E111" s="235" t="s">
        <v>221</v>
      </c>
      <c r="F111" s="235" t="s">
        <v>222</v>
      </c>
      <c r="G111" s="40" t="s">
        <v>223</v>
      </c>
      <c r="H111" s="40">
        <v>200</v>
      </c>
      <c r="I111" s="40">
        <v>50130</v>
      </c>
      <c r="J111" s="235">
        <v>397.36</v>
      </c>
      <c r="K111" s="225" t="s">
        <v>237</v>
      </c>
      <c r="L111" s="97"/>
      <c r="M111" s="97"/>
      <c r="N111" s="97"/>
      <c r="O111" s="97"/>
      <c r="P111" s="241">
        <v>47870</v>
      </c>
      <c r="Q111" s="238">
        <f>J111*H111</f>
        <v>79472</v>
      </c>
      <c r="R111" s="238">
        <f>P111*H111*2</f>
        <v>19148000</v>
      </c>
      <c r="S111" s="56"/>
    </row>
    <row r="112" spans="1:20" s="37" customFormat="1" ht="14.25" hidden="1" customHeight="1" x14ac:dyDescent="0.15">
      <c r="B112" s="235"/>
      <c r="C112" s="236"/>
      <c r="D112" s="236"/>
      <c r="E112" s="235"/>
      <c r="F112" s="235"/>
      <c r="G112" s="40" t="s">
        <v>224</v>
      </c>
      <c r="H112" s="40">
        <v>200</v>
      </c>
      <c r="I112" s="40">
        <v>46300</v>
      </c>
      <c r="J112" s="235"/>
      <c r="K112" s="225"/>
      <c r="L112" s="97"/>
      <c r="M112" s="97"/>
      <c r="N112" s="97"/>
      <c r="O112" s="97"/>
      <c r="P112" s="241"/>
      <c r="Q112" s="238"/>
      <c r="R112" s="238"/>
      <c r="S112" s="56"/>
    </row>
    <row r="113" spans="1:20" ht="14.25" hidden="1" customHeight="1" x14ac:dyDescent="0.15">
      <c r="B113" s="225" t="s">
        <v>227</v>
      </c>
      <c r="C113" s="237">
        <v>43467</v>
      </c>
      <c r="D113" s="237">
        <v>43495</v>
      </c>
      <c r="E113" s="225" t="s">
        <v>221</v>
      </c>
      <c r="F113" s="225" t="s">
        <v>222</v>
      </c>
      <c r="G113" s="41" t="s">
        <v>223</v>
      </c>
      <c r="H113" s="41">
        <v>200</v>
      </c>
      <c r="I113" s="41">
        <v>50130</v>
      </c>
      <c r="J113" s="225">
        <v>397.36</v>
      </c>
      <c r="K113" s="225" t="s">
        <v>238</v>
      </c>
      <c r="L113" s="97"/>
      <c r="M113" s="97"/>
      <c r="N113" s="97"/>
      <c r="O113" s="97"/>
      <c r="P113" s="239">
        <v>47870</v>
      </c>
      <c r="Q113" s="234">
        <f>J113*H113</f>
        <v>79472</v>
      </c>
      <c r="R113" s="234">
        <f>P113*H113*2</f>
        <v>19148000</v>
      </c>
      <c r="S113" s="56"/>
    </row>
    <row r="114" spans="1:20" ht="14.25" hidden="1" customHeight="1" x14ac:dyDescent="0.15">
      <c r="B114" s="225"/>
      <c r="C114" s="237"/>
      <c r="D114" s="237"/>
      <c r="E114" s="225"/>
      <c r="F114" s="225"/>
      <c r="G114" s="41" t="s">
        <v>224</v>
      </c>
      <c r="H114" s="41">
        <v>200</v>
      </c>
      <c r="I114" s="41">
        <v>46300</v>
      </c>
      <c r="J114" s="225"/>
      <c r="K114" s="225"/>
      <c r="L114" s="97"/>
      <c r="M114" s="97"/>
      <c r="N114" s="97"/>
      <c r="O114" s="97"/>
      <c r="P114" s="239"/>
      <c r="Q114" s="234"/>
      <c r="R114" s="234"/>
      <c r="S114" s="56"/>
    </row>
    <row r="115" spans="1:20" s="37" customFormat="1" ht="14.25" hidden="1" customHeight="1" x14ac:dyDescent="0.15">
      <c r="B115" s="235" t="s">
        <v>228</v>
      </c>
      <c r="C115" s="236">
        <v>43467</v>
      </c>
      <c r="D115" s="236">
        <v>43495</v>
      </c>
      <c r="E115" s="235" t="s">
        <v>221</v>
      </c>
      <c r="F115" s="235" t="s">
        <v>222</v>
      </c>
      <c r="G115" s="40" t="s">
        <v>223</v>
      </c>
      <c r="H115" s="40">
        <v>200</v>
      </c>
      <c r="I115" s="40">
        <v>50130</v>
      </c>
      <c r="J115" s="235">
        <v>397.36</v>
      </c>
      <c r="K115" s="225" t="s">
        <v>239</v>
      </c>
      <c r="L115" s="97"/>
      <c r="M115" s="97"/>
      <c r="N115" s="97"/>
      <c r="O115" s="97"/>
      <c r="P115" s="241">
        <v>47870</v>
      </c>
      <c r="Q115" s="238">
        <f>J115*H115</f>
        <v>79472</v>
      </c>
      <c r="R115" s="238">
        <f>P115*H115*2</f>
        <v>19148000</v>
      </c>
      <c r="S115" s="56"/>
    </row>
    <row r="116" spans="1:20" s="37" customFormat="1" ht="18" hidden="1" customHeight="1" x14ac:dyDescent="0.15">
      <c r="B116" s="235"/>
      <c r="C116" s="236"/>
      <c r="D116" s="236"/>
      <c r="E116" s="235"/>
      <c r="F116" s="235"/>
      <c r="G116" s="40" t="s">
        <v>224</v>
      </c>
      <c r="H116" s="40">
        <v>200</v>
      </c>
      <c r="I116" s="40">
        <v>46300</v>
      </c>
      <c r="J116" s="235"/>
      <c r="K116" s="225"/>
      <c r="L116" s="97"/>
      <c r="M116" s="97"/>
      <c r="N116" s="97"/>
      <c r="O116" s="97"/>
      <c r="P116" s="241"/>
      <c r="Q116" s="238"/>
      <c r="R116" s="238"/>
      <c r="S116" s="56"/>
    </row>
    <row r="117" spans="1:20" ht="17.25" hidden="1" customHeight="1" x14ac:dyDescent="0.15">
      <c r="B117" s="225" t="s">
        <v>229</v>
      </c>
      <c r="C117" s="237">
        <v>43467</v>
      </c>
      <c r="D117" s="237">
        <v>43495</v>
      </c>
      <c r="E117" s="225" t="s">
        <v>221</v>
      </c>
      <c r="F117" s="225" t="s">
        <v>222</v>
      </c>
      <c r="G117" s="41" t="s">
        <v>223</v>
      </c>
      <c r="H117" s="41">
        <v>200</v>
      </c>
      <c r="I117" s="41">
        <v>50130</v>
      </c>
      <c r="J117" s="225">
        <v>397.36</v>
      </c>
      <c r="K117" s="225" t="s">
        <v>240</v>
      </c>
      <c r="L117" s="97"/>
      <c r="M117" s="97"/>
      <c r="N117" s="97"/>
      <c r="O117" s="97"/>
      <c r="P117" s="239">
        <v>47870</v>
      </c>
      <c r="Q117" s="234">
        <f>J117*H117</f>
        <v>79472</v>
      </c>
      <c r="R117" s="234">
        <f>P117*H117*2</f>
        <v>19148000</v>
      </c>
      <c r="S117" s="56"/>
    </row>
    <row r="118" spans="1:20" ht="39" hidden="1" customHeight="1" x14ac:dyDescent="0.15">
      <c r="B118" s="240"/>
      <c r="C118" s="244"/>
      <c r="D118" s="244"/>
      <c r="E118" s="240"/>
      <c r="F118" s="240"/>
      <c r="G118" s="49" t="s">
        <v>224</v>
      </c>
      <c r="H118" s="49">
        <v>200</v>
      </c>
      <c r="I118" s="49">
        <v>46300</v>
      </c>
      <c r="J118" s="240"/>
      <c r="K118" s="240"/>
      <c r="L118" s="97"/>
      <c r="M118" s="97"/>
      <c r="N118" s="97"/>
      <c r="O118" s="97"/>
      <c r="P118" s="242"/>
      <c r="Q118" s="243"/>
      <c r="R118" s="243"/>
      <c r="S118" s="56"/>
    </row>
    <row r="119" spans="1:20" ht="20.25" customHeight="1" x14ac:dyDescent="0.15">
      <c r="A119" s="53"/>
      <c r="B119" s="90" t="s">
        <v>189</v>
      </c>
      <c r="C119" s="48">
        <v>43462</v>
      </c>
      <c r="D119" s="48">
        <v>43493</v>
      </c>
      <c r="E119" s="48" t="s">
        <v>206</v>
      </c>
      <c r="F119" s="48" t="s">
        <v>21</v>
      </c>
      <c r="G119" s="90" t="s">
        <v>25</v>
      </c>
      <c r="H119" s="90">
        <v>1000</v>
      </c>
      <c r="I119" s="90">
        <v>6445</v>
      </c>
      <c r="J119" s="90">
        <v>111.11</v>
      </c>
      <c r="K119" s="90" t="s">
        <v>249</v>
      </c>
      <c r="L119" s="97"/>
      <c r="M119" s="97"/>
      <c r="N119" s="97"/>
      <c r="O119" s="97"/>
      <c r="P119" s="91">
        <f>I119</f>
        <v>6445</v>
      </c>
      <c r="Q119" s="89">
        <f>J119*H119</f>
        <v>111110</v>
      </c>
      <c r="R119" s="89">
        <f>H119*P119</f>
        <v>6445000</v>
      </c>
      <c r="S119" s="56"/>
      <c r="T119" s="52"/>
    </row>
    <row r="120" spans="1:20" hidden="1" x14ac:dyDescent="0.15">
      <c r="P120" s="28"/>
      <c r="Q120" s="29">
        <f>SUM(Q77,Q78,Q79,Q87,Q88,Q91,Q92,Q98,Q99,Q103,Q104)</f>
        <v>2513284</v>
      </c>
    </row>
    <row r="121" spans="1:20" hidden="1" x14ac:dyDescent="0.15">
      <c r="Q121" s="11">
        <f>SUM(Q80,Q81,Q82,Q84,Q86,Q89,Q90,Q93,Q94,Q95,Q97,Q100,Q101,Q102,Q105,Q119)</f>
        <v>10532493</v>
      </c>
    </row>
  </sheetData>
  <autoFilter ref="B1:S121">
    <filterColumn colId="1">
      <filters>
        <dateGroupItem year="2018" month="12" dateTimeGrouping="month"/>
      </filters>
    </filterColumn>
    <filterColumn colId="13">
      <filters blank="1">
        <dateGroupItem year="2018" dateTimeGrouping="year"/>
      </filters>
    </filterColumn>
  </autoFilter>
  <mergeCells count="92">
    <mergeCell ref="R115:R116"/>
    <mergeCell ref="B117:B118"/>
    <mergeCell ref="C117:C118"/>
    <mergeCell ref="D117:D118"/>
    <mergeCell ref="E117:E118"/>
    <mergeCell ref="F117:F118"/>
    <mergeCell ref="B115:B116"/>
    <mergeCell ref="C115:C116"/>
    <mergeCell ref="D115:D116"/>
    <mergeCell ref="E115:E116"/>
    <mergeCell ref="F115:F116"/>
    <mergeCell ref="J113:J114"/>
    <mergeCell ref="Q113:Q114"/>
    <mergeCell ref="R113:R114"/>
    <mergeCell ref="J117:J118"/>
    <mergeCell ref="K111:K112"/>
    <mergeCell ref="P111:P112"/>
    <mergeCell ref="K113:K114"/>
    <mergeCell ref="P113:P114"/>
    <mergeCell ref="J115:J116"/>
    <mergeCell ref="K117:K118"/>
    <mergeCell ref="P117:P118"/>
    <mergeCell ref="Q117:Q118"/>
    <mergeCell ref="R117:R118"/>
    <mergeCell ref="K115:K116"/>
    <mergeCell ref="P115:P116"/>
    <mergeCell ref="Q115:Q116"/>
    <mergeCell ref="B113:B114"/>
    <mergeCell ref="C113:C114"/>
    <mergeCell ref="D113:D114"/>
    <mergeCell ref="E113:E114"/>
    <mergeCell ref="F113:F114"/>
    <mergeCell ref="Q109:Q110"/>
    <mergeCell ref="R109:R110"/>
    <mergeCell ref="B111:B112"/>
    <mergeCell ref="C111:C112"/>
    <mergeCell ref="D111:D112"/>
    <mergeCell ref="E111:E112"/>
    <mergeCell ref="F111:F112"/>
    <mergeCell ref="J111:J112"/>
    <mergeCell ref="B109:B110"/>
    <mergeCell ref="C109:C110"/>
    <mergeCell ref="Q111:Q112"/>
    <mergeCell ref="R111:R112"/>
    <mergeCell ref="K109:K110"/>
    <mergeCell ref="P109:P110"/>
    <mergeCell ref="D109:D110"/>
    <mergeCell ref="E109:E110"/>
    <mergeCell ref="F109:F110"/>
    <mergeCell ref="J109:J110"/>
    <mergeCell ref="K107:K108"/>
    <mergeCell ref="B105:B106"/>
    <mergeCell ref="C105:C106"/>
    <mergeCell ref="D105:D106"/>
    <mergeCell ref="E105:E106"/>
    <mergeCell ref="F105:F106"/>
    <mergeCell ref="K105:K106"/>
    <mergeCell ref="B107:B108"/>
    <mergeCell ref="C107:C108"/>
    <mergeCell ref="D107:D108"/>
    <mergeCell ref="E107:E108"/>
    <mergeCell ref="F107:F108"/>
    <mergeCell ref="K95:K96"/>
    <mergeCell ref="B84:B85"/>
    <mergeCell ref="C84:C85"/>
    <mergeCell ref="D84:D85"/>
    <mergeCell ref="E84:E85"/>
    <mergeCell ref="F84:F85"/>
    <mergeCell ref="K84:K85"/>
    <mergeCell ref="B95:B96"/>
    <mergeCell ref="C95:C96"/>
    <mergeCell ref="D95:D96"/>
    <mergeCell ref="E95:E96"/>
    <mergeCell ref="F95:F96"/>
    <mergeCell ref="K82:K83"/>
    <mergeCell ref="B82:B83"/>
    <mergeCell ref="C82:C83"/>
    <mergeCell ref="D82:D83"/>
    <mergeCell ref="E82:E83"/>
    <mergeCell ref="F82:F83"/>
    <mergeCell ref="C74:C75"/>
    <mergeCell ref="D74:D75"/>
    <mergeCell ref="S22:S23"/>
    <mergeCell ref="B72:B73"/>
    <mergeCell ref="C72:C73"/>
    <mergeCell ref="D72:D73"/>
    <mergeCell ref="E72:E73"/>
    <mergeCell ref="K72:K73"/>
    <mergeCell ref="E74:E75"/>
    <mergeCell ref="F74:F75"/>
    <mergeCell ref="K74:K75"/>
    <mergeCell ref="B74:B75"/>
  </mergeCells>
  <phoneticPr fontId="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filterMode="1"/>
  <dimension ref="A1:S117"/>
  <sheetViews>
    <sheetView workbookViewId="0">
      <selection activeCell="J84" sqref="J84"/>
    </sheetView>
  </sheetViews>
  <sheetFormatPr defaultColWidth="9" defaultRowHeight="14.25" x14ac:dyDescent="0.15"/>
  <cols>
    <col min="1" max="1" width="26.125" style="85" customWidth="1"/>
    <col min="2" max="3" width="14.625" style="86" customWidth="1"/>
    <col min="4" max="4" width="13.75" style="85" customWidth="1"/>
    <col min="5" max="5" width="9.375" style="85" customWidth="1"/>
    <col min="6" max="6" width="21.875" style="3" hidden="1" customWidth="1"/>
    <col min="7" max="7" width="18.375" style="3" hidden="1" customWidth="1"/>
    <col min="8" max="8" width="20.25" style="3" hidden="1" customWidth="1"/>
    <col min="9" max="9" width="14" style="3" hidden="1" customWidth="1"/>
    <col min="10" max="10" width="13.625" style="85" customWidth="1"/>
    <col min="11" max="11" width="11.5" style="85" customWidth="1"/>
    <col min="12" max="12" width="14.375" style="85" customWidth="1"/>
    <col min="13" max="13" width="15" style="85" customWidth="1"/>
    <col min="14" max="14" width="15.75" style="85" customWidth="1"/>
    <col min="15" max="15" width="11.875" style="87" customWidth="1"/>
    <col min="16" max="16" width="16.125" style="88" customWidth="1"/>
    <col min="17" max="17" width="17.625" style="88" customWidth="1"/>
    <col min="18" max="18" width="14.625" style="85" customWidth="1"/>
    <col min="19" max="19" width="10.5" style="85" customWidth="1"/>
    <col min="20" max="20" width="9" style="1"/>
    <col min="21" max="21" width="10.5" style="1" customWidth="1"/>
    <col min="22" max="16384" width="9" style="1"/>
  </cols>
  <sheetData>
    <row r="1" spans="1:19" s="6" customFormat="1" ht="27" x14ac:dyDescent="0.15">
      <c r="A1" s="79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79" t="s">
        <v>9</v>
      </c>
      <c r="K1" s="79" t="s">
        <v>10</v>
      </c>
      <c r="L1" s="79" t="s">
        <v>11</v>
      </c>
      <c r="M1" s="79" t="s">
        <v>12</v>
      </c>
      <c r="N1" s="79" t="s">
        <v>13</v>
      </c>
      <c r="O1" s="80" t="s">
        <v>14</v>
      </c>
      <c r="P1" s="81" t="s">
        <v>15</v>
      </c>
      <c r="Q1" s="82" t="s">
        <v>16</v>
      </c>
      <c r="R1" s="79" t="s">
        <v>17</v>
      </c>
      <c r="S1" s="83" t="s">
        <v>18</v>
      </c>
    </row>
    <row r="2" spans="1:19" s="7" customFormat="1" hidden="1" x14ac:dyDescent="0.15">
      <c r="A2" s="3" t="s">
        <v>19</v>
      </c>
      <c r="B2" s="4">
        <v>42962</v>
      </c>
      <c r="C2" s="4">
        <v>43063</v>
      </c>
      <c r="D2" s="3" t="s">
        <v>20</v>
      </c>
      <c r="E2" s="3" t="s">
        <v>21</v>
      </c>
      <c r="F2" s="3" t="s">
        <v>22</v>
      </c>
      <c r="G2" s="3">
        <v>2000</v>
      </c>
      <c r="H2" s="3">
        <v>6500</v>
      </c>
      <c r="I2" s="3">
        <v>68</v>
      </c>
      <c r="J2" s="3" t="s">
        <v>23</v>
      </c>
      <c r="K2" s="3" t="s">
        <v>24</v>
      </c>
      <c r="L2" s="3">
        <v>6409</v>
      </c>
      <c r="M2" s="3">
        <f t="shared" ref="M2:M8" si="0">(H2-L2)*G2</f>
        <v>182000</v>
      </c>
      <c r="N2" s="4">
        <f t="shared" ref="N2:N27" si="1">C2</f>
        <v>43063</v>
      </c>
      <c r="O2" s="10">
        <f>[1]!s_dq_settle(D2,B2)</f>
        <v>0</v>
      </c>
      <c r="P2" s="11">
        <v>136000</v>
      </c>
      <c r="Q2" s="11">
        <f t="shared" ref="Q2:Q27" si="2">O2*G2</f>
        <v>0</v>
      </c>
    </row>
    <row r="3" spans="1:19" s="7" customFormat="1" hidden="1" x14ac:dyDescent="0.15">
      <c r="A3" s="3" t="s">
        <v>19</v>
      </c>
      <c r="B3" s="4">
        <v>42962</v>
      </c>
      <c r="C3" s="4">
        <v>43063</v>
      </c>
      <c r="D3" s="3" t="s">
        <v>20</v>
      </c>
      <c r="E3" s="3" t="s">
        <v>21</v>
      </c>
      <c r="F3" s="3" t="s">
        <v>25</v>
      </c>
      <c r="G3" s="3">
        <v>2000</v>
      </c>
      <c r="H3" s="3">
        <v>5800</v>
      </c>
      <c r="I3" s="3">
        <v>35</v>
      </c>
      <c r="J3" s="3" t="s">
        <v>23</v>
      </c>
      <c r="K3" s="3" t="s">
        <v>24</v>
      </c>
      <c r="L3" s="3">
        <v>6409</v>
      </c>
      <c r="M3" s="3">
        <f>(H3-L3)*G3*-1</f>
        <v>1218000</v>
      </c>
      <c r="N3" s="4">
        <f t="shared" si="1"/>
        <v>43063</v>
      </c>
      <c r="O3" s="10">
        <f>[1]!s_dq_settle(D3,B3)</f>
        <v>0</v>
      </c>
      <c r="P3" s="11">
        <v>70000</v>
      </c>
      <c r="Q3" s="11">
        <f t="shared" si="2"/>
        <v>0</v>
      </c>
    </row>
    <row r="4" spans="1:19" s="7" customFormat="1" hidden="1" x14ac:dyDescent="0.15">
      <c r="A4" s="3" t="s">
        <v>19</v>
      </c>
      <c r="B4" s="4">
        <v>42965</v>
      </c>
      <c r="C4" s="4">
        <v>43063</v>
      </c>
      <c r="D4" s="3" t="s">
        <v>20</v>
      </c>
      <c r="E4" s="3" t="s">
        <v>21</v>
      </c>
      <c r="F4" s="3" t="s">
        <v>22</v>
      </c>
      <c r="G4" s="3">
        <v>2000</v>
      </c>
      <c r="H4" s="3">
        <v>6600</v>
      </c>
      <c r="I4" s="3">
        <v>45</v>
      </c>
      <c r="J4" s="3" t="s">
        <v>26</v>
      </c>
      <c r="K4" s="3" t="s">
        <v>27</v>
      </c>
      <c r="L4" s="3">
        <v>6409</v>
      </c>
      <c r="M4" s="3">
        <f t="shared" si="0"/>
        <v>382000</v>
      </c>
      <c r="N4" s="4">
        <f t="shared" si="1"/>
        <v>43063</v>
      </c>
      <c r="O4" s="10">
        <f>[1]!s_dq_settle(D4,B4)</f>
        <v>0</v>
      </c>
      <c r="P4" s="11">
        <v>90000</v>
      </c>
      <c r="Q4" s="11">
        <f t="shared" si="2"/>
        <v>0</v>
      </c>
    </row>
    <row r="5" spans="1:19" s="7" customFormat="1" hidden="1" x14ac:dyDescent="0.15">
      <c r="A5" s="3" t="s">
        <v>19</v>
      </c>
      <c r="B5" s="4">
        <v>42965</v>
      </c>
      <c r="C5" s="4">
        <v>43063</v>
      </c>
      <c r="D5" s="3" t="s">
        <v>20</v>
      </c>
      <c r="E5" s="3" t="s">
        <v>21</v>
      </c>
      <c r="F5" s="3" t="s">
        <v>22</v>
      </c>
      <c r="G5" s="3">
        <v>2000</v>
      </c>
      <c r="H5" s="3">
        <v>6600</v>
      </c>
      <c r="I5" s="3">
        <v>52</v>
      </c>
      <c r="J5" s="3" t="s">
        <v>28</v>
      </c>
      <c r="K5" s="3" t="s">
        <v>29</v>
      </c>
      <c r="L5" s="3">
        <v>6409</v>
      </c>
      <c r="M5" s="3">
        <f t="shared" si="0"/>
        <v>382000</v>
      </c>
      <c r="N5" s="4">
        <f t="shared" si="1"/>
        <v>43063</v>
      </c>
      <c r="O5" s="10">
        <f>[1]!s_dq_settle(D5,B5)</f>
        <v>0</v>
      </c>
      <c r="P5" s="11">
        <v>104000</v>
      </c>
      <c r="Q5" s="11">
        <f t="shared" si="2"/>
        <v>0</v>
      </c>
    </row>
    <row r="6" spans="1:19" s="7" customFormat="1" hidden="1" x14ac:dyDescent="0.15">
      <c r="A6" s="3" t="s">
        <v>19</v>
      </c>
      <c r="B6" s="4">
        <v>42970</v>
      </c>
      <c r="C6" s="4">
        <v>43063</v>
      </c>
      <c r="D6" s="3" t="s">
        <v>20</v>
      </c>
      <c r="E6" s="3" t="s">
        <v>21</v>
      </c>
      <c r="F6" s="3" t="s">
        <v>25</v>
      </c>
      <c r="G6" s="3">
        <v>2000</v>
      </c>
      <c r="H6" s="3">
        <v>6000</v>
      </c>
      <c r="I6" s="3">
        <v>35</v>
      </c>
      <c r="J6" s="3" t="s">
        <v>30</v>
      </c>
      <c r="K6" s="3" t="s">
        <v>31</v>
      </c>
      <c r="L6" s="3">
        <v>6409</v>
      </c>
      <c r="M6" s="3">
        <f>(H6-L6)*G6*-1</f>
        <v>818000</v>
      </c>
      <c r="N6" s="4">
        <f t="shared" si="1"/>
        <v>43063</v>
      </c>
      <c r="O6" s="10">
        <f>[1]!s_dq_settle(D6,B6)</f>
        <v>0</v>
      </c>
      <c r="P6" s="11">
        <v>70000</v>
      </c>
      <c r="Q6" s="11">
        <f t="shared" si="2"/>
        <v>0</v>
      </c>
    </row>
    <row r="7" spans="1:19" s="7" customFormat="1" hidden="1" x14ac:dyDescent="0.15">
      <c r="A7" s="3" t="s">
        <v>19</v>
      </c>
      <c r="B7" s="4">
        <v>42972</v>
      </c>
      <c r="C7" s="4">
        <v>43063</v>
      </c>
      <c r="D7" s="3" t="s">
        <v>20</v>
      </c>
      <c r="E7" s="3" t="s">
        <v>21</v>
      </c>
      <c r="F7" s="3" t="s">
        <v>22</v>
      </c>
      <c r="G7" s="3">
        <v>1000</v>
      </c>
      <c r="H7" s="3">
        <v>6600</v>
      </c>
      <c r="I7" s="3">
        <v>53.5</v>
      </c>
      <c r="J7" s="3" t="s">
        <v>32</v>
      </c>
      <c r="K7" s="3" t="s">
        <v>33</v>
      </c>
      <c r="L7" s="3">
        <v>6409</v>
      </c>
      <c r="M7" s="3">
        <f t="shared" si="0"/>
        <v>191000</v>
      </c>
      <c r="N7" s="4">
        <f t="shared" si="1"/>
        <v>43063</v>
      </c>
      <c r="O7" s="10">
        <f>[1]!s_dq_settle(D7,B7)</f>
        <v>0</v>
      </c>
      <c r="P7" s="11">
        <v>53500</v>
      </c>
      <c r="Q7" s="11">
        <f t="shared" si="2"/>
        <v>0</v>
      </c>
    </row>
    <row r="8" spans="1:19" s="7" customFormat="1" hidden="1" x14ac:dyDescent="0.15">
      <c r="A8" s="3" t="s">
        <v>19</v>
      </c>
      <c r="B8" s="4">
        <v>42977</v>
      </c>
      <c r="C8" s="4">
        <v>43063</v>
      </c>
      <c r="D8" s="3" t="s">
        <v>20</v>
      </c>
      <c r="E8" s="3" t="s">
        <v>21</v>
      </c>
      <c r="F8" s="3" t="s">
        <v>22</v>
      </c>
      <c r="G8" s="3">
        <v>2000</v>
      </c>
      <c r="H8" s="3">
        <v>6600</v>
      </c>
      <c r="I8" s="3">
        <v>55</v>
      </c>
      <c r="J8" s="3" t="s">
        <v>34</v>
      </c>
      <c r="K8" s="3" t="s">
        <v>35</v>
      </c>
      <c r="L8" s="3">
        <v>6409</v>
      </c>
      <c r="M8" s="3">
        <f t="shared" si="0"/>
        <v>382000</v>
      </c>
      <c r="N8" s="4">
        <f t="shared" si="1"/>
        <v>43063</v>
      </c>
      <c r="O8" s="10">
        <f>[1]!s_dq_settle(D8,B8)</f>
        <v>0</v>
      </c>
      <c r="P8" s="11">
        <v>110000</v>
      </c>
      <c r="Q8" s="11">
        <f t="shared" si="2"/>
        <v>0</v>
      </c>
    </row>
    <row r="9" spans="1:19" hidden="1" x14ac:dyDescent="0.15">
      <c r="A9" s="3" t="s">
        <v>36</v>
      </c>
      <c r="B9" s="4">
        <v>42979</v>
      </c>
      <c r="C9" s="4">
        <v>43007</v>
      </c>
      <c r="D9" s="3" t="s">
        <v>37</v>
      </c>
      <c r="E9" s="3" t="s">
        <v>38</v>
      </c>
      <c r="F9" s="3" t="s">
        <v>39</v>
      </c>
      <c r="G9" s="3">
        <v>427</v>
      </c>
      <c r="H9" s="3">
        <v>15230</v>
      </c>
      <c r="I9" s="3">
        <v>678.69594847775204</v>
      </c>
      <c r="J9" s="3" t="s">
        <v>40</v>
      </c>
      <c r="K9" s="3" t="s">
        <v>41</v>
      </c>
      <c r="L9" s="3">
        <v>15498.33</v>
      </c>
      <c r="M9" s="3">
        <v>0</v>
      </c>
      <c r="N9" s="4">
        <f t="shared" si="1"/>
        <v>43007</v>
      </c>
      <c r="O9" s="16">
        <f>[1]!s_dq_settle(D9,B9)</f>
        <v>0</v>
      </c>
      <c r="P9" s="11">
        <v>289803.17</v>
      </c>
      <c r="Q9" s="11">
        <f t="shared" si="2"/>
        <v>0</v>
      </c>
      <c r="R9" s="3">
        <f>SUM(Q9:Q41)</f>
        <v>1073640000</v>
      </c>
      <c r="S9" s="1"/>
    </row>
    <row r="10" spans="1:19" hidden="1" x14ac:dyDescent="0.15">
      <c r="A10" s="3" t="s">
        <v>42</v>
      </c>
      <c r="B10" s="4">
        <v>42979</v>
      </c>
      <c r="C10" s="4">
        <v>43007</v>
      </c>
      <c r="D10" s="3" t="s">
        <v>43</v>
      </c>
      <c r="E10" s="3" t="s">
        <v>38</v>
      </c>
      <c r="F10" s="3" t="s">
        <v>39</v>
      </c>
      <c r="G10" s="3">
        <v>670</v>
      </c>
      <c r="H10" s="3">
        <v>16545</v>
      </c>
      <c r="I10" s="3">
        <v>790.8</v>
      </c>
      <c r="J10" s="3" t="s">
        <v>44</v>
      </c>
      <c r="K10" s="3" t="s">
        <v>45</v>
      </c>
      <c r="L10" s="3">
        <v>15741.43</v>
      </c>
      <c r="M10" s="3">
        <f>(H10-L10)*G10</f>
        <v>538391.89999999979</v>
      </c>
      <c r="N10" s="4">
        <f t="shared" si="1"/>
        <v>43007</v>
      </c>
      <c r="O10" s="16">
        <f>[1]!s_dq_settle(D10,B10)</f>
        <v>0</v>
      </c>
      <c r="P10" s="11">
        <v>529836</v>
      </c>
      <c r="Q10" s="11">
        <f t="shared" si="2"/>
        <v>0</v>
      </c>
      <c r="R10" s="3"/>
      <c r="S10" s="1"/>
    </row>
    <row r="11" spans="1:19" hidden="1" x14ac:dyDescent="0.15">
      <c r="A11" s="3" t="s">
        <v>46</v>
      </c>
      <c r="B11" s="4">
        <v>42979</v>
      </c>
      <c r="C11" s="4">
        <v>43098</v>
      </c>
      <c r="D11" s="3" t="s">
        <v>47</v>
      </c>
      <c r="E11" s="3" t="s">
        <v>38</v>
      </c>
      <c r="F11" s="3" t="s">
        <v>39</v>
      </c>
      <c r="G11" s="3">
        <v>22500</v>
      </c>
      <c r="H11" s="3">
        <v>1687</v>
      </c>
      <c r="I11" s="3">
        <v>60</v>
      </c>
      <c r="J11" s="3" t="s">
        <v>48</v>
      </c>
      <c r="K11" s="3"/>
      <c r="L11" s="3"/>
      <c r="M11" s="3"/>
      <c r="N11" s="4">
        <f t="shared" si="1"/>
        <v>43098</v>
      </c>
      <c r="O11" s="16">
        <f>[1]!s_dq_settle(D11,B11)</f>
        <v>0</v>
      </c>
      <c r="P11" s="11">
        <v>1350000</v>
      </c>
      <c r="Q11" s="11">
        <f t="shared" si="2"/>
        <v>0</v>
      </c>
      <c r="R11" s="3"/>
      <c r="S11" s="1"/>
    </row>
    <row r="12" spans="1:19" hidden="1" x14ac:dyDescent="0.15">
      <c r="A12" s="3" t="s">
        <v>19</v>
      </c>
      <c r="B12" s="4">
        <v>42982</v>
      </c>
      <c r="C12" s="4">
        <v>43063</v>
      </c>
      <c r="D12" s="3" t="s">
        <v>20</v>
      </c>
      <c r="E12" s="3" t="s">
        <v>21</v>
      </c>
      <c r="F12" s="3" t="s">
        <v>25</v>
      </c>
      <c r="G12" s="3">
        <v>2000</v>
      </c>
      <c r="H12" s="3">
        <v>6100</v>
      </c>
      <c r="I12" s="3">
        <v>49</v>
      </c>
      <c r="J12" s="3" t="s">
        <v>49</v>
      </c>
      <c r="K12" s="3" t="s">
        <v>50</v>
      </c>
      <c r="L12" s="3">
        <v>6409</v>
      </c>
      <c r="M12" s="3">
        <f>(H12-L12)*G12*-1</f>
        <v>618000</v>
      </c>
      <c r="N12" s="4">
        <f t="shared" si="1"/>
        <v>43063</v>
      </c>
      <c r="O12" s="16">
        <f>[1]!s_dq_settle(D12,B12)</f>
        <v>0</v>
      </c>
      <c r="P12" s="11">
        <v>98000</v>
      </c>
      <c r="Q12" s="11">
        <f t="shared" si="2"/>
        <v>0</v>
      </c>
      <c r="R12" s="3"/>
      <c r="S12" s="1"/>
    </row>
    <row r="13" spans="1:19" hidden="1" x14ac:dyDescent="0.15">
      <c r="A13" s="3" t="s">
        <v>19</v>
      </c>
      <c r="B13" s="4">
        <v>42985</v>
      </c>
      <c r="C13" s="4">
        <v>43063</v>
      </c>
      <c r="D13" s="3" t="s">
        <v>20</v>
      </c>
      <c r="E13" s="3" t="s">
        <v>21</v>
      </c>
      <c r="F13" s="3" t="s">
        <v>25</v>
      </c>
      <c r="G13" s="3">
        <v>2000</v>
      </c>
      <c r="H13" s="3">
        <v>6000</v>
      </c>
      <c r="I13" s="3">
        <v>56</v>
      </c>
      <c r="J13" s="3" t="s">
        <v>51</v>
      </c>
      <c r="K13" s="3" t="s">
        <v>52</v>
      </c>
      <c r="L13" s="3">
        <v>6409</v>
      </c>
      <c r="M13" s="3">
        <f>(H13-L13)*G13*-1</f>
        <v>818000</v>
      </c>
      <c r="N13" s="4">
        <f t="shared" si="1"/>
        <v>43063</v>
      </c>
      <c r="O13" s="16">
        <f>[1]!s_dq_settle(D13,B13)</f>
        <v>0</v>
      </c>
      <c r="P13" s="11">
        <v>112000</v>
      </c>
      <c r="Q13" s="11">
        <f t="shared" si="2"/>
        <v>0</v>
      </c>
      <c r="R13" s="3"/>
      <c r="S13" s="1"/>
    </row>
    <row r="14" spans="1:19" hidden="1" x14ac:dyDescent="0.15">
      <c r="A14" s="3" t="s">
        <v>36</v>
      </c>
      <c r="B14" s="4">
        <v>42993</v>
      </c>
      <c r="C14" s="4">
        <v>43021</v>
      </c>
      <c r="D14" s="3" t="s">
        <v>20</v>
      </c>
      <c r="E14" s="3" t="s">
        <v>38</v>
      </c>
      <c r="F14" s="3" t="s">
        <v>39</v>
      </c>
      <c r="G14" s="3">
        <v>1462.5</v>
      </c>
      <c r="H14" s="3">
        <v>6392</v>
      </c>
      <c r="I14" s="3">
        <v>222.22</v>
      </c>
      <c r="J14" s="3" t="s">
        <v>53</v>
      </c>
      <c r="K14" s="3" t="s">
        <v>54</v>
      </c>
      <c r="L14" s="3">
        <v>6150.19</v>
      </c>
      <c r="M14" s="3">
        <f>(H14-L14)*G14*0.4</f>
        <v>141458.85000000024</v>
      </c>
      <c r="N14" s="4">
        <f t="shared" si="1"/>
        <v>43021</v>
      </c>
      <c r="O14" s="16">
        <f>[1]!s_dq_settle(D14,B14)</f>
        <v>0</v>
      </c>
      <c r="P14" s="11">
        <v>324996.75</v>
      </c>
      <c r="Q14" s="11">
        <f t="shared" si="2"/>
        <v>0</v>
      </c>
      <c r="R14" s="3"/>
      <c r="S14" s="1"/>
    </row>
    <row r="15" spans="1:19" hidden="1" x14ac:dyDescent="0.15">
      <c r="A15" s="3" t="s">
        <v>55</v>
      </c>
      <c r="B15" s="4">
        <v>43004</v>
      </c>
      <c r="C15" s="4">
        <v>43034</v>
      </c>
      <c r="D15" s="3" t="s">
        <v>43</v>
      </c>
      <c r="E15" s="3" t="s">
        <v>21</v>
      </c>
      <c r="F15" s="3" t="s">
        <v>56</v>
      </c>
      <c r="G15" s="3">
        <v>200</v>
      </c>
      <c r="H15" s="3">
        <v>16500</v>
      </c>
      <c r="I15" s="3">
        <v>27</v>
      </c>
      <c r="J15" s="3" t="s">
        <v>57</v>
      </c>
      <c r="K15" s="3" t="s">
        <v>58</v>
      </c>
      <c r="L15" s="3">
        <v>13570</v>
      </c>
      <c r="M15" s="3">
        <f>I15*G15</f>
        <v>5400</v>
      </c>
      <c r="N15" s="4">
        <f t="shared" si="1"/>
        <v>43034</v>
      </c>
      <c r="O15" s="16">
        <f>[1]!s_dq_settle(D15,B15)</f>
        <v>0</v>
      </c>
      <c r="P15" s="11">
        <v>5400</v>
      </c>
      <c r="Q15" s="11">
        <f t="shared" si="2"/>
        <v>0</v>
      </c>
      <c r="R15" s="3"/>
      <c r="S15" s="1"/>
    </row>
    <row r="16" spans="1:19" hidden="1" x14ac:dyDescent="0.15">
      <c r="A16" s="3" t="s">
        <v>55</v>
      </c>
      <c r="B16" s="4">
        <v>43004</v>
      </c>
      <c r="C16" s="4">
        <v>43034</v>
      </c>
      <c r="D16" s="3" t="s">
        <v>43</v>
      </c>
      <c r="E16" s="3" t="s">
        <v>21</v>
      </c>
      <c r="F16" s="3" t="s">
        <v>59</v>
      </c>
      <c r="G16" s="3">
        <v>200</v>
      </c>
      <c r="H16" s="3">
        <v>13250</v>
      </c>
      <c r="I16" s="3">
        <v>40</v>
      </c>
      <c r="J16" s="3" t="s">
        <v>57</v>
      </c>
      <c r="K16" s="3" t="s">
        <v>58</v>
      </c>
      <c r="L16" s="3">
        <v>13570</v>
      </c>
      <c r="M16" s="3">
        <f>I16*G16</f>
        <v>8000</v>
      </c>
      <c r="N16" s="4">
        <f t="shared" si="1"/>
        <v>43034</v>
      </c>
      <c r="O16" s="16">
        <f>[1]!s_dq_settle(D16,B16)</f>
        <v>0</v>
      </c>
      <c r="P16" s="11">
        <v>8000</v>
      </c>
      <c r="Q16" s="11">
        <f t="shared" si="2"/>
        <v>0</v>
      </c>
      <c r="R16" s="3"/>
      <c r="S16" s="1"/>
    </row>
    <row r="17" spans="1:19" hidden="1" x14ac:dyDescent="0.15">
      <c r="A17" s="3" t="s">
        <v>36</v>
      </c>
      <c r="B17" s="4">
        <v>43017</v>
      </c>
      <c r="C17" s="4">
        <v>43039</v>
      </c>
      <c r="D17" s="3" t="s">
        <v>37</v>
      </c>
      <c r="E17" s="3" t="s">
        <v>38</v>
      </c>
      <c r="F17" s="3" t="s">
        <v>39</v>
      </c>
      <c r="G17" s="3">
        <v>427</v>
      </c>
      <c r="H17" s="3">
        <v>15100</v>
      </c>
      <c r="I17" s="3">
        <v>678.69594847775204</v>
      </c>
      <c r="J17" s="3" t="s">
        <v>40</v>
      </c>
      <c r="K17" s="3" t="s">
        <v>60</v>
      </c>
      <c r="L17" s="3">
        <v>15054.21</v>
      </c>
      <c r="M17" s="3">
        <f>(H17-L17)*G17</f>
        <v>19552.330000000373</v>
      </c>
      <c r="N17" s="4">
        <f t="shared" si="1"/>
        <v>43039</v>
      </c>
      <c r="O17" s="16">
        <f>[1]!s_dq_settle(D17,B17)</f>
        <v>0</v>
      </c>
      <c r="P17" s="11">
        <v>289803.17</v>
      </c>
      <c r="Q17" s="11">
        <f t="shared" si="2"/>
        <v>0</v>
      </c>
      <c r="R17" s="3"/>
      <c r="S17" s="1"/>
    </row>
    <row r="18" spans="1:19" hidden="1" x14ac:dyDescent="0.15">
      <c r="A18" s="3" t="s">
        <v>42</v>
      </c>
      <c r="B18" s="4">
        <v>43017</v>
      </c>
      <c r="C18" s="4">
        <v>43039</v>
      </c>
      <c r="D18" s="3" t="s">
        <v>43</v>
      </c>
      <c r="E18" s="3" t="s">
        <v>38</v>
      </c>
      <c r="F18" s="3" t="s">
        <v>39</v>
      </c>
      <c r="G18" s="3">
        <v>670</v>
      </c>
      <c r="H18" s="3">
        <v>13495</v>
      </c>
      <c r="I18" s="3">
        <v>790.8</v>
      </c>
      <c r="J18" s="3" t="s">
        <v>44</v>
      </c>
      <c r="K18" s="3" t="s">
        <v>61</v>
      </c>
      <c r="L18" s="3">
        <v>13440.88</v>
      </c>
      <c r="M18" s="3">
        <f>(H18-L18)*G18</f>
        <v>36260.400000000533</v>
      </c>
      <c r="N18" s="4">
        <f t="shared" si="1"/>
        <v>43039</v>
      </c>
      <c r="O18" s="16">
        <f>[1]!s_dq_settle(D18,B18)</f>
        <v>0</v>
      </c>
      <c r="P18" s="11">
        <v>529836</v>
      </c>
      <c r="Q18" s="11">
        <f t="shared" si="2"/>
        <v>0</v>
      </c>
      <c r="R18" s="3"/>
      <c r="S18" s="1"/>
    </row>
    <row r="19" spans="1:19" hidden="1" x14ac:dyDescent="0.15">
      <c r="A19" s="3" t="s">
        <v>36</v>
      </c>
      <c r="B19" s="4">
        <v>43024</v>
      </c>
      <c r="C19" s="4">
        <v>43053</v>
      </c>
      <c r="D19" s="3" t="s">
        <v>20</v>
      </c>
      <c r="E19" s="3" t="s">
        <v>38</v>
      </c>
      <c r="F19" s="3" t="s">
        <v>39</v>
      </c>
      <c r="G19" s="3">
        <v>1462.5</v>
      </c>
      <c r="H19" s="3">
        <v>6465</v>
      </c>
      <c r="I19" s="3">
        <v>222.22</v>
      </c>
      <c r="J19" s="3" t="s">
        <v>53</v>
      </c>
      <c r="K19" s="3" t="s">
        <v>62</v>
      </c>
      <c r="L19" s="3">
        <v>6360.27</v>
      </c>
      <c r="M19" s="3">
        <f>(H19-L19)*G19*0.4</f>
        <v>61267.049999999748</v>
      </c>
      <c r="N19" s="4">
        <f t="shared" si="1"/>
        <v>43053</v>
      </c>
      <c r="O19" s="16">
        <f>[1]!s_dq_settle(D19,B19)</f>
        <v>0</v>
      </c>
      <c r="P19" s="11">
        <f>I19*G19</f>
        <v>324996.75</v>
      </c>
      <c r="Q19" s="11">
        <f t="shared" si="2"/>
        <v>0</v>
      </c>
      <c r="R19" s="3"/>
      <c r="S19" s="1"/>
    </row>
    <row r="20" spans="1:19" hidden="1" x14ac:dyDescent="0.15">
      <c r="A20" s="47" t="s">
        <v>63</v>
      </c>
      <c r="B20" s="54">
        <v>43035</v>
      </c>
      <c r="C20" s="54">
        <v>43126</v>
      </c>
      <c r="D20" s="47" t="s">
        <v>64</v>
      </c>
      <c r="E20" s="47" t="s">
        <v>38</v>
      </c>
      <c r="F20" s="3" t="s">
        <v>25</v>
      </c>
      <c r="G20" s="3">
        <v>4000</v>
      </c>
      <c r="H20" s="3">
        <v>3723</v>
      </c>
      <c r="I20" s="3">
        <v>100</v>
      </c>
      <c r="J20" s="47" t="s">
        <v>65</v>
      </c>
      <c r="K20" s="47" t="s">
        <v>66</v>
      </c>
      <c r="L20" s="47"/>
      <c r="M20" s="47"/>
      <c r="N20" s="54"/>
      <c r="O20" s="84">
        <f>[1]!s_dq_settle(D20,B20)</f>
        <v>0</v>
      </c>
      <c r="P20" s="56">
        <f>I20*G20</f>
        <v>400000</v>
      </c>
      <c r="Q20" s="56">
        <f t="shared" si="2"/>
        <v>0</v>
      </c>
      <c r="R20" s="47"/>
      <c r="S20" s="47"/>
    </row>
    <row r="21" spans="1:19" hidden="1" x14ac:dyDescent="0.15">
      <c r="A21" s="47" t="s">
        <v>63</v>
      </c>
      <c r="B21" s="54">
        <v>43035</v>
      </c>
      <c r="C21" s="54">
        <v>43126</v>
      </c>
      <c r="D21" s="47" t="s">
        <v>64</v>
      </c>
      <c r="E21" s="47" t="s">
        <v>21</v>
      </c>
      <c r="F21" s="3" t="s">
        <v>25</v>
      </c>
      <c r="G21" s="3">
        <v>4000</v>
      </c>
      <c r="H21" s="3">
        <v>3350.7</v>
      </c>
      <c r="I21" s="3">
        <v>5</v>
      </c>
      <c r="J21" s="47" t="s">
        <v>65</v>
      </c>
      <c r="K21" s="47" t="s">
        <v>66</v>
      </c>
      <c r="L21" s="47"/>
      <c r="M21" s="47"/>
      <c r="N21" s="54"/>
      <c r="O21" s="84">
        <f>[1]!s_dq_settle(D21,B21)</f>
        <v>0</v>
      </c>
      <c r="P21" s="56">
        <f>I21*G21</f>
        <v>20000</v>
      </c>
      <c r="Q21" s="56">
        <f t="shared" si="2"/>
        <v>0</v>
      </c>
      <c r="R21" s="47"/>
      <c r="S21" s="47"/>
    </row>
    <row r="22" spans="1:19" hidden="1" x14ac:dyDescent="0.15">
      <c r="A22" s="47" t="s">
        <v>67</v>
      </c>
      <c r="B22" s="54">
        <v>43039</v>
      </c>
      <c r="C22" s="54">
        <v>43131</v>
      </c>
      <c r="D22" s="47" t="s">
        <v>68</v>
      </c>
      <c r="E22" s="47" t="s">
        <v>38</v>
      </c>
      <c r="F22" s="3" t="s">
        <v>59</v>
      </c>
      <c r="G22" s="3">
        <v>2000</v>
      </c>
      <c r="H22" s="3">
        <v>3781</v>
      </c>
      <c r="I22" s="3">
        <v>0</v>
      </c>
      <c r="J22" s="47" t="s">
        <v>69</v>
      </c>
      <c r="K22" s="47" t="s">
        <v>70</v>
      </c>
      <c r="L22" s="47">
        <v>3623</v>
      </c>
      <c r="M22" s="47">
        <v>58000</v>
      </c>
      <c r="N22" s="54">
        <f t="shared" si="1"/>
        <v>43131</v>
      </c>
      <c r="O22" s="84">
        <f>[1]!s_dq_settle(D22,B22)</f>
        <v>0</v>
      </c>
      <c r="P22" s="56">
        <v>0</v>
      </c>
      <c r="Q22" s="56">
        <f t="shared" si="2"/>
        <v>0</v>
      </c>
      <c r="R22" s="245" t="s">
        <v>71</v>
      </c>
      <c r="S22" s="47"/>
    </row>
    <row r="23" spans="1:19" hidden="1" x14ac:dyDescent="0.15">
      <c r="A23" s="47" t="s">
        <v>67</v>
      </c>
      <c r="B23" s="54">
        <v>43039</v>
      </c>
      <c r="C23" s="54">
        <v>43131</v>
      </c>
      <c r="D23" s="47" t="s">
        <v>68</v>
      </c>
      <c r="E23" s="47" t="s">
        <v>21</v>
      </c>
      <c r="F23" s="3" t="s">
        <v>59</v>
      </c>
      <c r="G23" s="3">
        <v>2000</v>
      </c>
      <c r="H23" s="3">
        <v>2981</v>
      </c>
      <c r="I23" s="3">
        <v>0</v>
      </c>
      <c r="J23" s="47" t="s">
        <v>69</v>
      </c>
      <c r="K23" s="47" t="s">
        <v>70</v>
      </c>
      <c r="L23" s="47">
        <v>3623</v>
      </c>
      <c r="M23" s="47">
        <v>0</v>
      </c>
      <c r="N23" s="54">
        <f t="shared" si="1"/>
        <v>43131</v>
      </c>
      <c r="O23" s="84">
        <f>[1]!s_dq_settle(D23,B23)</f>
        <v>0</v>
      </c>
      <c r="P23" s="56">
        <v>0</v>
      </c>
      <c r="Q23" s="56">
        <f t="shared" si="2"/>
        <v>0</v>
      </c>
      <c r="R23" s="245"/>
      <c r="S23" s="47"/>
    </row>
    <row r="24" spans="1:19" hidden="1" x14ac:dyDescent="0.15">
      <c r="A24" s="3" t="s">
        <v>42</v>
      </c>
      <c r="B24" s="4">
        <v>43040</v>
      </c>
      <c r="C24" s="4">
        <v>43069</v>
      </c>
      <c r="D24" s="3" t="s">
        <v>43</v>
      </c>
      <c r="E24" s="3" t="s">
        <v>38</v>
      </c>
      <c r="F24" s="3" t="s">
        <v>39</v>
      </c>
      <c r="G24" s="3">
        <v>670</v>
      </c>
      <c r="H24" s="3">
        <v>13260</v>
      </c>
      <c r="I24" s="3">
        <v>790.8</v>
      </c>
      <c r="J24" s="3" t="s">
        <v>44</v>
      </c>
      <c r="K24" s="3" t="s">
        <v>72</v>
      </c>
      <c r="L24" s="3">
        <v>13667.05</v>
      </c>
      <c r="M24" s="3">
        <v>0</v>
      </c>
      <c r="N24" s="4">
        <f t="shared" si="1"/>
        <v>43069</v>
      </c>
      <c r="O24" s="16">
        <f>[1]!s_dq_settle(D24,B24)</f>
        <v>0</v>
      </c>
      <c r="P24" s="11">
        <f>I24*G24</f>
        <v>529836</v>
      </c>
      <c r="Q24" s="11">
        <f t="shared" si="2"/>
        <v>0</v>
      </c>
      <c r="R24" s="3"/>
      <c r="S24" s="1"/>
    </row>
    <row r="25" spans="1:19" hidden="1" x14ac:dyDescent="0.15">
      <c r="A25" s="3" t="s">
        <v>36</v>
      </c>
      <c r="B25" s="4">
        <v>43040</v>
      </c>
      <c r="C25" s="4">
        <v>43069</v>
      </c>
      <c r="D25" s="3" t="s">
        <v>37</v>
      </c>
      <c r="E25" s="3" t="s">
        <v>38</v>
      </c>
      <c r="F25" s="3" t="s">
        <v>39</v>
      </c>
      <c r="G25" s="3">
        <v>427</v>
      </c>
      <c r="H25" s="3">
        <v>14970</v>
      </c>
      <c r="I25" s="3">
        <v>678.69594847775204</v>
      </c>
      <c r="J25" s="3" t="s">
        <v>40</v>
      </c>
      <c r="K25" s="3" t="s">
        <v>73</v>
      </c>
      <c r="L25" s="3">
        <v>15060.91</v>
      </c>
      <c r="M25" s="3">
        <v>0</v>
      </c>
      <c r="N25" s="4">
        <f t="shared" si="1"/>
        <v>43069</v>
      </c>
      <c r="O25" s="16">
        <f>[1]!s_dq_settle(D25,B25)</f>
        <v>0</v>
      </c>
      <c r="P25" s="11">
        <f>I25*G25</f>
        <v>289803.1700000001</v>
      </c>
      <c r="Q25" s="11">
        <f t="shared" si="2"/>
        <v>0</v>
      </c>
      <c r="R25" s="3"/>
      <c r="S25" s="1"/>
    </row>
    <row r="26" spans="1:19" hidden="1" x14ac:dyDescent="0.15">
      <c r="A26" s="3" t="s">
        <v>36</v>
      </c>
      <c r="B26" s="4">
        <v>43053</v>
      </c>
      <c r="C26" s="4">
        <v>43083</v>
      </c>
      <c r="D26" s="3" t="s">
        <v>20</v>
      </c>
      <c r="E26" s="3" t="s">
        <v>38</v>
      </c>
      <c r="F26" s="3" t="s">
        <v>39</v>
      </c>
      <c r="G26" s="3">
        <v>1575</v>
      </c>
      <c r="H26" s="3">
        <v>6694</v>
      </c>
      <c r="I26" s="3">
        <v>222.23</v>
      </c>
      <c r="J26" s="3" t="s">
        <v>53</v>
      </c>
      <c r="K26" s="3" t="s">
        <v>74</v>
      </c>
      <c r="L26" s="3">
        <v>6434.3</v>
      </c>
      <c r="M26" s="3">
        <v>-163611</v>
      </c>
      <c r="N26" s="4">
        <f t="shared" si="1"/>
        <v>43083</v>
      </c>
      <c r="O26" s="16">
        <f>[1]!s_dq_settle(D26,B26)</f>
        <v>0</v>
      </c>
      <c r="P26" s="11">
        <f t="shared" ref="P26:P58" si="3">I26*G26</f>
        <v>350012.25</v>
      </c>
      <c r="Q26" s="11">
        <f t="shared" si="2"/>
        <v>0</v>
      </c>
      <c r="R26" s="3"/>
      <c r="S26" s="1"/>
    </row>
    <row r="27" spans="1:19" hidden="1" x14ac:dyDescent="0.15">
      <c r="A27" s="3" t="s">
        <v>75</v>
      </c>
      <c r="B27" s="4">
        <v>43068</v>
      </c>
      <c r="C27" s="4">
        <v>43084</v>
      </c>
      <c r="D27" s="3" t="s">
        <v>76</v>
      </c>
      <c r="E27" s="3" t="s">
        <v>21</v>
      </c>
      <c r="F27" s="3" t="s">
        <v>59</v>
      </c>
      <c r="G27" s="3">
        <v>5000</v>
      </c>
      <c r="H27" s="3">
        <v>3800</v>
      </c>
      <c r="I27" s="3">
        <v>61</v>
      </c>
      <c r="J27" s="3" t="s">
        <v>77</v>
      </c>
      <c r="K27" s="3" t="s">
        <v>78</v>
      </c>
      <c r="L27" s="3">
        <v>4205</v>
      </c>
      <c r="M27" s="3">
        <v>305000</v>
      </c>
      <c r="N27" s="4">
        <f t="shared" si="1"/>
        <v>43084</v>
      </c>
      <c r="O27" s="16">
        <f>[1]!s_dq_settle(D27,B27)</f>
        <v>0</v>
      </c>
      <c r="P27" s="11">
        <f t="shared" si="3"/>
        <v>305000</v>
      </c>
      <c r="Q27" s="11">
        <f t="shared" si="2"/>
        <v>0</v>
      </c>
      <c r="R27" s="3"/>
      <c r="S27" s="1"/>
    </row>
    <row r="28" spans="1:19" hidden="1" x14ac:dyDescent="0.15">
      <c r="A28" s="3" t="s">
        <v>79</v>
      </c>
      <c r="B28" s="4">
        <v>43075</v>
      </c>
      <c r="C28" s="4">
        <v>43089</v>
      </c>
      <c r="D28" s="3" t="s">
        <v>80</v>
      </c>
      <c r="E28" s="3" t="s">
        <v>21</v>
      </c>
      <c r="F28" s="3" t="s">
        <v>22</v>
      </c>
      <c r="G28" s="3">
        <v>5000</v>
      </c>
      <c r="H28" s="3">
        <v>5502</v>
      </c>
      <c r="I28" s="3">
        <v>64.373000000000005</v>
      </c>
      <c r="J28" s="3" t="s">
        <v>81</v>
      </c>
      <c r="K28" s="3" t="s">
        <v>82</v>
      </c>
      <c r="L28" s="3">
        <v>139.97999999999999</v>
      </c>
      <c r="M28" s="3">
        <f>(L28-I28)*G28</f>
        <v>378034.99999999994</v>
      </c>
      <c r="N28" s="4">
        <v>43076</v>
      </c>
      <c r="O28" s="16">
        <f>[1]!s_dq_settle(D28,B28)</f>
        <v>0</v>
      </c>
      <c r="P28" s="11">
        <f t="shared" si="3"/>
        <v>321865</v>
      </c>
      <c r="Q28" s="11">
        <f>O28*G28*2</f>
        <v>0</v>
      </c>
      <c r="R28" s="3" t="s">
        <v>83</v>
      </c>
      <c r="S28" s="1"/>
    </row>
    <row r="29" spans="1:19" hidden="1" x14ac:dyDescent="0.15">
      <c r="A29" s="3" t="s">
        <v>79</v>
      </c>
      <c r="B29" s="4">
        <v>43075</v>
      </c>
      <c r="C29" s="4">
        <v>43089</v>
      </c>
      <c r="D29" s="3" t="s">
        <v>80</v>
      </c>
      <c r="E29" s="3" t="s">
        <v>21</v>
      </c>
      <c r="F29" s="3" t="s">
        <v>25</v>
      </c>
      <c r="G29" s="3">
        <v>5000</v>
      </c>
      <c r="H29" s="3">
        <v>5502</v>
      </c>
      <c r="I29" s="3">
        <v>64.373000000000005</v>
      </c>
      <c r="J29" s="3" t="s">
        <v>81</v>
      </c>
      <c r="K29" s="3" t="s">
        <v>82</v>
      </c>
      <c r="L29" s="3">
        <v>18.2</v>
      </c>
      <c r="M29" s="3">
        <f>(L29-I29)*G29</f>
        <v>-230865</v>
      </c>
      <c r="N29" s="4">
        <v>43076</v>
      </c>
      <c r="O29" s="16">
        <f>[1]!s_dq_settle(D29,B29)</f>
        <v>0</v>
      </c>
      <c r="P29" s="11">
        <f t="shared" si="3"/>
        <v>321865</v>
      </c>
      <c r="Q29" s="11">
        <f>O29*G29*2</f>
        <v>0</v>
      </c>
      <c r="R29" s="3" t="s">
        <v>83</v>
      </c>
      <c r="S29" s="1"/>
    </row>
    <row r="30" spans="1:19" hidden="1" x14ac:dyDescent="0.15">
      <c r="A30" s="3" t="s">
        <v>79</v>
      </c>
      <c r="B30" s="4">
        <v>43075</v>
      </c>
      <c r="C30" s="4">
        <v>43089</v>
      </c>
      <c r="D30" s="3" t="s">
        <v>84</v>
      </c>
      <c r="E30" s="3" t="s">
        <v>21</v>
      </c>
      <c r="F30" s="3" t="s">
        <v>22</v>
      </c>
      <c r="G30" s="3">
        <v>6000</v>
      </c>
      <c r="H30" s="3">
        <v>537</v>
      </c>
      <c r="I30" s="3">
        <v>14.848000000000001</v>
      </c>
      <c r="J30" s="3" t="s">
        <v>81</v>
      </c>
      <c r="K30" s="3" t="s">
        <v>85</v>
      </c>
      <c r="L30" s="3">
        <v>527</v>
      </c>
      <c r="M30" s="3"/>
      <c r="N30" s="4">
        <f>C30</f>
        <v>43089</v>
      </c>
      <c r="O30" s="16">
        <f>[1]!s_dq_settle(D30,B30)</f>
        <v>0</v>
      </c>
      <c r="P30" s="11">
        <f t="shared" si="3"/>
        <v>89088</v>
      </c>
      <c r="Q30" s="11">
        <f t="shared" ref="Q30:Q38" si="4">O30*G30</f>
        <v>0</v>
      </c>
      <c r="R30" s="3"/>
      <c r="S30" s="1"/>
    </row>
    <row r="31" spans="1:19" hidden="1" x14ac:dyDescent="0.15">
      <c r="A31" s="3" t="s">
        <v>79</v>
      </c>
      <c r="B31" s="4">
        <v>43075</v>
      </c>
      <c r="C31" s="4">
        <v>43089</v>
      </c>
      <c r="D31" s="3" t="s">
        <v>84</v>
      </c>
      <c r="E31" s="3" t="s">
        <v>21</v>
      </c>
      <c r="F31" s="3" t="s">
        <v>25</v>
      </c>
      <c r="G31" s="3">
        <v>6000</v>
      </c>
      <c r="H31" s="3">
        <v>537</v>
      </c>
      <c r="I31" s="3">
        <v>14.848000000000001</v>
      </c>
      <c r="J31" s="3" t="s">
        <v>81</v>
      </c>
      <c r="K31" s="3" t="s">
        <v>86</v>
      </c>
      <c r="L31" s="3">
        <v>527</v>
      </c>
      <c r="M31" s="3"/>
      <c r="N31" s="4">
        <f t="shared" ref="N31:N37" si="5">C31</f>
        <v>43089</v>
      </c>
      <c r="O31" s="16">
        <f>[1]!s_dq_settle(D31,B31)</f>
        <v>0</v>
      </c>
      <c r="P31" s="11">
        <f t="shared" si="3"/>
        <v>89088</v>
      </c>
      <c r="Q31" s="11">
        <f t="shared" si="4"/>
        <v>0</v>
      </c>
      <c r="R31" s="3"/>
      <c r="S31" s="1"/>
    </row>
    <row r="32" spans="1:19" hidden="1" x14ac:dyDescent="0.15">
      <c r="A32" s="3" t="s">
        <v>79</v>
      </c>
      <c r="B32" s="4">
        <v>43076</v>
      </c>
      <c r="C32" s="4">
        <v>43089</v>
      </c>
      <c r="D32" s="3" t="s">
        <v>76</v>
      </c>
      <c r="E32" s="3" t="s">
        <v>21</v>
      </c>
      <c r="F32" s="3" t="s">
        <v>22</v>
      </c>
      <c r="G32" s="3">
        <v>2500</v>
      </c>
      <c r="H32" s="3">
        <v>3895</v>
      </c>
      <c r="I32" s="3">
        <v>78.873699999999999</v>
      </c>
      <c r="J32" s="3" t="s">
        <v>87</v>
      </c>
      <c r="K32" s="3" t="s">
        <v>88</v>
      </c>
      <c r="L32" s="3">
        <v>3800</v>
      </c>
      <c r="M32" s="3"/>
      <c r="N32" s="4">
        <f t="shared" si="5"/>
        <v>43089</v>
      </c>
      <c r="O32" s="16">
        <f>[1]!s_dq_settle(D32,B32)</f>
        <v>0</v>
      </c>
      <c r="P32" s="11">
        <f t="shared" si="3"/>
        <v>197184.25</v>
      </c>
      <c r="Q32" s="11">
        <f t="shared" si="4"/>
        <v>0</v>
      </c>
      <c r="R32" s="3"/>
      <c r="S32" s="1"/>
    </row>
    <row r="33" spans="1:19" hidden="1" x14ac:dyDescent="0.15">
      <c r="A33" s="3" t="s">
        <v>79</v>
      </c>
      <c r="B33" s="4">
        <v>43076</v>
      </c>
      <c r="C33" s="4">
        <v>43089</v>
      </c>
      <c r="D33" s="3" t="s">
        <v>76</v>
      </c>
      <c r="E33" s="3" t="s">
        <v>21</v>
      </c>
      <c r="F33" s="3" t="s">
        <v>25</v>
      </c>
      <c r="G33" s="3">
        <v>2500</v>
      </c>
      <c r="H33" s="3">
        <v>3895</v>
      </c>
      <c r="I33" s="3">
        <v>78.873699999999999</v>
      </c>
      <c r="J33" s="3" t="s">
        <v>89</v>
      </c>
      <c r="K33" s="3" t="s">
        <v>90</v>
      </c>
      <c r="L33" s="3">
        <v>3800</v>
      </c>
      <c r="M33" s="3"/>
      <c r="N33" s="4">
        <f t="shared" si="5"/>
        <v>43089</v>
      </c>
      <c r="O33" s="16">
        <f>[1]!s_dq_settle(D33,B33)</f>
        <v>0</v>
      </c>
      <c r="P33" s="11">
        <f t="shared" si="3"/>
        <v>197184.25</v>
      </c>
      <c r="Q33" s="11">
        <f t="shared" si="4"/>
        <v>0</v>
      </c>
      <c r="R33" s="3"/>
      <c r="S33" s="1"/>
    </row>
    <row r="34" spans="1:19" hidden="1" x14ac:dyDescent="0.15">
      <c r="A34" s="3" t="s">
        <v>91</v>
      </c>
      <c r="B34" s="4">
        <v>43076</v>
      </c>
      <c r="C34" s="4">
        <v>43090</v>
      </c>
      <c r="D34" s="3" t="s">
        <v>84</v>
      </c>
      <c r="E34" s="3" t="s">
        <v>21</v>
      </c>
      <c r="F34" s="3" t="s">
        <v>22</v>
      </c>
      <c r="G34" s="3">
        <v>50000</v>
      </c>
      <c r="H34" s="3">
        <v>516.5</v>
      </c>
      <c r="I34" s="3">
        <v>14.39</v>
      </c>
      <c r="J34" s="3" t="s">
        <v>92</v>
      </c>
      <c r="K34" s="3" t="s">
        <v>93</v>
      </c>
      <c r="L34" s="3">
        <v>9.07</v>
      </c>
      <c r="M34" s="3">
        <f>(L34-I34)*G34</f>
        <v>-266000</v>
      </c>
      <c r="N34" s="4">
        <v>43077</v>
      </c>
      <c r="O34" s="16">
        <f>[1]!s_dq_settle(D34,B34)</f>
        <v>0</v>
      </c>
      <c r="P34" s="11">
        <f t="shared" si="3"/>
        <v>719500</v>
      </c>
      <c r="Q34" s="11">
        <f>O34*G34*2</f>
        <v>0</v>
      </c>
      <c r="R34" s="3" t="s">
        <v>83</v>
      </c>
      <c r="S34" s="1"/>
    </row>
    <row r="35" spans="1:19" hidden="1" x14ac:dyDescent="0.15">
      <c r="A35" s="3" t="s">
        <v>91</v>
      </c>
      <c r="B35" s="4">
        <v>43076</v>
      </c>
      <c r="C35" s="4">
        <v>43090</v>
      </c>
      <c r="D35" s="3" t="s">
        <v>84</v>
      </c>
      <c r="E35" s="3" t="s">
        <v>21</v>
      </c>
      <c r="F35" s="3" t="s">
        <v>25</v>
      </c>
      <c r="G35" s="3">
        <v>50000</v>
      </c>
      <c r="H35" s="3">
        <v>516.5</v>
      </c>
      <c r="I35" s="3">
        <v>14.39</v>
      </c>
      <c r="J35" s="3" t="s">
        <v>92</v>
      </c>
      <c r="K35" s="3" t="s">
        <v>94</v>
      </c>
      <c r="L35" s="3"/>
      <c r="M35" s="3">
        <f>(L35-I35)*G35</f>
        <v>-719500</v>
      </c>
      <c r="N35" s="4">
        <f t="shared" si="5"/>
        <v>43090</v>
      </c>
      <c r="O35" s="16">
        <f>[1]!s_dq_settle(D35,B35)</f>
        <v>0</v>
      </c>
      <c r="P35" s="11">
        <f t="shared" si="3"/>
        <v>719500</v>
      </c>
      <c r="Q35" s="11">
        <f t="shared" si="4"/>
        <v>0</v>
      </c>
      <c r="R35" s="3"/>
      <c r="S35" s="1"/>
    </row>
    <row r="36" spans="1:19" hidden="1" x14ac:dyDescent="0.15">
      <c r="A36" s="3" t="s">
        <v>91</v>
      </c>
      <c r="B36" s="4">
        <v>43076</v>
      </c>
      <c r="C36" s="4">
        <v>43090</v>
      </c>
      <c r="D36" s="3" t="s">
        <v>84</v>
      </c>
      <c r="E36" s="3" t="s">
        <v>21</v>
      </c>
      <c r="F36" s="3" t="s">
        <v>22</v>
      </c>
      <c r="G36" s="3">
        <v>25000</v>
      </c>
      <c r="H36" s="3">
        <v>494.5</v>
      </c>
      <c r="I36" s="3">
        <v>13.91</v>
      </c>
      <c r="J36" s="3" t="s">
        <v>95</v>
      </c>
      <c r="K36" s="3" t="s">
        <v>96</v>
      </c>
      <c r="L36" s="3">
        <v>19.649999999999999</v>
      </c>
      <c r="M36" s="3">
        <f>(L36-I36)*G36</f>
        <v>143499.99999999997</v>
      </c>
      <c r="N36" s="4">
        <v>43077</v>
      </c>
      <c r="O36" s="16">
        <f>[1]!s_dq_settle(D36,B36)</f>
        <v>0</v>
      </c>
      <c r="P36" s="11">
        <f t="shared" si="3"/>
        <v>347750</v>
      </c>
      <c r="Q36" s="11">
        <f>O36*G36*2</f>
        <v>0</v>
      </c>
      <c r="R36" s="3" t="s">
        <v>83</v>
      </c>
      <c r="S36" s="1"/>
    </row>
    <row r="37" spans="1:19" hidden="1" x14ac:dyDescent="0.15">
      <c r="A37" s="3" t="s">
        <v>91</v>
      </c>
      <c r="B37" s="4">
        <v>43076</v>
      </c>
      <c r="C37" s="4">
        <v>43090</v>
      </c>
      <c r="D37" s="3" t="s">
        <v>84</v>
      </c>
      <c r="E37" s="3" t="s">
        <v>21</v>
      </c>
      <c r="F37" s="3" t="s">
        <v>25</v>
      </c>
      <c r="G37" s="3">
        <v>25000</v>
      </c>
      <c r="H37" s="3">
        <v>494.5</v>
      </c>
      <c r="I37" s="3">
        <v>13.91</v>
      </c>
      <c r="J37" s="3" t="s">
        <v>95</v>
      </c>
      <c r="K37" s="3" t="s">
        <v>97</v>
      </c>
      <c r="L37" s="3"/>
      <c r="M37" s="3">
        <f>(L37-I37)*G37</f>
        <v>-347750</v>
      </c>
      <c r="N37" s="4">
        <f t="shared" si="5"/>
        <v>43090</v>
      </c>
      <c r="O37" s="16">
        <f>[1]!s_dq_settle(D37,B37)</f>
        <v>0</v>
      </c>
      <c r="P37" s="11">
        <f t="shared" si="3"/>
        <v>347750</v>
      </c>
      <c r="Q37" s="11">
        <f t="shared" si="4"/>
        <v>0</v>
      </c>
      <c r="R37" s="3"/>
      <c r="S37" s="1"/>
    </row>
    <row r="38" spans="1:19" hidden="1" x14ac:dyDescent="0.15">
      <c r="A38" s="47" t="s">
        <v>75</v>
      </c>
      <c r="B38" s="54">
        <v>43077</v>
      </c>
      <c r="C38" s="54">
        <v>43189</v>
      </c>
      <c r="D38" s="47" t="s">
        <v>98</v>
      </c>
      <c r="E38" s="47" t="s">
        <v>21</v>
      </c>
      <c r="F38" s="3" t="s">
        <v>25</v>
      </c>
      <c r="G38" s="3">
        <v>30000</v>
      </c>
      <c r="H38" s="3">
        <v>1200</v>
      </c>
      <c r="I38" s="3">
        <v>77.8</v>
      </c>
      <c r="J38" s="47" t="s">
        <v>99</v>
      </c>
      <c r="K38" s="47"/>
      <c r="L38" s="47"/>
      <c r="M38" s="47"/>
      <c r="N38" s="47"/>
      <c r="O38" s="84">
        <f>[1]!s_dq_settle(D38,B38)</f>
        <v>0</v>
      </c>
      <c r="P38" s="56">
        <f t="shared" si="3"/>
        <v>2334000</v>
      </c>
      <c r="Q38" s="56">
        <f t="shared" si="4"/>
        <v>0</v>
      </c>
      <c r="R38" s="47"/>
      <c r="S38" s="47"/>
    </row>
    <row r="39" spans="1:19" hidden="1" x14ac:dyDescent="0.15">
      <c r="A39" s="3" t="s">
        <v>100</v>
      </c>
      <c r="B39" s="4">
        <v>43080</v>
      </c>
      <c r="C39" s="4">
        <v>43095</v>
      </c>
      <c r="D39" s="3" t="s">
        <v>76</v>
      </c>
      <c r="E39" s="3" t="s">
        <v>101</v>
      </c>
      <c r="F39" s="3" t="s">
        <v>22</v>
      </c>
      <c r="G39" s="3">
        <v>10000</v>
      </c>
      <c r="H39" s="3" t="s">
        <v>102</v>
      </c>
      <c r="I39" s="3">
        <v>0.1</v>
      </c>
      <c r="J39" s="3" t="s">
        <v>103</v>
      </c>
      <c r="K39" s="3" t="s">
        <v>104</v>
      </c>
      <c r="L39" s="3" t="s">
        <v>105</v>
      </c>
      <c r="M39" s="3">
        <v>200</v>
      </c>
      <c r="N39" s="4">
        <v>43082</v>
      </c>
      <c r="O39" s="16">
        <f>[1]!s_dq_settle(D39,B39)</f>
        <v>0</v>
      </c>
      <c r="P39" s="11">
        <f t="shared" si="3"/>
        <v>1000</v>
      </c>
      <c r="Q39" s="11">
        <f>2*G39*3900*4</f>
        <v>312000000</v>
      </c>
      <c r="R39" s="3" t="s">
        <v>83</v>
      </c>
      <c r="S39" s="1"/>
    </row>
    <row r="40" spans="1:19" hidden="1" x14ac:dyDescent="0.15">
      <c r="A40" s="3" t="s">
        <v>100</v>
      </c>
      <c r="B40" s="4">
        <v>43084</v>
      </c>
      <c r="C40" s="4">
        <v>43098</v>
      </c>
      <c r="D40" s="3" t="s">
        <v>76</v>
      </c>
      <c r="E40" s="3" t="s">
        <v>101</v>
      </c>
      <c r="F40" s="3" t="s">
        <v>22</v>
      </c>
      <c r="G40" s="3">
        <v>10000</v>
      </c>
      <c r="H40" s="3" t="s">
        <v>102</v>
      </c>
      <c r="I40" s="3">
        <v>0.03</v>
      </c>
      <c r="J40" s="3" t="s">
        <v>106</v>
      </c>
      <c r="K40" s="3" t="s">
        <v>107</v>
      </c>
      <c r="L40" s="3" t="s">
        <v>108</v>
      </c>
      <c r="M40" s="3">
        <v>8</v>
      </c>
      <c r="N40" s="4">
        <v>43090</v>
      </c>
      <c r="O40" s="16">
        <f>[1]!s_dq_settle(D40,B40)</f>
        <v>0</v>
      </c>
      <c r="P40" s="11">
        <f t="shared" si="3"/>
        <v>300</v>
      </c>
      <c r="Q40" s="11">
        <f>G40*3804*4*2</f>
        <v>304320000</v>
      </c>
      <c r="R40" s="3" t="s">
        <v>83</v>
      </c>
      <c r="S40" s="1"/>
    </row>
    <row r="41" spans="1:19" hidden="1" x14ac:dyDescent="0.15">
      <c r="A41" s="3" t="s">
        <v>100</v>
      </c>
      <c r="B41" s="4">
        <v>43089</v>
      </c>
      <c r="C41" s="4">
        <v>43105</v>
      </c>
      <c r="D41" s="3" t="s">
        <v>76</v>
      </c>
      <c r="E41" s="3" t="s">
        <v>101</v>
      </c>
      <c r="F41" s="3" t="s">
        <v>22</v>
      </c>
      <c r="G41" s="3">
        <v>15000</v>
      </c>
      <c r="H41" s="3" t="s">
        <v>102</v>
      </c>
      <c r="I41" s="3">
        <v>2.1999999999999999E-2</v>
      </c>
      <c r="J41" s="3" t="s">
        <v>109</v>
      </c>
      <c r="K41" s="3" t="s">
        <v>110</v>
      </c>
      <c r="L41" s="3">
        <v>3811</v>
      </c>
      <c r="M41" s="3">
        <v>300</v>
      </c>
      <c r="N41" s="4">
        <v>43098</v>
      </c>
      <c r="O41" s="16">
        <f>[1]!s_dq_settle(D41,B41)</f>
        <v>0</v>
      </c>
      <c r="P41" s="11">
        <f t="shared" si="3"/>
        <v>330</v>
      </c>
      <c r="Q41" s="11">
        <f>G41*L41*4*2</f>
        <v>457320000</v>
      </c>
      <c r="R41" s="3" t="s">
        <v>83</v>
      </c>
      <c r="S41" s="1"/>
    </row>
    <row r="42" spans="1:19" hidden="1" x14ac:dyDescent="0.15">
      <c r="A42" s="47" t="s">
        <v>79</v>
      </c>
      <c r="B42" s="54">
        <v>43119</v>
      </c>
      <c r="C42" s="54">
        <v>43154</v>
      </c>
      <c r="D42" s="47" t="s">
        <v>76</v>
      </c>
      <c r="E42" s="47" t="s">
        <v>21</v>
      </c>
      <c r="F42" s="3" t="s">
        <v>22</v>
      </c>
      <c r="G42" s="3">
        <v>5000</v>
      </c>
      <c r="I42" s="3">
        <v>66.3</v>
      </c>
      <c r="J42" s="47"/>
      <c r="K42" s="47"/>
      <c r="L42" s="47">
        <v>3933</v>
      </c>
      <c r="M42" s="47"/>
      <c r="N42" s="54">
        <f>C42</f>
        <v>43154</v>
      </c>
      <c r="O42" s="84">
        <f>[1]!s_dq_settle(D42,B42)</f>
        <v>0</v>
      </c>
      <c r="P42" s="56">
        <f t="shared" si="3"/>
        <v>331500</v>
      </c>
      <c r="Q42" s="56">
        <f>G42*L42</f>
        <v>19665000</v>
      </c>
      <c r="R42" s="47"/>
      <c r="S42" s="47"/>
    </row>
    <row r="43" spans="1:19" hidden="1" x14ac:dyDescent="0.15">
      <c r="A43" s="47" t="s">
        <v>111</v>
      </c>
      <c r="B43" s="54">
        <v>43167</v>
      </c>
      <c r="C43" s="54">
        <v>43194</v>
      </c>
      <c r="D43" s="47" t="s">
        <v>80</v>
      </c>
      <c r="E43" s="47" t="s">
        <v>21</v>
      </c>
      <c r="F43" s="3" t="s">
        <v>25</v>
      </c>
      <c r="G43" s="3">
        <v>5000</v>
      </c>
      <c r="H43" s="3">
        <v>5654</v>
      </c>
      <c r="I43" s="3">
        <v>72.37</v>
      </c>
      <c r="J43" s="47" t="s">
        <v>112</v>
      </c>
      <c r="K43" s="47"/>
      <c r="L43" s="47"/>
      <c r="M43" s="47"/>
      <c r="N43" s="54">
        <f>C43</f>
        <v>43194</v>
      </c>
      <c r="O43" s="84">
        <f>[1]!s_dq_settle(D43,B43)</f>
        <v>0</v>
      </c>
      <c r="P43" s="56">
        <f t="shared" si="3"/>
        <v>361850</v>
      </c>
      <c r="Q43" s="56">
        <f>G43*H43</f>
        <v>28270000</v>
      </c>
      <c r="R43" s="47">
        <f>Q43</f>
        <v>28270000</v>
      </c>
      <c r="S43" s="47"/>
    </row>
    <row r="44" spans="1:19" hidden="1" x14ac:dyDescent="0.15">
      <c r="A44" s="47" t="s">
        <v>113</v>
      </c>
      <c r="B44" s="54">
        <v>43167</v>
      </c>
      <c r="C44" s="54">
        <v>43198</v>
      </c>
      <c r="D44" s="47" t="s">
        <v>114</v>
      </c>
      <c r="E44" s="47" t="s">
        <v>38</v>
      </c>
      <c r="F44" s="3" t="s">
        <v>22</v>
      </c>
      <c r="G44" s="3">
        <v>500</v>
      </c>
      <c r="H44" s="3">
        <v>51420</v>
      </c>
      <c r="I44" s="3">
        <v>1040</v>
      </c>
      <c r="J44" s="47" t="s">
        <v>115</v>
      </c>
      <c r="K44" s="47" t="s">
        <v>116</v>
      </c>
      <c r="L44" s="47"/>
      <c r="M44" s="47"/>
      <c r="N44" s="54">
        <f>C44</f>
        <v>43198</v>
      </c>
      <c r="O44" s="84">
        <f>[1]!s_dq_settle(D44,B44)</f>
        <v>0</v>
      </c>
      <c r="P44" s="56">
        <f t="shared" si="3"/>
        <v>520000</v>
      </c>
      <c r="Q44" s="56">
        <f>G44*H44</f>
        <v>25710000</v>
      </c>
      <c r="R44" s="47"/>
      <c r="S44" s="47"/>
    </row>
    <row r="45" spans="1:19" hidden="1" x14ac:dyDescent="0.15">
      <c r="A45" s="47" t="s">
        <v>19</v>
      </c>
      <c r="B45" s="54">
        <v>43168</v>
      </c>
      <c r="C45" s="54">
        <v>43210</v>
      </c>
      <c r="D45" s="47" t="s">
        <v>117</v>
      </c>
      <c r="E45" s="47" t="s">
        <v>21</v>
      </c>
      <c r="F45" s="3" t="s">
        <v>25</v>
      </c>
      <c r="G45" s="3">
        <v>500</v>
      </c>
      <c r="H45" s="3">
        <v>-50</v>
      </c>
      <c r="I45" s="3">
        <v>14.44</v>
      </c>
      <c r="J45" s="47" t="s">
        <v>118</v>
      </c>
      <c r="K45" s="47" t="s">
        <v>119</v>
      </c>
      <c r="L45" s="47"/>
      <c r="M45" s="47"/>
      <c r="N45" s="54">
        <f t="shared" ref="N45:N50" si="6">C45</f>
        <v>43210</v>
      </c>
      <c r="O45" s="84">
        <f>[1]!s_dq_settle("sr805.czc",B45)</f>
        <v>0</v>
      </c>
      <c r="P45" s="56">
        <f t="shared" si="3"/>
        <v>7220</v>
      </c>
      <c r="Q45" s="56">
        <f>G45*O45*2</f>
        <v>0</v>
      </c>
      <c r="R45" s="47">
        <f>Q45</f>
        <v>0</v>
      </c>
      <c r="S45" s="47"/>
    </row>
    <row r="46" spans="1:19" hidden="1" x14ac:dyDescent="0.15">
      <c r="A46" s="47" t="s">
        <v>19</v>
      </c>
      <c r="B46" s="54">
        <v>43168</v>
      </c>
      <c r="C46" s="54">
        <v>43210</v>
      </c>
      <c r="D46" s="47" t="s">
        <v>117</v>
      </c>
      <c r="E46" s="47" t="s">
        <v>21</v>
      </c>
      <c r="F46" s="3" t="s">
        <v>25</v>
      </c>
      <c r="G46" s="3">
        <v>500</v>
      </c>
      <c r="H46" s="3">
        <v>-60</v>
      </c>
      <c r="I46" s="3">
        <v>12.2</v>
      </c>
      <c r="J46" s="47" t="s">
        <v>120</v>
      </c>
      <c r="K46" s="47" t="s">
        <v>121</v>
      </c>
      <c r="L46" s="47"/>
      <c r="M46" s="47"/>
      <c r="N46" s="54">
        <f t="shared" si="6"/>
        <v>43210</v>
      </c>
      <c r="O46" s="84">
        <f>[1]!s_dq_settle("sr805.czc",B46)</f>
        <v>0</v>
      </c>
      <c r="P46" s="56">
        <f t="shared" si="3"/>
        <v>6100</v>
      </c>
      <c r="Q46" s="56">
        <f>G46*O46*2</f>
        <v>0</v>
      </c>
      <c r="R46" s="47">
        <f>Q46</f>
        <v>0</v>
      </c>
      <c r="S46" s="47"/>
    </row>
    <row r="47" spans="1:19" hidden="1" x14ac:dyDescent="0.15">
      <c r="A47" s="47" t="s">
        <v>19</v>
      </c>
      <c r="B47" s="54">
        <v>43168</v>
      </c>
      <c r="C47" s="54">
        <v>43210</v>
      </c>
      <c r="D47" s="47" t="s">
        <v>117</v>
      </c>
      <c r="E47" s="47" t="s">
        <v>21</v>
      </c>
      <c r="F47" s="3" t="s">
        <v>25</v>
      </c>
      <c r="G47" s="3">
        <v>500</v>
      </c>
      <c r="H47" s="3">
        <v>-70</v>
      </c>
      <c r="I47" s="3">
        <v>9.1999999999999993</v>
      </c>
      <c r="J47" s="47" t="s">
        <v>122</v>
      </c>
      <c r="K47" s="47" t="s">
        <v>123</v>
      </c>
      <c r="L47" s="47"/>
      <c r="M47" s="47"/>
      <c r="N47" s="54">
        <f t="shared" si="6"/>
        <v>43210</v>
      </c>
      <c r="O47" s="84">
        <f>[1]!s_dq_settle("sr805.czc",B47)</f>
        <v>0</v>
      </c>
      <c r="P47" s="56">
        <f t="shared" si="3"/>
        <v>4600</v>
      </c>
      <c r="Q47" s="56">
        <f>G47*O47*2</f>
        <v>0</v>
      </c>
      <c r="R47" s="47">
        <f>Q47</f>
        <v>0</v>
      </c>
      <c r="S47" s="47"/>
    </row>
    <row r="48" spans="1:19" hidden="1" x14ac:dyDescent="0.15">
      <c r="A48" s="47" t="s">
        <v>19</v>
      </c>
      <c r="B48" s="54">
        <v>43207</v>
      </c>
      <c r="C48" s="54">
        <v>43220</v>
      </c>
      <c r="D48" s="47" t="s">
        <v>117</v>
      </c>
      <c r="E48" s="47" t="s">
        <v>21</v>
      </c>
      <c r="F48" s="3" t="s">
        <v>25</v>
      </c>
      <c r="G48" s="3">
        <v>300</v>
      </c>
      <c r="H48" s="3">
        <v>-80</v>
      </c>
      <c r="I48" s="3">
        <v>12</v>
      </c>
      <c r="J48" s="47" t="s">
        <v>124</v>
      </c>
      <c r="K48" s="47" t="s">
        <v>125</v>
      </c>
      <c r="L48" s="47"/>
      <c r="M48" s="47"/>
      <c r="N48" s="54">
        <f t="shared" si="6"/>
        <v>43220</v>
      </c>
      <c r="O48" s="84">
        <f>[1]!s_dq_settle("sr805.czc",B48)</f>
        <v>0</v>
      </c>
      <c r="P48" s="56">
        <f t="shared" si="3"/>
        <v>3600</v>
      </c>
      <c r="Q48" s="56">
        <f>G48*O48*2</f>
        <v>0</v>
      </c>
      <c r="R48" s="47">
        <f>Q48</f>
        <v>0</v>
      </c>
      <c r="S48" s="47"/>
    </row>
    <row r="49" spans="1:19" hidden="1" x14ac:dyDescent="0.15">
      <c r="A49" s="47" t="s">
        <v>19</v>
      </c>
      <c r="B49" s="54">
        <v>43207</v>
      </c>
      <c r="C49" s="54">
        <v>43220</v>
      </c>
      <c r="D49" s="47" t="s">
        <v>117</v>
      </c>
      <c r="E49" s="47" t="s">
        <v>21</v>
      </c>
      <c r="F49" s="3" t="s">
        <v>25</v>
      </c>
      <c r="G49" s="3">
        <v>300</v>
      </c>
      <c r="H49" s="3">
        <v>-90</v>
      </c>
      <c r="I49" s="3">
        <v>12</v>
      </c>
      <c r="J49" s="47" t="s">
        <v>124</v>
      </c>
      <c r="K49" s="47" t="s">
        <v>125</v>
      </c>
      <c r="L49" s="47"/>
      <c r="M49" s="47"/>
      <c r="N49" s="54">
        <f t="shared" si="6"/>
        <v>43220</v>
      </c>
      <c r="O49" s="84">
        <f>[1]!s_dq_settle("sr805.czc",B49)</f>
        <v>0</v>
      </c>
      <c r="P49" s="56">
        <f t="shared" si="3"/>
        <v>3600</v>
      </c>
      <c r="Q49" s="56">
        <f>G49*O49*2</f>
        <v>0</v>
      </c>
      <c r="R49" s="47">
        <f>Q49</f>
        <v>0</v>
      </c>
      <c r="S49" s="47"/>
    </row>
    <row r="50" spans="1:19" hidden="1" x14ac:dyDescent="0.15">
      <c r="A50" s="47" t="s">
        <v>42</v>
      </c>
      <c r="B50" s="54">
        <v>43241</v>
      </c>
      <c r="C50" s="54">
        <v>43302</v>
      </c>
      <c r="D50" s="47" t="s">
        <v>126</v>
      </c>
      <c r="E50" s="47" t="s">
        <v>38</v>
      </c>
      <c r="F50" s="3" t="s">
        <v>127</v>
      </c>
      <c r="G50" s="3">
        <v>5000</v>
      </c>
      <c r="H50" s="3">
        <v>12015</v>
      </c>
      <c r="I50" s="3">
        <v>391.3</v>
      </c>
      <c r="J50" s="47" t="s">
        <v>128</v>
      </c>
      <c r="K50" s="47"/>
      <c r="L50" s="47"/>
      <c r="M50" s="47"/>
      <c r="N50" s="54">
        <f t="shared" si="6"/>
        <v>43302</v>
      </c>
      <c r="O50" s="84">
        <v>12015</v>
      </c>
      <c r="P50" s="56">
        <f t="shared" si="3"/>
        <v>1956500</v>
      </c>
      <c r="Q50" s="56">
        <f>G50*O50</f>
        <v>60075000</v>
      </c>
      <c r="R50" s="47" t="s">
        <v>129</v>
      </c>
      <c r="S50" s="47"/>
    </row>
    <row r="51" spans="1:19" hidden="1" x14ac:dyDescent="0.15">
      <c r="A51" s="47" t="s">
        <v>46</v>
      </c>
      <c r="B51" s="54">
        <v>43297</v>
      </c>
      <c r="C51" s="54">
        <v>43357</v>
      </c>
      <c r="D51" s="47" t="s">
        <v>130</v>
      </c>
      <c r="E51" s="47" t="s">
        <v>38</v>
      </c>
      <c r="F51" s="3" t="s">
        <v>131</v>
      </c>
      <c r="G51" s="3">
        <v>30000</v>
      </c>
      <c r="H51" s="3">
        <v>1847</v>
      </c>
      <c r="I51" s="3">
        <v>28.3</v>
      </c>
      <c r="J51" s="47" t="s">
        <v>132</v>
      </c>
      <c r="K51" s="47"/>
      <c r="L51" s="47"/>
      <c r="M51" s="47"/>
      <c r="N51" s="54"/>
      <c r="O51" s="55">
        <v>1847</v>
      </c>
      <c r="P51" s="56">
        <f t="shared" si="3"/>
        <v>849000</v>
      </c>
      <c r="Q51" s="56">
        <f>G51*O51</f>
        <v>55410000</v>
      </c>
      <c r="R51" s="47" t="s">
        <v>129</v>
      </c>
      <c r="S51" s="47"/>
    </row>
    <row r="52" spans="1:19" hidden="1" x14ac:dyDescent="0.15">
      <c r="A52" s="47" t="s">
        <v>46</v>
      </c>
      <c r="B52" s="54">
        <v>43325</v>
      </c>
      <c r="C52" s="54">
        <v>43446</v>
      </c>
      <c r="D52" s="47" t="s">
        <v>133</v>
      </c>
      <c r="E52" s="47" t="s">
        <v>38</v>
      </c>
      <c r="F52" s="3" t="s">
        <v>131</v>
      </c>
      <c r="G52" s="3">
        <v>15000</v>
      </c>
      <c r="H52" s="3">
        <v>3813</v>
      </c>
      <c r="I52" s="3">
        <v>101.33</v>
      </c>
      <c r="J52" s="47" t="s">
        <v>134</v>
      </c>
      <c r="K52" s="47"/>
      <c r="L52" s="47"/>
      <c r="M52" s="47"/>
      <c r="N52" s="54">
        <v>43357</v>
      </c>
      <c r="O52" s="55">
        <f>H52</f>
        <v>3813</v>
      </c>
      <c r="P52" s="56">
        <f t="shared" si="3"/>
        <v>1519950</v>
      </c>
      <c r="Q52" s="56">
        <f>G52*O52</f>
        <v>57195000</v>
      </c>
      <c r="R52" s="47"/>
      <c r="S52" s="47"/>
    </row>
    <row r="53" spans="1:19" hidden="1" x14ac:dyDescent="0.15">
      <c r="A53" s="47" t="s">
        <v>46</v>
      </c>
      <c r="B53" s="54">
        <v>43346</v>
      </c>
      <c r="C53" s="54">
        <v>43406</v>
      </c>
      <c r="D53" s="47" t="s">
        <v>130</v>
      </c>
      <c r="E53" s="47" t="s">
        <v>38</v>
      </c>
      <c r="F53" s="3" t="s">
        <v>131</v>
      </c>
      <c r="G53" s="3">
        <v>30000</v>
      </c>
      <c r="H53" s="3">
        <v>1902.5</v>
      </c>
      <c r="I53" s="3">
        <v>28.3</v>
      </c>
      <c r="J53" s="47" t="s">
        <v>135</v>
      </c>
      <c r="K53" s="47" t="s">
        <v>136</v>
      </c>
      <c r="L53" s="47"/>
      <c r="M53" s="47"/>
      <c r="N53" s="54">
        <v>43406</v>
      </c>
      <c r="O53" s="55">
        <f>H53</f>
        <v>1902.5</v>
      </c>
      <c r="P53" s="56">
        <f t="shared" si="3"/>
        <v>849000</v>
      </c>
      <c r="Q53" s="56">
        <f>G53*O53</f>
        <v>57075000</v>
      </c>
      <c r="R53" s="47"/>
      <c r="S53" s="47" t="s">
        <v>137</v>
      </c>
    </row>
    <row r="54" spans="1:19" hidden="1" x14ac:dyDescent="0.15">
      <c r="A54" s="47" t="s">
        <v>46</v>
      </c>
      <c r="B54" s="54">
        <v>43294</v>
      </c>
      <c r="C54" s="54">
        <v>43416</v>
      </c>
      <c r="D54" s="47" t="s">
        <v>130</v>
      </c>
      <c r="E54" s="47" t="s">
        <v>38</v>
      </c>
      <c r="F54" s="3" t="s">
        <v>131</v>
      </c>
      <c r="G54" s="3">
        <v>20374</v>
      </c>
      <c r="H54" s="3">
        <v>1842.5</v>
      </c>
      <c r="I54" s="3">
        <v>59.83</v>
      </c>
      <c r="J54" s="47" t="s">
        <v>138</v>
      </c>
      <c r="K54" s="47" t="s">
        <v>139</v>
      </c>
      <c r="L54" s="47"/>
      <c r="M54" s="47"/>
      <c r="N54" s="54">
        <v>43416</v>
      </c>
      <c r="O54" s="55">
        <f>H54</f>
        <v>1842.5</v>
      </c>
      <c r="P54" s="56">
        <f t="shared" si="3"/>
        <v>1218976.42</v>
      </c>
      <c r="Q54" s="56">
        <f>G54*O54</f>
        <v>37539095</v>
      </c>
      <c r="R54" s="47"/>
      <c r="S54" s="47" t="s">
        <v>140</v>
      </c>
    </row>
    <row r="55" spans="1:19" hidden="1" x14ac:dyDescent="0.15">
      <c r="A55" s="47" t="s">
        <v>42</v>
      </c>
      <c r="B55" s="54">
        <v>43342</v>
      </c>
      <c r="C55" s="54">
        <v>43370</v>
      </c>
      <c r="D55" s="47" t="s">
        <v>141</v>
      </c>
      <c r="E55" s="47" t="s">
        <v>38</v>
      </c>
      <c r="F55" s="3" t="s">
        <v>142</v>
      </c>
      <c r="G55" s="3">
        <v>1500</v>
      </c>
      <c r="H55" s="3">
        <v>3832</v>
      </c>
      <c r="I55" s="3">
        <v>164</v>
      </c>
      <c r="J55" s="47" t="s">
        <v>143</v>
      </c>
      <c r="K55" s="47" t="s">
        <v>144</v>
      </c>
      <c r="L55" s="47"/>
      <c r="M55" s="47"/>
      <c r="N55" s="54">
        <v>43357</v>
      </c>
      <c r="O55" s="55">
        <f>H55</f>
        <v>3832</v>
      </c>
      <c r="P55" s="56">
        <f t="shared" si="3"/>
        <v>246000</v>
      </c>
      <c r="Q55" s="56">
        <f>G55*O55*2</f>
        <v>11496000</v>
      </c>
      <c r="R55" s="47"/>
      <c r="S55" s="47"/>
    </row>
    <row r="56" spans="1:19" hidden="1" x14ac:dyDescent="0.15">
      <c r="A56" s="47" t="s">
        <v>42</v>
      </c>
      <c r="B56" s="54">
        <v>43371</v>
      </c>
      <c r="C56" s="54">
        <v>43399</v>
      </c>
      <c r="D56" s="47" t="s">
        <v>141</v>
      </c>
      <c r="E56" s="47" t="s">
        <v>38</v>
      </c>
      <c r="F56" s="3" t="s">
        <v>142</v>
      </c>
      <c r="G56" s="3">
        <v>1500</v>
      </c>
      <c r="H56" s="3">
        <v>3931</v>
      </c>
      <c r="I56" s="3">
        <v>164</v>
      </c>
      <c r="J56" s="47" t="s">
        <v>143</v>
      </c>
      <c r="K56" s="47" t="s">
        <v>145</v>
      </c>
      <c r="L56" s="47"/>
      <c r="M56" s="47"/>
      <c r="N56" s="54"/>
      <c r="O56" s="55">
        <f t="shared" ref="O56:O62" si="7">H56</f>
        <v>3931</v>
      </c>
      <c r="P56" s="56">
        <f t="shared" si="3"/>
        <v>246000</v>
      </c>
      <c r="Q56" s="56">
        <f>G56*O56*2</f>
        <v>11793000</v>
      </c>
      <c r="R56" s="47"/>
      <c r="S56" s="47"/>
    </row>
    <row r="57" spans="1:19" s="8" customFormat="1" hidden="1" x14ac:dyDescent="0.15">
      <c r="A57" s="47" t="s">
        <v>42</v>
      </c>
      <c r="B57" s="54">
        <v>43402</v>
      </c>
      <c r="C57" s="54">
        <v>43432</v>
      </c>
      <c r="D57" s="47" t="s">
        <v>141</v>
      </c>
      <c r="E57" s="47" t="s">
        <v>38</v>
      </c>
      <c r="F57" s="12" t="s">
        <v>142</v>
      </c>
      <c r="G57" s="12">
        <v>1500</v>
      </c>
      <c r="H57" s="12">
        <v>4342</v>
      </c>
      <c r="I57" s="12">
        <v>164</v>
      </c>
      <c r="J57" s="47" t="s">
        <v>143</v>
      </c>
      <c r="K57" s="47"/>
      <c r="L57" s="47"/>
      <c r="M57" s="47"/>
      <c r="N57" s="54"/>
      <c r="O57" s="55">
        <f t="shared" si="7"/>
        <v>4342</v>
      </c>
      <c r="P57" s="56">
        <f t="shared" si="3"/>
        <v>246000</v>
      </c>
      <c r="Q57" s="56">
        <f>G57*O57*2</f>
        <v>13026000</v>
      </c>
      <c r="R57" s="47"/>
      <c r="S57" s="47" t="s">
        <v>140</v>
      </c>
    </row>
    <row r="58" spans="1:19" s="37" customFormat="1" x14ac:dyDescent="0.15">
      <c r="A58" s="47" t="s">
        <v>42</v>
      </c>
      <c r="B58" s="54">
        <v>43433</v>
      </c>
      <c r="C58" s="54">
        <v>43462</v>
      </c>
      <c r="D58" s="47" t="s">
        <v>146</v>
      </c>
      <c r="E58" s="47" t="s">
        <v>38</v>
      </c>
      <c r="F58" s="14" t="s">
        <v>142</v>
      </c>
      <c r="G58" s="14">
        <v>1500</v>
      </c>
      <c r="H58" s="14">
        <v>4116</v>
      </c>
      <c r="I58" s="14">
        <v>164</v>
      </c>
      <c r="J58" s="47" t="s">
        <v>143</v>
      </c>
      <c r="K58" s="47"/>
      <c r="L58" s="47"/>
      <c r="M58" s="47"/>
      <c r="N58" s="54">
        <v>43462</v>
      </c>
      <c r="O58" s="55">
        <v>3537</v>
      </c>
      <c r="P58" s="56">
        <f t="shared" si="3"/>
        <v>246000</v>
      </c>
      <c r="Q58" s="56">
        <f>G58*O58*2</f>
        <v>10611000</v>
      </c>
      <c r="R58" s="47"/>
      <c r="S58" s="47"/>
    </row>
    <row r="59" spans="1:19" s="9" customFormat="1" hidden="1" x14ac:dyDescent="0.15">
      <c r="A59" s="47" t="s">
        <v>147</v>
      </c>
      <c r="B59" s="54">
        <v>43242</v>
      </c>
      <c r="C59" s="54">
        <v>43273</v>
      </c>
      <c r="D59" s="47" t="s">
        <v>148</v>
      </c>
      <c r="E59" s="47" t="s">
        <v>21</v>
      </c>
      <c r="F59" s="14" t="s">
        <v>149</v>
      </c>
      <c r="G59" s="14">
        <v>300</v>
      </c>
      <c r="H59" s="14">
        <v>9290</v>
      </c>
      <c r="I59" s="14">
        <v>320.7</v>
      </c>
      <c r="J59" s="47" t="s">
        <v>150</v>
      </c>
      <c r="K59" s="47"/>
      <c r="L59" s="47"/>
      <c r="M59" s="47"/>
      <c r="N59" s="54"/>
      <c r="O59" s="55">
        <f t="shared" si="7"/>
        <v>9290</v>
      </c>
      <c r="P59" s="56">
        <v>96210</v>
      </c>
      <c r="Q59" s="56">
        <f>G59*O59*2</f>
        <v>5574000</v>
      </c>
      <c r="R59" s="47"/>
      <c r="S59" s="47"/>
    </row>
    <row r="60" spans="1:19" s="9" customFormat="1" hidden="1" x14ac:dyDescent="0.15">
      <c r="A60" s="47" t="s">
        <v>46</v>
      </c>
      <c r="B60" s="54">
        <v>43360</v>
      </c>
      <c r="C60" s="54">
        <v>43382</v>
      </c>
      <c r="D60" s="47" t="s">
        <v>133</v>
      </c>
      <c r="E60" s="47" t="s">
        <v>38</v>
      </c>
      <c r="F60" s="14" t="s">
        <v>131</v>
      </c>
      <c r="G60" s="14">
        <v>15000</v>
      </c>
      <c r="H60" s="14">
        <v>3665.1</v>
      </c>
      <c r="I60" s="14">
        <v>1</v>
      </c>
      <c r="J60" s="47" t="s">
        <v>151</v>
      </c>
      <c r="K60" s="47" t="s">
        <v>152</v>
      </c>
      <c r="L60" s="47"/>
      <c r="M60" s="47"/>
      <c r="N60" s="54"/>
      <c r="O60" s="55">
        <f t="shared" si="7"/>
        <v>3665.1</v>
      </c>
      <c r="P60" s="56">
        <f t="shared" ref="P60:P78" si="8">I60*G60</f>
        <v>15000</v>
      </c>
      <c r="Q60" s="56">
        <f>G60*O60</f>
        <v>54976500</v>
      </c>
      <c r="R60" s="47"/>
      <c r="S60" s="47"/>
    </row>
    <row r="61" spans="1:19" s="9" customFormat="1" hidden="1" x14ac:dyDescent="0.15">
      <c r="A61" s="47" t="s">
        <v>36</v>
      </c>
      <c r="B61" s="54">
        <v>43399</v>
      </c>
      <c r="C61" s="54">
        <v>43429</v>
      </c>
      <c r="D61" s="47" t="s">
        <v>153</v>
      </c>
      <c r="E61" s="47" t="s">
        <v>38</v>
      </c>
      <c r="F61" s="14" t="s">
        <v>131</v>
      </c>
      <c r="G61" s="14">
        <v>1000</v>
      </c>
      <c r="H61" s="14">
        <v>10761.8</v>
      </c>
      <c r="I61" s="14">
        <v>465</v>
      </c>
      <c r="J61" s="47" t="s">
        <v>154</v>
      </c>
      <c r="K61" s="47"/>
      <c r="L61" s="47">
        <v>11534.19</v>
      </c>
      <c r="M61" s="47"/>
      <c r="N61" s="54">
        <v>43430</v>
      </c>
      <c r="O61" s="55">
        <f t="shared" si="7"/>
        <v>10761.8</v>
      </c>
      <c r="P61" s="56">
        <f t="shared" si="8"/>
        <v>465000</v>
      </c>
      <c r="Q61" s="56">
        <f t="shared" ref="Q61:Q78" si="9">G61*O61</f>
        <v>10761800</v>
      </c>
      <c r="R61" s="47"/>
      <c r="S61" s="47" t="s">
        <v>140</v>
      </c>
    </row>
    <row r="62" spans="1:19" s="37" customFormat="1" x14ac:dyDescent="0.15">
      <c r="A62" s="47" t="s">
        <v>36</v>
      </c>
      <c r="B62" s="54">
        <v>43399</v>
      </c>
      <c r="C62" s="54">
        <v>43444</v>
      </c>
      <c r="D62" s="47" t="s">
        <v>155</v>
      </c>
      <c r="E62" s="47" t="s">
        <v>38</v>
      </c>
      <c r="F62" s="14" t="s">
        <v>156</v>
      </c>
      <c r="G62" s="14">
        <v>3000</v>
      </c>
      <c r="H62" s="14">
        <v>5130.2</v>
      </c>
      <c r="I62" s="14">
        <v>150</v>
      </c>
      <c r="J62" s="47" t="s">
        <v>157</v>
      </c>
      <c r="K62" s="47"/>
      <c r="L62" s="47">
        <v>4994.1899999999996</v>
      </c>
      <c r="M62" s="47"/>
      <c r="N62" s="54">
        <v>43444</v>
      </c>
      <c r="O62" s="55">
        <f t="shared" si="7"/>
        <v>5130.2</v>
      </c>
      <c r="P62" s="56">
        <f t="shared" si="8"/>
        <v>450000</v>
      </c>
      <c r="Q62" s="56">
        <f t="shared" si="9"/>
        <v>15390600</v>
      </c>
      <c r="R62" s="47"/>
      <c r="S62" s="47" t="s">
        <v>137</v>
      </c>
    </row>
    <row r="63" spans="1:19" s="37" customFormat="1" hidden="1" x14ac:dyDescent="0.15">
      <c r="A63" s="47" t="s">
        <v>158</v>
      </c>
      <c r="B63" s="54">
        <v>43406</v>
      </c>
      <c r="C63" s="54">
        <v>43449</v>
      </c>
      <c r="D63" s="47" t="s">
        <v>130</v>
      </c>
      <c r="E63" s="47" t="s">
        <v>38</v>
      </c>
      <c r="F63" s="14" t="s">
        <v>159</v>
      </c>
      <c r="G63" s="14">
        <v>20000</v>
      </c>
      <c r="H63" s="14" t="s">
        <v>160</v>
      </c>
      <c r="I63" s="14">
        <f>48-4.09</f>
        <v>43.91</v>
      </c>
      <c r="J63" s="47"/>
      <c r="K63" s="47"/>
      <c r="L63" s="47"/>
      <c r="M63" s="47"/>
      <c r="N63" s="54">
        <v>43432</v>
      </c>
      <c r="O63" s="55">
        <v>1874</v>
      </c>
      <c r="P63" s="56">
        <f t="shared" si="8"/>
        <v>878199.99999999988</v>
      </c>
      <c r="Q63" s="56">
        <f t="shared" si="9"/>
        <v>37480000</v>
      </c>
      <c r="R63" s="47"/>
      <c r="S63" s="47" t="s">
        <v>140</v>
      </c>
    </row>
    <row r="64" spans="1:19" s="37" customFormat="1" hidden="1" x14ac:dyDescent="0.15">
      <c r="A64" s="47" t="s">
        <v>158</v>
      </c>
      <c r="B64" s="54">
        <v>43406</v>
      </c>
      <c r="C64" s="54">
        <v>43449</v>
      </c>
      <c r="D64" s="47" t="s">
        <v>130</v>
      </c>
      <c r="E64" s="47" t="s">
        <v>38</v>
      </c>
      <c r="F64" s="14" t="s">
        <v>159</v>
      </c>
      <c r="G64" s="14">
        <v>20000</v>
      </c>
      <c r="H64" s="14" t="s">
        <v>161</v>
      </c>
      <c r="I64" s="14">
        <f>48-4.09</f>
        <v>43.91</v>
      </c>
      <c r="J64" s="47"/>
      <c r="K64" s="47"/>
      <c r="L64" s="47"/>
      <c r="M64" s="47"/>
      <c r="N64" s="54">
        <v>43432</v>
      </c>
      <c r="O64" s="55">
        <v>1875</v>
      </c>
      <c r="P64" s="56">
        <f t="shared" si="8"/>
        <v>878199.99999999988</v>
      </c>
      <c r="Q64" s="56">
        <f t="shared" si="9"/>
        <v>37500000</v>
      </c>
      <c r="R64" s="47"/>
      <c r="S64" s="47" t="s">
        <v>140</v>
      </c>
    </row>
    <row r="65" spans="1:19" s="9" customFormat="1" hidden="1" x14ac:dyDescent="0.15">
      <c r="A65" s="47" t="s">
        <v>162</v>
      </c>
      <c r="B65" s="54">
        <v>43409</v>
      </c>
      <c r="C65" s="54">
        <v>43420</v>
      </c>
      <c r="D65" s="47" t="s">
        <v>163</v>
      </c>
      <c r="E65" s="47" t="s">
        <v>38</v>
      </c>
      <c r="F65" s="14" t="s">
        <v>164</v>
      </c>
      <c r="G65" s="14">
        <v>5000</v>
      </c>
      <c r="H65" s="14">
        <v>11300</v>
      </c>
      <c r="I65" s="14">
        <v>390.56</v>
      </c>
      <c r="J65" s="47"/>
      <c r="K65" s="47"/>
      <c r="L65" s="47">
        <v>11251.1</v>
      </c>
      <c r="M65" s="47"/>
      <c r="N65" s="54">
        <v>43420</v>
      </c>
      <c r="O65" s="55">
        <f>H65</f>
        <v>11300</v>
      </c>
      <c r="P65" s="56">
        <f t="shared" si="8"/>
        <v>1952800</v>
      </c>
      <c r="Q65" s="56">
        <f t="shared" si="9"/>
        <v>56500000</v>
      </c>
      <c r="R65" s="47"/>
      <c r="S65" s="47" t="s">
        <v>137</v>
      </c>
    </row>
    <row r="66" spans="1:19" s="37" customFormat="1" hidden="1" x14ac:dyDescent="0.15">
      <c r="A66" s="47" t="s">
        <v>158</v>
      </c>
      <c r="B66" s="54">
        <v>43410</v>
      </c>
      <c r="C66" s="54">
        <v>43449</v>
      </c>
      <c r="D66" s="47" t="s">
        <v>130</v>
      </c>
      <c r="E66" s="47" t="s">
        <v>38</v>
      </c>
      <c r="F66" s="14" t="s">
        <v>159</v>
      </c>
      <c r="G66" s="14">
        <v>10000</v>
      </c>
      <c r="H66" s="14" t="s">
        <v>165</v>
      </c>
      <c r="I66" s="14">
        <f>48-4.09</f>
        <v>43.91</v>
      </c>
      <c r="J66" s="47"/>
      <c r="K66" s="47"/>
      <c r="L66" s="47"/>
      <c r="M66" s="47"/>
      <c r="N66" s="54">
        <v>43432</v>
      </c>
      <c r="O66" s="55">
        <v>1886</v>
      </c>
      <c r="P66" s="56">
        <f t="shared" si="8"/>
        <v>439099.99999999994</v>
      </c>
      <c r="Q66" s="56">
        <f t="shared" si="9"/>
        <v>18860000</v>
      </c>
      <c r="R66" s="47"/>
      <c r="S66" s="47" t="s">
        <v>140</v>
      </c>
    </row>
    <row r="67" spans="1:19" s="37" customFormat="1" hidden="1" x14ac:dyDescent="0.15">
      <c r="A67" s="47" t="s">
        <v>158</v>
      </c>
      <c r="B67" s="54">
        <v>43412</v>
      </c>
      <c r="C67" s="54">
        <v>43449</v>
      </c>
      <c r="D67" s="47" t="s">
        <v>130</v>
      </c>
      <c r="E67" s="47" t="s">
        <v>38</v>
      </c>
      <c r="F67" s="14" t="s">
        <v>159</v>
      </c>
      <c r="G67" s="14">
        <v>10000</v>
      </c>
      <c r="H67" s="14" t="s">
        <v>166</v>
      </c>
      <c r="I67" s="14">
        <f>48-4.09</f>
        <v>43.91</v>
      </c>
      <c r="J67" s="47"/>
      <c r="K67" s="47"/>
      <c r="L67" s="47"/>
      <c r="M67" s="47"/>
      <c r="N67" s="54">
        <v>43432</v>
      </c>
      <c r="O67" s="55">
        <v>1892</v>
      </c>
      <c r="P67" s="56">
        <f t="shared" si="8"/>
        <v>439099.99999999994</v>
      </c>
      <c r="Q67" s="56">
        <f t="shared" si="9"/>
        <v>18920000</v>
      </c>
      <c r="R67" s="47"/>
      <c r="S67" s="47" t="s">
        <v>140</v>
      </c>
    </row>
    <row r="68" spans="1:19" s="37" customFormat="1" hidden="1" x14ac:dyDescent="0.15">
      <c r="A68" s="47" t="s">
        <v>158</v>
      </c>
      <c r="B68" s="54">
        <v>43412</v>
      </c>
      <c r="C68" s="54">
        <v>43449</v>
      </c>
      <c r="D68" s="47" t="s">
        <v>130</v>
      </c>
      <c r="E68" s="47" t="s">
        <v>38</v>
      </c>
      <c r="F68" s="14" t="s">
        <v>159</v>
      </c>
      <c r="G68" s="14">
        <v>20000</v>
      </c>
      <c r="H68" s="14" t="s">
        <v>166</v>
      </c>
      <c r="I68" s="14">
        <f>48-4.09</f>
        <v>43.91</v>
      </c>
      <c r="J68" s="47"/>
      <c r="K68" s="47"/>
      <c r="L68" s="47"/>
      <c r="M68" s="47"/>
      <c r="N68" s="54">
        <v>43432</v>
      </c>
      <c r="O68" s="55">
        <v>1892</v>
      </c>
      <c r="P68" s="56">
        <f t="shared" si="8"/>
        <v>878199.99999999988</v>
      </c>
      <c r="Q68" s="56">
        <f t="shared" si="9"/>
        <v>37840000</v>
      </c>
      <c r="R68" s="47"/>
      <c r="S68" s="47" t="s">
        <v>140</v>
      </c>
    </row>
    <row r="69" spans="1:19" s="37" customFormat="1" x14ac:dyDescent="0.15">
      <c r="A69" s="220" t="s">
        <v>167</v>
      </c>
      <c r="B69" s="54">
        <v>43413</v>
      </c>
      <c r="C69" s="54">
        <v>43441</v>
      </c>
      <c r="D69" s="47" t="s">
        <v>153</v>
      </c>
      <c r="E69" s="47" t="s">
        <v>21</v>
      </c>
      <c r="F69" s="14" t="s">
        <v>56</v>
      </c>
      <c r="G69" s="14">
        <v>1000</v>
      </c>
      <c r="H69" s="14">
        <v>11550</v>
      </c>
      <c r="I69" s="14">
        <f>H69*0.0308</f>
        <v>355.74</v>
      </c>
      <c r="J69" s="47" t="s">
        <v>168</v>
      </c>
      <c r="K69" s="47"/>
      <c r="L69" s="47">
        <v>11608</v>
      </c>
      <c r="M69" s="47"/>
      <c r="N69" s="54">
        <v>43441</v>
      </c>
      <c r="O69" s="55">
        <v>11550</v>
      </c>
      <c r="P69" s="56">
        <f t="shared" si="8"/>
        <v>355740</v>
      </c>
      <c r="Q69" s="56">
        <f t="shared" si="9"/>
        <v>11550000</v>
      </c>
      <c r="R69" s="47"/>
      <c r="S69" s="47"/>
    </row>
    <row r="70" spans="1:19" s="37" customFormat="1" x14ac:dyDescent="0.15">
      <c r="A70" s="220"/>
      <c r="B70" s="54">
        <v>43413</v>
      </c>
      <c r="C70" s="54">
        <v>43441</v>
      </c>
      <c r="D70" s="47" t="s">
        <v>153</v>
      </c>
      <c r="E70" s="47" t="s">
        <v>21</v>
      </c>
      <c r="F70" s="14" t="s">
        <v>59</v>
      </c>
      <c r="G70" s="14">
        <v>1000</v>
      </c>
      <c r="H70" s="14">
        <v>11550</v>
      </c>
      <c r="I70" s="14">
        <f>H70*0.0308</f>
        <v>355.74</v>
      </c>
      <c r="J70" s="47" t="s">
        <v>169</v>
      </c>
      <c r="K70" s="47"/>
      <c r="L70" s="47">
        <v>11608</v>
      </c>
      <c r="M70" s="47"/>
      <c r="N70" s="54">
        <v>43441</v>
      </c>
      <c r="O70" s="55">
        <v>11550</v>
      </c>
      <c r="P70" s="56">
        <f t="shared" si="8"/>
        <v>355740</v>
      </c>
      <c r="Q70" s="56">
        <f t="shared" si="9"/>
        <v>11550000</v>
      </c>
      <c r="R70" s="47"/>
      <c r="S70" s="47"/>
    </row>
    <row r="71" spans="1:19" s="37" customFormat="1" x14ac:dyDescent="0.15">
      <c r="A71" s="47" t="s">
        <v>170</v>
      </c>
      <c r="B71" s="54">
        <v>43426</v>
      </c>
      <c r="C71" s="54">
        <v>43454</v>
      </c>
      <c r="D71" s="47" t="s">
        <v>171</v>
      </c>
      <c r="E71" s="47" t="s">
        <v>38</v>
      </c>
      <c r="F71" s="14" t="s">
        <v>59</v>
      </c>
      <c r="G71" s="14">
        <v>5000</v>
      </c>
      <c r="H71" s="14">
        <v>3385</v>
      </c>
      <c r="I71" s="14">
        <v>341.4</v>
      </c>
      <c r="J71" s="47" t="s">
        <v>172</v>
      </c>
      <c r="K71" s="47"/>
      <c r="L71" s="47">
        <v>3765</v>
      </c>
      <c r="M71" s="47"/>
      <c r="N71" s="54">
        <v>43454</v>
      </c>
      <c r="O71" s="55">
        <f>H71</f>
        <v>3385</v>
      </c>
      <c r="P71" s="56">
        <f t="shared" si="8"/>
        <v>1707000</v>
      </c>
      <c r="Q71" s="56">
        <f t="shared" si="9"/>
        <v>16925000</v>
      </c>
      <c r="R71" s="47"/>
      <c r="S71" s="47"/>
    </row>
    <row r="72" spans="1:19" s="37" customFormat="1" x14ac:dyDescent="0.15">
      <c r="A72" s="220" t="s">
        <v>173</v>
      </c>
      <c r="B72" s="223">
        <v>43427</v>
      </c>
      <c r="C72" s="223">
        <v>43458.625</v>
      </c>
      <c r="D72" s="220" t="s">
        <v>174</v>
      </c>
      <c r="E72" s="47" t="s">
        <v>38</v>
      </c>
      <c r="F72" s="78" t="s">
        <v>22</v>
      </c>
      <c r="G72" s="39">
        <v>2100</v>
      </c>
      <c r="H72" s="39">
        <v>2218.6999999999998</v>
      </c>
      <c r="I72" s="39">
        <v>91.9</v>
      </c>
      <c r="J72" s="220" t="s">
        <v>175</v>
      </c>
      <c r="K72" s="47"/>
      <c r="L72" s="47"/>
      <c r="M72" s="47">
        <v>166.2</v>
      </c>
      <c r="N72" s="54">
        <v>43458</v>
      </c>
      <c r="O72" s="55">
        <f t="shared" ref="O72:O77" si="10">H72</f>
        <v>2218.6999999999998</v>
      </c>
      <c r="P72" s="56">
        <f t="shared" si="8"/>
        <v>192990</v>
      </c>
      <c r="Q72" s="56">
        <f t="shared" si="9"/>
        <v>4659270</v>
      </c>
      <c r="R72" s="47"/>
      <c r="S72" s="47"/>
    </row>
    <row r="73" spans="1:19" s="37" customFormat="1" x14ac:dyDescent="0.15">
      <c r="A73" s="220"/>
      <c r="B73" s="223"/>
      <c r="C73" s="223"/>
      <c r="D73" s="220"/>
      <c r="E73" s="47" t="s">
        <v>38</v>
      </c>
      <c r="F73" s="78" t="s">
        <v>22</v>
      </c>
      <c r="G73" s="39">
        <v>4200</v>
      </c>
      <c r="H73" s="39">
        <v>2268.6999999999998</v>
      </c>
      <c r="I73" s="39">
        <v>70.400000000000006</v>
      </c>
      <c r="J73" s="220"/>
      <c r="K73" s="47"/>
      <c r="L73" s="47"/>
      <c r="M73" s="47">
        <v>132</v>
      </c>
      <c r="N73" s="54">
        <v>43458</v>
      </c>
      <c r="O73" s="55">
        <f t="shared" si="10"/>
        <v>2268.6999999999998</v>
      </c>
      <c r="P73" s="56">
        <f t="shared" si="8"/>
        <v>295680</v>
      </c>
      <c r="Q73" s="56">
        <f t="shared" si="9"/>
        <v>9528540</v>
      </c>
      <c r="R73" s="47"/>
      <c r="S73" s="47"/>
    </row>
    <row r="74" spans="1:19" s="37" customFormat="1" x14ac:dyDescent="0.15">
      <c r="A74" s="220" t="s">
        <v>79</v>
      </c>
      <c r="B74" s="223">
        <v>43432</v>
      </c>
      <c r="C74" s="223">
        <v>43455</v>
      </c>
      <c r="D74" s="220" t="s">
        <v>176</v>
      </c>
      <c r="E74" s="220" t="s">
        <v>38</v>
      </c>
      <c r="F74" s="78" t="s">
        <v>177</v>
      </c>
      <c r="G74" s="21">
        <v>25000</v>
      </c>
      <c r="H74" s="39">
        <v>424.4</v>
      </c>
      <c r="I74" s="39">
        <v>16.98</v>
      </c>
      <c r="J74" s="220" t="s">
        <v>178</v>
      </c>
      <c r="K74" s="47"/>
      <c r="L74" s="47"/>
      <c r="M74" s="47">
        <v>404.8</v>
      </c>
      <c r="N74" s="54">
        <v>43455</v>
      </c>
      <c r="O74" s="55">
        <f t="shared" si="10"/>
        <v>424.4</v>
      </c>
      <c r="P74" s="56">
        <f t="shared" si="8"/>
        <v>424500</v>
      </c>
      <c r="Q74" s="56">
        <f t="shared" si="9"/>
        <v>10610000</v>
      </c>
      <c r="R74" s="47"/>
      <c r="S74" s="47"/>
    </row>
    <row r="75" spans="1:19" s="37" customFormat="1" x14ac:dyDescent="0.15">
      <c r="A75" s="220"/>
      <c r="B75" s="223"/>
      <c r="C75" s="223"/>
      <c r="D75" s="220"/>
      <c r="E75" s="220"/>
      <c r="F75" s="78" t="s">
        <v>25</v>
      </c>
      <c r="G75" s="21">
        <v>25000</v>
      </c>
      <c r="H75" s="39">
        <v>424.4</v>
      </c>
      <c r="I75" s="39">
        <v>16.98</v>
      </c>
      <c r="J75" s="220"/>
      <c r="K75" s="47"/>
      <c r="L75" s="47"/>
      <c r="M75" s="47">
        <v>404.8</v>
      </c>
      <c r="N75" s="54">
        <v>43455</v>
      </c>
      <c r="O75" s="55">
        <f t="shared" si="10"/>
        <v>424.4</v>
      </c>
      <c r="P75" s="56">
        <f t="shared" si="8"/>
        <v>424500</v>
      </c>
      <c r="Q75" s="56">
        <f t="shared" si="9"/>
        <v>10610000</v>
      </c>
      <c r="R75" s="47"/>
      <c r="S75" s="47"/>
    </row>
    <row r="76" spans="1:19" s="37" customFormat="1" ht="27.75" customHeight="1" x14ac:dyDescent="0.15">
      <c r="A76" s="47" t="s">
        <v>179</v>
      </c>
      <c r="B76" s="54">
        <v>43432</v>
      </c>
      <c r="C76" s="54">
        <v>43446</v>
      </c>
      <c r="D76" s="47" t="s">
        <v>180</v>
      </c>
      <c r="E76" s="47" t="s">
        <v>38</v>
      </c>
      <c r="F76" s="14" t="s">
        <v>25</v>
      </c>
      <c r="G76" s="22">
        <v>2000</v>
      </c>
      <c r="H76" s="14">
        <v>3560</v>
      </c>
      <c r="I76" s="14">
        <v>76.900000000000006</v>
      </c>
      <c r="J76" s="47" t="s">
        <v>181</v>
      </c>
      <c r="K76" s="47"/>
      <c r="L76" s="47"/>
      <c r="M76" s="47">
        <v>0</v>
      </c>
      <c r="N76" s="54">
        <v>43446</v>
      </c>
      <c r="O76" s="55">
        <f t="shared" si="10"/>
        <v>3560</v>
      </c>
      <c r="P76" s="56">
        <f t="shared" si="8"/>
        <v>153800</v>
      </c>
      <c r="Q76" s="56">
        <f t="shared" si="9"/>
        <v>7120000</v>
      </c>
      <c r="R76" s="47"/>
      <c r="S76" s="47"/>
    </row>
    <row r="77" spans="1:19" s="42" customFormat="1" ht="27.75" customHeight="1" x14ac:dyDescent="0.15">
      <c r="A77" s="47" t="s">
        <v>36</v>
      </c>
      <c r="B77" s="54">
        <v>43437</v>
      </c>
      <c r="C77" s="54">
        <v>43462</v>
      </c>
      <c r="D77" s="47" t="s">
        <v>182</v>
      </c>
      <c r="E77" s="47" t="s">
        <v>38</v>
      </c>
      <c r="F77" s="27" t="s">
        <v>131</v>
      </c>
      <c r="G77" s="25">
        <v>1000</v>
      </c>
      <c r="H77" s="25">
        <v>11505</v>
      </c>
      <c r="I77" s="25">
        <v>465</v>
      </c>
      <c r="J77" s="47" t="s">
        <v>183</v>
      </c>
      <c r="K77" s="47"/>
      <c r="L77" s="47"/>
      <c r="M77" s="47"/>
      <c r="N77" s="54">
        <v>43462</v>
      </c>
      <c r="O77" s="55">
        <f t="shared" si="10"/>
        <v>11505</v>
      </c>
      <c r="P77" s="56">
        <f t="shared" si="8"/>
        <v>465000</v>
      </c>
      <c r="Q77" s="56">
        <f t="shared" si="9"/>
        <v>11505000</v>
      </c>
      <c r="R77" s="47"/>
      <c r="S77" s="47" t="s">
        <v>137</v>
      </c>
    </row>
    <row r="78" spans="1:19" s="42" customFormat="1" ht="27.75" customHeight="1" x14ac:dyDescent="0.15">
      <c r="A78" s="47" t="s">
        <v>42</v>
      </c>
      <c r="B78" s="54">
        <v>43440</v>
      </c>
      <c r="C78" s="54">
        <v>43462</v>
      </c>
      <c r="D78" s="47" t="s">
        <v>186</v>
      </c>
      <c r="E78" s="47" t="s">
        <v>38</v>
      </c>
      <c r="F78" s="25" t="s">
        <v>187</v>
      </c>
      <c r="G78" s="25">
        <v>1000</v>
      </c>
      <c r="H78" s="25">
        <v>14635</v>
      </c>
      <c r="I78" s="25">
        <v>175.39</v>
      </c>
      <c r="J78" s="47" t="s">
        <v>188</v>
      </c>
      <c r="K78" s="47"/>
      <c r="L78" s="47"/>
      <c r="M78" s="47"/>
      <c r="N78" s="54">
        <v>43462</v>
      </c>
      <c r="O78" s="55">
        <v>14616</v>
      </c>
      <c r="P78" s="56">
        <f t="shared" si="8"/>
        <v>175390</v>
      </c>
      <c r="Q78" s="56">
        <f t="shared" si="9"/>
        <v>14616000</v>
      </c>
      <c r="R78" s="47"/>
      <c r="S78" s="47" t="s">
        <v>137</v>
      </c>
    </row>
    <row r="79" spans="1:19" x14ac:dyDescent="0.15">
      <c r="A79" s="47"/>
      <c r="B79" s="54"/>
      <c r="C79" s="54"/>
      <c r="D79" s="47"/>
      <c r="E79" s="47"/>
      <c r="J79" s="47"/>
      <c r="K79" s="47"/>
      <c r="L79" s="47"/>
      <c r="M79" s="47"/>
      <c r="N79" s="47"/>
      <c r="O79" s="55"/>
      <c r="P79" s="56"/>
      <c r="Q79" s="56"/>
      <c r="R79" s="47"/>
      <c r="S79" s="47"/>
    </row>
    <row r="80" spans="1:19" x14ac:dyDescent="0.15">
      <c r="A80" s="47"/>
      <c r="B80" s="54"/>
      <c r="C80" s="54"/>
      <c r="D80" s="47"/>
      <c r="E80" s="47"/>
      <c r="J80" s="47"/>
      <c r="K80" s="47"/>
      <c r="L80" s="47"/>
      <c r="M80" s="47"/>
      <c r="N80" s="47"/>
      <c r="O80" s="55"/>
      <c r="P80" s="56"/>
      <c r="Q80" s="56"/>
      <c r="R80" s="47"/>
      <c r="S80" s="47"/>
    </row>
    <row r="108" spans="9:9" x14ac:dyDescent="0.15">
      <c r="I108" s="246"/>
    </row>
    <row r="109" spans="9:9" x14ac:dyDescent="0.15">
      <c r="I109" s="246"/>
    </row>
    <row r="110" spans="9:9" x14ac:dyDescent="0.15">
      <c r="I110" s="246"/>
    </row>
    <row r="111" spans="9:9" x14ac:dyDescent="0.15">
      <c r="I111" s="246"/>
    </row>
    <row r="112" spans="9:9" x14ac:dyDescent="0.15">
      <c r="I112" s="246"/>
    </row>
    <row r="113" spans="9:9" x14ac:dyDescent="0.15">
      <c r="I113" s="246"/>
    </row>
    <row r="114" spans="9:9" x14ac:dyDescent="0.15">
      <c r="I114" s="246"/>
    </row>
    <row r="115" spans="9:9" x14ac:dyDescent="0.15">
      <c r="I115" s="246"/>
    </row>
    <row r="116" spans="9:9" x14ac:dyDescent="0.15">
      <c r="I116" s="246"/>
    </row>
    <row r="117" spans="9:9" x14ac:dyDescent="0.15">
      <c r="I117" s="246"/>
    </row>
  </sheetData>
  <autoFilter ref="A1:R80">
    <filterColumn colId="2">
      <filters blank="1">
        <dateGroupItem year="2018" month="12" dateTimeGrouping="month"/>
      </filters>
    </filterColumn>
    <filterColumn colId="13">
      <filters blank="1">
        <dateGroupItem year="2018" month="12" dateTimeGrouping="month"/>
      </filters>
    </filterColumn>
  </autoFilter>
  <mergeCells count="18">
    <mergeCell ref="I114:I115"/>
    <mergeCell ref="I112:I113"/>
    <mergeCell ref="I116:I117"/>
    <mergeCell ref="I110:I111"/>
    <mergeCell ref="I108:I109"/>
    <mergeCell ref="J74:J75"/>
    <mergeCell ref="R22:R23"/>
    <mergeCell ref="A72:A73"/>
    <mergeCell ref="B72:B73"/>
    <mergeCell ref="C72:C73"/>
    <mergeCell ref="D72:D73"/>
    <mergeCell ref="J72:J73"/>
    <mergeCell ref="A74:A75"/>
    <mergeCell ref="B74:B75"/>
    <mergeCell ref="C74:C75"/>
    <mergeCell ref="D74:D75"/>
    <mergeCell ref="E74:E75"/>
    <mergeCell ref="A69:A70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台账阅读说明</vt:lpstr>
      <vt:lpstr>场外台账2019 </vt:lpstr>
      <vt:lpstr>其他</vt:lpstr>
      <vt:lpstr>Sheet2</vt:lpstr>
      <vt:lpstr>2018.12月末存量</vt:lpstr>
      <vt:lpstr>2018.12月新增</vt:lpstr>
      <vt:lpstr>2018.12月终止</vt:lpstr>
    </vt:vector>
  </TitlesOfParts>
  <Company>SAIC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谷宇</cp:lastModifiedBy>
  <cp:lastPrinted>2019-07-19T08:51:32Z</cp:lastPrinted>
  <dcterms:created xsi:type="dcterms:W3CDTF">2017-01-05T06:35:00Z</dcterms:created>
  <dcterms:modified xsi:type="dcterms:W3CDTF">2020-01-02T08:07:06Z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