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50" firstSheet="1" activeTab="2"/>
  </bookViews>
  <sheets>
    <sheet name="Sheet1" sheetId="17" state="hidden" r:id="rId1"/>
    <sheet name="台账阅读说明" sheetId="18" r:id="rId2"/>
    <sheet name="场外台账2019 " sheetId="19" r:id="rId3"/>
    <sheet name="其他" sheetId="20" r:id="rId4"/>
    <sheet name="Sheet2" sheetId="21" r:id="rId5"/>
    <sheet name="2018.12月末存量" sheetId="8" state="hidden" r:id="rId6"/>
    <sheet name="2018.12月新增" sheetId="6" state="hidden" r:id="rId7"/>
    <sheet name="2018.12月终止" sheetId="7" state="hidden" r:id="rId8"/>
  </sheets>
  <externalReferences>
    <externalReference r:id="rId9"/>
  </externalReferences>
  <definedNames>
    <definedName name="_xlnm._FilterDatabase" localSheetId="5" hidden="1">'2018.12月末存量'!$B$1:$S$120</definedName>
    <definedName name="_xlnm._FilterDatabase" localSheetId="6" hidden="1">'2018.12月新增'!$B$1:$S$121</definedName>
    <definedName name="_xlnm._FilterDatabase" localSheetId="7" hidden="1">'2018.12月终止'!$A$1:$R$80</definedName>
    <definedName name="_xlnm._FilterDatabase" localSheetId="2" hidden="1">'场外台账2019 '!$A$1:$AL$1038</definedName>
  </definedNames>
  <calcPr calcId="152511"/>
</workbook>
</file>

<file path=xl/calcChain.xml><?xml version="1.0" encoding="utf-8"?>
<calcChain xmlns="http://schemas.openxmlformats.org/spreadsheetml/2006/main">
  <c r="X984" i="19" l="1"/>
  <c r="V984" i="19"/>
  <c r="V985" i="19" l="1"/>
  <c r="S1036" i="19" l="1"/>
  <c r="S1035" i="19"/>
  <c r="O1037" i="19"/>
  <c r="O1038" i="19"/>
  <c r="AA1038" i="19"/>
  <c r="AA1037" i="19"/>
  <c r="Y1037" i="19"/>
  <c r="Y1038" i="19"/>
  <c r="C1038" i="19"/>
  <c r="Z1038" i="19" s="1"/>
  <c r="C1037" i="19"/>
  <c r="Z1037" i="19" l="1"/>
  <c r="O1034" i="19"/>
  <c r="AA1036" i="19" l="1"/>
  <c r="AA1035" i="19"/>
  <c r="V975" i="19"/>
  <c r="Y1036" i="19" l="1"/>
  <c r="Y1035" i="19"/>
  <c r="O1036" i="19"/>
  <c r="X1036" i="19" s="1"/>
  <c r="O1035" i="19"/>
  <c r="X1035" i="19" s="1"/>
  <c r="C1036" i="19"/>
  <c r="Z1036" i="19" s="1"/>
  <c r="C1035" i="19"/>
  <c r="Z1035" i="19" s="1"/>
  <c r="AA1034" i="19" l="1"/>
  <c r="Y1034" i="19"/>
  <c r="C1034" i="19"/>
  <c r="Z1034" i="19" l="1"/>
  <c r="Q970" i="19"/>
  <c r="Q969" i="19"/>
  <c r="P18" i="6"/>
  <c r="P12" i="6"/>
  <c r="O5" i="7"/>
  <c r="P40" i="8"/>
  <c r="O44" i="7"/>
  <c r="P32" i="8"/>
  <c r="O18" i="7"/>
  <c r="O10" i="7"/>
  <c r="P38" i="6"/>
  <c r="P37" i="8"/>
  <c r="P16" i="6"/>
  <c r="P6" i="6"/>
  <c r="O22" i="7"/>
  <c r="P39" i="6"/>
  <c r="O15" i="7"/>
  <c r="O8" i="7"/>
  <c r="P25" i="6"/>
  <c r="P5" i="6"/>
  <c r="P3" i="8"/>
  <c r="P8" i="6"/>
  <c r="O20" i="7"/>
  <c r="O26" i="7"/>
  <c r="P48" i="8"/>
  <c r="P39" i="8"/>
  <c r="O35" i="7"/>
  <c r="P2" i="8"/>
  <c r="P4" i="6"/>
  <c r="P27" i="6"/>
  <c r="O2" i="7"/>
  <c r="P42" i="8"/>
  <c r="O46" i="7"/>
  <c r="P17" i="6"/>
  <c r="P15" i="6"/>
  <c r="P11" i="6"/>
  <c r="P44" i="8"/>
  <c r="O21" i="7"/>
  <c r="P42" i="6"/>
  <c r="P20" i="6"/>
  <c r="O16" i="7"/>
  <c r="O3" i="7"/>
  <c r="P2" i="6"/>
  <c r="O17" i="7"/>
  <c r="P5" i="8"/>
  <c r="P43" i="8"/>
  <c r="O38" i="7"/>
  <c r="P37" i="6"/>
  <c r="O31" i="7"/>
  <c r="O37" i="7"/>
  <c r="O47" i="7"/>
  <c r="P36" i="8"/>
  <c r="P9" i="8"/>
  <c r="P13" i="8"/>
  <c r="O25" i="7"/>
  <c r="P44" i="6"/>
  <c r="O19" i="7"/>
  <c r="P45" i="6"/>
  <c r="P24" i="8"/>
  <c r="O14" i="7"/>
  <c r="P10" i="8"/>
  <c r="O36" i="7"/>
  <c r="P35" i="6"/>
  <c r="P33" i="6"/>
  <c r="P14" i="8"/>
  <c r="O33" i="7"/>
  <c r="P10" i="6"/>
  <c r="P30" i="8"/>
  <c r="O42" i="7"/>
  <c r="O39" i="7"/>
  <c r="O9" i="7"/>
  <c r="O4" i="7"/>
  <c r="O48" i="7"/>
  <c r="P49" i="8"/>
  <c r="P6" i="8"/>
  <c r="P4" i="8"/>
  <c r="P30" i="6"/>
  <c r="P41" i="8"/>
  <c r="P13" i="6"/>
  <c r="O41" i="7"/>
  <c r="P43" i="6"/>
  <c r="P41" i="6"/>
  <c r="P22" i="6"/>
  <c r="P8" i="8"/>
  <c r="P33" i="8"/>
  <c r="O24" i="7"/>
  <c r="P31" i="8"/>
  <c r="P21" i="6"/>
  <c r="O13" i="7"/>
  <c r="P26" i="6"/>
  <c r="P47" i="8"/>
  <c r="P3" i="6"/>
  <c r="O28" i="7"/>
  <c r="P16" i="8"/>
  <c r="P35" i="8"/>
  <c r="O45" i="7"/>
  <c r="P19" i="8"/>
  <c r="P40" i="6"/>
  <c r="O6" i="7"/>
  <c r="P23" i="8"/>
  <c r="O34" i="7"/>
  <c r="P19" i="6"/>
  <c r="P21" i="8"/>
  <c r="P14" i="6"/>
  <c r="P15" i="8"/>
  <c r="P34" i="6"/>
  <c r="O11" i="7"/>
  <c r="P28" i="6"/>
  <c r="P23" i="6"/>
  <c r="O49" i="7"/>
  <c r="P12" i="8"/>
  <c r="P38" i="8"/>
  <c r="P36" i="6"/>
  <c r="P29" i="6"/>
  <c r="P20" i="8"/>
  <c r="O23" i="7"/>
  <c r="P46" i="8"/>
  <c r="O29" i="7"/>
  <c r="P31" i="6"/>
  <c r="P11" i="8"/>
  <c r="P34" i="8"/>
  <c r="P49" i="6"/>
  <c r="P45" i="8"/>
  <c r="P9" i="6"/>
  <c r="P48" i="6"/>
  <c r="O7" i="7"/>
  <c r="O12" i="7"/>
  <c r="P25" i="8"/>
  <c r="P29" i="8"/>
  <c r="P18" i="8"/>
  <c r="P28" i="8"/>
  <c r="P26" i="8"/>
  <c r="O43" i="7"/>
  <c r="P17" i="8"/>
  <c r="P7" i="8"/>
  <c r="P27" i="8"/>
  <c r="P24" i="6"/>
  <c r="P7" i="6"/>
  <c r="P22" i="8"/>
  <c r="O32" i="7"/>
  <c r="O27" i="7"/>
  <c r="O40" i="7"/>
  <c r="O30" i="7"/>
  <c r="P46" i="6"/>
  <c r="P32" i="6"/>
  <c r="P47" i="6"/>
  <c r="O1031" i="19" l="1"/>
  <c r="O1032" i="19"/>
  <c r="O1033" i="19"/>
  <c r="O1030" i="19"/>
  <c r="AA1033" i="19"/>
  <c r="Y1033" i="19"/>
  <c r="C1033" i="19"/>
  <c r="AA1032" i="19"/>
  <c r="Y1032" i="19"/>
  <c r="C1032" i="19"/>
  <c r="AA1031" i="19"/>
  <c r="Y1031" i="19"/>
  <c r="C1031" i="19"/>
  <c r="AA1030" i="19"/>
  <c r="Y1030" i="19"/>
  <c r="C1030" i="19"/>
  <c r="Z1030" i="19" l="1"/>
  <c r="Z1033" i="19"/>
  <c r="Z1031" i="19"/>
  <c r="Z1032" i="19"/>
  <c r="S974" i="19"/>
  <c r="X974" i="19" s="1"/>
  <c r="S972" i="19"/>
  <c r="X972" i="19" s="1"/>
  <c r="R973" i="19"/>
  <c r="S973" i="19" s="1"/>
  <c r="X973" i="19" s="1"/>
  <c r="R971" i="19"/>
  <c r="S971" i="19" s="1"/>
  <c r="X971" i="19" s="1"/>
  <c r="Q974" i="19"/>
  <c r="Q973" i="19"/>
  <c r="Q972" i="19"/>
  <c r="Q971" i="19"/>
  <c r="S1029" i="19" l="1"/>
  <c r="S1028" i="19"/>
  <c r="S1027" i="19"/>
  <c r="S1026" i="19"/>
  <c r="Q1029" i="19"/>
  <c r="Q1028" i="19"/>
  <c r="Q1027" i="19"/>
  <c r="Q1026" i="19"/>
  <c r="AA1029" i="19" l="1"/>
  <c r="Y1029" i="19"/>
  <c r="O1029" i="19"/>
  <c r="X1029" i="19" s="1"/>
  <c r="C1029" i="19"/>
  <c r="AA1028" i="19"/>
  <c r="Y1028" i="19"/>
  <c r="O1028" i="19"/>
  <c r="X1028" i="19" s="1"/>
  <c r="C1028" i="19"/>
  <c r="AA1027" i="19"/>
  <c r="Y1027" i="19"/>
  <c r="O1027" i="19"/>
  <c r="X1027" i="19" s="1"/>
  <c r="C1027" i="19"/>
  <c r="AA1026" i="19"/>
  <c r="Y1026" i="19"/>
  <c r="O1026" i="19"/>
  <c r="X1026" i="19" s="1"/>
  <c r="C1026" i="19"/>
  <c r="Z1028" i="19" l="1"/>
  <c r="Z1029" i="19"/>
  <c r="Z1027" i="19"/>
  <c r="Z1026" i="19"/>
  <c r="AA1025" i="19"/>
  <c r="Y1025" i="19"/>
  <c r="O1025" i="19"/>
  <c r="C1025" i="19"/>
  <c r="AA1024" i="19"/>
  <c r="Y1024" i="19"/>
  <c r="O1024" i="19"/>
  <c r="C1024" i="19"/>
  <c r="U968" i="19"/>
  <c r="U967" i="19"/>
  <c r="V967" i="19" s="1"/>
  <c r="V965" i="19"/>
  <c r="Z1024" i="19" l="1"/>
  <c r="Z1025" i="19"/>
  <c r="Q968" i="19"/>
  <c r="Q967" i="19"/>
  <c r="Q966" i="19"/>
  <c r="Q965" i="19"/>
  <c r="AA1023" i="19" l="1"/>
  <c r="Y1023" i="19"/>
  <c r="O1023" i="19"/>
  <c r="C1023" i="19"/>
  <c r="AA1022" i="19"/>
  <c r="Y1022" i="19"/>
  <c r="O1022" i="19"/>
  <c r="C1022" i="19"/>
  <c r="AA1021" i="19"/>
  <c r="Y1021" i="19"/>
  <c r="C1021" i="19"/>
  <c r="O1021" i="19"/>
  <c r="AA1020" i="19"/>
  <c r="Y1020" i="19"/>
  <c r="O1020" i="19"/>
  <c r="C1020" i="19"/>
  <c r="Z1023" i="19" l="1"/>
  <c r="Z1020" i="19"/>
  <c r="Z1022" i="19"/>
  <c r="Z1021" i="19"/>
  <c r="V963" i="19"/>
  <c r="V961" i="19"/>
  <c r="V959" i="19"/>
  <c r="V957" i="19"/>
  <c r="V955" i="19"/>
  <c r="Y1019" i="19" l="1"/>
  <c r="AA1019" i="19"/>
  <c r="O1019" i="19"/>
  <c r="C1019" i="19"/>
  <c r="Q964" i="19"/>
  <c r="Q963" i="19"/>
  <c r="Q962" i="19"/>
  <c r="Q961" i="19"/>
  <c r="Q960" i="19"/>
  <c r="Q959" i="19"/>
  <c r="Q958" i="19"/>
  <c r="Q957" i="19"/>
  <c r="Q956" i="19"/>
  <c r="Q955" i="19"/>
  <c r="Z1019" i="19" l="1"/>
  <c r="AA1018" i="19"/>
  <c r="Y1018" i="19"/>
  <c r="O1018" i="19"/>
  <c r="C1018" i="19"/>
  <c r="AA1017" i="19"/>
  <c r="Y1017" i="19"/>
  <c r="O1017" i="19"/>
  <c r="C1017" i="19"/>
  <c r="AA1016" i="19"/>
  <c r="AA1015" i="19"/>
  <c r="N1016" i="19"/>
  <c r="O1016" i="19" s="1"/>
  <c r="N1015" i="19"/>
  <c r="O1015" i="19" s="1"/>
  <c r="Y1016" i="19"/>
  <c r="C1016" i="19"/>
  <c r="Y1015" i="19"/>
  <c r="C1015" i="19"/>
  <c r="Z1017" i="19" l="1"/>
  <c r="Z1018" i="19"/>
  <c r="Z1015" i="19"/>
  <c r="Z1016" i="19"/>
  <c r="V990" i="19"/>
  <c r="Q991" i="19" l="1"/>
  <c r="Q990" i="19"/>
  <c r="Q905" i="19"/>
  <c r="Q904" i="19"/>
  <c r="AA1014" i="19" l="1"/>
  <c r="Y1014" i="19"/>
  <c r="O1014" i="19"/>
  <c r="C1014" i="19"/>
  <c r="Z1014" i="19" l="1"/>
  <c r="AA1013" i="19"/>
  <c r="Y1013" i="19"/>
  <c r="O1013" i="19"/>
  <c r="C1013" i="19"/>
  <c r="S1011" i="19"/>
  <c r="V1009" i="19"/>
  <c r="Q1010" i="19"/>
  <c r="Q1011" i="19"/>
  <c r="Q1012" i="19"/>
  <c r="Q1009" i="19"/>
  <c r="Y1006" i="19"/>
  <c r="Z1013" i="19" l="1"/>
  <c r="O1010" i="19"/>
  <c r="X1010" i="19" s="1"/>
  <c r="O1009" i="19"/>
  <c r="X1009" i="19" s="1"/>
  <c r="V949" i="19" l="1"/>
  <c r="V854" i="19"/>
  <c r="V852" i="19"/>
  <c r="O1012" i="19"/>
  <c r="X1012" i="19" s="1"/>
  <c r="O1011" i="19"/>
  <c r="X1011" i="19" s="1"/>
  <c r="AA949" i="19" l="1"/>
  <c r="AA1012" i="19"/>
  <c r="AA1011" i="19"/>
  <c r="AA1010" i="19"/>
  <c r="AA1009" i="19"/>
  <c r="Y1012" i="19"/>
  <c r="Y1011" i="19"/>
  <c r="Y1010" i="19"/>
  <c r="Y1009" i="19"/>
  <c r="C1012" i="19"/>
  <c r="C1011" i="19"/>
  <c r="C1010" i="19"/>
  <c r="Z1010" i="19" s="1"/>
  <c r="C1009" i="19"/>
  <c r="Z1012" i="19" l="1"/>
  <c r="Z1011" i="19"/>
  <c r="Z1009" i="19"/>
  <c r="V930" i="19"/>
  <c r="AA1008" i="19" l="1"/>
  <c r="Y1008" i="19"/>
  <c r="C1008" i="19"/>
  <c r="O1008" i="19"/>
  <c r="AA1007" i="19"/>
  <c r="Y1007" i="19"/>
  <c r="C1007" i="19"/>
  <c r="O1007" i="19"/>
  <c r="Z1007" i="19" l="1"/>
  <c r="Z1008" i="19"/>
  <c r="N1006" i="19"/>
  <c r="S981" i="19" l="1"/>
  <c r="Q981" i="19"/>
  <c r="O1006" i="19" l="1"/>
  <c r="AA1006" i="19"/>
  <c r="C1006" i="19"/>
  <c r="Z1006" i="19" l="1"/>
  <c r="V945" i="19"/>
  <c r="V943" i="19"/>
  <c r="V941" i="19"/>
  <c r="V939" i="19"/>
  <c r="V937" i="19"/>
  <c r="N1005" i="19" l="1"/>
  <c r="O1005" i="19" s="1"/>
  <c r="N1004" i="19"/>
  <c r="O1004" i="19" s="1"/>
  <c r="AA1005" i="19"/>
  <c r="AA1004" i="19"/>
  <c r="Y1005" i="19"/>
  <c r="C1005" i="19"/>
  <c r="Y1004" i="19"/>
  <c r="C1004" i="19"/>
  <c r="Z1005" i="19" l="1"/>
  <c r="Z1004" i="19"/>
  <c r="S989" i="19" l="1"/>
  <c r="S988" i="19"/>
  <c r="Q989" i="19"/>
  <c r="Q988" i="19"/>
  <c r="Q946" i="19" l="1"/>
  <c r="Q945" i="19"/>
  <c r="Q944" i="19"/>
  <c r="Q943" i="19"/>
  <c r="Q942" i="19"/>
  <c r="Q941" i="19"/>
  <c r="Q940" i="19"/>
  <c r="Q939" i="19"/>
  <c r="Q938" i="19"/>
  <c r="Q937" i="19"/>
  <c r="AA1003" i="19" l="1"/>
  <c r="Y1003" i="19"/>
  <c r="O1003" i="19"/>
  <c r="C1003" i="19"/>
  <c r="AA1002" i="19"/>
  <c r="Y1002" i="19"/>
  <c r="O1002" i="19"/>
  <c r="C1002" i="19"/>
  <c r="Z1002" i="19" l="1"/>
  <c r="Z1003" i="19"/>
  <c r="Q954" i="19"/>
  <c r="Q953" i="19"/>
  <c r="Q952" i="19"/>
  <c r="Q933" i="19"/>
  <c r="AA1001" i="19" l="1"/>
  <c r="Y1001" i="19"/>
  <c r="C1001" i="19"/>
  <c r="O1001" i="19"/>
  <c r="Z1001" i="19" l="1"/>
  <c r="AA1000" i="19" l="1"/>
  <c r="O1000" i="19"/>
  <c r="Y1000" i="19"/>
  <c r="C1000" i="19"/>
  <c r="Z1000" i="19" l="1"/>
  <c r="AA999" i="19"/>
  <c r="Y999" i="19"/>
  <c r="O999" i="19"/>
  <c r="C999" i="19"/>
  <c r="AA998" i="19"/>
  <c r="Y998" i="19"/>
  <c r="O998" i="19"/>
  <c r="C998" i="19"/>
  <c r="Z999" i="19" l="1"/>
  <c r="Z998" i="19"/>
  <c r="Q997" i="19"/>
  <c r="Q996" i="19"/>
  <c r="AA997" i="19" l="1"/>
  <c r="Y997" i="19"/>
  <c r="O997" i="19"/>
  <c r="X997" i="19" s="1"/>
  <c r="C997" i="19"/>
  <c r="AA996" i="19"/>
  <c r="Y996" i="19"/>
  <c r="C996" i="19"/>
  <c r="O996" i="19"/>
  <c r="X996" i="19" s="1"/>
  <c r="V912" i="19"/>
  <c r="AA995" i="19"/>
  <c r="Y995" i="19"/>
  <c r="C995" i="19"/>
  <c r="O995" i="19"/>
  <c r="AA994" i="19"/>
  <c r="Y994" i="19"/>
  <c r="C994" i="19"/>
  <c r="O994" i="19"/>
  <c r="Z996" i="19" l="1"/>
  <c r="Z997" i="19"/>
  <c r="Z995" i="19"/>
  <c r="Z994" i="19"/>
  <c r="S915" i="19"/>
  <c r="Q916" i="19"/>
  <c r="Q915" i="19"/>
  <c r="Q914" i="19"/>
  <c r="Q913" i="19"/>
  <c r="Q912" i="19"/>
  <c r="N993" i="19" l="1"/>
  <c r="N992" i="19"/>
  <c r="S856" i="19" l="1"/>
  <c r="Q856" i="19"/>
  <c r="AA993" i="19"/>
  <c r="AA992" i="19"/>
  <c r="Y993" i="19"/>
  <c r="O993" i="19"/>
  <c r="C993" i="19"/>
  <c r="Y992" i="19"/>
  <c r="O992" i="19"/>
  <c r="C992" i="19"/>
  <c r="Q927" i="19"/>
  <c r="Q926" i="19"/>
  <c r="Q925" i="19"/>
  <c r="Q924" i="19"/>
  <c r="Q923" i="19"/>
  <c r="Q922" i="19"/>
  <c r="Q921" i="19"/>
  <c r="Q920" i="19"/>
  <c r="Q919" i="19"/>
  <c r="Q918" i="19"/>
  <c r="Z993" i="19" l="1"/>
  <c r="Z992" i="19"/>
  <c r="N991" i="19"/>
  <c r="N990" i="19"/>
  <c r="AA991" i="19" l="1"/>
  <c r="AA990" i="19"/>
  <c r="Y991" i="19"/>
  <c r="Y990" i="19"/>
  <c r="O991" i="19"/>
  <c r="X991" i="19" s="1"/>
  <c r="O990" i="19"/>
  <c r="X990" i="19" s="1"/>
  <c r="C990" i="19"/>
  <c r="C991" i="19"/>
  <c r="AA989" i="19"/>
  <c r="Y989" i="19"/>
  <c r="AA988" i="19"/>
  <c r="Y988" i="19"/>
  <c r="O989" i="19"/>
  <c r="X989" i="19" s="1"/>
  <c r="O988" i="19"/>
  <c r="X988" i="19" s="1"/>
  <c r="C989" i="19"/>
  <c r="C988" i="19"/>
  <c r="S907" i="19"/>
  <c r="Q907" i="19"/>
  <c r="V951" i="19"/>
  <c r="Q951" i="19"/>
  <c r="Z991" i="19" l="1"/>
  <c r="Z990" i="19"/>
  <c r="Z989" i="19"/>
  <c r="Z988" i="19"/>
  <c r="V906" i="19"/>
  <c r="Q906" i="19" l="1"/>
  <c r="Q902" i="19" l="1"/>
  <c r="Q901" i="19"/>
  <c r="Q900" i="19"/>
  <c r="Q899" i="19"/>
  <c r="Q898" i="19"/>
  <c r="Q897" i="19"/>
  <c r="Q896" i="19"/>
  <c r="Q895" i="19"/>
  <c r="Q894" i="19"/>
  <c r="Q893" i="19"/>
  <c r="AA987" i="19" l="1"/>
  <c r="Y987" i="19"/>
  <c r="C987" i="19"/>
  <c r="O987" i="19"/>
  <c r="AA986" i="19"/>
  <c r="AA985" i="19"/>
  <c r="Y986" i="19"/>
  <c r="N986" i="19"/>
  <c r="O986" i="19" s="1"/>
  <c r="X986" i="19" s="1"/>
  <c r="C986" i="19"/>
  <c r="Y985" i="19"/>
  <c r="N985" i="19"/>
  <c r="O985" i="19" s="1"/>
  <c r="X985" i="19" s="1"/>
  <c r="C985" i="19"/>
  <c r="Z987" i="19" l="1"/>
  <c r="Z986" i="19"/>
  <c r="Z985" i="19"/>
  <c r="AA983" i="19"/>
  <c r="O983" i="19"/>
  <c r="Y983" i="19"/>
  <c r="C983" i="19"/>
  <c r="Z983" i="19" l="1"/>
  <c r="AA984" i="19" l="1"/>
  <c r="Y984" i="19"/>
  <c r="C984" i="19"/>
  <c r="Z984" i="19" l="1"/>
  <c r="AA982" i="19"/>
  <c r="Y982" i="19"/>
  <c r="O982" i="19"/>
  <c r="C982" i="19"/>
  <c r="Z982" i="19" l="1"/>
  <c r="Q950" i="19"/>
  <c r="O981" i="19" l="1"/>
  <c r="X981" i="19" s="1"/>
  <c r="AA981" i="19"/>
  <c r="Y981" i="19"/>
  <c r="C981" i="19"/>
  <c r="Z981" i="19" l="1"/>
  <c r="S980" i="19"/>
  <c r="S979" i="19"/>
  <c r="S977" i="19"/>
  <c r="R978" i="19"/>
  <c r="S978" i="19" s="1"/>
  <c r="S883" i="19"/>
  <c r="R882" i="19"/>
  <c r="S882" i="19" s="1"/>
  <c r="Q883" i="19"/>
  <c r="Q882" i="19"/>
  <c r="Q980" i="19"/>
  <c r="Q979" i="19"/>
  <c r="Q978" i="19"/>
  <c r="Q977" i="19"/>
  <c r="AF951" i="19" l="1"/>
  <c r="AF950" i="19"/>
  <c r="AA980" i="19" l="1"/>
  <c r="Y980" i="19"/>
  <c r="C980" i="19"/>
  <c r="O980" i="19"/>
  <c r="X980" i="19" s="1"/>
  <c r="AA979" i="19"/>
  <c r="Y979" i="19"/>
  <c r="C979" i="19"/>
  <c r="O979" i="19"/>
  <c r="X979" i="19" s="1"/>
  <c r="AA978" i="19"/>
  <c r="Y978" i="19"/>
  <c r="O978" i="19"/>
  <c r="X978" i="19" s="1"/>
  <c r="C978" i="19"/>
  <c r="AA977" i="19"/>
  <c r="Y977" i="19"/>
  <c r="O977" i="19"/>
  <c r="X977" i="19" s="1"/>
  <c r="C977" i="19"/>
  <c r="V887" i="19"/>
  <c r="V881" i="19"/>
  <c r="V879" i="19"/>
  <c r="V876" i="19"/>
  <c r="V874" i="19"/>
  <c r="V934" i="19"/>
  <c r="Q935" i="19"/>
  <c r="Q934" i="19"/>
  <c r="Q887" i="19"/>
  <c r="Q886" i="19"/>
  <c r="Q881" i="19"/>
  <c r="Q880" i="19"/>
  <c r="Q879" i="19"/>
  <c r="Q876" i="19"/>
  <c r="Q875" i="19"/>
  <c r="Q874" i="19"/>
  <c r="Q873" i="19"/>
  <c r="Q840" i="19"/>
  <c r="Z980" i="19" l="1"/>
  <c r="Z977" i="19"/>
  <c r="Z979" i="19"/>
  <c r="Z978" i="19"/>
  <c r="AA951" i="19"/>
  <c r="Y951" i="19"/>
  <c r="S950" i="19"/>
  <c r="O951" i="19"/>
  <c r="X951" i="19" s="1"/>
  <c r="C951" i="19"/>
  <c r="S885" i="19"/>
  <c r="S884" i="19"/>
  <c r="Q885" i="19"/>
  <c r="C885" i="19" s="1"/>
  <c r="Q884" i="19"/>
  <c r="C884" i="19" s="1"/>
  <c r="Z951" i="19" l="1"/>
  <c r="V910" i="19"/>
  <c r="V932" i="19"/>
  <c r="Q932" i="19"/>
  <c r="Q911" i="19"/>
  <c r="Q910" i="19"/>
  <c r="AA976" i="19" l="1"/>
  <c r="Y976" i="19"/>
  <c r="O976" i="19"/>
  <c r="X976" i="19" s="1"/>
  <c r="C976" i="19"/>
  <c r="AA975" i="19"/>
  <c r="Y975" i="19"/>
  <c r="O975" i="19"/>
  <c r="X975" i="19" s="1"/>
  <c r="C975" i="19"/>
  <c r="Z976" i="19" l="1"/>
  <c r="Z975" i="19"/>
  <c r="AA974" i="19"/>
  <c r="Y974" i="19"/>
  <c r="C974" i="19"/>
  <c r="AA973" i="19"/>
  <c r="Y973" i="19"/>
  <c r="C973" i="19"/>
  <c r="AA972" i="19"/>
  <c r="Y972" i="19"/>
  <c r="C972" i="19"/>
  <c r="AA971" i="19"/>
  <c r="Y971" i="19"/>
  <c r="C971" i="19"/>
  <c r="Z974" i="19" l="1"/>
  <c r="Z973" i="19"/>
  <c r="Z971" i="19"/>
  <c r="Z972" i="19"/>
  <c r="O970" i="19"/>
  <c r="X970" i="19" s="1"/>
  <c r="AA970" i="19"/>
  <c r="Y970" i="19"/>
  <c r="C970" i="19"/>
  <c r="AA969" i="19"/>
  <c r="Y969" i="19"/>
  <c r="O969" i="19"/>
  <c r="X969" i="19" s="1"/>
  <c r="C969" i="19"/>
  <c r="S892" i="19"/>
  <c r="S891" i="19"/>
  <c r="S890" i="19"/>
  <c r="S889" i="19"/>
  <c r="Q892" i="19"/>
  <c r="Q891" i="19"/>
  <c r="Q890" i="19"/>
  <c r="Q889" i="19"/>
  <c r="Z970" i="19" l="1"/>
  <c r="Z969" i="19"/>
  <c r="AA967" i="19"/>
  <c r="AA968" i="19"/>
  <c r="Y968" i="19"/>
  <c r="O967" i="19"/>
  <c r="X967" i="19" s="1"/>
  <c r="O968" i="19"/>
  <c r="X968" i="19" s="1"/>
  <c r="Y967" i="19"/>
  <c r="C968" i="19"/>
  <c r="C967" i="19"/>
  <c r="Z967" i="19" l="1"/>
  <c r="Z968" i="19"/>
  <c r="N964" i="19"/>
  <c r="N963" i="19"/>
  <c r="N962" i="19"/>
  <c r="N961" i="19"/>
  <c r="N960" i="19"/>
  <c r="N959" i="19"/>
  <c r="N958" i="19"/>
  <c r="N957" i="19"/>
  <c r="N956" i="19"/>
  <c r="N955" i="19"/>
  <c r="Q917" i="19" l="1"/>
  <c r="Q870" i="19"/>
  <c r="Q869" i="19"/>
  <c r="Q868" i="19"/>
  <c r="Q867" i="19"/>
  <c r="Q866" i="19"/>
  <c r="Q865" i="19"/>
  <c r="Q864" i="19"/>
  <c r="Q863" i="19"/>
  <c r="Q862" i="19"/>
  <c r="Q861" i="19"/>
  <c r="AA966" i="19"/>
  <c r="Y966" i="19"/>
  <c r="O966" i="19"/>
  <c r="X966" i="19" s="1"/>
  <c r="C966" i="19"/>
  <c r="AA965" i="19"/>
  <c r="Y965" i="19"/>
  <c r="O965" i="19"/>
  <c r="X965" i="19" s="1"/>
  <c r="C965" i="19"/>
  <c r="Z966" i="19" l="1"/>
  <c r="Z965" i="19"/>
  <c r="AA956" i="19"/>
  <c r="AA957" i="19"/>
  <c r="AA958" i="19"/>
  <c r="AA959" i="19"/>
  <c r="AA960" i="19"/>
  <c r="AA961" i="19"/>
  <c r="AA962" i="19"/>
  <c r="AA963" i="19"/>
  <c r="AA964" i="19"/>
  <c r="AA955" i="19"/>
  <c r="O963" i="19"/>
  <c r="X963" i="19" s="1"/>
  <c r="O962" i="19"/>
  <c r="X962" i="19" s="1"/>
  <c r="O958" i="19"/>
  <c r="X958" i="19" s="1"/>
  <c r="Y964" i="19"/>
  <c r="O964" i="19"/>
  <c r="X964" i="19" s="1"/>
  <c r="C964" i="19"/>
  <c r="Y963" i="19"/>
  <c r="C963" i="19"/>
  <c r="Y962" i="19"/>
  <c r="C962" i="19"/>
  <c r="Y961" i="19"/>
  <c r="O961" i="19"/>
  <c r="X961" i="19" s="1"/>
  <c r="C961" i="19"/>
  <c r="Y960" i="19"/>
  <c r="O960" i="19"/>
  <c r="X960" i="19" s="1"/>
  <c r="C960" i="19"/>
  <c r="Y959" i="19"/>
  <c r="O959" i="19"/>
  <c r="X959" i="19" s="1"/>
  <c r="C959" i="19"/>
  <c r="Y958" i="19"/>
  <c r="C958" i="19"/>
  <c r="Y957" i="19"/>
  <c r="O957" i="19"/>
  <c r="X957" i="19" s="1"/>
  <c r="C957" i="19"/>
  <c r="Y956" i="19"/>
  <c r="O956" i="19"/>
  <c r="X956" i="19" s="1"/>
  <c r="C956" i="19"/>
  <c r="Y955" i="19"/>
  <c r="O955" i="19"/>
  <c r="X955" i="19" s="1"/>
  <c r="C955" i="19"/>
  <c r="AA954" i="19"/>
  <c r="Y954" i="19"/>
  <c r="O954" i="19"/>
  <c r="X954" i="19" s="1"/>
  <c r="C954" i="19"/>
  <c r="AA953" i="19"/>
  <c r="Y953" i="19"/>
  <c r="O953" i="19"/>
  <c r="X953" i="19" s="1"/>
  <c r="C953" i="19"/>
  <c r="AA952" i="19"/>
  <c r="Y952" i="19"/>
  <c r="O952" i="19"/>
  <c r="X952" i="19" s="1"/>
  <c r="C952" i="19"/>
  <c r="Z958" i="19" l="1"/>
  <c r="Z960" i="19"/>
  <c r="Z956" i="19"/>
  <c r="Z962" i="19"/>
  <c r="Z964" i="19"/>
  <c r="Z955" i="19"/>
  <c r="Z957" i="19"/>
  <c r="Z961" i="19"/>
  <c r="Z952" i="19"/>
  <c r="Z954" i="19"/>
  <c r="Z959" i="19"/>
  <c r="Z963" i="19"/>
  <c r="Z953" i="19"/>
  <c r="Q851" i="19"/>
  <c r="Q850" i="19"/>
  <c r="V851" i="19"/>
  <c r="V780" i="19" l="1"/>
  <c r="V779" i="19"/>
  <c r="V903" i="19"/>
  <c r="U846" i="19"/>
  <c r="AA950" i="19" l="1"/>
  <c r="Y950" i="19"/>
  <c r="O950" i="19"/>
  <c r="X950" i="19" s="1"/>
  <c r="C950" i="19"/>
  <c r="Z950" i="19" s="1"/>
  <c r="Q780" i="19"/>
  <c r="Q779" i="19"/>
  <c r="Q903" i="19" l="1"/>
  <c r="C903" i="19" s="1"/>
  <c r="Q909" i="19"/>
  <c r="Q908" i="19"/>
  <c r="Q846" i="19"/>
  <c r="C846" i="19" s="1"/>
  <c r="Y949" i="19" l="1"/>
  <c r="O949" i="19"/>
  <c r="X949" i="19" s="1"/>
  <c r="C949" i="19"/>
  <c r="Z949" i="19" l="1"/>
  <c r="AA948" i="19"/>
  <c r="AA947" i="19"/>
  <c r="Y948" i="19"/>
  <c r="C948" i="19"/>
  <c r="O948" i="19"/>
  <c r="Y947" i="19"/>
  <c r="C947" i="19"/>
  <c r="O947" i="19"/>
  <c r="Z947" i="19" l="1"/>
  <c r="Z948" i="19"/>
  <c r="AA938" i="19"/>
  <c r="AA939" i="19"/>
  <c r="AA940" i="19"/>
  <c r="AA941" i="19"/>
  <c r="AA942" i="19"/>
  <c r="AA943" i="19"/>
  <c r="AA944" i="19"/>
  <c r="AA945" i="19"/>
  <c r="AA946" i="19"/>
  <c r="AA937" i="19"/>
  <c r="N946" i="19"/>
  <c r="O946" i="19" s="1"/>
  <c r="X946" i="19" s="1"/>
  <c r="N945" i="19"/>
  <c r="O945" i="19" s="1"/>
  <c r="X945" i="19" s="1"/>
  <c r="N944" i="19"/>
  <c r="O944" i="19" s="1"/>
  <c r="X944" i="19" s="1"/>
  <c r="N943" i="19"/>
  <c r="O943" i="19" s="1"/>
  <c r="X943" i="19" s="1"/>
  <c r="N942" i="19"/>
  <c r="O942" i="19" s="1"/>
  <c r="X942" i="19" s="1"/>
  <c r="N941" i="19"/>
  <c r="O941" i="19" s="1"/>
  <c r="X941" i="19" s="1"/>
  <c r="N940" i="19"/>
  <c r="O940" i="19" s="1"/>
  <c r="X940" i="19" s="1"/>
  <c r="N939" i="19"/>
  <c r="O939" i="19" s="1"/>
  <c r="X939" i="19" s="1"/>
  <c r="N938" i="19"/>
  <c r="O938" i="19" s="1"/>
  <c r="X938" i="19" s="1"/>
  <c r="N937" i="19"/>
  <c r="O937" i="19" s="1"/>
  <c r="X937" i="19" s="1"/>
  <c r="Y946" i="19"/>
  <c r="C946" i="19"/>
  <c r="Y945" i="19"/>
  <c r="C945" i="19"/>
  <c r="Y944" i="19"/>
  <c r="C944" i="19"/>
  <c r="Y943" i="19"/>
  <c r="C943" i="19"/>
  <c r="Y942" i="19"/>
  <c r="C942" i="19"/>
  <c r="Y941" i="19"/>
  <c r="C941" i="19"/>
  <c r="Y940" i="19"/>
  <c r="C940" i="19"/>
  <c r="Y939" i="19"/>
  <c r="C939" i="19"/>
  <c r="Y938" i="19"/>
  <c r="C938" i="19"/>
  <c r="Y937" i="19"/>
  <c r="C937" i="19"/>
  <c r="Z939" i="19" l="1"/>
  <c r="Z938" i="19"/>
  <c r="Z942" i="19"/>
  <c r="Z944" i="19"/>
  <c r="Z937" i="19"/>
  <c r="Z943" i="19"/>
  <c r="Z946" i="19"/>
  <c r="Z940" i="19"/>
  <c r="Z941" i="19"/>
  <c r="Z945" i="19"/>
  <c r="S888" i="19"/>
  <c r="Q888" i="19"/>
  <c r="Q831" i="19"/>
  <c r="Q832" i="19"/>
  <c r="Q833" i="19"/>
  <c r="Q834" i="19"/>
  <c r="Q835" i="19"/>
  <c r="Q836" i="19"/>
  <c r="Q837" i="19"/>
  <c r="Q838" i="19"/>
  <c r="Q839" i="19"/>
  <c r="Q830" i="19"/>
  <c r="AA936" i="19" l="1"/>
  <c r="Y936" i="19"/>
  <c r="O936" i="19"/>
  <c r="C936" i="19"/>
  <c r="Z936" i="19" l="1"/>
  <c r="S849" i="19"/>
  <c r="Q849" i="19"/>
  <c r="V820" i="19" l="1"/>
  <c r="Q820" i="19" l="1"/>
  <c r="Q692" i="19"/>
  <c r="Y931" i="19" l="1"/>
  <c r="Y930" i="19"/>
  <c r="Y934" i="19"/>
  <c r="Y935" i="19"/>
  <c r="AA935" i="19"/>
  <c r="O935" i="19"/>
  <c r="X935" i="19" s="1"/>
  <c r="C935" i="19"/>
  <c r="AA934" i="19"/>
  <c r="O934" i="19"/>
  <c r="X934" i="19" s="1"/>
  <c r="C934" i="19"/>
  <c r="Z935" i="19" l="1"/>
  <c r="Z934" i="19"/>
  <c r="Y933" i="19"/>
  <c r="AA932" i="19"/>
  <c r="AA933" i="19"/>
  <c r="O933" i="19"/>
  <c r="X933" i="19" s="1"/>
  <c r="C933" i="19"/>
  <c r="Z933" i="19" l="1"/>
  <c r="Y932" i="19"/>
  <c r="O932" i="19"/>
  <c r="X932" i="19" s="1"/>
  <c r="C932" i="19"/>
  <c r="Z932" i="19" s="1"/>
  <c r="Q827" i="19" l="1"/>
  <c r="V878" i="19" l="1"/>
  <c r="Q878" i="19"/>
  <c r="Q877" i="19"/>
  <c r="AA931" i="19" l="1"/>
  <c r="C931" i="19"/>
  <c r="O931" i="19"/>
  <c r="X931" i="19" s="1"/>
  <c r="AA930" i="19"/>
  <c r="O930" i="19"/>
  <c r="X930" i="19" s="1"/>
  <c r="C930" i="19"/>
  <c r="Z931" i="19" l="1"/>
  <c r="Z930" i="19"/>
  <c r="AA929" i="19"/>
  <c r="C928" i="19"/>
  <c r="C929" i="19"/>
  <c r="AA928" i="19"/>
  <c r="Z928" i="19" l="1"/>
  <c r="Z929" i="19"/>
  <c r="Q872" i="19" l="1"/>
  <c r="Q871" i="19"/>
  <c r="Q811" i="19"/>
  <c r="Q812" i="19"/>
  <c r="Q813" i="19"/>
  <c r="Q814" i="19"/>
  <c r="Q815" i="19"/>
  <c r="Q816" i="19"/>
  <c r="Q817" i="19"/>
  <c r="Q818" i="19"/>
  <c r="Q819" i="19"/>
  <c r="Q810" i="19"/>
  <c r="N927" i="19" l="1"/>
  <c r="O927" i="19" s="1"/>
  <c r="X927" i="19" s="1"/>
  <c r="N926" i="19"/>
  <c r="O926" i="19" s="1"/>
  <c r="X926" i="19" s="1"/>
  <c r="N925" i="19"/>
  <c r="O925" i="19" s="1"/>
  <c r="X925" i="19" s="1"/>
  <c r="N924" i="19"/>
  <c r="O924" i="19" s="1"/>
  <c r="X924" i="19" s="1"/>
  <c r="N923" i="19"/>
  <c r="O923" i="19" s="1"/>
  <c r="X923" i="19" s="1"/>
  <c r="N922" i="19"/>
  <c r="O922" i="19" s="1"/>
  <c r="X922" i="19" s="1"/>
  <c r="N921" i="19"/>
  <c r="O921" i="19" s="1"/>
  <c r="X921" i="19" s="1"/>
  <c r="N920" i="19"/>
  <c r="O920" i="19" s="1"/>
  <c r="X920" i="19" s="1"/>
  <c r="N919" i="19"/>
  <c r="O919" i="19" s="1"/>
  <c r="X919" i="19" s="1"/>
  <c r="N918" i="19"/>
  <c r="O918" i="19" s="1"/>
  <c r="X918" i="19" s="1"/>
  <c r="AA919" i="19"/>
  <c r="AA920" i="19"/>
  <c r="AA921" i="19"/>
  <c r="AA922" i="19"/>
  <c r="AA923" i="19"/>
  <c r="AA924" i="19"/>
  <c r="AA925" i="19"/>
  <c r="AA926" i="19"/>
  <c r="AA927" i="19"/>
  <c r="AA918" i="19"/>
  <c r="Y927" i="19"/>
  <c r="C927" i="19"/>
  <c r="Y926" i="19"/>
  <c r="C926" i="19"/>
  <c r="Y925" i="19"/>
  <c r="C925" i="19"/>
  <c r="Y924" i="19"/>
  <c r="C924" i="19"/>
  <c r="Y923" i="19"/>
  <c r="C923" i="19"/>
  <c r="Y922" i="19"/>
  <c r="C922" i="19"/>
  <c r="Y921" i="19"/>
  <c r="C921" i="19"/>
  <c r="Y920" i="19"/>
  <c r="C920" i="19"/>
  <c r="Y919" i="19"/>
  <c r="C919" i="19"/>
  <c r="Y918" i="19"/>
  <c r="C918" i="19"/>
  <c r="Z927" i="19" l="1"/>
  <c r="Z925" i="19"/>
  <c r="Z921" i="19"/>
  <c r="Z924" i="19"/>
  <c r="Z918" i="19"/>
  <c r="Z920" i="19"/>
  <c r="Z923" i="19"/>
  <c r="Z919" i="19"/>
  <c r="Z922" i="19"/>
  <c r="Z926" i="19"/>
  <c r="AA917" i="19"/>
  <c r="O917" i="19"/>
  <c r="X917" i="19" s="1"/>
  <c r="Y917" i="19"/>
  <c r="C917" i="19"/>
  <c r="Z917" i="19" l="1"/>
  <c r="AF915" i="19"/>
  <c r="AF914" i="19"/>
  <c r="AF913" i="19"/>
  <c r="AF912" i="19"/>
  <c r="AF916" i="19" l="1"/>
  <c r="AA916" i="19" l="1"/>
  <c r="Y916" i="19"/>
  <c r="O916" i="19"/>
  <c r="X916" i="19" s="1"/>
  <c r="C916" i="19"/>
  <c r="Z916" i="19" l="1"/>
  <c r="Y912" i="19"/>
  <c r="AA912" i="19"/>
  <c r="Y913" i="19"/>
  <c r="AA913" i="19"/>
  <c r="Y914" i="19"/>
  <c r="AA914" i="19"/>
  <c r="Y915" i="19"/>
  <c r="AA915" i="19"/>
  <c r="O915" i="19"/>
  <c r="X915" i="19" s="1"/>
  <c r="O914" i="19"/>
  <c r="X914" i="19" s="1"/>
  <c r="O913" i="19"/>
  <c r="X913" i="19" s="1"/>
  <c r="O912" i="19"/>
  <c r="X912" i="19" s="1"/>
  <c r="C912" i="19"/>
  <c r="C913" i="19"/>
  <c r="C914" i="19"/>
  <c r="C915" i="19"/>
  <c r="Z914" i="19" l="1"/>
  <c r="Z912" i="19"/>
  <c r="Z915" i="19"/>
  <c r="Z913" i="19"/>
  <c r="Y805" i="19"/>
  <c r="Q807" i="19" l="1"/>
  <c r="Q806" i="19"/>
  <c r="AA911" i="19" l="1"/>
  <c r="Y911" i="19"/>
  <c r="O911" i="19"/>
  <c r="X911" i="19" s="1"/>
  <c r="C911" i="19"/>
  <c r="AA910" i="19"/>
  <c r="Y910" i="19"/>
  <c r="O910" i="19"/>
  <c r="X910" i="19" s="1"/>
  <c r="C910" i="19"/>
  <c r="Z911" i="19" l="1"/>
  <c r="Z910" i="19"/>
  <c r="V843" i="19"/>
  <c r="V847" i="19" l="1"/>
  <c r="V808" i="19"/>
  <c r="Q848" i="19" l="1"/>
  <c r="Q847" i="19"/>
  <c r="Q843" i="19"/>
  <c r="Q809" i="19"/>
  <c r="Q808" i="19"/>
  <c r="AA909" i="19" l="1"/>
  <c r="Y909" i="19"/>
  <c r="O909" i="19"/>
  <c r="X909" i="19" s="1"/>
  <c r="C909" i="19"/>
  <c r="AA908" i="19"/>
  <c r="Y908" i="19"/>
  <c r="O908" i="19"/>
  <c r="X908" i="19" s="1"/>
  <c r="C908" i="19"/>
  <c r="Z909" i="19" l="1"/>
  <c r="Z908" i="19"/>
  <c r="AA907" i="19"/>
  <c r="Y907" i="19"/>
  <c r="O907" i="19"/>
  <c r="X907" i="19" s="1"/>
  <c r="C907" i="19"/>
  <c r="Z907" i="19" l="1"/>
  <c r="AA906" i="19"/>
  <c r="Y906" i="19"/>
  <c r="O906" i="19"/>
  <c r="X906" i="19" s="1"/>
  <c r="C906" i="19"/>
  <c r="Z906" i="19" l="1"/>
  <c r="AA905" i="19"/>
  <c r="Y905" i="19"/>
  <c r="C905" i="19"/>
  <c r="O905" i="19"/>
  <c r="X905" i="19" s="1"/>
  <c r="AA904" i="19"/>
  <c r="Y904" i="19"/>
  <c r="C904" i="19"/>
  <c r="O904" i="19"/>
  <c r="X904" i="19" s="1"/>
  <c r="Z905" i="19" l="1"/>
  <c r="Z904" i="19"/>
  <c r="AA903" i="19"/>
  <c r="Z903" i="19" s="1"/>
  <c r="Y903" i="19"/>
  <c r="O903" i="19"/>
  <c r="X903" i="19" s="1"/>
  <c r="N902" i="19" l="1"/>
  <c r="N901" i="19"/>
  <c r="N900" i="19"/>
  <c r="N899" i="19"/>
  <c r="N898" i="19"/>
  <c r="N897" i="19"/>
  <c r="N896" i="19"/>
  <c r="N895" i="19"/>
  <c r="N894" i="19"/>
  <c r="N893" i="19"/>
  <c r="Q797" i="19" l="1"/>
  <c r="Q798" i="19"/>
  <c r="Q799" i="19"/>
  <c r="Q800" i="19"/>
  <c r="Q801" i="19"/>
  <c r="Q802" i="19"/>
  <c r="Q803" i="19"/>
  <c r="Q804" i="19"/>
  <c r="Q805" i="19"/>
  <c r="Q796" i="19"/>
  <c r="AA894" i="19"/>
  <c r="AA895" i="19"/>
  <c r="AA896" i="19"/>
  <c r="AA897" i="19"/>
  <c r="AA898" i="19"/>
  <c r="AA899" i="19"/>
  <c r="AA900" i="19"/>
  <c r="AA901" i="19"/>
  <c r="AA902" i="19"/>
  <c r="AA893" i="19"/>
  <c r="Y902" i="19"/>
  <c r="O902" i="19"/>
  <c r="X902" i="19" s="1"/>
  <c r="C902" i="19"/>
  <c r="Y901" i="19"/>
  <c r="O901" i="19"/>
  <c r="X901" i="19" s="1"/>
  <c r="C901" i="19"/>
  <c r="Y900" i="19"/>
  <c r="O900" i="19"/>
  <c r="X900" i="19" s="1"/>
  <c r="C900" i="19"/>
  <c r="Y899" i="19"/>
  <c r="O899" i="19"/>
  <c r="X899" i="19" s="1"/>
  <c r="C899" i="19"/>
  <c r="Y898" i="19"/>
  <c r="O898" i="19"/>
  <c r="X898" i="19" s="1"/>
  <c r="C898" i="19"/>
  <c r="Y897" i="19"/>
  <c r="O897" i="19"/>
  <c r="X897" i="19" s="1"/>
  <c r="C897" i="19"/>
  <c r="Z897" i="19" s="1"/>
  <c r="Y896" i="19"/>
  <c r="O896" i="19"/>
  <c r="X896" i="19" s="1"/>
  <c r="C896" i="19"/>
  <c r="Y895" i="19"/>
  <c r="O895" i="19"/>
  <c r="X895" i="19" s="1"/>
  <c r="C895" i="19"/>
  <c r="Z895" i="19" s="1"/>
  <c r="Y894" i="19"/>
  <c r="O894" i="19"/>
  <c r="X894" i="19" s="1"/>
  <c r="C894" i="19"/>
  <c r="Y893" i="19"/>
  <c r="O893" i="19"/>
  <c r="X893" i="19" s="1"/>
  <c r="C893" i="19"/>
  <c r="Z898" i="19" l="1"/>
  <c r="Z900" i="19"/>
  <c r="Z901" i="19"/>
  <c r="Z894" i="19"/>
  <c r="Z899" i="19"/>
  <c r="Z896" i="19"/>
  <c r="Z902" i="19"/>
  <c r="Z893" i="19"/>
  <c r="AA892" i="19"/>
  <c r="Y892" i="19"/>
  <c r="O892" i="19"/>
  <c r="X892" i="19" s="1"/>
  <c r="C892" i="19"/>
  <c r="AA891" i="19"/>
  <c r="Y891" i="19"/>
  <c r="O891" i="19"/>
  <c r="X891" i="19" s="1"/>
  <c r="C891" i="19"/>
  <c r="AA890" i="19"/>
  <c r="Y890" i="19"/>
  <c r="O890" i="19"/>
  <c r="X890" i="19" s="1"/>
  <c r="C890" i="19"/>
  <c r="AA889" i="19"/>
  <c r="Y889" i="19"/>
  <c r="O889" i="19"/>
  <c r="X889" i="19" s="1"/>
  <c r="C889" i="19"/>
  <c r="Z891" i="19" l="1"/>
  <c r="Z892" i="19"/>
  <c r="Z889" i="19"/>
  <c r="Z890" i="19"/>
  <c r="AA888" i="19"/>
  <c r="Y888" i="19"/>
  <c r="O888" i="19"/>
  <c r="X888" i="19" s="1"/>
  <c r="C888" i="19"/>
  <c r="Z888" i="19" l="1"/>
  <c r="AA887" i="19"/>
  <c r="Y887" i="19"/>
  <c r="C887" i="19"/>
  <c r="O887" i="19"/>
  <c r="X887" i="19" s="1"/>
  <c r="AA886" i="19"/>
  <c r="Y886" i="19"/>
  <c r="C886" i="19"/>
  <c r="O886" i="19"/>
  <c r="X886" i="19" s="1"/>
  <c r="Z886" i="19" l="1"/>
  <c r="Z887" i="19"/>
  <c r="AA884" i="19"/>
  <c r="AA885" i="19"/>
  <c r="N884" i="19"/>
  <c r="O884" i="19" s="1"/>
  <c r="X884" i="19" s="1"/>
  <c r="O885" i="19"/>
  <c r="X885" i="19" s="1"/>
  <c r="Y885" i="19"/>
  <c r="Y884" i="19"/>
  <c r="AA883" i="19"/>
  <c r="Y883" i="19"/>
  <c r="O883" i="19"/>
  <c r="X883" i="19" s="1"/>
  <c r="C883" i="19"/>
  <c r="AA882" i="19"/>
  <c r="Y882" i="19"/>
  <c r="C882" i="19"/>
  <c r="O882" i="19"/>
  <c r="X882" i="19" s="1"/>
  <c r="AA881" i="19"/>
  <c r="Y881" i="19"/>
  <c r="C881" i="19"/>
  <c r="O881" i="19"/>
  <c r="X881" i="19" s="1"/>
  <c r="O880" i="19"/>
  <c r="X880" i="19" s="1"/>
  <c r="O879" i="19"/>
  <c r="X879" i="19" s="1"/>
  <c r="AA880" i="19"/>
  <c r="Y880" i="19"/>
  <c r="C880" i="19"/>
  <c r="AA879" i="19"/>
  <c r="Y879" i="19"/>
  <c r="C879" i="19"/>
  <c r="Z885" i="19" l="1"/>
  <c r="Z884" i="19"/>
  <c r="Z879" i="19"/>
  <c r="Z882" i="19"/>
  <c r="Z881" i="19"/>
  <c r="Z880" i="19"/>
  <c r="Z883" i="19"/>
  <c r="Q829" i="19"/>
  <c r="Q828" i="19"/>
  <c r="Q826" i="19" l="1"/>
  <c r="O878" i="19"/>
  <c r="X878" i="19" s="1"/>
  <c r="AA878" i="19"/>
  <c r="Y878" i="19"/>
  <c r="C878" i="19"/>
  <c r="Z878" i="19" l="1"/>
  <c r="AA877" i="19"/>
  <c r="Y877" i="19"/>
  <c r="O877" i="19"/>
  <c r="X877" i="19" s="1"/>
  <c r="C877" i="19"/>
  <c r="Y875" i="19"/>
  <c r="Y876" i="19"/>
  <c r="AA875" i="19"/>
  <c r="AA876" i="19"/>
  <c r="O875" i="19"/>
  <c r="X875" i="19" s="1"/>
  <c r="O876" i="19"/>
  <c r="X876" i="19" s="1"/>
  <c r="C876" i="19"/>
  <c r="C875" i="19"/>
  <c r="AA874" i="19"/>
  <c r="Y874" i="19"/>
  <c r="O874" i="19"/>
  <c r="X874" i="19" s="1"/>
  <c r="C874" i="19"/>
  <c r="AA873" i="19"/>
  <c r="Y873" i="19"/>
  <c r="O873" i="19"/>
  <c r="X873" i="19" s="1"/>
  <c r="C873" i="19"/>
  <c r="Z875" i="19" l="1"/>
  <c r="Z873" i="19"/>
  <c r="Z874" i="19"/>
  <c r="Z876" i="19"/>
  <c r="Z877" i="19"/>
  <c r="Q824" i="19"/>
  <c r="S778" i="19" l="1"/>
  <c r="R777" i="19"/>
  <c r="S777" i="19" s="1"/>
  <c r="R769" i="19"/>
  <c r="S769" i="19" s="1"/>
  <c r="Q778" i="19"/>
  <c r="Q777" i="19"/>
  <c r="Q769" i="19"/>
  <c r="Q768" i="19"/>
  <c r="N870" i="19" l="1"/>
  <c r="N869" i="19"/>
  <c r="N868" i="19"/>
  <c r="N867" i="19"/>
  <c r="N866" i="19"/>
  <c r="N865" i="19"/>
  <c r="N864" i="19"/>
  <c r="N863" i="19"/>
  <c r="N862" i="19"/>
  <c r="N861" i="19"/>
  <c r="C872" i="19" l="1"/>
  <c r="Y871" i="19"/>
  <c r="Y872" i="19"/>
  <c r="O871" i="19"/>
  <c r="X871" i="19" s="1"/>
  <c r="O872" i="19"/>
  <c r="X872" i="19" s="1"/>
  <c r="L872" i="19"/>
  <c r="L871" i="19"/>
  <c r="AA872" i="19"/>
  <c r="AA871" i="19"/>
  <c r="C871" i="19"/>
  <c r="Z871" i="19" l="1"/>
  <c r="Z872" i="19"/>
  <c r="AA862" i="19"/>
  <c r="AA863" i="19"/>
  <c r="AA864" i="19"/>
  <c r="AA865" i="19"/>
  <c r="AA866" i="19"/>
  <c r="AA867" i="19"/>
  <c r="AA868" i="19"/>
  <c r="AA869" i="19"/>
  <c r="AA870" i="19"/>
  <c r="AA861" i="19"/>
  <c r="Y870" i="19"/>
  <c r="O870" i="19"/>
  <c r="X870" i="19" s="1"/>
  <c r="C870" i="19"/>
  <c r="Y869" i="19"/>
  <c r="O869" i="19"/>
  <c r="X869" i="19" s="1"/>
  <c r="C869" i="19"/>
  <c r="Y868" i="19"/>
  <c r="O868" i="19"/>
  <c r="X868" i="19" s="1"/>
  <c r="C868" i="19"/>
  <c r="Y867" i="19"/>
  <c r="O867" i="19"/>
  <c r="X867" i="19" s="1"/>
  <c r="C867" i="19"/>
  <c r="Y866" i="19"/>
  <c r="O866" i="19"/>
  <c r="X866" i="19" s="1"/>
  <c r="C866" i="19"/>
  <c r="Y865" i="19"/>
  <c r="O865" i="19"/>
  <c r="X865" i="19" s="1"/>
  <c r="C865" i="19"/>
  <c r="Z865" i="19" s="1"/>
  <c r="Y864" i="19"/>
  <c r="O864" i="19"/>
  <c r="X864" i="19" s="1"/>
  <c r="C864" i="19"/>
  <c r="Y863" i="19"/>
  <c r="O863" i="19"/>
  <c r="X863" i="19" s="1"/>
  <c r="C863" i="19"/>
  <c r="Y862" i="19"/>
  <c r="O862" i="19"/>
  <c r="X862" i="19" s="1"/>
  <c r="C862" i="19"/>
  <c r="Y861" i="19"/>
  <c r="O861" i="19"/>
  <c r="X861" i="19" s="1"/>
  <c r="C861" i="19"/>
  <c r="Z866" i="19" l="1"/>
  <c r="Z869" i="19"/>
  <c r="Z870" i="19"/>
  <c r="Z863" i="19"/>
  <c r="Z862" i="19"/>
  <c r="Z867" i="19"/>
  <c r="Z864" i="19"/>
  <c r="Z868" i="19"/>
  <c r="Z861" i="19"/>
  <c r="AA860" i="19"/>
  <c r="Y860" i="19"/>
  <c r="O860" i="19"/>
  <c r="C860" i="19"/>
  <c r="AA859" i="19"/>
  <c r="Y859" i="19"/>
  <c r="O859" i="19"/>
  <c r="C859" i="19"/>
  <c r="AA858" i="19"/>
  <c r="Y858" i="19"/>
  <c r="O858" i="19"/>
  <c r="C858" i="19"/>
  <c r="AA857" i="19"/>
  <c r="Y857" i="19"/>
  <c r="O857" i="19"/>
  <c r="C857" i="19"/>
  <c r="Z858" i="19" l="1"/>
  <c r="Z859" i="19"/>
  <c r="Z860" i="19"/>
  <c r="Z857" i="19"/>
  <c r="AA856" i="19"/>
  <c r="Y856" i="19"/>
  <c r="O856" i="19"/>
  <c r="X856" i="19" s="1"/>
  <c r="C856" i="19"/>
  <c r="Z856" i="19" l="1"/>
  <c r="Q844" i="19"/>
  <c r="Q845" i="19"/>
  <c r="R844" i="19"/>
  <c r="S844" i="19" s="1"/>
  <c r="S793" i="19" l="1"/>
  <c r="AA855" i="19" l="1"/>
  <c r="Y855" i="19"/>
  <c r="O855" i="19"/>
  <c r="X855" i="19" s="1"/>
  <c r="C855" i="19"/>
  <c r="AA853" i="19"/>
  <c r="Y853" i="19"/>
  <c r="O853" i="19"/>
  <c r="X853" i="19" s="1"/>
  <c r="C853" i="19"/>
  <c r="AA854" i="19"/>
  <c r="Y854" i="19"/>
  <c r="O854" i="19"/>
  <c r="X854" i="19" s="1"/>
  <c r="C854" i="19"/>
  <c r="AA852" i="19"/>
  <c r="Y852" i="19"/>
  <c r="O852" i="19"/>
  <c r="X852" i="19" s="1"/>
  <c r="C852" i="19"/>
  <c r="Z855" i="19" l="1"/>
  <c r="Z854" i="19"/>
  <c r="Z852" i="19"/>
  <c r="Z853" i="19"/>
  <c r="AF851" i="19"/>
  <c r="AF850" i="19"/>
  <c r="O850" i="19"/>
  <c r="X850" i="19" s="1"/>
  <c r="AA851" i="19"/>
  <c r="Y851" i="19"/>
  <c r="C851" i="19"/>
  <c r="O851" i="19"/>
  <c r="X851" i="19" s="1"/>
  <c r="AA850" i="19"/>
  <c r="Y850" i="19"/>
  <c r="C850" i="19"/>
  <c r="Z850" i="19" l="1"/>
  <c r="Z851" i="19"/>
  <c r="Q795" i="19"/>
  <c r="Q794" i="19"/>
  <c r="Q793" i="19"/>
  <c r="Q776" i="19"/>
  <c r="AF846" i="19" l="1"/>
  <c r="AF849" i="19" l="1"/>
  <c r="AA849" i="19"/>
  <c r="Y849" i="19"/>
  <c r="O849" i="19"/>
  <c r="X849" i="19" s="1"/>
  <c r="C849" i="19"/>
  <c r="Z849" i="19" l="1"/>
  <c r="AA848" i="19"/>
  <c r="Y848" i="19"/>
  <c r="AA847" i="19"/>
  <c r="Y847" i="19"/>
  <c r="O848" i="19"/>
  <c r="X848" i="19" s="1"/>
  <c r="O847" i="19"/>
  <c r="X847" i="19" s="1"/>
  <c r="C848" i="19" l="1"/>
  <c r="Z848" i="19" s="1"/>
  <c r="C847" i="19"/>
  <c r="Z847" i="19" s="1"/>
  <c r="O846" i="19" l="1"/>
  <c r="X846" i="19" s="1"/>
  <c r="Y846" i="19"/>
  <c r="AA846" i="19"/>
  <c r="Z846" i="19" l="1"/>
  <c r="AA845" i="19"/>
  <c r="Y845" i="19"/>
  <c r="O845" i="19"/>
  <c r="X845" i="19" s="1"/>
  <c r="C845" i="19"/>
  <c r="AA844" i="19"/>
  <c r="Y844" i="19"/>
  <c r="O844" i="19"/>
  <c r="X844" i="19" s="1"/>
  <c r="C844" i="19"/>
  <c r="Z844" i="19" l="1"/>
  <c r="Z845" i="19"/>
  <c r="AA843" i="19"/>
  <c r="Y843" i="19"/>
  <c r="O843" i="19"/>
  <c r="X843" i="19" s="1"/>
  <c r="C843" i="19"/>
  <c r="S841" i="19"/>
  <c r="R842" i="19"/>
  <c r="S842" i="19" s="1"/>
  <c r="Q842" i="19"/>
  <c r="Q841" i="19"/>
  <c r="Z843" i="19" l="1"/>
  <c r="V782" i="19"/>
  <c r="AA842" i="19" l="1"/>
  <c r="Y842" i="19"/>
  <c r="C842" i="19"/>
  <c r="O842" i="19"/>
  <c r="X842" i="19" s="1"/>
  <c r="AA841" i="19"/>
  <c r="Y841" i="19"/>
  <c r="C841" i="19"/>
  <c r="O841" i="19"/>
  <c r="X841" i="19" s="1"/>
  <c r="Q782" i="19"/>
  <c r="Q781" i="19"/>
  <c r="Z841" i="19" l="1"/>
  <c r="Z842" i="19"/>
  <c r="AA840" i="19"/>
  <c r="Y840" i="19"/>
  <c r="O840" i="19"/>
  <c r="X840" i="19" s="1"/>
  <c r="C840" i="19"/>
  <c r="Z840" i="19" l="1"/>
  <c r="N831" i="19"/>
  <c r="N832" i="19"/>
  <c r="O832" i="19" s="1"/>
  <c r="X832" i="19" s="1"/>
  <c r="N833" i="19"/>
  <c r="O833" i="19" s="1"/>
  <c r="X833" i="19" s="1"/>
  <c r="N834" i="19"/>
  <c r="O834" i="19" s="1"/>
  <c r="X834" i="19" s="1"/>
  <c r="N835" i="19"/>
  <c r="O835" i="19" s="1"/>
  <c r="X835" i="19" s="1"/>
  <c r="N836" i="19"/>
  <c r="N837" i="19"/>
  <c r="O837" i="19" s="1"/>
  <c r="X837" i="19" s="1"/>
  <c r="N838" i="19"/>
  <c r="O838" i="19" s="1"/>
  <c r="X838" i="19" s="1"/>
  <c r="N839" i="19"/>
  <c r="O839" i="19" s="1"/>
  <c r="X839" i="19" s="1"/>
  <c r="N830" i="19"/>
  <c r="O830" i="19" s="1"/>
  <c r="X830" i="19" s="1"/>
  <c r="Q784" i="19"/>
  <c r="Q785" i="19"/>
  <c r="Q786" i="19"/>
  <c r="Q787" i="19"/>
  <c r="Q788" i="19"/>
  <c r="Q789" i="19"/>
  <c r="Q790" i="19"/>
  <c r="Q791" i="19"/>
  <c r="Q792" i="19"/>
  <c r="Q783" i="19"/>
  <c r="AA831" i="19"/>
  <c r="AA832" i="19"/>
  <c r="AA833" i="19"/>
  <c r="AA834" i="19"/>
  <c r="AA835" i="19"/>
  <c r="AA836" i="19"/>
  <c r="AA837" i="19"/>
  <c r="AA838" i="19"/>
  <c r="AA839" i="19"/>
  <c r="AA830" i="19"/>
  <c r="Y839" i="19"/>
  <c r="C839" i="19"/>
  <c r="Y838" i="19"/>
  <c r="C838" i="19"/>
  <c r="Y837" i="19"/>
  <c r="C837" i="19"/>
  <c r="Y836" i="19"/>
  <c r="O836" i="19"/>
  <c r="X836" i="19" s="1"/>
  <c r="C836" i="19"/>
  <c r="Y835" i="19"/>
  <c r="C835" i="19"/>
  <c r="Y834" i="19"/>
  <c r="C834" i="19"/>
  <c r="Y833" i="19"/>
  <c r="C833" i="19"/>
  <c r="Y832" i="19"/>
  <c r="C832" i="19"/>
  <c r="Y831" i="19"/>
  <c r="O831" i="19"/>
  <c r="X831" i="19" s="1"/>
  <c r="C831" i="19"/>
  <c r="Y830" i="19"/>
  <c r="C830" i="19"/>
  <c r="Z836" i="19" l="1"/>
  <c r="Z839" i="19"/>
  <c r="Z832" i="19"/>
  <c r="Z837" i="19"/>
  <c r="Z833" i="19"/>
  <c r="Z834" i="19"/>
  <c r="Z835" i="19"/>
  <c r="Z838" i="19"/>
  <c r="Z831" i="19"/>
  <c r="Z830" i="19"/>
  <c r="V772" i="19"/>
  <c r="V771" i="19"/>
  <c r="AA829" i="19" l="1"/>
  <c r="Y829" i="19"/>
  <c r="O829" i="19"/>
  <c r="X829" i="19" s="1"/>
  <c r="C829" i="19"/>
  <c r="AA828" i="19"/>
  <c r="Y828" i="19"/>
  <c r="O828" i="19"/>
  <c r="X828" i="19" s="1"/>
  <c r="C828" i="19"/>
  <c r="Z829" i="19" l="1"/>
  <c r="Z828" i="19"/>
  <c r="Q771" i="19"/>
  <c r="Q770" i="19"/>
  <c r="O826" i="19" l="1"/>
  <c r="X826" i="19" s="1"/>
  <c r="Y826" i="19"/>
  <c r="AA826" i="19"/>
  <c r="C826" i="19"/>
  <c r="Z826" i="19" l="1"/>
  <c r="AA827" i="19"/>
  <c r="Y827" i="19"/>
  <c r="O827" i="19"/>
  <c r="X827" i="19" s="1"/>
  <c r="C827" i="19"/>
  <c r="Z827" i="19" l="1"/>
  <c r="AA825" i="19"/>
  <c r="Y825" i="19"/>
  <c r="O825" i="19"/>
  <c r="C825" i="19"/>
  <c r="Z825" i="19" l="1"/>
  <c r="N824" i="19"/>
  <c r="O824" i="19" s="1"/>
  <c r="X824" i="19" s="1"/>
  <c r="Q767" i="19" l="1"/>
  <c r="AA824" i="19" l="1"/>
  <c r="Y824" i="19"/>
  <c r="C824" i="19"/>
  <c r="Z824" i="19" l="1"/>
  <c r="S822" i="19"/>
  <c r="R823" i="19"/>
  <c r="S823" i="19" s="1"/>
  <c r="Q823" i="19"/>
  <c r="Q822" i="19"/>
  <c r="V756" i="19" l="1"/>
  <c r="Q755" i="19"/>
  <c r="Q756" i="19"/>
  <c r="AA823" i="19"/>
  <c r="Y823" i="19"/>
  <c r="O823" i="19"/>
  <c r="X823" i="19" s="1"/>
  <c r="C823" i="19"/>
  <c r="AA822" i="19"/>
  <c r="Y822" i="19"/>
  <c r="O822" i="19"/>
  <c r="X822" i="19" s="1"/>
  <c r="C822" i="19"/>
  <c r="Z823" i="19" l="1"/>
  <c r="Z822" i="19"/>
  <c r="AA821" i="19"/>
  <c r="Y821" i="19"/>
  <c r="O821" i="19"/>
  <c r="C821" i="19"/>
  <c r="Z821" i="19" l="1"/>
  <c r="AA820" i="19"/>
  <c r="Y820" i="19"/>
  <c r="O820" i="19"/>
  <c r="X820" i="19" s="1"/>
  <c r="C820" i="19"/>
  <c r="Z820" i="19" l="1"/>
  <c r="Q758" i="19"/>
  <c r="Q759" i="19"/>
  <c r="Q760" i="19"/>
  <c r="Q761" i="19"/>
  <c r="Q762" i="19"/>
  <c r="Q763" i="19"/>
  <c r="Q764" i="19"/>
  <c r="Q765" i="19"/>
  <c r="Q766" i="19"/>
  <c r="Q757" i="19"/>
  <c r="Q742" i="19"/>
  <c r="AA811" i="19" l="1"/>
  <c r="AA812" i="19"/>
  <c r="AA813" i="19"/>
  <c r="AA814" i="19"/>
  <c r="AA815" i="19"/>
  <c r="AA816" i="19"/>
  <c r="AA817" i="19"/>
  <c r="AA818" i="19"/>
  <c r="AA819" i="19"/>
  <c r="AA810" i="19"/>
  <c r="N819" i="19"/>
  <c r="O819" i="19" s="1"/>
  <c r="X819" i="19" s="1"/>
  <c r="N818" i="19"/>
  <c r="O818" i="19" s="1"/>
  <c r="X818" i="19" s="1"/>
  <c r="N817" i="19"/>
  <c r="O817" i="19" s="1"/>
  <c r="X817" i="19" s="1"/>
  <c r="N816" i="19"/>
  <c r="O816" i="19" s="1"/>
  <c r="X816" i="19" s="1"/>
  <c r="N815" i="19"/>
  <c r="O815" i="19" s="1"/>
  <c r="X815" i="19" s="1"/>
  <c r="N814" i="19"/>
  <c r="O814" i="19" s="1"/>
  <c r="X814" i="19" s="1"/>
  <c r="N813" i="19"/>
  <c r="O813" i="19" s="1"/>
  <c r="X813" i="19" s="1"/>
  <c r="N812" i="19"/>
  <c r="O812" i="19" s="1"/>
  <c r="X812" i="19" s="1"/>
  <c r="N811" i="19"/>
  <c r="O811" i="19" s="1"/>
  <c r="X811" i="19" s="1"/>
  <c r="N810" i="19"/>
  <c r="O810" i="19" s="1"/>
  <c r="X810" i="19" s="1"/>
  <c r="Y819" i="19"/>
  <c r="C819" i="19"/>
  <c r="Y818" i="19"/>
  <c r="C818" i="19"/>
  <c r="Y817" i="19"/>
  <c r="C817" i="19"/>
  <c r="Y816" i="19"/>
  <c r="C816" i="19"/>
  <c r="Y815" i="19"/>
  <c r="C815" i="19"/>
  <c r="Y814" i="19"/>
  <c r="C814" i="19"/>
  <c r="Y813" i="19"/>
  <c r="C813" i="19"/>
  <c r="Y812" i="19"/>
  <c r="C812" i="19"/>
  <c r="Y811" i="19"/>
  <c r="C811" i="19"/>
  <c r="Y810" i="19"/>
  <c r="C810" i="19"/>
  <c r="Z817" i="19" l="1"/>
  <c r="Z813" i="19"/>
  <c r="Z816" i="19"/>
  <c r="Z812" i="19"/>
  <c r="Z811" i="19"/>
  <c r="Z819" i="19"/>
  <c r="Z815" i="19"/>
  <c r="Z814" i="19"/>
  <c r="Z818" i="19"/>
  <c r="Z810" i="19"/>
  <c r="AA809" i="19"/>
  <c r="Y809" i="19"/>
  <c r="O809" i="19"/>
  <c r="X809" i="19" s="1"/>
  <c r="C809" i="19"/>
  <c r="AA808" i="19"/>
  <c r="Y808" i="19"/>
  <c r="O808" i="19"/>
  <c r="X808" i="19" s="1"/>
  <c r="C808" i="19"/>
  <c r="Z808" i="19" l="1"/>
  <c r="Z809" i="19"/>
  <c r="AA807" i="19"/>
  <c r="Y807" i="19"/>
  <c r="O807" i="19"/>
  <c r="X807" i="19" s="1"/>
  <c r="C807" i="19"/>
  <c r="Z807" i="19" l="1"/>
  <c r="AG3" i="20"/>
  <c r="Y3" i="20"/>
  <c r="AG2" i="20"/>
  <c r="Y2" i="20"/>
  <c r="AH3" i="20" l="1"/>
  <c r="AH2" i="20"/>
  <c r="AA806" i="19"/>
  <c r="Y806" i="19"/>
  <c r="O806" i="19"/>
  <c r="X806" i="19" s="1"/>
  <c r="C806" i="19"/>
  <c r="Z806" i="19" l="1"/>
  <c r="V734" i="19"/>
  <c r="Q737" i="19" l="1"/>
  <c r="Q738" i="19"/>
  <c r="Q739" i="19"/>
  <c r="Q740" i="19"/>
  <c r="Q741" i="19"/>
  <c r="Q743" i="19"/>
  <c r="Q744" i="19"/>
  <c r="Q745" i="19"/>
  <c r="Q736" i="19"/>
  <c r="Q722" i="19"/>
  <c r="Q734" i="19"/>
  <c r="Q733" i="19"/>
  <c r="Q723" i="19"/>
  <c r="Q724" i="19"/>
  <c r="Q725" i="19"/>
  <c r="Q726" i="19"/>
  <c r="Q727" i="19"/>
  <c r="Q728" i="19"/>
  <c r="Q729" i="19"/>
  <c r="Q730" i="19"/>
  <c r="Q731" i="19"/>
  <c r="N805" i="19" l="1"/>
  <c r="O805" i="19" s="1"/>
  <c r="X805" i="19" s="1"/>
  <c r="N804" i="19"/>
  <c r="O804" i="19" s="1"/>
  <c r="X804" i="19" s="1"/>
  <c r="N803" i="19"/>
  <c r="O803" i="19" s="1"/>
  <c r="X803" i="19" s="1"/>
  <c r="N802" i="19"/>
  <c r="O802" i="19" s="1"/>
  <c r="X802" i="19" s="1"/>
  <c r="N801" i="19"/>
  <c r="O801" i="19" s="1"/>
  <c r="X801" i="19" s="1"/>
  <c r="N800" i="19"/>
  <c r="O800" i="19" s="1"/>
  <c r="X800" i="19" s="1"/>
  <c r="N799" i="19"/>
  <c r="O799" i="19" s="1"/>
  <c r="X799" i="19" s="1"/>
  <c r="N798" i="19"/>
  <c r="O798" i="19" s="1"/>
  <c r="X798" i="19" s="1"/>
  <c r="N797" i="19"/>
  <c r="O797" i="19" s="1"/>
  <c r="X797" i="19" s="1"/>
  <c r="N796" i="19"/>
  <c r="O796" i="19" s="1"/>
  <c r="X796" i="19" s="1"/>
  <c r="AA797" i="19"/>
  <c r="AA798" i="19"/>
  <c r="AA799" i="19"/>
  <c r="AA800" i="19"/>
  <c r="AA801" i="19"/>
  <c r="AA802" i="19"/>
  <c r="AA803" i="19"/>
  <c r="AA804" i="19"/>
  <c r="AA805" i="19"/>
  <c r="AA796" i="19"/>
  <c r="C805" i="19"/>
  <c r="Z805" i="19" s="1"/>
  <c r="Y804" i="19"/>
  <c r="C804" i="19"/>
  <c r="Y803" i="19"/>
  <c r="C803" i="19"/>
  <c r="Y802" i="19"/>
  <c r="C802" i="19"/>
  <c r="Y801" i="19"/>
  <c r="C801" i="19"/>
  <c r="Y800" i="19"/>
  <c r="C800" i="19"/>
  <c r="Y799" i="19"/>
  <c r="C799" i="19"/>
  <c r="Y798" i="19"/>
  <c r="C798" i="19"/>
  <c r="Y797" i="19"/>
  <c r="C797" i="19"/>
  <c r="Y796" i="19"/>
  <c r="C796" i="19"/>
  <c r="Z797" i="19" l="1"/>
  <c r="Z800" i="19"/>
  <c r="Z803" i="19"/>
  <c r="Z799" i="19"/>
  <c r="Z801" i="19"/>
  <c r="Z804" i="19"/>
  <c r="Z802" i="19"/>
  <c r="Z798" i="19"/>
  <c r="Z796" i="19"/>
  <c r="C666" i="19"/>
  <c r="C665" i="19"/>
  <c r="V666" i="19" l="1"/>
  <c r="AA795" i="19" l="1"/>
  <c r="Y795" i="19"/>
  <c r="O795" i="19"/>
  <c r="X795" i="19" s="1"/>
  <c r="C795" i="19"/>
  <c r="Z795" i="19" l="1"/>
  <c r="V746" i="19"/>
  <c r="AA794" i="19"/>
  <c r="Y794" i="19"/>
  <c r="O794" i="19"/>
  <c r="X794" i="19" s="1"/>
  <c r="C794" i="19"/>
  <c r="AF793" i="19"/>
  <c r="N793" i="19"/>
  <c r="O793" i="19" s="1"/>
  <c r="X793" i="19" s="1"/>
  <c r="AA793" i="19"/>
  <c r="Y793" i="19"/>
  <c r="C793" i="19"/>
  <c r="Z794" i="19" l="1"/>
  <c r="Z793" i="19"/>
  <c r="N753" i="19" l="1"/>
  <c r="N784" i="19" l="1"/>
  <c r="N785" i="19"/>
  <c r="N786" i="19"/>
  <c r="N787" i="19"/>
  <c r="N788" i="19"/>
  <c r="N789" i="19"/>
  <c r="N790" i="19"/>
  <c r="N791" i="19"/>
  <c r="N792" i="19"/>
  <c r="N783" i="19"/>
  <c r="AA784" i="19" l="1"/>
  <c r="AA785" i="19"/>
  <c r="AA786" i="19"/>
  <c r="AA787" i="19"/>
  <c r="AA788" i="19"/>
  <c r="AA789" i="19"/>
  <c r="AA790" i="19"/>
  <c r="AA791" i="19"/>
  <c r="AA792" i="19"/>
  <c r="AA783" i="19"/>
  <c r="Y792" i="19"/>
  <c r="O792" i="19"/>
  <c r="X792" i="19" s="1"/>
  <c r="C792" i="19"/>
  <c r="Y791" i="19"/>
  <c r="O791" i="19"/>
  <c r="X791" i="19" s="1"/>
  <c r="C791" i="19"/>
  <c r="Y790" i="19"/>
  <c r="O790" i="19"/>
  <c r="X790" i="19" s="1"/>
  <c r="C790" i="19"/>
  <c r="Y789" i="19"/>
  <c r="O789" i="19"/>
  <c r="X789" i="19" s="1"/>
  <c r="C789" i="19"/>
  <c r="Y788" i="19"/>
  <c r="O788" i="19"/>
  <c r="X788" i="19" s="1"/>
  <c r="C788" i="19"/>
  <c r="Y787" i="19"/>
  <c r="O787" i="19"/>
  <c r="X787" i="19" s="1"/>
  <c r="C787" i="19"/>
  <c r="Y786" i="19"/>
  <c r="O786" i="19"/>
  <c r="X786" i="19" s="1"/>
  <c r="C786" i="19"/>
  <c r="Z786" i="19" s="1"/>
  <c r="Y785" i="19"/>
  <c r="O785" i="19"/>
  <c r="X785" i="19" s="1"/>
  <c r="C785" i="19"/>
  <c r="Y784" i="19"/>
  <c r="O784" i="19"/>
  <c r="X784" i="19" s="1"/>
  <c r="C784" i="19"/>
  <c r="Y783" i="19"/>
  <c r="O783" i="19"/>
  <c r="X783" i="19" s="1"/>
  <c r="C783" i="19"/>
  <c r="S774" i="19"/>
  <c r="S773" i="19"/>
  <c r="Z790" i="19" l="1"/>
  <c r="Z784" i="19"/>
  <c r="Z792" i="19"/>
  <c r="Z788" i="19"/>
  <c r="Z785" i="19"/>
  <c r="Z789" i="19"/>
  <c r="Z787" i="19"/>
  <c r="Z791" i="19"/>
  <c r="Z783" i="19"/>
  <c r="S754" i="19"/>
  <c r="AA782" i="19" l="1"/>
  <c r="Y782" i="19"/>
  <c r="O782" i="19"/>
  <c r="X782" i="19" s="1"/>
  <c r="C782" i="19"/>
  <c r="AA781" i="19"/>
  <c r="Y781" i="19"/>
  <c r="O781" i="19"/>
  <c r="X781" i="19" s="1"/>
  <c r="C781" i="19"/>
  <c r="Z782" i="19" l="1"/>
  <c r="Z781" i="19"/>
  <c r="AA780" i="19"/>
  <c r="Y780" i="19"/>
  <c r="O780" i="19"/>
  <c r="X780" i="19" s="1"/>
  <c r="C780" i="19"/>
  <c r="AA779" i="19"/>
  <c r="Y779" i="19"/>
  <c r="O779" i="19"/>
  <c r="X779" i="19" s="1"/>
  <c r="C779" i="19"/>
  <c r="Z780" i="19" l="1"/>
  <c r="Z779" i="19"/>
  <c r="S753" i="19"/>
  <c r="AA778" i="19" l="1"/>
  <c r="Y778" i="19"/>
  <c r="O778" i="19"/>
  <c r="X778" i="19" s="1"/>
  <c r="C778" i="19"/>
  <c r="AA777" i="19"/>
  <c r="Y777" i="19"/>
  <c r="O777" i="19"/>
  <c r="X777" i="19" s="1"/>
  <c r="C777" i="19"/>
  <c r="AA776" i="19"/>
  <c r="Y776" i="19"/>
  <c r="O776" i="19"/>
  <c r="X776" i="19" s="1"/>
  <c r="C776" i="19"/>
  <c r="Y775" i="19"/>
  <c r="O775" i="19"/>
  <c r="X775" i="19" s="1"/>
  <c r="AA775" i="19"/>
  <c r="C775" i="19"/>
  <c r="AA774" i="19"/>
  <c r="Y774" i="19"/>
  <c r="O774" i="19"/>
  <c r="X774" i="19" s="1"/>
  <c r="C774" i="19"/>
  <c r="AA773" i="19"/>
  <c r="Y773" i="19"/>
  <c r="O773" i="19"/>
  <c r="X773" i="19" s="1"/>
  <c r="C773" i="19"/>
  <c r="Z775" i="19" l="1"/>
  <c r="Z777" i="19"/>
  <c r="Z776" i="19"/>
  <c r="Z774" i="19"/>
  <c r="Z778" i="19"/>
  <c r="Z773" i="19"/>
  <c r="AA772" i="19"/>
  <c r="Y772" i="19"/>
  <c r="O772" i="19"/>
  <c r="X772" i="19" s="1"/>
  <c r="C772" i="19"/>
  <c r="Z772" i="19" l="1"/>
  <c r="AA771" i="19"/>
  <c r="Y771" i="19"/>
  <c r="O771" i="19"/>
  <c r="X771" i="19" s="1"/>
  <c r="C771" i="19"/>
  <c r="AA770" i="19"/>
  <c r="Y770" i="19"/>
  <c r="O770" i="19"/>
  <c r="X770" i="19" s="1"/>
  <c r="C770" i="19"/>
  <c r="Z771" i="19" l="1"/>
  <c r="Z770" i="19"/>
  <c r="AA767" i="19"/>
  <c r="Y767" i="19"/>
  <c r="O767" i="19"/>
  <c r="X767" i="19" s="1"/>
  <c r="C767" i="19"/>
  <c r="AA769" i="19"/>
  <c r="Y769" i="19"/>
  <c r="O769" i="19"/>
  <c r="X769" i="19" s="1"/>
  <c r="C769" i="19"/>
  <c r="AA768" i="19"/>
  <c r="Y768" i="19"/>
  <c r="O768" i="19"/>
  <c r="X768" i="19" s="1"/>
  <c r="C768" i="19"/>
  <c r="Z767" i="19" l="1"/>
  <c r="Z768" i="19"/>
  <c r="Z769" i="19"/>
  <c r="V590" i="19"/>
  <c r="V589" i="19"/>
  <c r="S749" i="19" l="1"/>
  <c r="R748" i="19"/>
  <c r="S748" i="19" s="1"/>
  <c r="AA758" i="19" l="1"/>
  <c r="AA759" i="19"/>
  <c r="AA760" i="19"/>
  <c r="AA761" i="19"/>
  <c r="AA762" i="19"/>
  <c r="AA763" i="19"/>
  <c r="AA764" i="19"/>
  <c r="AA765" i="19"/>
  <c r="AA766" i="19"/>
  <c r="AA757" i="19"/>
  <c r="N758" i="19"/>
  <c r="O758" i="19" s="1"/>
  <c r="X758" i="19" s="1"/>
  <c r="N759" i="19"/>
  <c r="O759" i="19" s="1"/>
  <c r="X759" i="19" s="1"/>
  <c r="N760" i="19"/>
  <c r="O760" i="19" s="1"/>
  <c r="X760" i="19" s="1"/>
  <c r="N761" i="19"/>
  <c r="O761" i="19" s="1"/>
  <c r="X761" i="19" s="1"/>
  <c r="N762" i="19"/>
  <c r="O762" i="19" s="1"/>
  <c r="X762" i="19" s="1"/>
  <c r="N763" i="19"/>
  <c r="O763" i="19" s="1"/>
  <c r="X763" i="19" s="1"/>
  <c r="N764" i="19"/>
  <c r="O764" i="19" s="1"/>
  <c r="X764" i="19" s="1"/>
  <c r="N765" i="19"/>
  <c r="O765" i="19" s="1"/>
  <c r="X765" i="19" s="1"/>
  <c r="N766" i="19"/>
  <c r="O766" i="19" s="1"/>
  <c r="X766" i="19" s="1"/>
  <c r="N757" i="19"/>
  <c r="O757" i="19" s="1"/>
  <c r="X757" i="19" s="1"/>
  <c r="Y766" i="19"/>
  <c r="C766" i="19"/>
  <c r="Y765" i="19"/>
  <c r="C765" i="19"/>
  <c r="Y764" i="19"/>
  <c r="C764" i="19"/>
  <c r="Y763" i="19"/>
  <c r="C763" i="19"/>
  <c r="Y762" i="19"/>
  <c r="C762" i="19"/>
  <c r="Y761" i="19"/>
  <c r="C761" i="19"/>
  <c r="Y760" i="19"/>
  <c r="C760" i="19"/>
  <c r="Y759" i="19"/>
  <c r="C759" i="19"/>
  <c r="Y758" i="19"/>
  <c r="C758" i="19"/>
  <c r="Y757" i="19"/>
  <c r="C757" i="19"/>
  <c r="C755" i="19"/>
  <c r="C756" i="19"/>
  <c r="Y755" i="19"/>
  <c r="Y756" i="19"/>
  <c r="O755" i="19"/>
  <c r="X755" i="19" s="1"/>
  <c r="O756" i="19"/>
  <c r="X756" i="19" s="1"/>
  <c r="AA756" i="19"/>
  <c r="AA755" i="19"/>
  <c r="Z759" i="19" l="1"/>
  <c r="Z758" i="19"/>
  <c r="Z763" i="19"/>
  <c r="Z762" i="19"/>
  <c r="Z766" i="19"/>
  <c r="Z764" i="19"/>
  <c r="Z760" i="19"/>
  <c r="Z761" i="19"/>
  <c r="Z756" i="19"/>
  <c r="Z755" i="19"/>
  <c r="Z765" i="19"/>
  <c r="Z757" i="19"/>
  <c r="S752" i="19"/>
  <c r="S747" i="19"/>
  <c r="AA753" i="19" l="1"/>
  <c r="AA754" i="19"/>
  <c r="Y753" i="19"/>
  <c r="Y754" i="19"/>
  <c r="C754" i="19"/>
  <c r="C753" i="19"/>
  <c r="O754" i="19"/>
  <c r="X754" i="19" s="1"/>
  <c r="O753" i="19"/>
  <c r="X753" i="19" s="1"/>
  <c r="Z754" i="19" l="1"/>
  <c r="Z753" i="19"/>
  <c r="S732" i="19"/>
  <c r="AA751" i="19" l="1"/>
  <c r="Y751" i="19"/>
  <c r="O751" i="19"/>
  <c r="C751" i="19"/>
  <c r="Z751" i="19" s="1"/>
  <c r="AA750" i="19"/>
  <c r="Y750" i="19"/>
  <c r="O750" i="19"/>
  <c r="C750" i="19"/>
  <c r="Z750" i="19" s="1"/>
  <c r="AA752" i="19" l="1"/>
  <c r="Y752" i="19"/>
  <c r="O752" i="19"/>
  <c r="X752" i="19" s="1"/>
  <c r="C752" i="19"/>
  <c r="Z752" i="19" l="1"/>
  <c r="V669" i="19"/>
  <c r="V667" i="19"/>
  <c r="AA748" i="19" l="1"/>
  <c r="Y748" i="19"/>
  <c r="O748" i="19"/>
  <c r="X748" i="19" s="1"/>
  <c r="C748" i="19"/>
  <c r="AA749" i="19"/>
  <c r="Y749" i="19"/>
  <c r="O749" i="19"/>
  <c r="X749" i="19" s="1"/>
  <c r="C749" i="19"/>
  <c r="Z749" i="19" l="1"/>
  <c r="Z748" i="19"/>
  <c r="AF746" i="19"/>
  <c r="AA747" i="19" l="1"/>
  <c r="O747" i="19"/>
  <c r="X747" i="19" s="1"/>
  <c r="Y747" i="19"/>
  <c r="C747" i="19"/>
  <c r="N737" i="19"/>
  <c r="N738" i="19"/>
  <c r="N739" i="19"/>
  <c r="N740" i="19"/>
  <c r="N741" i="19"/>
  <c r="N742" i="19"/>
  <c r="N743" i="19"/>
  <c r="N744" i="19"/>
  <c r="N745" i="19"/>
  <c r="N736" i="19"/>
  <c r="Z747" i="19" l="1"/>
  <c r="AA746" i="19"/>
  <c r="Y746" i="19"/>
  <c r="O746" i="19"/>
  <c r="X746" i="19" s="1"/>
  <c r="C746" i="19"/>
  <c r="Z746" i="19" l="1"/>
  <c r="AA736" i="19"/>
  <c r="Y745" i="19"/>
  <c r="O745" i="19"/>
  <c r="X745" i="19" s="1"/>
  <c r="C745" i="19"/>
  <c r="Z745" i="19" s="1"/>
  <c r="Y744" i="19"/>
  <c r="O744" i="19"/>
  <c r="X744" i="19" s="1"/>
  <c r="C744" i="19"/>
  <c r="Z744" i="19" s="1"/>
  <c r="Y743" i="19"/>
  <c r="O743" i="19"/>
  <c r="X743" i="19" s="1"/>
  <c r="C743" i="19"/>
  <c r="Z743" i="19" s="1"/>
  <c r="Y742" i="19"/>
  <c r="O742" i="19"/>
  <c r="X742" i="19" s="1"/>
  <c r="C742" i="19"/>
  <c r="Z742" i="19" s="1"/>
  <c r="Y741" i="19"/>
  <c r="O741" i="19"/>
  <c r="X741" i="19" s="1"/>
  <c r="C741" i="19"/>
  <c r="Z741" i="19" s="1"/>
  <c r="Y740" i="19"/>
  <c r="O740" i="19"/>
  <c r="X740" i="19" s="1"/>
  <c r="C740" i="19"/>
  <c r="Z740" i="19" s="1"/>
  <c r="Y739" i="19"/>
  <c r="O739" i="19"/>
  <c r="X739" i="19" s="1"/>
  <c r="C739" i="19"/>
  <c r="Z739" i="19" s="1"/>
  <c r="Y738" i="19"/>
  <c r="O738" i="19"/>
  <c r="X738" i="19" s="1"/>
  <c r="C738" i="19"/>
  <c r="Z738" i="19" s="1"/>
  <c r="Y737" i="19"/>
  <c r="O737" i="19"/>
  <c r="X737" i="19" s="1"/>
  <c r="C737" i="19"/>
  <c r="Z737" i="19" s="1"/>
  <c r="Y736" i="19"/>
  <c r="O736" i="19"/>
  <c r="X736" i="19" s="1"/>
  <c r="C736" i="19"/>
  <c r="Z736" i="19" l="1"/>
  <c r="S560" i="19"/>
  <c r="S559" i="19"/>
  <c r="V660" i="19" l="1"/>
  <c r="C735" i="19" l="1"/>
  <c r="AA735" i="19"/>
  <c r="Y735" i="19"/>
  <c r="O735" i="19"/>
  <c r="Z735" i="19" l="1"/>
  <c r="V658" i="19"/>
  <c r="V656" i="19"/>
  <c r="AA734" i="19" l="1"/>
  <c r="Y734" i="19"/>
  <c r="O734" i="19"/>
  <c r="X734" i="19" s="1"/>
  <c r="C734" i="19"/>
  <c r="AA733" i="19"/>
  <c r="Y733" i="19"/>
  <c r="O733" i="19"/>
  <c r="X733" i="19" s="1"/>
  <c r="C733" i="19"/>
  <c r="Z733" i="19" s="1"/>
  <c r="Z734" i="19" l="1"/>
  <c r="AF732" i="19"/>
  <c r="S721" i="19"/>
  <c r="AA732" i="19" l="1"/>
  <c r="Y732" i="19"/>
  <c r="O732" i="19"/>
  <c r="X732" i="19" s="1"/>
  <c r="C732" i="19"/>
  <c r="Z732" i="19" l="1"/>
  <c r="V683" i="19"/>
  <c r="N723" i="19" l="1"/>
  <c r="N724" i="19"/>
  <c r="N725" i="19"/>
  <c r="N726" i="19"/>
  <c r="N727" i="19"/>
  <c r="N728" i="19"/>
  <c r="N729" i="19"/>
  <c r="N730" i="19"/>
  <c r="N731" i="19"/>
  <c r="N722" i="19"/>
  <c r="AA723" i="19" l="1"/>
  <c r="AA722" i="19"/>
  <c r="Y731" i="19"/>
  <c r="O731" i="19"/>
  <c r="X731" i="19" s="1"/>
  <c r="C731" i="19"/>
  <c r="Z731" i="19" s="1"/>
  <c r="Y730" i="19"/>
  <c r="O730" i="19"/>
  <c r="X730" i="19" s="1"/>
  <c r="C730" i="19"/>
  <c r="Z730" i="19" s="1"/>
  <c r="Y729" i="19"/>
  <c r="O729" i="19"/>
  <c r="X729" i="19" s="1"/>
  <c r="C729" i="19"/>
  <c r="Z729" i="19" s="1"/>
  <c r="Y728" i="19"/>
  <c r="O728" i="19"/>
  <c r="X728" i="19" s="1"/>
  <c r="C728" i="19"/>
  <c r="Z728" i="19" s="1"/>
  <c r="Y727" i="19"/>
  <c r="O727" i="19"/>
  <c r="X727" i="19" s="1"/>
  <c r="C727" i="19"/>
  <c r="Z727" i="19" s="1"/>
  <c r="Y726" i="19"/>
  <c r="O726" i="19"/>
  <c r="X726" i="19" s="1"/>
  <c r="C726" i="19"/>
  <c r="Z726" i="19" s="1"/>
  <c r="Y725" i="19"/>
  <c r="O725" i="19"/>
  <c r="X725" i="19" s="1"/>
  <c r="C725" i="19"/>
  <c r="Z725" i="19" s="1"/>
  <c r="Y724" i="19"/>
  <c r="O724" i="19"/>
  <c r="X724" i="19" s="1"/>
  <c r="C724" i="19"/>
  <c r="Z724" i="19" s="1"/>
  <c r="Y723" i="19"/>
  <c r="O723" i="19"/>
  <c r="X723" i="19" s="1"/>
  <c r="C723" i="19"/>
  <c r="Z723" i="19" s="1"/>
  <c r="Y722" i="19"/>
  <c r="O722" i="19"/>
  <c r="X722" i="19" s="1"/>
  <c r="C722" i="19"/>
  <c r="Z722" i="19" s="1"/>
  <c r="AA721" i="19" l="1"/>
  <c r="Y721" i="19"/>
  <c r="O721" i="19"/>
  <c r="X721" i="19" s="1"/>
  <c r="C721" i="19"/>
  <c r="Z721" i="19" l="1"/>
  <c r="AA720" i="19"/>
  <c r="Y720" i="19"/>
  <c r="O720" i="19"/>
  <c r="C720" i="19"/>
  <c r="Z720" i="19" s="1"/>
  <c r="S717" i="19" l="1"/>
  <c r="S716" i="19"/>
  <c r="S715" i="19"/>
  <c r="S714" i="19"/>
  <c r="AA719" i="19" l="1"/>
  <c r="V625" i="19" l="1"/>
  <c r="Y719" i="19" l="1"/>
  <c r="O719" i="19"/>
  <c r="C719" i="19"/>
  <c r="AA718" i="19"/>
  <c r="Y718" i="19"/>
  <c r="O718" i="19"/>
  <c r="C718" i="19"/>
  <c r="Z719" i="19" l="1"/>
  <c r="Z718" i="19"/>
  <c r="C714" i="19"/>
  <c r="C715" i="19"/>
  <c r="C716" i="19"/>
  <c r="C717" i="19"/>
  <c r="AA717" i="19"/>
  <c r="AA715" i="19"/>
  <c r="AA714" i="19"/>
  <c r="AA716" i="19"/>
  <c r="Y715" i="19"/>
  <c r="Y716" i="19"/>
  <c r="Y717" i="19"/>
  <c r="Z715" i="19" l="1"/>
  <c r="Z716" i="19"/>
  <c r="Z717" i="19"/>
  <c r="Z714" i="19"/>
  <c r="O716" i="19"/>
  <c r="X716" i="19" s="1"/>
  <c r="O717" i="19"/>
  <c r="X717" i="19" s="1"/>
  <c r="O714" i="19"/>
  <c r="X714" i="19" s="1"/>
  <c r="O715" i="19"/>
  <c r="X715" i="19" s="1"/>
  <c r="Y714" i="19"/>
  <c r="S636" i="19" l="1"/>
  <c r="V579" i="19" l="1"/>
  <c r="N705" i="19" l="1"/>
  <c r="N706" i="19"/>
  <c r="N707" i="19"/>
  <c r="N708" i="19"/>
  <c r="N709" i="19"/>
  <c r="N710" i="19"/>
  <c r="N711" i="19"/>
  <c r="N712" i="19"/>
  <c r="N713" i="19"/>
  <c r="N704" i="19"/>
  <c r="Y704" i="19" l="1"/>
  <c r="Y705" i="19"/>
  <c r="Y706" i="19"/>
  <c r="Y707" i="19"/>
  <c r="Y708" i="19"/>
  <c r="Y709" i="19"/>
  <c r="Y710" i="19"/>
  <c r="Y711" i="19"/>
  <c r="Y712" i="19"/>
  <c r="Y713" i="19"/>
  <c r="AA713" i="19"/>
  <c r="AA712" i="19"/>
  <c r="AA711" i="19"/>
  <c r="AA710" i="19"/>
  <c r="AA709" i="19"/>
  <c r="AA708" i="19"/>
  <c r="AA707" i="19"/>
  <c r="AA706" i="19"/>
  <c r="AA705" i="19"/>
  <c r="AA704" i="19"/>
  <c r="O704" i="19"/>
  <c r="X704" i="19" s="1"/>
  <c r="O705" i="19"/>
  <c r="X705" i="19" s="1"/>
  <c r="O706" i="19"/>
  <c r="X706" i="19" s="1"/>
  <c r="O707" i="19"/>
  <c r="X707" i="19" s="1"/>
  <c r="O708" i="19"/>
  <c r="X708" i="19" s="1"/>
  <c r="O709" i="19"/>
  <c r="X709" i="19" s="1"/>
  <c r="O710" i="19"/>
  <c r="X710" i="19" s="1"/>
  <c r="O711" i="19"/>
  <c r="X711" i="19" s="1"/>
  <c r="O712" i="19"/>
  <c r="X712" i="19" s="1"/>
  <c r="O713" i="19"/>
  <c r="X713" i="19" s="1"/>
  <c r="C713" i="19"/>
  <c r="C712" i="19"/>
  <c r="C711" i="19"/>
  <c r="C710" i="19"/>
  <c r="C709" i="19"/>
  <c r="C708" i="19"/>
  <c r="C707" i="19"/>
  <c r="Z707" i="19" s="1"/>
  <c r="C706" i="19"/>
  <c r="C705" i="19"/>
  <c r="C704" i="19"/>
  <c r="Z709" i="19" l="1"/>
  <c r="Z706" i="19"/>
  <c r="Z708" i="19"/>
  <c r="Z713" i="19"/>
  <c r="Z710" i="19"/>
  <c r="Z705" i="19"/>
  <c r="Z704" i="19"/>
  <c r="Z712" i="19"/>
  <c r="Z711" i="19"/>
  <c r="S641" i="19"/>
  <c r="V621" i="19" l="1"/>
  <c r="S664" i="19" l="1"/>
  <c r="AA695" i="19" l="1"/>
  <c r="AA696" i="19"/>
  <c r="AA697" i="19"/>
  <c r="AA698" i="19"/>
  <c r="AA699" i="19"/>
  <c r="AA700" i="19"/>
  <c r="AA701" i="19"/>
  <c r="AA702" i="19"/>
  <c r="AA703" i="19"/>
  <c r="AA694" i="19"/>
  <c r="Y695" i="19"/>
  <c r="Y696" i="19"/>
  <c r="Y697" i="19"/>
  <c r="Y698" i="19"/>
  <c r="Y699" i="19"/>
  <c r="Y700" i="19"/>
  <c r="Y701" i="19"/>
  <c r="Y702" i="19"/>
  <c r="Y703" i="19"/>
  <c r="N695" i="19"/>
  <c r="O695" i="19" s="1"/>
  <c r="X695" i="19" s="1"/>
  <c r="N696" i="19"/>
  <c r="O696" i="19" s="1"/>
  <c r="X696" i="19" s="1"/>
  <c r="N697" i="19"/>
  <c r="O697" i="19" s="1"/>
  <c r="X697" i="19" s="1"/>
  <c r="N698" i="19"/>
  <c r="O698" i="19" s="1"/>
  <c r="X698" i="19" s="1"/>
  <c r="N699" i="19"/>
  <c r="O699" i="19" s="1"/>
  <c r="X699" i="19" s="1"/>
  <c r="N700" i="19"/>
  <c r="O700" i="19" s="1"/>
  <c r="X700" i="19" s="1"/>
  <c r="N701" i="19"/>
  <c r="O701" i="19" s="1"/>
  <c r="X701" i="19" s="1"/>
  <c r="N702" i="19"/>
  <c r="O702" i="19" s="1"/>
  <c r="X702" i="19" s="1"/>
  <c r="N703" i="19"/>
  <c r="O703" i="19" s="1"/>
  <c r="X703" i="19" s="1"/>
  <c r="N694" i="19"/>
  <c r="O694" i="19" s="1"/>
  <c r="X694" i="19" s="1"/>
  <c r="Y694" i="19"/>
  <c r="C703" i="19" l="1"/>
  <c r="Z703" i="19" s="1"/>
  <c r="C702" i="19"/>
  <c r="Z702" i="19" s="1"/>
  <c r="C701" i="19"/>
  <c r="Z701" i="19" s="1"/>
  <c r="C700" i="19"/>
  <c r="Z700" i="19" s="1"/>
  <c r="C699" i="19"/>
  <c r="Z699" i="19" s="1"/>
  <c r="C698" i="19"/>
  <c r="Z698" i="19" s="1"/>
  <c r="C697" i="19"/>
  <c r="Z697" i="19" s="1"/>
  <c r="C696" i="19"/>
  <c r="Z696" i="19" s="1"/>
  <c r="C695" i="19"/>
  <c r="Z695" i="19" s="1"/>
  <c r="C694" i="19"/>
  <c r="Z694" i="19" s="1"/>
  <c r="S682" i="19" l="1"/>
  <c r="V564" i="19" l="1"/>
  <c r="V581" i="19" l="1"/>
  <c r="AA693" i="19" l="1"/>
  <c r="AA692" i="19"/>
  <c r="Y693" i="19"/>
  <c r="Y692" i="19"/>
  <c r="O693" i="19"/>
  <c r="X693" i="19" s="1"/>
  <c r="O692" i="19"/>
  <c r="X692" i="19" s="1"/>
  <c r="C692" i="19"/>
  <c r="C693" i="19"/>
  <c r="S689" i="19"/>
  <c r="S685" i="19"/>
  <c r="S691" i="19"/>
  <c r="S687" i="19"/>
  <c r="S584" i="19"/>
  <c r="Z693" i="19" l="1"/>
  <c r="Z692" i="19"/>
  <c r="AA691" i="19"/>
  <c r="AA690" i="19"/>
  <c r="Y691" i="19"/>
  <c r="Y690" i="19"/>
  <c r="O691" i="19"/>
  <c r="X691" i="19" s="1"/>
  <c r="O690" i="19"/>
  <c r="X690" i="19" s="1"/>
  <c r="C691" i="19"/>
  <c r="C690" i="19"/>
  <c r="AA689" i="19"/>
  <c r="AA688" i="19"/>
  <c r="Y689" i="19"/>
  <c r="Y688" i="19"/>
  <c r="C689" i="19"/>
  <c r="C688" i="19"/>
  <c r="Z688" i="19" s="1"/>
  <c r="O689" i="19"/>
  <c r="X689" i="19" s="1"/>
  <c r="O688" i="19"/>
  <c r="X688" i="19" s="1"/>
  <c r="V616" i="19"/>
  <c r="V614" i="19"/>
  <c r="V624" i="19"/>
  <c r="V618" i="19"/>
  <c r="Z689" i="19" l="1"/>
  <c r="Z690" i="19"/>
  <c r="Z691" i="19"/>
  <c r="X100" i="19"/>
  <c r="X99" i="19"/>
  <c r="X89" i="19"/>
  <c r="X88" i="19"/>
  <c r="X87" i="19"/>
  <c r="X85" i="19"/>
  <c r="X68" i="19"/>
  <c r="X67" i="19"/>
  <c r="X66" i="19"/>
  <c r="X22" i="19"/>
  <c r="X21" i="19"/>
  <c r="X20" i="19"/>
  <c r="X19" i="19"/>
  <c r="X16" i="19"/>
  <c r="X14" i="19"/>
  <c r="X12" i="19"/>
  <c r="X11" i="19"/>
  <c r="X10" i="19"/>
  <c r="X9" i="19"/>
  <c r="S533" i="19" l="1"/>
  <c r="V612" i="19"/>
  <c r="V608" i="19"/>
  <c r="AA687" i="19"/>
  <c r="AA686" i="19"/>
  <c r="Y687" i="19"/>
  <c r="Y686" i="19"/>
  <c r="O687" i="19"/>
  <c r="X687" i="19" s="1"/>
  <c r="O686" i="19"/>
  <c r="X686" i="19" s="1"/>
  <c r="C686" i="19"/>
  <c r="C687" i="19"/>
  <c r="AA685" i="19"/>
  <c r="AA684" i="19"/>
  <c r="C685" i="19"/>
  <c r="C684" i="19"/>
  <c r="V610" i="19"/>
  <c r="V606" i="19"/>
  <c r="Y685" i="19"/>
  <c r="Y684" i="19"/>
  <c r="O685" i="19"/>
  <c r="X685" i="19" s="1"/>
  <c r="O684" i="19"/>
  <c r="X684" i="19" s="1"/>
  <c r="Z686" i="19" l="1"/>
  <c r="Z687" i="19"/>
  <c r="Z684" i="19"/>
  <c r="Z685" i="19"/>
  <c r="AA683" i="19"/>
  <c r="Y683" i="19"/>
  <c r="O683" i="19"/>
  <c r="X683" i="19" s="1"/>
  <c r="C683" i="19"/>
  <c r="Z683" i="19" l="1"/>
  <c r="S671" i="19"/>
  <c r="AA682" i="19" l="1"/>
  <c r="O682" i="19"/>
  <c r="X682" i="19" s="1"/>
  <c r="Y682" i="19"/>
  <c r="C682" i="19"/>
  <c r="Z682" i="19" l="1"/>
  <c r="N672" i="19"/>
  <c r="AA673" i="19" l="1"/>
  <c r="AA674" i="19"/>
  <c r="AA675" i="19"/>
  <c r="AA676" i="19"/>
  <c r="AA677" i="19"/>
  <c r="AA678" i="19"/>
  <c r="AA679" i="19"/>
  <c r="AA680" i="19"/>
  <c r="AA681" i="19"/>
  <c r="AA672" i="19"/>
  <c r="AA645" i="19"/>
  <c r="Y673" i="19"/>
  <c r="Y674" i="19"/>
  <c r="Y675" i="19"/>
  <c r="Y676" i="19"/>
  <c r="Y677" i="19"/>
  <c r="Y678" i="19"/>
  <c r="Y679" i="19"/>
  <c r="Y680" i="19"/>
  <c r="Y681" i="19"/>
  <c r="N675" i="19"/>
  <c r="O675" i="19" s="1"/>
  <c r="X675" i="19" s="1"/>
  <c r="N674" i="19"/>
  <c r="O674" i="19" s="1"/>
  <c r="X674" i="19" s="1"/>
  <c r="N676" i="19"/>
  <c r="O676" i="19" s="1"/>
  <c r="X676" i="19" s="1"/>
  <c r="N677" i="19"/>
  <c r="O677" i="19" s="1"/>
  <c r="X677" i="19" s="1"/>
  <c r="N678" i="19"/>
  <c r="O678" i="19" s="1"/>
  <c r="X678" i="19" s="1"/>
  <c r="N679" i="19"/>
  <c r="O679" i="19" s="1"/>
  <c r="X679" i="19" s="1"/>
  <c r="N680" i="19"/>
  <c r="O680" i="19" s="1"/>
  <c r="X680" i="19" s="1"/>
  <c r="N681" i="19"/>
  <c r="O681" i="19" s="1"/>
  <c r="X681" i="19" s="1"/>
  <c r="N673" i="19"/>
  <c r="O673" i="19" s="1"/>
  <c r="X673" i="19" s="1"/>
  <c r="O672" i="19"/>
  <c r="X672" i="19" s="1"/>
  <c r="Y672" i="19"/>
  <c r="C681" i="19"/>
  <c r="C680" i="19"/>
  <c r="C679" i="19"/>
  <c r="C678" i="19"/>
  <c r="C677" i="19"/>
  <c r="C676" i="19"/>
  <c r="C675" i="19"/>
  <c r="C674" i="19"/>
  <c r="C673" i="19"/>
  <c r="C672" i="19"/>
  <c r="AA671" i="19"/>
  <c r="O671" i="19"/>
  <c r="X671" i="19" s="1"/>
  <c r="Y671" i="19"/>
  <c r="C671" i="19"/>
  <c r="Z671" i="19" s="1"/>
  <c r="Z677" i="19" l="1"/>
  <c r="Z673" i="19"/>
  <c r="Z681" i="19"/>
  <c r="Z674" i="19"/>
  <c r="Z678" i="19"/>
  <c r="Z672" i="19"/>
  <c r="Z675" i="19"/>
  <c r="Z679" i="19"/>
  <c r="Z676" i="19"/>
  <c r="Z680" i="19"/>
  <c r="V637" i="19" l="1"/>
  <c r="O524" i="19"/>
  <c r="X524" i="19" s="1"/>
  <c r="V523" i="19"/>
  <c r="V511" i="19"/>
  <c r="AA669" i="19" l="1"/>
  <c r="AA670" i="19"/>
  <c r="Y668" i="19"/>
  <c r="Y669" i="19"/>
  <c r="Y670" i="19"/>
  <c r="O670" i="19"/>
  <c r="X670" i="19" s="1"/>
  <c r="O669" i="19"/>
  <c r="X669" i="19" s="1"/>
  <c r="C670" i="19"/>
  <c r="C669" i="19"/>
  <c r="Z670" i="19" l="1"/>
  <c r="Z669" i="19"/>
  <c r="AA667" i="19"/>
  <c r="AA668" i="19"/>
  <c r="Y666" i="19"/>
  <c r="Y667" i="19"/>
  <c r="O668" i="19"/>
  <c r="X668" i="19" s="1"/>
  <c r="O667" i="19"/>
  <c r="X667" i="19" s="1"/>
  <c r="C668" i="19"/>
  <c r="C667" i="19"/>
  <c r="S604" i="19"/>
  <c r="Z668" i="19" l="1"/>
  <c r="Z667" i="19"/>
  <c r="C536" i="19"/>
  <c r="O666" i="19" l="1"/>
  <c r="X666" i="19" s="1"/>
  <c r="AA666" i="19"/>
  <c r="Z666" i="19" s="1"/>
  <c r="AA665" i="19"/>
  <c r="Z665" i="19" s="1"/>
  <c r="O665" i="19"/>
  <c r="X665" i="19" s="1"/>
  <c r="Y665" i="19"/>
  <c r="S582" i="19" l="1"/>
  <c r="S476" i="19" l="1"/>
  <c r="AA477" i="19"/>
  <c r="AA478" i="19"/>
  <c r="AA479" i="19"/>
  <c r="AA480" i="19"/>
  <c r="Y586" i="19" l="1"/>
  <c r="S586" i="19"/>
  <c r="S587" i="19"/>
  <c r="AA586" i="19"/>
  <c r="O586" i="19"/>
  <c r="C586" i="19"/>
  <c r="Z586" i="19" s="1"/>
  <c r="X586" i="19" l="1"/>
  <c r="Y664" i="19"/>
  <c r="AA664" i="19" l="1"/>
  <c r="O664" i="19"/>
  <c r="X664" i="19" s="1"/>
  <c r="C664" i="19" l="1"/>
  <c r="Z664" i="19" s="1"/>
  <c r="AA581" i="19" l="1"/>
  <c r="O581" i="19"/>
  <c r="X581" i="19" s="1"/>
  <c r="Y581" i="19"/>
  <c r="Y580" i="19"/>
  <c r="S580" i="19"/>
  <c r="C581" i="19"/>
  <c r="Z581" i="19" l="1"/>
  <c r="O662" i="19"/>
  <c r="X662" i="19" s="1"/>
  <c r="O663" i="19"/>
  <c r="X663" i="19" s="1"/>
  <c r="Y662" i="19"/>
  <c r="AA662" i="19"/>
  <c r="AA663" i="19"/>
  <c r="Y663" i="19"/>
  <c r="C663" i="19"/>
  <c r="C662" i="19"/>
  <c r="O661" i="19"/>
  <c r="X661" i="19" s="1"/>
  <c r="Y661" i="19"/>
  <c r="AA661" i="19"/>
  <c r="C661" i="19"/>
  <c r="S639" i="19"/>
  <c r="Z663" i="19" l="1"/>
  <c r="Z661" i="19"/>
  <c r="Z662" i="19"/>
  <c r="O639" i="19" l="1"/>
  <c r="X639" i="19" s="1"/>
  <c r="S644" i="19"/>
  <c r="AA659" i="19" l="1"/>
  <c r="AA660" i="19"/>
  <c r="Y659" i="19"/>
  <c r="Y660" i="19"/>
  <c r="O660" i="19"/>
  <c r="X660" i="19" s="1"/>
  <c r="O659" i="19"/>
  <c r="X659" i="19" s="1"/>
  <c r="C659" i="19"/>
  <c r="C660" i="19"/>
  <c r="Z660" i="19" l="1"/>
  <c r="Z659" i="19"/>
  <c r="S642" i="19"/>
  <c r="S643" i="19"/>
  <c r="AA657" i="19" l="1"/>
  <c r="AA658" i="19"/>
  <c r="Y657" i="19"/>
  <c r="Y658" i="19"/>
  <c r="O657" i="19"/>
  <c r="X657" i="19" s="1"/>
  <c r="O658" i="19"/>
  <c r="X658" i="19" s="1"/>
  <c r="C658" i="19"/>
  <c r="C657" i="19"/>
  <c r="Z658" i="19" l="1"/>
  <c r="Z657" i="19"/>
  <c r="O640" i="19"/>
  <c r="O644" i="19"/>
  <c r="X644" i="19" s="1"/>
  <c r="S640" i="19"/>
  <c r="X640" i="19" l="1"/>
  <c r="AA656" i="19"/>
  <c r="AA655" i="19"/>
  <c r="AA649" i="19"/>
  <c r="Y656" i="19"/>
  <c r="Y655" i="19"/>
  <c r="Y649" i="19"/>
  <c r="Y648" i="19"/>
  <c r="Y647" i="19"/>
  <c r="Y646" i="19"/>
  <c r="Y645" i="19"/>
  <c r="Y650" i="19"/>
  <c r="Y651" i="19"/>
  <c r="Y652" i="19"/>
  <c r="Y653" i="19"/>
  <c r="Y654" i="19"/>
  <c r="N647" i="19"/>
  <c r="O647" i="19" s="1"/>
  <c r="X647" i="19" s="1"/>
  <c r="N648" i="19"/>
  <c r="O648" i="19" s="1"/>
  <c r="X648" i="19" s="1"/>
  <c r="N649" i="19"/>
  <c r="O649" i="19" s="1"/>
  <c r="X649" i="19" s="1"/>
  <c r="N650" i="19"/>
  <c r="O650" i="19" s="1"/>
  <c r="X650" i="19" s="1"/>
  <c r="N651" i="19"/>
  <c r="O651" i="19" s="1"/>
  <c r="X651" i="19" s="1"/>
  <c r="N652" i="19"/>
  <c r="O652" i="19" s="1"/>
  <c r="X652" i="19" s="1"/>
  <c r="N653" i="19"/>
  <c r="O653" i="19" s="1"/>
  <c r="X653" i="19" s="1"/>
  <c r="N654" i="19"/>
  <c r="O654" i="19" s="1"/>
  <c r="X654" i="19" s="1"/>
  <c r="N646" i="19"/>
  <c r="O646" i="19" s="1"/>
  <c r="X646" i="19" s="1"/>
  <c r="N645" i="19"/>
  <c r="O645" i="19" s="1"/>
  <c r="X645" i="19" s="1"/>
  <c r="O656" i="19"/>
  <c r="X656" i="19" s="1"/>
  <c r="O655" i="19"/>
  <c r="X655" i="19" s="1"/>
  <c r="C656" i="19"/>
  <c r="C655" i="19"/>
  <c r="AA654" i="19"/>
  <c r="AA653" i="19"/>
  <c r="AA652" i="19"/>
  <c r="AA651" i="19"/>
  <c r="AA650" i="19"/>
  <c r="AA648" i="19"/>
  <c r="AA647" i="19"/>
  <c r="AA646" i="19"/>
  <c r="C654" i="19"/>
  <c r="C653" i="19"/>
  <c r="C652" i="19"/>
  <c r="C651" i="19"/>
  <c r="C650" i="19"/>
  <c r="C649" i="19"/>
  <c r="C648" i="19"/>
  <c r="C647" i="19"/>
  <c r="C646" i="19"/>
  <c r="C645" i="19"/>
  <c r="Z648" i="19" l="1"/>
  <c r="Z655" i="19"/>
  <c r="Z656" i="19"/>
  <c r="Z647" i="19"/>
  <c r="Z651" i="19"/>
  <c r="Z652" i="19"/>
  <c r="Z646" i="19"/>
  <c r="Z650" i="19"/>
  <c r="Z654" i="19"/>
  <c r="Z645" i="19"/>
  <c r="Z649" i="19"/>
  <c r="Z653" i="19"/>
  <c r="S562" i="19"/>
  <c r="AA644" i="19" l="1"/>
  <c r="Y644" i="19"/>
  <c r="C644" i="19"/>
  <c r="O625" i="19"/>
  <c r="X625" i="19" s="1"/>
  <c r="Z644" i="19" l="1"/>
  <c r="V532" i="19"/>
  <c r="AA642" i="19"/>
  <c r="AA643" i="19"/>
  <c r="Y642" i="19"/>
  <c r="Y643" i="19"/>
  <c r="O643" i="19"/>
  <c r="X643" i="19" s="1"/>
  <c r="O642" i="19"/>
  <c r="X642" i="19" s="1"/>
  <c r="C643" i="19"/>
  <c r="C642" i="19"/>
  <c r="V531" i="19"/>
  <c r="Z643" i="19" l="1"/>
  <c r="Z642" i="19"/>
  <c r="Y641" i="19" l="1"/>
  <c r="O641" i="19"/>
  <c r="X641" i="19" s="1"/>
  <c r="AA641" i="19" l="1"/>
  <c r="C641" i="19"/>
  <c r="W323" i="19"/>
  <c r="W324" i="19"/>
  <c r="Z641" i="19" l="1"/>
  <c r="V509" i="19" l="1"/>
  <c r="S588" i="19" l="1"/>
  <c r="S554" i="19"/>
  <c r="O588" i="19"/>
  <c r="C567" i="19"/>
  <c r="O604" i="19"/>
  <c r="X604" i="19" s="1"/>
  <c r="S566" i="19"/>
  <c r="C604" i="19"/>
  <c r="C566" i="19"/>
  <c r="Z566" i="19" s="1"/>
  <c r="C565" i="19"/>
  <c r="Z565" i="19" s="1"/>
  <c r="C553" i="19"/>
  <c r="S565" i="19"/>
  <c r="S553" i="19"/>
  <c r="X588" i="19" l="1"/>
  <c r="AD613" i="19"/>
  <c r="AD612" i="19"/>
  <c r="AD611" i="19"/>
  <c r="AD610" i="19"/>
  <c r="AD609" i="19"/>
  <c r="AD608" i="19"/>
  <c r="AD607" i="19"/>
  <c r="AD606" i="19"/>
  <c r="AD605" i="19"/>
  <c r="C639" i="19" l="1"/>
  <c r="AA639" i="19" l="1"/>
  <c r="Z639" i="19" s="1"/>
  <c r="AA640" i="19"/>
  <c r="Y640" i="19"/>
  <c r="Y639" i="19"/>
  <c r="C640" i="19"/>
  <c r="Z640" i="19" l="1"/>
  <c r="Y638" i="19"/>
  <c r="AA629" i="19" l="1"/>
  <c r="AA628" i="19"/>
  <c r="AA627" i="19"/>
  <c r="AA626" i="19"/>
  <c r="AA635" i="19"/>
  <c r="AA630" i="19"/>
  <c r="AA631" i="19"/>
  <c r="AA632" i="19"/>
  <c r="AA633" i="19"/>
  <c r="AA634" i="19"/>
  <c r="AA597" i="19"/>
  <c r="AA594" i="19"/>
  <c r="V405" i="19" l="1"/>
  <c r="AA638" i="19" l="1"/>
  <c r="O638" i="19"/>
  <c r="X638" i="19" s="1"/>
  <c r="C638" i="19"/>
  <c r="Z638" i="19" l="1"/>
  <c r="O637" i="19" l="1"/>
  <c r="X637" i="19" s="1"/>
  <c r="AA637" i="19"/>
  <c r="Y637" i="19"/>
  <c r="C637" i="19"/>
  <c r="Z637" i="19" l="1"/>
  <c r="Y636" i="19"/>
  <c r="AA636" i="19" l="1"/>
  <c r="O636" i="19"/>
  <c r="X636" i="19" s="1"/>
  <c r="C636" i="19"/>
  <c r="Z636" i="19" l="1"/>
  <c r="N626" i="19"/>
  <c r="Y627" i="19" l="1"/>
  <c r="Y628" i="19"/>
  <c r="Y629" i="19"/>
  <c r="Y630" i="19"/>
  <c r="Y631" i="19"/>
  <c r="Y632" i="19"/>
  <c r="Y633" i="19"/>
  <c r="Y634" i="19"/>
  <c r="Y635" i="19"/>
  <c r="O626" i="19"/>
  <c r="X626" i="19" s="1"/>
  <c r="N628" i="19"/>
  <c r="O628" i="19" s="1"/>
  <c r="X628" i="19" s="1"/>
  <c r="N627" i="19"/>
  <c r="O627" i="19" s="1"/>
  <c r="X627" i="19" s="1"/>
  <c r="N629" i="19"/>
  <c r="O629" i="19" s="1"/>
  <c r="X629" i="19" s="1"/>
  <c r="N630" i="19"/>
  <c r="O630" i="19" s="1"/>
  <c r="X630" i="19" s="1"/>
  <c r="N631" i="19"/>
  <c r="O631" i="19" s="1"/>
  <c r="X631" i="19" s="1"/>
  <c r="N632" i="19"/>
  <c r="O632" i="19" s="1"/>
  <c r="X632" i="19" s="1"/>
  <c r="N633" i="19"/>
  <c r="O633" i="19" s="1"/>
  <c r="X633" i="19" s="1"/>
  <c r="N634" i="19"/>
  <c r="O634" i="19" s="1"/>
  <c r="X634" i="19" s="1"/>
  <c r="N635" i="19"/>
  <c r="O635" i="19" s="1"/>
  <c r="X635" i="19" s="1"/>
  <c r="Y626" i="19" l="1"/>
  <c r="C635" i="19"/>
  <c r="C634" i="19"/>
  <c r="Z634" i="19" s="1"/>
  <c r="C633" i="19"/>
  <c r="C632" i="19"/>
  <c r="Z632" i="19" s="1"/>
  <c r="C631" i="19"/>
  <c r="C630" i="19"/>
  <c r="C629" i="19"/>
  <c r="C628" i="19"/>
  <c r="C627" i="19"/>
  <c r="C626" i="19"/>
  <c r="Z628" i="19" l="1"/>
  <c r="Z630" i="19"/>
  <c r="Z626" i="19"/>
  <c r="Z627" i="19"/>
  <c r="Z631" i="19"/>
  <c r="Z635" i="19"/>
  <c r="Z633" i="19"/>
  <c r="Z629" i="19"/>
  <c r="V388" i="19"/>
  <c r="X388" i="19" s="1"/>
  <c r="V412" i="19"/>
  <c r="V496" i="19"/>
  <c r="V492" i="19"/>
  <c r="AA625" i="19" l="1"/>
  <c r="Y625" i="19"/>
  <c r="C625" i="19"/>
  <c r="Z625" i="19" l="1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S620" i="19"/>
  <c r="S619" i="19"/>
  <c r="Y623" i="19"/>
  <c r="AA623" i="19"/>
  <c r="Y624" i="19"/>
  <c r="AA624" i="19"/>
  <c r="O624" i="19"/>
  <c r="X624" i="19" s="1"/>
  <c r="O623" i="19"/>
  <c r="X623" i="19" s="1"/>
  <c r="Z623" i="19" l="1"/>
  <c r="Z624" i="19"/>
  <c r="V494" i="19"/>
  <c r="V495" i="19"/>
  <c r="AA622" i="19" l="1"/>
  <c r="Y622" i="19"/>
  <c r="O622" i="19"/>
  <c r="X622" i="19" s="1"/>
  <c r="AA621" i="19"/>
  <c r="Y621" i="19"/>
  <c r="O621" i="19"/>
  <c r="X621" i="19" s="1"/>
  <c r="Z622" i="19" l="1"/>
  <c r="Z621" i="19"/>
  <c r="AA620" i="19"/>
  <c r="Y620" i="19"/>
  <c r="O620" i="19"/>
  <c r="X620" i="19" s="1"/>
  <c r="AA619" i="19"/>
  <c r="Y619" i="19"/>
  <c r="O619" i="19"/>
  <c r="X619" i="19" s="1"/>
  <c r="AA618" i="19"/>
  <c r="Y618" i="19"/>
  <c r="O618" i="19"/>
  <c r="X618" i="19" s="1"/>
  <c r="AA617" i="19"/>
  <c r="Y617" i="19"/>
  <c r="O617" i="19"/>
  <c r="X617" i="19" s="1"/>
  <c r="Z620" i="19" l="1"/>
  <c r="Z619" i="19"/>
  <c r="Z618" i="19"/>
  <c r="Z617" i="19"/>
  <c r="AA613" i="19" l="1"/>
  <c r="AA614" i="19"/>
  <c r="AA615" i="19"/>
  <c r="AA616" i="19"/>
  <c r="Y614" i="19"/>
  <c r="Y615" i="19"/>
  <c r="Y616" i="19"/>
  <c r="O616" i="19"/>
  <c r="X616" i="19" s="1"/>
  <c r="O615" i="19"/>
  <c r="X615" i="19" s="1"/>
  <c r="O614" i="19"/>
  <c r="X614" i="19" s="1"/>
  <c r="O613" i="19"/>
  <c r="X613" i="19" s="1"/>
  <c r="Y613" i="19"/>
  <c r="Z614" i="19" l="1"/>
  <c r="Z613" i="19"/>
  <c r="Z615" i="19"/>
  <c r="Z616" i="19"/>
  <c r="AA595" i="19"/>
  <c r="AA596" i="19"/>
  <c r="AA598" i="19"/>
  <c r="AA599" i="19"/>
  <c r="AA600" i="19"/>
  <c r="AA601" i="19"/>
  <c r="AA602" i="19"/>
  <c r="AA603" i="19"/>
  <c r="O611" i="19" l="1"/>
  <c r="X611" i="19" s="1"/>
  <c r="O612" i="19"/>
  <c r="X612" i="19" s="1"/>
  <c r="O610" i="19"/>
  <c r="X610" i="19" s="1"/>
  <c r="O609" i="19"/>
  <c r="X609" i="19" s="1"/>
  <c r="AA609" i="19"/>
  <c r="AA610" i="19"/>
  <c r="AA611" i="19"/>
  <c r="AA612" i="19"/>
  <c r="Y612" i="19"/>
  <c r="Y609" i="19"/>
  <c r="Y610" i="19"/>
  <c r="Y611" i="19"/>
  <c r="Y605" i="19"/>
  <c r="AA605" i="19"/>
  <c r="Y606" i="19"/>
  <c r="AA606" i="19"/>
  <c r="Y607" i="19"/>
  <c r="AA607" i="19"/>
  <c r="Y608" i="19"/>
  <c r="AA608" i="19"/>
  <c r="O606" i="19"/>
  <c r="X606" i="19" s="1"/>
  <c r="O607" i="19"/>
  <c r="X607" i="19" s="1"/>
  <c r="O608" i="19"/>
  <c r="X608" i="19" s="1"/>
  <c r="O605" i="19"/>
  <c r="X605" i="19" s="1"/>
  <c r="Z607" i="19" l="1"/>
  <c r="Z609" i="19"/>
  <c r="Z610" i="19"/>
  <c r="Z608" i="19"/>
  <c r="Z612" i="19"/>
  <c r="Z611" i="19"/>
  <c r="Z606" i="19"/>
  <c r="Z605" i="19"/>
  <c r="AA604" i="19"/>
  <c r="Y604" i="19"/>
  <c r="Z604" i="19" l="1"/>
  <c r="V493" i="19"/>
  <c r="N497" i="19" l="1"/>
  <c r="N594" i="19" l="1"/>
  <c r="Y589" i="19" l="1"/>
  <c r="Y598" i="19"/>
  <c r="Y597" i="19"/>
  <c r="Y596" i="19"/>
  <c r="Y595" i="19"/>
  <c r="Y594" i="19"/>
  <c r="Y593" i="19"/>
  <c r="Y599" i="19"/>
  <c r="Y600" i="19"/>
  <c r="Y601" i="19"/>
  <c r="Y602" i="19"/>
  <c r="Y603" i="19"/>
  <c r="N595" i="19"/>
  <c r="O595" i="19" s="1"/>
  <c r="X595" i="19" s="1"/>
  <c r="N596" i="19"/>
  <c r="O596" i="19" s="1"/>
  <c r="X596" i="19" s="1"/>
  <c r="N597" i="19"/>
  <c r="O597" i="19" s="1"/>
  <c r="X597" i="19" s="1"/>
  <c r="N598" i="19"/>
  <c r="O598" i="19" s="1"/>
  <c r="X598" i="19" s="1"/>
  <c r="N599" i="19"/>
  <c r="O599" i="19" s="1"/>
  <c r="X599" i="19" s="1"/>
  <c r="N600" i="19"/>
  <c r="O600" i="19" s="1"/>
  <c r="X600" i="19" s="1"/>
  <c r="N601" i="19"/>
  <c r="O601" i="19" s="1"/>
  <c r="X601" i="19" s="1"/>
  <c r="N602" i="19"/>
  <c r="O602" i="19" s="1"/>
  <c r="X602" i="19" s="1"/>
  <c r="N603" i="19"/>
  <c r="O603" i="19" s="1"/>
  <c r="X603" i="19" s="1"/>
  <c r="O594" i="19"/>
  <c r="X594" i="19" s="1"/>
  <c r="C603" i="19"/>
  <c r="C602" i="19"/>
  <c r="C601" i="19"/>
  <c r="C600" i="19"/>
  <c r="C599" i="19"/>
  <c r="C598" i="19"/>
  <c r="C597" i="19"/>
  <c r="C596" i="19"/>
  <c r="C595" i="19"/>
  <c r="C594" i="19"/>
  <c r="Z594" i="19" s="1"/>
  <c r="Z602" i="19" l="1"/>
  <c r="Z596" i="19"/>
  <c r="Z597" i="19"/>
  <c r="Z601" i="19"/>
  <c r="Z598" i="19"/>
  <c r="Z600" i="19"/>
  <c r="Z603" i="19"/>
  <c r="Z599" i="19"/>
  <c r="Z595" i="19"/>
  <c r="V409" i="19" l="1"/>
  <c r="AA591" i="19" l="1"/>
  <c r="AA592" i="19"/>
  <c r="AA593" i="19"/>
  <c r="Y592" i="19"/>
  <c r="O593" i="19"/>
  <c r="X593" i="19" s="1"/>
  <c r="O592" i="19"/>
  <c r="X592" i="19" s="1"/>
  <c r="C593" i="19"/>
  <c r="C592" i="19"/>
  <c r="Z593" i="19" l="1"/>
  <c r="Z592" i="19"/>
  <c r="AA589" i="19"/>
  <c r="AA590" i="19"/>
  <c r="O591" i="19" l="1"/>
  <c r="X591" i="19" s="1"/>
  <c r="O590" i="19"/>
  <c r="X590" i="19" s="1"/>
  <c r="O589" i="19"/>
  <c r="X589" i="19" s="1"/>
  <c r="Y591" i="19"/>
  <c r="Y590" i="19"/>
  <c r="C591" i="19" l="1"/>
  <c r="Z591" i="19" s="1"/>
  <c r="C590" i="19"/>
  <c r="Z590" i="19" s="1"/>
  <c r="C589" i="19"/>
  <c r="Z589" i="19" s="1"/>
  <c r="Y588" i="19" l="1"/>
  <c r="AA588" i="19"/>
  <c r="C588" i="19"/>
  <c r="Z588" i="19" l="1"/>
  <c r="O587" i="19"/>
  <c r="X587" i="19" s="1"/>
  <c r="AA587" i="19" l="1"/>
  <c r="Y587" i="19"/>
  <c r="O585" i="19"/>
  <c r="X585" i="19" s="1"/>
  <c r="Y585" i="19"/>
  <c r="AA585" i="19"/>
  <c r="C587" i="19"/>
  <c r="C585" i="19"/>
  <c r="Z587" i="19" l="1"/>
  <c r="Z585" i="19"/>
  <c r="AA583" i="19"/>
  <c r="AA584" i="19"/>
  <c r="C584" i="19"/>
  <c r="O584" i="19"/>
  <c r="X584" i="19" s="1"/>
  <c r="O583" i="19"/>
  <c r="X583" i="19" s="1"/>
  <c r="Y584" i="19"/>
  <c r="Y583" i="19"/>
  <c r="C583" i="19"/>
  <c r="O580" i="19"/>
  <c r="X580" i="19" s="1"/>
  <c r="AA582" i="19"/>
  <c r="O582" i="19"/>
  <c r="X582" i="19" s="1"/>
  <c r="Y582" i="19"/>
  <c r="C582" i="19"/>
  <c r="C580" i="19"/>
  <c r="AA580" i="19"/>
  <c r="Z582" i="19" l="1"/>
  <c r="Z580" i="19"/>
  <c r="Z584" i="19"/>
  <c r="Z583" i="19"/>
  <c r="AA568" i="19"/>
  <c r="AA569" i="19"/>
  <c r="AA570" i="19"/>
  <c r="AA571" i="19"/>
  <c r="AA572" i="19"/>
  <c r="AA573" i="19"/>
  <c r="AA574" i="19"/>
  <c r="AA575" i="19"/>
  <c r="AA576" i="19"/>
  <c r="AA567" i="19"/>
  <c r="O578" i="19" l="1"/>
  <c r="X578" i="19" s="1"/>
  <c r="AA579" i="19"/>
  <c r="O579" i="19"/>
  <c r="X579" i="19" s="1"/>
  <c r="Y579" i="19"/>
  <c r="C579" i="19"/>
  <c r="Y578" i="19"/>
  <c r="AA578" i="19"/>
  <c r="C578" i="19"/>
  <c r="Z579" i="19" l="1"/>
  <c r="Z578" i="19"/>
  <c r="S535" i="19"/>
  <c r="Y535" i="19" l="1"/>
  <c r="AA535" i="19"/>
  <c r="AA533" i="19"/>
  <c r="AA534" i="19"/>
  <c r="Y534" i="19"/>
  <c r="S464" i="19"/>
  <c r="AA550" i="19" l="1"/>
  <c r="S480" i="19" l="1"/>
  <c r="O577" i="19" l="1"/>
  <c r="X577" i="19" s="1"/>
  <c r="Y577" i="19"/>
  <c r="AA577" i="19"/>
  <c r="C577" i="19"/>
  <c r="Z577" i="19" l="1"/>
  <c r="N567" i="19"/>
  <c r="Y568" i="19" l="1"/>
  <c r="Y569" i="19"/>
  <c r="Y570" i="19"/>
  <c r="Y571" i="19"/>
  <c r="Y572" i="19"/>
  <c r="Y573" i="19"/>
  <c r="Y574" i="19"/>
  <c r="Y575" i="19"/>
  <c r="Y576" i="19"/>
  <c r="N571" i="19"/>
  <c r="O571" i="19" s="1"/>
  <c r="X571" i="19" s="1"/>
  <c r="N570" i="19"/>
  <c r="O570" i="19" s="1"/>
  <c r="X570" i="19" s="1"/>
  <c r="N569" i="19"/>
  <c r="O569" i="19" s="1"/>
  <c r="X569" i="19" s="1"/>
  <c r="N568" i="19"/>
  <c r="O568" i="19" s="1"/>
  <c r="X568" i="19" s="1"/>
  <c r="O567" i="19"/>
  <c r="X567" i="19" s="1"/>
  <c r="N572" i="19"/>
  <c r="O572" i="19" s="1"/>
  <c r="X572" i="19" s="1"/>
  <c r="N573" i="19"/>
  <c r="O573" i="19" s="1"/>
  <c r="X573" i="19" s="1"/>
  <c r="N574" i="19"/>
  <c r="O574" i="19" s="1"/>
  <c r="X574" i="19" s="1"/>
  <c r="N575" i="19"/>
  <c r="O575" i="19" s="1"/>
  <c r="X575" i="19" s="1"/>
  <c r="N576" i="19"/>
  <c r="O576" i="19" s="1"/>
  <c r="X576" i="19" s="1"/>
  <c r="Y567" i="19"/>
  <c r="C576" i="19" l="1"/>
  <c r="Z576" i="19" s="1"/>
  <c r="C575" i="19"/>
  <c r="Z575" i="19" s="1"/>
  <c r="C574" i="19"/>
  <c r="Z574" i="19" s="1"/>
  <c r="C573" i="19"/>
  <c r="Z573" i="19" s="1"/>
  <c r="C572" i="19"/>
  <c r="Z572" i="19" s="1"/>
  <c r="C571" i="19"/>
  <c r="Z571" i="19" s="1"/>
  <c r="C570" i="19"/>
  <c r="Z570" i="19" s="1"/>
  <c r="C569" i="19"/>
  <c r="Z569" i="19" s="1"/>
  <c r="C568" i="19"/>
  <c r="Z568" i="19" s="1"/>
  <c r="Z567" i="19"/>
  <c r="Y566" i="19"/>
  <c r="O566" i="19"/>
  <c r="X566" i="19" s="1"/>
  <c r="AA566" i="19" l="1"/>
  <c r="O563" i="19" l="1"/>
  <c r="X563" i="19" s="1"/>
  <c r="O564" i="19"/>
  <c r="X564" i="19" s="1"/>
  <c r="O565" i="19"/>
  <c r="X565" i="19" s="1"/>
  <c r="O562" i="19"/>
  <c r="X562" i="19" s="1"/>
  <c r="AA565" i="19"/>
  <c r="Y565" i="19"/>
  <c r="S556" i="19" l="1"/>
  <c r="S552" i="19"/>
  <c r="S551" i="19"/>
  <c r="S539" i="19"/>
  <c r="S529" i="19"/>
  <c r="S463" i="19"/>
  <c r="S449" i="19"/>
  <c r="S367" i="19"/>
  <c r="S217" i="19"/>
  <c r="S555" i="19" l="1"/>
  <c r="O539" i="19" l="1"/>
  <c r="X539" i="19" s="1"/>
  <c r="S527" i="19" l="1"/>
  <c r="V414" i="19" l="1"/>
  <c r="O414" i="19"/>
  <c r="X414" i="19" l="1"/>
  <c r="AA563" i="19"/>
  <c r="AA564" i="19"/>
  <c r="Y563" i="19"/>
  <c r="Y564" i="19"/>
  <c r="C564" i="19"/>
  <c r="C563" i="19"/>
  <c r="Z564" i="19" l="1"/>
  <c r="Z563" i="19"/>
  <c r="AA562" i="19" l="1"/>
  <c r="Y562" i="19"/>
  <c r="C562" i="19"/>
  <c r="AA561" i="19"/>
  <c r="Y561" i="19"/>
  <c r="O561" i="19"/>
  <c r="X561" i="19" s="1"/>
  <c r="C561" i="19"/>
  <c r="AA560" i="19"/>
  <c r="Y560" i="19"/>
  <c r="O560" i="19"/>
  <c r="X560" i="19" s="1"/>
  <c r="C560" i="19"/>
  <c r="AA559" i="19"/>
  <c r="Y559" i="19"/>
  <c r="O559" i="19"/>
  <c r="X559" i="19" s="1"/>
  <c r="C559" i="19"/>
  <c r="AA558" i="19"/>
  <c r="Y558" i="19"/>
  <c r="O558" i="19"/>
  <c r="X558" i="19" s="1"/>
  <c r="C558" i="19"/>
  <c r="AA557" i="19"/>
  <c r="Y557" i="19"/>
  <c r="O557" i="19"/>
  <c r="X557" i="19" s="1"/>
  <c r="C557" i="19"/>
  <c r="AA556" i="19"/>
  <c r="Y556" i="19"/>
  <c r="O556" i="19"/>
  <c r="X556" i="19" s="1"/>
  <c r="C556" i="19"/>
  <c r="AA555" i="19"/>
  <c r="Y555" i="19"/>
  <c r="O555" i="19"/>
  <c r="X555" i="19" s="1"/>
  <c r="C555" i="19"/>
  <c r="AA554" i="19"/>
  <c r="Y554" i="19"/>
  <c r="O554" i="19"/>
  <c r="X554" i="19" s="1"/>
  <c r="C554" i="19"/>
  <c r="Z554" i="19" s="1"/>
  <c r="AA553" i="19"/>
  <c r="Y553" i="19"/>
  <c r="O553" i="19"/>
  <c r="X553" i="19" s="1"/>
  <c r="AA552" i="19"/>
  <c r="Y552" i="19"/>
  <c r="O552" i="19"/>
  <c r="X552" i="19" s="1"/>
  <c r="C552" i="19"/>
  <c r="Z552" i="19" s="1"/>
  <c r="AA551" i="19"/>
  <c r="Y551" i="19"/>
  <c r="O551" i="19"/>
  <c r="X551" i="19" s="1"/>
  <c r="C551" i="19"/>
  <c r="Y550" i="19"/>
  <c r="N550" i="19"/>
  <c r="O550" i="19" s="1"/>
  <c r="X550" i="19" s="1"/>
  <c r="C550" i="19"/>
  <c r="AA549" i="19"/>
  <c r="Y549" i="19"/>
  <c r="N549" i="19"/>
  <c r="O549" i="19" s="1"/>
  <c r="X549" i="19" s="1"/>
  <c r="C549" i="19"/>
  <c r="AA548" i="19"/>
  <c r="Y548" i="19"/>
  <c r="N548" i="19"/>
  <c r="O548" i="19" s="1"/>
  <c r="X548" i="19" s="1"/>
  <c r="C548" i="19"/>
  <c r="AA547" i="19"/>
  <c r="Y547" i="19"/>
  <c r="N547" i="19"/>
  <c r="O547" i="19" s="1"/>
  <c r="X547" i="19" s="1"/>
  <c r="C547" i="19"/>
  <c r="AA546" i="19"/>
  <c r="Y546" i="19"/>
  <c r="N546" i="19"/>
  <c r="O546" i="19" s="1"/>
  <c r="X546" i="19" s="1"/>
  <c r="C546" i="19"/>
  <c r="AA545" i="19"/>
  <c r="Y545" i="19"/>
  <c r="N545" i="19"/>
  <c r="O545" i="19" s="1"/>
  <c r="X545" i="19" s="1"/>
  <c r="C545" i="19"/>
  <c r="AA544" i="19"/>
  <c r="Y544" i="19"/>
  <c r="N544" i="19"/>
  <c r="O544" i="19" s="1"/>
  <c r="X544" i="19" s="1"/>
  <c r="C544" i="19"/>
  <c r="AA543" i="19"/>
  <c r="Y543" i="19"/>
  <c r="N543" i="19"/>
  <c r="O543" i="19" s="1"/>
  <c r="X543" i="19" s="1"/>
  <c r="C543" i="19"/>
  <c r="AA542" i="19"/>
  <c r="Y542" i="19"/>
  <c r="N542" i="19"/>
  <c r="O542" i="19" s="1"/>
  <c r="X542" i="19" s="1"/>
  <c r="C542" i="19"/>
  <c r="AA541" i="19"/>
  <c r="Y541" i="19"/>
  <c r="N541" i="19"/>
  <c r="O541" i="19" s="1"/>
  <c r="X541" i="19" s="1"/>
  <c r="C541" i="19"/>
  <c r="AA540" i="19"/>
  <c r="Y540" i="19"/>
  <c r="O540" i="19"/>
  <c r="X540" i="19" s="1"/>
  <c r="C540" i="19"/>
  <c r="AA539" i="19"/>
  <c r="Y539" i="19"/>
  <c r="C539" i="19"/>
  <c r="AA538" i="19"/>
  <c r="Y538" i="19"/>
  <c r="O538" i="19"/>
  <c r="X538" i="19" s="1"/>
  <c r="C538" i="19"/>
  <c r="AA537" i="19"/>
  <c r="Y537" i="19"/>
  <c r="O537" i="19"/>
  <c r="X537" i="19" s="1"/>
  <c r="C537" i="19"/>
  <c r="AA536" i="19"/>
  <c r="Y536" i="19"/>
  <c r="O536" i="19"/>
  <c r="X536" i="19" s="1"/>
  <c r="O535" i="19"/>
  <c r="X535" i="19" s="1"/>
  <c r="C535" i="19"/>
  <c r="Z535" i="19" s="1"/>
  <c r="O534" i="19"/>
  <c r="X534" i="19" s="1"/>
  <c r="C534" i="19"/>
  <c r="Z534" i="19" s="1"/>
  <c r="Y533" i="19"/>
  <c r="O533" i="19"/>
  <c r="X533" i="19" s="1"/>
  <c r="C533" i="19"/>
  <c r="Z533" i="19" s="1"/>
  <c r="AA532" i="19"/>
  <c r="Y532" i="19"/>
  <c r="O532" i="19"/>
  <c r="X532" i="19" s="1"/>
  <c r="C532" i="19"/>
  <c r="AA531" i="19"/>
  <c r="Y531" i="19"/>
  <c r="O531" i="19"/>
  <c r="X531" i="19" s="1"/>
  <c r="C531" i="19"/>
  <c r="AA530" i="19"/>
  <c r="Y530" i="19"/>
  <c r="O530" i="19"/>
  <c r="X530" i="19" s="1"/>
  <c r="C530" i="19"/>
  <c r="AA529" i="19"/>
  <c r="Y529" i="19"/>
  <c r="O529" i="19"/>
  <c r="X529" i="19" s="1"/>
  <c r="C529" i="19"/>
  <c r="Z529" i="19" s="1"/>
  <c r="AA528" i="19"/>
  <c r="Y528" i="19"/>
  <c r="S528" i="19"/>
  <c r="O528" i="19"/>
  <c r="C528" i="19"/>
  <c r="Z528" i="19" s="1"/>
  <c r="AA527" i="19"/>
  <c r="Y527" i="19"/>
  <c r="O527" i="19"/>
  <c r="X527" i="19" s="1"/>
  <c r="C527" i="19"/>
  <c r="Z527" i="19" s="1"/>
  <c r="AA526" i="19"/>
  <c r="Y526" i="19"/>
  <c r="O526" i="19"/>
  <c r="X526" i="19" s="1"/>
  <c r="C526" i="19"/>
  <c r="AA525" i="19"/>
  <c r="Y525" i="19"/>
  <c r="O525" i="19"/>
  <c r="X525" i="19" s="1"/>
  <c r="C525" i="19"/>
  <c r="AA524" i="19"/>
  <c r="Y524" i="19"/>
  <c r="C524" i="19"/>
  <c r="AA523" i="19"/>
  <c r="Y523" i="19"/>
  <c r="O523" i="19"/>
  <c r="X523" i="19" s="1"/>
  <c r="C523" i="19"/>
  <c r="AA522" i="19"/>
  <c r="Y522" i="19"/>
  <c r="N522" i="19"/>
  <c r="O522" i="19" s="1"/>
  <c r="X522" i="19" s="1"/>
  <c r="C522" i="19"/>
  <c r="AA521" i="19"/>
  <c r="Y521" i="19"/>
  <c r="N521" i="19"/>
  <c r="O521" i="19" s="1"/>
  <c r="X521" i="19" s="1"/>
  <c r="C521" i="19"/>
  <c r="AA520" i="19"/>
  <c r="Y520" i="19"/>
  <c r="N520" i="19"/>
  <c r="O520" i="19" s="1"/>
  <c r="X520" i="19" s="1"/>
  <c r="C520" i="19"/>
  <c r="AA519" i="19"/>
  <c r="Y519" i="19"/>
  <c r="N519" i="19"/>
  <c r="O519" i="19" s="1"/>
  <c r="X519" i="19" s="1"/>
  <c r="C519" i="19"/>
  <c r="AA518" i="19"/>
  <c r="Y518" i="19"/>
  <c r="N518" i="19"/>
  <c r="O518" i="19" s="1"/>
  <c r="X518" i="19" s="1"/>
  <c r="C518" i="19"/>
  <c r="AA517" i="19"/>
  <c r="Y517" i="19"/>
  <c r="N517" i="19"/>
  <c r="O517" i="19" s="1"/>
  <c r="X517" i="19" s="1"/>
  <c r="C517" i="19"/>
  <c r="AA516" i="19"/>
  <c r="Y516" i="19"/>
  <c r="N516" i="19"/>
  <c r="O516" i="19" s="1"/>
  <c r="X516" i="19" s="1"/>
  <c r="C516" i="19"/>
  <c r="AA515" i="19"/>
  <c r="Y515" i="19"/>
  <c r="N515" i="19"/>
  <c r="O515" i="19" s="1"/>
  <c r="X515" i="19" s="1"/>
  <c r="C515" i="19"/>
  <c r="AA514" i="19"/>
  <c r="Y514" i="19"/>
  <c r="N514" i="19"/>
  <c r="O514" i="19" s="1"/>
  <c r="X514" i="19" s="1"/>
  <c r="C514" i="19"/>
  <c r="AA513" i="19"/>
  <c r="Y513" i="19"/>
  <c r="N513" i="19"/>
  <c r="O513" i="19" s="1"/>
  <c r="X513" i="19" s="1"/>
  <c r="C513" i="19"/>
  <c r="AA512" i="19"/>
  <c r="Y512" i="19"/>
  <c r="O512" i="19"/>
  <c r="X512" i="19" s="1"/>
  <c r="C512" i="19"/>
  <c r="AA511" i="19"/>
  <c r="Y511" i="19"/>
  <c r="O511" i="19"/>
  <c r="X511" i="19" s="1"/>
  <c r="C511" i="19"/>
  <c r="AA510" i="19"/>
  <c r="Y510" i="19"/>
  <c r="O510" i="19"/>
  <c r="X510" i="19" s="1"/>
  <c r="C510" i="19"/>
  <c r="AA509" i="19"/>
  <c r="Y509" i="19"/>
  <c r="O509" i="19"/>
  <c r="X509" i="19" s="1"/>
  <c r="C509" i="19"/>
  <c r="Y508" i="19"/>
  <c r="O508" i="19"/>
  <c r="X508" i="19" s="1"/>
  <c r="C508" i="19"/>
  <c r="Z508" i="19" s="1"/>
  <c r="Y507" i="19"/>
  <c r="O507" i="19"/>
  <c r="X507" i="19" s="1"/>
  <c r="C507" i="19"/>
  <c r="Z507" i="19" s="1"/>
  <c r="AA506" i="19"/>
  <c r="Y506" i="19"/>
  <c r="N506" i="19"/>
  <c r="O506" i="19" s="1"/>
  <c r="X506" i="19" s="1"/>
  <c r="C506" i="19"/>
  <c r="AA505" i="19"/>
  <c r="Y505" i="19"/>
  <c r="N505" i="19"/>
  <c r="O505" i="19" s="1"/>
  <c r="X505" i="19" s="1"/>
  <c r="C505" i="19"/>
  <c r="AA504" i="19"/>
  <c r="Y504" i="19"/>
  <c r="N504" i="19"/>
  <c r="O504" i="19" s="1"/>
  <c r="X504" i="19" s="1"/>
  <c r="C504" i="19"/>
  <c r="AA503" i="19"/>
  <c r="Y503" i="19"/>
  <c r="N503" i="19"/>
  <c r="O503" i="19" s="1"/>
  <c r="X503" i="19" s="1"/>
  <c r="C503" i="19"/>
  <c r="AA502" i="19"/>
  <c r="Y502" i="19"/>
  <c r="N502" i="19"/>
  <c r="O502" i="19" s="1"/>
  <c r="X502" i="19" s="1"/>
  <c r="C502" i="19"/>
  <c r="AA501" i="19"/>
  <c r="Y501" i="19"/>
  <c r="N501" i="19"/>
  <c r="O501" i="19" s="1"/>
  <c r="X501" i="19" s="1"/>
  <c r="C501" i="19"/>
  <c r="AA500" i="19"/>
  <c r="Y500" i="19"/>
  <c r="N500" i="19"/>
  <c r="O500" i="19" s="1"/>
  <c r="X500" i="19" s="1"/>
  <c r="C500" i="19"/>
  <c r="AA499" i="19"/>
  <c r="Y499" i="19"/>
  <c r="N499" i="19"/>
  <c r="O499" i="19" s="1"/>
  <c r="X499" i="19" s="1"/>
  <c r="C499" i="19"/>
  <c r="AA498" i="19"/>
  <c r="Y498" i="19"/>
  <c r="N498" i="19"/>
  <c r="O498" i="19" s="1"/>
  <c r="X498" i="19" s="1"/>
  <c r="C498" i="19"/>
  <c r="AA497" i="19"/>
  <c r="Y497" i="19"/>
  <c r="O497" i="19"/>
  <c r="X497" i="19" s="1"/>
  <c r="C497" i="19"/>
  <c r="AA496" i="19"/>
  <c r="Y496" i="19"/>
  <c r="O496" i="19"/>
  <c r="X496" i="19" s="1"/>
  <c r="C496" i="19"/>
  <c r="AA495" i="19"/>
  <c r="Y495" i="19"/>
  <c r="O495" i="19"/>
  <c r="X495" i="19" s="1"/>
  <c r="C495" i="19"/>
  <c r="AA494" i="19"/>
  <c r="Y494" i="19"/>
  <c r="O494" i="19"/>
  <c r="X494" i="19" s="1"/>
  <c r="C494" i="19"/>
  <c r="AA493" i="19"/>
  <c r="Y493" i="19"/>
  <c r="O493" i="19"/>
  <c r="X493" i="19" s="1"/>
  <c r="C493" i="19"/>
  <c r="AA492" i="19"/>
  <c r="Y492" i="19"/>
  <c r="O492" i="19"/>
  <c r="X492" i="19" s="1"/>
  <c r="C492" i="19"/>
  <c r="AA491" i="19"/>
  <c r="Y491" i="19"/>
  <c r="O491" i="19"/>
  <c r="X491" i="19" s="1"/>
  <c r="C491" i="19"/>
  <c r="AA490" i="19"/>
  <c r="Y490" i="19"/>
  <c r="N490" i="19"/>
  <c r="O490" i="19" s="1"/>
  <c r="X490" i="19" s="1"/>
  <c r="C490" i="19"/>
  <c r="AA489" i="19"/>
  <c r="Y489" i="19"/>
  <c r="N489" i="19"/>
  <c r="O489" i="19" s="1"/>
  <c r="X489" i="19" s="1"/>
  <c r="C489" i="19"/>
  <c r="AA488" i="19"/>
  <c r="Y488" i="19"/>
  <c r="N488" i="19"/>
  <c r="O488" i="19" s="1"/>
  <c r="X488" i="19" s="1"/>
  <c r="C488" i="19"/>
  <c r="AA487" i="19"/>
  <c r="Y487" i="19"/>
  <c r="N487" i="19"/>
  <c r="O487" i="19" s="1"/>
  <c r="X487" i="19" s="1"/>
  <c r="C487" i="19"/>
  <c r="AA486" i="19"/>
  <c r="Y486" i="19"/>
  <c r="N486" i="19"/>
  <c r="O486" i="19" s="1"/>
  <c r="X486" i="19" s="1"/>
  <c r="C486" i="19"/>
  <c r="AA485" i="19"/>
  <c r="Y485" i="19"/>
  <c r="N485" i="19"/>
  <c r="O485" i="19" s="1"/>
  <c r="X485" i="19" s="1"/>
  <c r="C485" i="19"/>
  <c r="AA484" i="19"/>
  <c r="Y484" i="19"/>
  <c r="N484" i="19"/>
  <c r="O484" i="19" s="1"/>
  <c r="X484" i="19" s="1"/>
  <c r="C484" i="19"/>
  <c r="AA483" i="19"/>
  <c r="Y483" i="19"/>
  <c r="N483" i="19"/>
  <c r="O483" i="19" s="1"/>
  <c r="X483" i="19" s="1"/>
  <c r="C483" i="19"/>
  <c r="AA482" i="19"/>
  <c r="Y482" i="19"/>
  <c r="N482" i="19"/>
  <c r="O482" i="19" s="1"/>
  <c r="X482" i="19" s="1"/>
  <c r="C482" i="19"/>
  <c r="AA481" i="19"/>
  <c r="Y481" i="19"/>
  <c r="N481" i="19"/>
  <c r="O481" i="19" s="1"/>
  <c r="X481" i="19" s="1"/>
  <c r="C481" i="19"/>
  <c r="Y480" i="19"/>
  <c r="O480" i="19"/>
  <c r="X480" i="19" s="1"/>
  <c r="C480" i="19"/>
  <c r="Y479" i="19"/>
  <c r="S479" i="19"/>
  <c r="O479" i="19"/>
  <c r="C479" i="19"/>
  <c r="Y478" i="19"/>
  <c r="S478" i="19"/>
  <c r="O478" i="19"/>
  <c r="C478" i="19"/>
  <c r="Y477" i="19"/>
  <c r="S477" i="19"/>
  <c r="O477" i="19"/>
  <c r="C477" i="19"/>
  <c r="Z477" i="19" s="1"/>
  <c r="AA476" i="19"/>
  <c r="Y476" i="19"/>
  <c r="O476" i="19"/>
  <c r="C476" i="19"/>
  <c r="Z476" i="19" s="1"/>
  <c r="AA475" i="19"/>
  <c r="Y475" i="19"/>
  <c r="N475" i="19"/>
  <c r="O475" i="19" s="1"/>
  <c r="X475" i="19" s="1"/>
  <c r="C475" i="19"/>
  <c r="Z475" i="19" s="1"/>
  <c r="AA474" i="19"/>
  <c r="Y474" i="19"/>
  <c r="N474" i="19"/>
  <c r="O474" i="19" s="1"/>
  <c r="X474" i="19" s="1"/>
  <c r="C474" i="19"/>
  <c r="Z474" i="19" s="1"/>
  <c r="AA473" i="19"/>
  <c r="Y473" i="19"/>
  <c r="N473" i="19"/>
  <c r="O473" i="19" s="1"/>
  <c r="X473" i="19" s="1"/>
  <c r="C473" i="19"/>
  <c r="Z473" i="19" s="1"/>
  <c r="AA472" i="19"/>
  <c r="Y472" i="19"/>
  <c r="N472" i="19"/>
  <c r="O472" i="19" s="1"/>
  <c r="X472" i="19" s="1"/>
  <c r="C472" i="19"/>
  <c r="Z472" i="19" s="1"/>
  <c r="AA471" i="19"/>
  <c r="Y471" i="19"/>
  <c r="N471" i="19"/>
  <c r="O471" i="19" s="1"/>
  <c r="X471" i="19" s="1"/>
  <c r="C471" i="19"/>
  <c r="Z471" i="19" s="1"/>
  <c r="AA470" i="19"/>
  <c r="Y470" i="19"/>
  <c r="N470" i="19"/>
  <c r="O470" i="19" s="1"/>
  <c r="X470" i="19" s="1"/>
  <c r="C470" i="19"/>
  <c r="Z470" i="19" s="1"/>
  <c r="AA469" i="19"/>
  <c r="Y469" i="19"/>
  <c r="N469" i="19"/>
  <c r="O469" i="19" s="1"/>
  <c r="X469" i="19" s="1"/>
  <c r="C469" i="19"/>
  <c r="Z469" i="19" s="1"/>
  <c r="AA468" i="19"/>
  <c r="Y468" i="19"/>
  <c r="N468" i="19"/>
  <c r="O468" i="19" s="1"/>
  <c r="X468" i="19" s="1"/>
  <c r="C468" i="19"/>
  <c r="Z468" i="19" s="1"/>
  <c r="AA467" i="19"/>
  <c r="Y467" i="19"/>
  <c r="N467" i="19"/>
  <c r="O467" i="19" s="1"/>
  <c r="X467" i="19" s="1"/>
  <c r="C467" i="19"/>
  <c r="Z467" i="19" s="1"/>
  <c r="AA466" i="19"/>
  <c r="Y466" i="19"/>
  <c r="N466" i="19"/>
  <c r="O466" i="19" s="1"/>
  <c r="X466" i="19" s="1"/>
  <c r="C466" i="19"/>
  <c r="Z466" i="19" s="1"/>
  <c r="AA465" i="19"/>
  <c r="Y465" i="19"/>
  <c r="S465" i="19"/>
  <c r="O465" i="19"/>
  <c r="C465" i="19"/>
  <c r="Z465" i="19" s="1"/>
  <c r="AA464" i="19"/>
  <c r="Y464" i="19"/>
  <c r="O464" i="19"/>
  <c r="C464" i="19"/>
  <c r="Z464" i="19" s="1"/>
  <c r="AA463" i="19"/>
  <c r="Y463" i="19"/>
  <c r="O463" i="19"/>
  <c r="X463" i="19" s="1"/>
  <c r="C463" i="19"/>
  <c r="Z463" i="19" s="1"/>
  <c r="AA462" i="19"/>
  <c r="Y462" i="19"/>
  <c r="O462" i="19"/>
  <c r="X462" i="19" s="1"/>
  <c r="C462" i="19"/>
  <c r="Z462" i="19" s="1"/>
  <c r="AA461" i="19"/>
  <c r="Y461" i="19"/>
  <c r="O461" i="19"/>
  <c r="X461" i="19" s="1"/>
  <c r="C461" i="19"/>
  <c r="Z461" i="19" s="1"/>
  <c r="AA460" i="19"/>
  <c r="Y460" i="19"/>
  <c r="O460" i="19"/>
  <c r="X460" i="19" s="1"/>
  <c r="C460" i="19"/>
  <c r="Z460" i="19" s="1"/>
  <c r="AA459" i="19"/>
  <c r="Y459" i="19"/>
  <c r="O459" i="19"/>
  <c r="X459" i="19" s="1"/>
  <c r="C459" i="19"/>
  <c r="Z459" i="19" s="1"/>
  <c r="AA458" i="19"/>
  <c r="Y458" i="19"/>
  <c r="O458" i="19"/>
  <c r="X458" i="19" s="1"/>
  <c r="C458" i="19"/>
  <c r="Z458" i="19" s="1"/>
  <c r="AA457" i="19"/>
  <c r="Y457" i="19"/>
  <c r="O457" i="19"/>
  <c r="X457" i="19" s="1"/>
  <c r="C457" i="19"/>
  <c r="Z457" i="19" s="1"/>
  <c r="AA456" i="19"/>
  <c r="Y456" i="19"/>
  <c r="O456" i="19"/>
  <c r="X456" i="19" s="1"/>
  <c r="C456" i="19"/>
  <c r="Z456" i="19" s="1"/>
  <c r="AA455" i="19"/>
  <c r="Y455" i="19"/>
  <c r="O455" i="19"/>
  <c r="X455" i="19" s="1"/>
  <c r="C455" i="19"/>
  <c r="Z455" i="19" s="1"/>
  <c r="AA454" i="19"/>
  <c r="Y454" i="19"/>
  <c r="O454" i="19"/>
  <c r="X454" i="19" s="1"/>
  <c r="C454" i="19"/>
  <c r="Z454" i="19" s="1"/>
  <c r="AA453" i="19"/>
  <c r="Y453" i="19"/>
  <c r="O453" i="19"/>
  <c r="X453" i="19" s="1"/>
  <c r="C453" i="19"/>
  <c r="Z453" i="19" s="1"/>
  <c r="AA452" i="19"/>
  <c r="Y452" i="19"/>
  <c r="O452" i="19"/>
  <c r="X452" i="19" s="1"/>
  <c r="C452" i="19"/>
  <c r="Z452" i="19" s="1"/>
  <c r="AA451" i="19"/>
  <c r="Y451" i="19"/>
  <c r="O451" i="19"/>
  <c r="X451" i="19" s="1"/>
  <c r="C451" i="19"/>
  <c r="Z451" i="19" s="1"/>
  <c r="AA450" i="19"/>
  <c r="Y450" i="19"/>
  <c r="W450" i="19"/>
  <c r="O450" i="19"/>
  <c r="X450" i="19" s="1"/>
  <c r="C450" i="19"/>
  <c r="Z450" i="19" s="1"/>
  <c r="AA449" i="19"/>
  <c r="Y449" i="19"/>
  <c r="O449" i="19"/>
  <c r="X449" i="19" s="1"/>
  <c r="C449" i="19"/>
  <c r="Z449" i="19" s="1"/>
  <c r="AA448" i="19"/>
  <c r="Y448" i="19"/>
  <c r="O448" i="19"/>
  <c r="X448" i="19" s="1"/>
  <c r="C448" i="19"/>
  <c r="AA447" i="19"/>
  <c r="Y447" i="19"/>
  <c r="O447" i="19"/>
  <c r="X447" i="19" s="1"/>
  <c r="C447" i="19"/>
  <c r="Z447" i="19" s="1"/>
  <c r="AA446" i="19"/>
  <c r="Y446" i="19"/>
  <c r="N446" i="19"/>
  <c r="O446" i="19" s="1"/>
  <c r="X446" i="19" s="1"/>
  <c r="C446" i="19"/>
  <c r="Z446" i="19" s="1"/>
  <c r="AA445" i="19"/>
  <c r="Y445" i="19"/>
  <c r="N445" i="19"/>
  <c r="O445" i="19" s="1"/>
  <c r="X445" i="19" s="1"/>
  <c r="C445" i="19"/>
  <c r="Z445" i="19" s="1"/>
  <c r="AA444" i="19"/>
  <c r="Y444" i="19"/>
  <c r="N444" i="19"/>
  <c r="O444" i="19" s="1"/>
  <c r="X444" i="19" s="1"/>
  <c r="C444" i="19"/>
  <c r="Z444" i="19" s="1"/>
  <c r="AA443" i="19"/>
  <c r="Y443" i="19"/>
  <c r="N443" i="19"/>
  <c r="O443" i="19" s="1"/>
  <c r="X443" i="19" s="1"/>
  <c r="C443" i="19"/>
  <c r="Z443" i="19" s="1"/>
  <c r="AA442" i="19"/>
  <c r="Y442" i="19"/>
  <c r="N442" i="19"/>
  <c r="O442" i="19" s="1"/>
  <c r="X442" i="19" s="1"/>
  <c r="C442" i="19"/>
  <c r="Z442" i="19" s="1"/>
  <c r="AA441" i="19"/>
  <c r="Y441" i="19"/>
  <c r="N441" i="19"/>
  <c r="O441" i="19" s="1"/>
  <c r="X441" i="19" s="1"/>
  <c r="C441" i="19"/>
  <c r="Z441" i="19" s="1"/>
  <c r="AA440" i="19"/>
  <c r="Y440" i="19"/>
  <c r="N440" i="19"/>
  <c r="O440" i="19" s="1"/>
  <c r="X440" i="19" s="1"/>
  <c r="C440" i="19"/>
  <c r="Z440" i="19" s="1"/>
  <c r="AA439" i="19"/>
  <c r="Y439" i="19"/>
  <c r="N439" i="19"/>
  <c r="O439" i="19" s="1"/>
  <c r="X439" i="19" s="1"/>
  <c r="C439" i="19"/>
  <c r="Z439" i="19" s="1"/>
  <c r="AA438" i="19"/>
  <c r="Y438" i="19"/>
  <c r="N438" i="19"/>
  <c r="O438" i="19" s="1"/>
  <c r="X438" i="19" s="1"/>
  <c r="C438" i="19"/>
  <c r="Z438" i="19" s="1"/>
  <c r="AA437" i="19"/>
  <c r="Y437" i="19"/>
  <c r="N437" i="19"/>
  <c r="O437" i="19" s="1"/>
  <c r="X437" i="19" s="1"/>
  <c r="C437" i="19"/>
  <c r="Z437" i="19" s="1"/>
  <c r="AA436" i="19"/>
  <c r="Y436" i="19"/>
  <c r="W436" i="19"/>
  <c r="O436" i="19"/>
  <c r="X436" i="19" s="1"/>
  <c r="C436" i="19"/>
  <c r="Z436" i="19" s="1"/>
  <c r="AA435" i="19"/>
  <c r="Y435" i="19"/>
  <c r="W435" i="19"/>
  <c r="O435" i="19"/>
  <c r="X435" i="19" s="1"/>
  <c r="C435" i="19"/>
  <c r="Z435" i="19" s="1"/>
  <c r="AA434" i="19"/>
  <c r="Y434" i="19"/>
  <c r="N434" i="19"/>
  <c r="O434" i="19" s="1"/>
  <c r="X434" i="19" s="1"/>
  <c r="C434" i="19"/>
  <c r="Z434" i="19" s="1"/>
  <c r="AA433" i="19"/>
  <c r="Y433" i="19"/>
  <c r="N433" i="19"/>
  <c r="O433" i="19" s="1"/>
  <c r="X433" i="19" s="1"/>
  <c r="C433" i="19"/>
  <c r="Z433" i="19" s="1"/>
  <c r="AA432" i="19"/>
  <c r="Y432" i="19"/>
  <c r="N432" i="19"/>
  <c r="O432" i="19" s="1"/>
  <c r="X432" i="19" s="1"/>
  <c r="C432" i="19"/>
  <c r="Z432" i="19" s="1"/>
  <c r="AA431" i="19"/>
  <c r="Y431" i="19"/>
  <c r="N431" i="19"/>
  <c r="O431" i="19" s="1"/>
  <c r="X431" i="19" s="1"/>
  <c r="C431" i="19"/>
  <c r="Z431" i="19" s="1"/>
  <c r="AA430" i="19"/>
  <c r="Y430" i="19"/>
  <c r="N430" i="19"/>
  <c r="O430" i="19" s="1"/>
  <c r="X430" i="19" s="1"/>
  <c r="C430" i="19"/>
  <c r="Z430" i="19" s="1"/>
  <c r="AA429" i="19"/>
  <c r="Y429" i="19"/>
  <c r="N429" i="19"/>
  <c r="O429" i="19" s="1"/>
  <c r="X429" i="19" s="1"/>
  <c r="C429" i="19"/>
  <c r="Z429" i="19" s="1"/>
  <c r="AA428" i="19"/>
  <c r="Y428" i="19"/>
  <c r="N428" i="19"/>
  <c r="O428" i="19" s="1"/>
  <c r="X428" i="19" s="1"/>
  <c r="C428" i="19"/>
  <c r="Z428" i="19" s="1"/>
  <c r="AA427" i="19"/>
  <c r="Y427" i="19"/>
  <c r="N427" i="19"/>
  <c r="O427" i="19" s="1"/>
  <c r="X427" i="19" s="1"/>
  <c r="C427" i="19"/>
  <c r="Z427" i="19" s="1"/>
  <c r="AA426" i="19"/>
  <c r="Y426" i="19"/>
  <c r="N426" i="19"/>
  <c r="O426" i="19" s="1"/>
  <c r="X426" i="19" s="1"/>
  <c r="C426" i="19"/>
  <c r="Z426" i="19" s="1"/>
  <c r="AA425" i="19"/>
  <c r="Y425" i="19"/>
  <c r="N425" i="19"/>
  <c r="O425" i="19" s="1"/>
  <c r="X425" i="19" s="1"/>
  <c r="C425" i="19"/>
  <c r="Z425" i="19" s="1"/>
  <c r="AA424" i="19"/>
  <c r="Y424" i="19"/>
  <c r="O424" i="19"/>
  <c r="X424" i="19" s="1"/>
  <c r="C424" i="19"/>
  <c r="Z424" i="19" s="1"/>
  <c r="AA423" i="19"/>
  <c r="Y423" i="19"/>
  <c r="O423" i="19"/>
  <c r="X423" i="19" s="1"/>
  <c r="C423" i="19"/>
  <c r="Z423" i="19" s="1"/>
  <c r="AA422" i="19"/>
  <c r="Y422" i="19"/>
  <c r="O422" i="19"/>
  <c r="X422" i="19" s="1"/>
  <c r="C422" i="19"/>
  <c r="Z422" i="19" s="1"/>
  <c r="AA421" i="19"/>
  <c r="Y421" i="19"/>
  <c r="O421" i="19"/>
  <c r="X421" i="19" s="1"/>
  <c r="C421" i="19"/>
  <c r="Z421" i="19" s="1"/>
  <c r="AA420" i="19"/>
  <c r="Y420" i="19"/>
  <c r="O420" i="19"/>
  <c r="X420" i="19" s="1"/>
  <c r="C420" i="19"/>
  <c r="Z420" i="19" s="1"/>
  <c r="AA419" i="19"/>
  <c r="Y419" i="19"/>
  <c r="O419" i="19"/>
  <c r="X419" i="19" s="1"/>
  <c r="C419" i="19"/>
  <c r="Z419" i="19" s="1"/>
  <c r="AA418" i="19"/>
  <c r="Y418" i="19"/>
  <c r="O418" i="19"/>
  <c r="X418" i="19" s="1"/>
  <c r="C418" i="19"/>
  <c r="Z418" i="19" s="1"/>
  <c r="AA417" i="19"/>
  <c r="Y417" i="19"/>
  <c r="O417" i="19"/>
  <c r="X417" i="19" s="1"/>
  <c r="C417" i="19"/>
  <c r="Z417" i="19" s="1"/>
  <c r="AA416" i="19"/>
  <c r="Y416" i="19"/>
  <c r="O416" i="19"/>
  <c r="X416" i="19" s="1"/>
  <c r="C416" i="19"/>
  <c r="Z416" i="19" s="1"/>
  <c r="AA415" i="19"/>
  <c r="Y415" i="19"/>
  <c r="O415" i="19"/>
  <c r="X415" i="19" s="1"/>
  <c r="C415" i="19"/>
  <c r="Z415" i="19" s="1"/>
  <c r="AA414" i="19"/>
  <c r="Y414" i="19"/>
  <c r="C414" i="19"/>
  <c r="AA413" i="19"/>
  <c r="Y413" i="19"/>
  <c r="S413" i="19"/>
  <c r="O413" i="19"/>
  <c r="C413" i="19"/>
  <c r="Z413" i="19" s="1"/>
  <c r="AA412" i="19"/>
  <c r="Y412" i="19"/>
  <c r="O412" i="19"/>
  <c r="X412" i="19" s="1"/>
  <c r="C412" i="19"/>
  <c r="Z412" i="19" s="1"/>
  <c r="AA411" i="19"/>
  <c r="Y411" i="19"/>
  <c r="V411" i="19"/>
  <c r="N411" i="19"/>
  <c r="O411" i="19" s="1"/>
  <c r="C411" i="19"/>
  <c r="Z411" i="19" s="1"/>
  <c r="AA410" i="19"/>
  <c r="Y410" i="19"/>
  <c r="N410" i="19"/>
  <c r="O410" i="19" s="1"/>
  <c r="X410" i="19" s="1"/>
  <c r="C410" i="19"/>
  <c r="Z410" i="19" s="1"/>
  <c r="AA409" i="19"/>
  <c r="Y409" i="19"/>
  <c r="N409" i="19"/>
  <c r="O409" i="19" s="1"/>
  <c r="X409" i="19" s="1"/>
  <c r="C409" i="19"/>
  <c r="Z409" i="19" s="1"/>
  <c r="AA408" i="19"/>
  <c r="Y408" i="19"/>
  <c r="N408" i="19"/>
  <c r="O408" i="19" s="1"/>
  <c r="X408" i="19" s="1"/>
  <c r="C408" i="19"/>
  <c r="Z408" i="19" s="1"/>
  <c r="AA407" i="19"/>
  <c r="Y407" i="19"/>
  <c r="V407" i="19"/>
  <c r="N407" i="19"/>
  <c r="O407" i="19" s="1"/>
  <c r="C407" i="19"/>
  <c r="Z407" i="19" s="1"/>
  <c r="AA406" i="19"/>
  <c r="Y406" i="19"/>
  <c r="N406" i="19"/>
  <c r="O406" i="19" s="1"/>
  <c r="X406" i="19" s="1"/>
  <c r="C406" i="19"/>
  <c r="Z406" i="19" s="1"/>
  <c r="AA405" i="19"/>
  <c r="Y405" i="19"/>
  <c r="N405" i="19"/>
  <c r="O405" i="19" s="1"/>
  <c r="X405" i="19" s="1"/>
  <c r="C405" i="19"/>
  <c r="Z405" i="19" s="1"/>
  <c r="AA404" i="19"/>
  <c r="Y404" i="19"/>
  <c r="N404" i="19"/>
  <c r="O404" i="19" s="1"/>
  <c r="X404" i="19" s="1"/>
  <c r="C404" i="19"/>
  <c r="Z404" i="19" s="1"/>
  <c r="AA403" i="19"/>
  <c r="Y403" i="19"/>
  <c r="V403" i="19"/>
  <c r="N403" i="19"/>
  <c r="O403" i="19" s="1"/>
  <c r="C403" i="19"/>
  <c r="Z403" i="19" s="1"/>
  <c r="AA402" i="19"/>
  <c r="Y402" i="19"/>
  <c r="N402" i="19"/>
  <c r="O402" i="19" s="1"/>
  <c r="X402" i="19" s="1"/>
  <c r="C402" i="19"/>
  <c r="Z402" i="19" s="1"/>
  <c r="AA401" i="19"/>
  <c r="Y401" i="19"/>
  <c r="O401" i="19"/>
  <c r="X401" i="19" s="1"/>
  <c r="C401" i="19"/>
  <c r="Z401" i="19" s="1"/>
  <c r="AA400" i="19"/>
  <c r="Y400" i="19"/>
  <c r="O400" i="19"/>
  <c r="X400" i="19" s="1"/>
  <c r="C400" i="19"/>
  <c r="Z400" i="19" s="1"/>
  <c r="AA399" i="19"/>
  <c r="Y399" i="19"/>
  <c r="O399" i="19"/>
  <c r="X399" i="19" s="1"/>
  <c r="C399" i="19"/>
  <c r="AA398" i="19"/>
  <c r="Y398" i="19"/>
  <c r="N398" i="19"/>
  <c r="O398" i="19" s="1"/>
  <c r="X398" i="19" s="1"/>
  <c r="C398" i="19"/>
  <c r="Z398" i="19" s="1"/>
  <c r="AA397" i="19"/>
  <c r="Y397" i="19"/>
  <c r="N397" i="19"/>
  <c r="O397" i="19" s="1"/>
  <c r="X397" i="19" s="1"/>
  <c r="C397" i="19"/>
  <c r="Z397" i="19" s="1"/>
  <c r="AA396" i="19"/>
  <c r="Y396" i="19"/>
  <c r="N396" i="19"/>
  <c r="O396" i="19" s="1"/>
  <c r="X396" i="19" s="1"/>
  <c r="C396" i="19"/>
  <c r="Z396" i="19" s="1"/>
  <c r="AA395" i="19"/>
  <c r="Y395" i="19"/>
  <c r="N395" i="19"/>
  <c r="O395" i="19" s="1"/>
  <c r="X395" i="19" s="1"/>
  <c r="C395" i="19"/>
  <c r="Z395" i="19" s="1"/>
  <c r="AA394" i="19"/>
  <c r="Y394" i="19"/>
  <c r="N394" i="19"/>
  <c r="O394" i="19" s="1"/>
  <c r="X394" i="19" s="1"/>
  <c r="C394" i="19"/>
  <c r="Z394" i="19" s="1"/>
  <c r="AA393" i="19"/>
  <c r="Y393" i="19"/>
  <c r="N393" i="19"/>
  <c r="O393" i="19" s="1"/>
  <c r="X393" i="19" s="1"/>
  <c r="C393" i="19"/>
  <c r="Z393" i="19" s="1"/>
  <c r="AA392" i="19"/>
  <c r="Y392" i="19"/>
  <c r="N392" i="19"/>
  <c r="O392" i="19" s="1"/>
  <c r="X392" i="19" s="1"/>
  <c r="C392" i="19"/>
  <c r="Z392" i="19" s="1"/>
  <c r="AA391" i="19"/>
  <c r="Y391" i="19"/>
  <c r="N391" i="19"/>
  <c r="O391" i="19" s="1"/>
  <c r="X391" i="19" s="1"/>
  <c r="C391" i="19"/>
  <c r="Z391" i="19" s="1"/>
  <c r="AA390" i="19"/>
  <c r="Y390" i="19"/>
  <c r="N390" i="19"/>
  <c r="O390" i="19" s="1"/>
  <c r="X390" i="19" s="1"/>
  <c r="C390" i="19"/>
  <c r="Z390" i="19" s="1"/>
  <c r="AA389" i="19"/>
  <c r="Y389" i="19"/>
  <c r="N389" i="19"/>
  <c r="O389" i="19" s="1"/>
  <c r="X389" i="19" s="1"/>
  <c r="C389" i="19"/>
  <c r="Z389" i="19" s="1"/>
  <c r="AA388" i="19"/>
  <c r="Y388" i="19"/>
  <c r="C388" i="19"/>
  <c r="Z388" i="19" s="1"/>
  <c r="AA387" i="19"/>
  <c r="Y387" i="19"/>
  <c r="N387" i="19"/>
  <c r="O387" i="19" s="1"/>
  <c r="X387" i="19" s="1"/>
  <c r="C387" i="19"/>
  <c r="Z387" i="19" s="1"/>
  <c r="AA386" i="19"/>
  <c r="Y386" i="19"/>
  <c r="N386" i="19"/>
  <c r="O386" i="19" s="1"/>
  <c r="X386" i="19" s="1"/>
  <c r="C386" i="19"/>
  <c r="Z386" i="19" s="1"/>
  <c r="AA385" i="19"/>
  <c r="Y385" i="19"/>
  <c r="N385" i="19"/>
  <c r="O385" i="19" s="1"/>
  <c r="X385" i="19" s="1"/>
  <c r="C385" i="19"/>
  <c r="Z385" i="19" s="1"/>
  <c r="AA384" i="19"/>
  <c r="Y384" i="19"/>
  <c r="N384" i="19"/>
  <c r="O384" i="19" s="1"/>
  <c r="X384" i="19" s="1"/>
  <c r="C384" i="19"/>
  <c r="Z384" i="19" s="1"/>
  <c r="AA383" i="19"/>
  <c r="Y383" i="19"/>
  <c r="N383" i="19"/>
  <c r="O383" i="19" s="1"/>
  <c r="X383" i="19" s="1"/>
  <c r="C383" i="19"/>
  <c r="Z383" i="19" s="1"/>
  <c r="AA382" i="19"/>
  <c r="Y382" i="19"/>
  <c r="N382" i="19"/>
  <c r="O382" i="19" s="1"/>
  <c r="X382" i="19" s="1"/>
  <c r="C382" i="19"/>
  <c r="Z382" i="19" s="1"/>
  <c r="AA381" i="19"/>
  <c r="Y381" i="19"/>
  <c r="N381" i="19"/>
  <c r="O381" i="19" s="1"/>
  <c r="X381" i="19" s="1"/>
  <c r="C381" i="19"/>
  <c r="Z381" i="19" s="1"/>
  <c r="AA380" i="19"/>
  <c r="Y380" i="19"/>
  <c r="N380" i="19"/>
  <c r="O380" i="19" s="1"/>
  <c r="X380" i="19" s="1"/>
  <c r="C380" i="19"/>
  <c r="Z380" i="19" s="1"/>
  <c r="AA379" i="19"/>
  <c r="Y379" i="19"/>
  <c r="N379" i="19"/>
  <c r="O379" i="19" s="1"/>
  <c r="X379" i="19" s="1"/>
  <c r="C379" i="19"/>
  <c r="Z379" i="19" s="1"/>
  <c r="AA378" i="19"/>
  <c r="Y378" i="19"/>
  <c r="N378" i="19"/>
  <c r="O378" i="19" s="1"/>
  <c r="X378" i="19" s="1"/>
  <c r="C378" i="19"/>
  <c r="Z378" i="19" s="1"/>
  <c r="AA377" i="19"/>
  <c r="Y377" i="19"/>
  <c r="N377" i="19"/>
  <c r="O377" i="19" s="1"/>
  <c r="X377" i="19" s="1"/>
  <c r="C377" i="19"/>
  <c r="Z377" i="19" s="1"/>
  <c r="AA376" i="19"/>
  <c r="Y376" i="19"/>
  <c r="N376" i="19"/>
  <c r="O376" i="19" s="1"/>
  <c r="X376" i="19" s="1"/>
  <c r="C376" i="19"/>
  <c r="Z376" i="19" s="1"/>
  <c r="AA375" i="19"/>
  <c r="Y375" i="19"/>
  <c r="N375" i="19"/>
  <c r="O375" i="19" s="1"/>
  <c r="X375" i="19" s="1"/>
  <c r="C375" i="19"/>
  <c r="Z375" i="19" s="1"/>
  <c r="AA374" i="19"/>
  <c r="Y374" i="19"/>
  <c r="N374" i="19"/>
  <c r="O374" i="19" s="1"/>
  <c r="X374" i="19" s="1"/>
  <c r="C374" i="19"/>
  <c r="Z374" i="19" s="1"/>
  <c r="AA373" i="19"/>
  <c r="Y373" i="19"/>
  <c r="N373" i="19"/>
  <c r="O373" i="19" s="1"/>
  <c r="X373" i="19" s="1"/>
  <c r="C373" i="19"/>
  <c r="Z373" i="19" s="1"/>
  <c r="AA372" i="19"/>
  <c r="Y372" i="19"/>
  <c r="N372" i="19"/>
  <c r="O372" i="19" s="1"/>
  <c r="X372" i="19" s="1"/>
  <c r="C372" i="19"/>
  <c r="Z372" i="19" s="1"/>
  <c r="AA371" i="19"/>
  <c r="Y371" i="19"/>
  <c r="N371" i="19"/>
  <c r="O371" i="19" s="1"/>
  <c r="X371" i="19" s="1"/>
  <c r="C371" i="19"/>
  <c r="Z371" i="19" s="1"/>
  <c r="AA370" i="19"/>
  <c r="Y370" i="19"/>
  <c r="N370" i="19"/>
  <c r="O370" i="19" s="1"/>
  <c r="X370" i="19" s="1"/>
  <c r="C370" i="19"/>
  <c r="Z370" i="19" s="1"/>
  <c r="AA369" i="19"/>
  <c r="Y369" i="19"/>
  <c r="N369" i="19"/>
  <c r="O369" i="19" s="1"/>
  <c r="X369" i="19" s="1"/>
  <c r="C369" i="19"/>
  <c r="Z369" i="19" s="1"/>
  <c r="AA368" i="19"/>
  <c r="Y368" i="19"/>
  <c r="N368" i="19"/>
  <c r="O368" i="19" s="1"/>
  <c r="X368" i="19" s="1"/>
  <c r="C368" i="19"/>
  <c r="Z368" i="19" s="1"/>
  <c r="AA367" i="19"/>
  <c r="Y367" i="19"/>
  <c r="O367" i="19"/>
  <c r="X367" i="19" s="1"/>
  <c r="C367" i="19"/>
  <c r="Z367" i="19" s="1"/>
  <c r="AA366" i="19"/>
  <c r="Y366" i="19"/>
  <c r="V366" i="19"/>
  <c r="O366" i="19"/>
  <c r="C366" i="19"/>
  <c r="Z366" i="19" s="1"/>
  <c r="AA365" i="19"/>
  <c r="Y365" i="19"/>
  <c r="V365" i="19"/>
  <c r="O365" i="19"/>
  <c r="C365" i="19"/>
  <c r="Z365" i="19" s="1"/>
  <c r="AA364" i="19"/>
  <c r="Y364" i="19"/>
  <c r="V364" i="19"/>
  <c r="X364" i="19" s="1"/>
  <c r="C364" i="19"/>
  <c r="Z364" i="19" s="1"/>
  <c r="AA363" i="19"/>
  <c r="Y363" i="19"/>
  <c r="S363" i="19"/>
  <c r="O363" i="19"/>
  <c r="C363" i="19"/>
  <c r="Z363" i="19" s="1"/>
  <c r="AA362" i="19"/>
  <c r="Y362" i="19"/>
  <c r="V362" i="19"/>
  <c r="X362" i="19" s="1"/>
  <c r="C362" i="19"/>
  <c r="Z362" i="19" s="1"/>
  <c r="AA361" i="19"/>
  <c r="Y361" i="19"/>
  <c r="V361" i="19"/>
  <c r="O361" i="19"/>
  <c r="C361" i="19"/>
  <c r="Z361" i="19" s="1"/>
  <c r="AA360" i="19"/>
  <c r="Y360" i="19"/>
  <c r="V360" i="19"/>
  <c r="O360" i="19"/>
  <c r="C360" i="19"/>
  <c r="Z360" i="19" s="1"/>
  <c r="AA359" i="19"/>
  <c r="Y359" i="19"/>
  <c r="N359" i="19"/>
  <c r="O359" i="19" s="1"/>
  <c r="X359" i="19" s="1"/>
  <c r="C359" i="19"/>
  <c r="AA358" i="19"/>
  <c r="Y358" i="19"/>
  <c r="N358" i="19"/>
  <c r="O358" i="19" s="1"/>
  <c r="X358" i="19" s="1"/>
  <c r="C358" i="19"/>
  <c r="AA357" i="19"/>
  <c r="Y357" i="19"/>
  <c r="N357" i="19"/>
  <c r="O357" i="19" s="1"/>
  <c r="X357" i="19" s="1"/>
  <c r="C357" i="19"/>
  <c r="AA356" i="19"/>
  <c r="Y356" i="19"/>
  <c r="N356" i="19"/>
  <c r="O356" i="19" s="1"/>
  <c r="X356" i="19" s="1"/>
  <c r="C356" i="19"/>
  <c r="AA355" i="19"/>
  <c r="Y355" i="19"/>
  <c r="N355" i="19"/>
  <c r="O355" i="19" s="1"/>
  <c r="X355" i="19" s="1"/>
  <c r="C355" i="19"/>
  <c r="AA354" i="19"/>
  <c r="Y354" i="19"/>
  <c r="N354" i="19"/>
  <c r="O354" i="19" s="1"/>
  <c r="X354" i="19" s="1"/>
  <c r="C354" i="19"/>
  <c r="AA353" i="19"/>
  <c r="Y353" i="19"/>
  <c r="N353" i="19"/>
  <c r="O353" i="19" s="1"/>
  <c r="X353" i="19" s="1"/>
  <c r="C353" i="19"/>
  <c r="AA352" i="19"/>
  <c r="Y352" i="19"/>
  <c r="N352" i="19"/>
  <c r="O352" i="19" s="1"/>
  <c r="X352" i="19" s="1"/>
  <c r="C352" i="19"/>
  <c r="AA351" i="19"/>
  <c r="Y351" i="19"/>
  <c r="N351" i="19"/>
  <c r="O351" i="19" s="1"/>
  <c r="X351" i="19" s="1"/>
  <c r="C351" i="19"/>
  <c r="AA350" i="19"/>
  <c r="Y350" i="19"/>
  <c r="N350" i="19"/>
  <c r="O350" i="19" s="1"/>
  <c r="X350" i="19" s="1"/>
  <c r="C350" i="19"/>
  <c r="Z350" i="19" s="1"/>
  <c r="AA349" i="19"/>
  <c r="Y349" i="19"/>
  <c r="S349" i="19"/>
  <c r="O349" i="19"/>
  <c r="C349" i="19"/>
  <c r="Z349" i="19" s="1"/>
  <c r="AA348" i="19"/>
  <c r="Y348" i="19"/>
  <c r="O348" i="19"/>
  <c r="X348" i="19" s="1"/>
  <c r="C348" i="19"/>
  <c r="Z348" i="19" s="1"/>
  <c r="AA347" i="19"/>
  <c r="Y347" i="19"/>
  <c r="W347" i="19"/>
  <c r="O347" i="19"/>
  <c r="X347" i="19" s="1"/>
  <c r="C347" i="19"/>
  <c r="Z347" i="19" s="1"/>
  <c r="AA346" i="19"/>
  <c r="Y346" i="19"/>
  <c r="S346" i="19"/>
  <c r="O346" i="19"/>
  <c r="C346" i="19"/>
  <c r="Z346" i="19" s="1"/>
  <c r="AA345" i="19"/>
  <c r="Y345" i="19"/>
  <c r="W345" i="19"/>
  <c r="V345" i="19"/>
  <c r="O345" i="19"/>
  <c r="C345" i="19"/>
  <c r="Z345" i="19" s="1"/>
  <c r="AA344" i="19"/>
  <c r="Y344" i="19"/>
  <c r="W344" i="19"/>
  <c r="O344" i="19"/>
  <c r="X344" i="19" s="1"/>
  <c r="C344" i="19"/>
  <c r="Z344" i="19" s="1"/>
  <c r="AA343" i="19"/>
  <c r="Y343" i="19"/>
  <c r="W343" i="19"/>
  <c r="V343" i="19"/>
  <c r="O343" i="19"/>
  <c r="C343" i="19"/>
  <c r="Z343" i="19" s="1"/>
  <c r="AA342" i="19"/>
  <c r="Y342" i="19"/>
  <c r="W342" i="19"/>
  <c r="V342" i="19"/>
  <c r="O342" i="19"/>
  <c r="C342" i="19"/>
  <c r="Z342" i="19" s="1"/>
  <c r="AA341" i="19"/>
  <c r="Y341" i="19"/>
  <c r="N341" i="19"/>
  <c r="O341" i="19" s="1"/>
  <c r="X341" i="19" s="1"/>
  <c r="C341" i="19"/>
  <c r="AA340" i="19"/>
  <c r="Y340" i="19"/>
  <c r="N340" i="19"/>
  <c r="O340" i="19" s="1"/>
  <c r="X340" i="19" s="1"/>
  <c r="C340" i="19"/>
  <c r="AA339" i="19"/>
  <c r="Y339" i="19"/>
  <c r="N339" i="19"/>
  <c r="O339" i="19" s="1"/>
  <c r="X339" i="19" s="1"/>
  <c r="C339" i="19"/>
  <c r="AA338" i="19"/>
  <c r="Y338" i="19"/>
  <c r="N338" i="19"/>
  <c r="O338" i="19" s="1"/>
  <c r="X338" i="19" s="1"/>
  <c r="C338" i="19"/>
  <c r="AA337" i="19"/>
  <c r="Y337" i="19"/>
  <c r="N337" i="19"/>
  <c r="O337" i="19" s="1"/>
  <c r="X337" i="19" s="1"/>
  <c r="C337" i="19"/>
  <c r="AA336" i="19"/>
  <c r="Y336" i="19"/>
  <c r="N336" i="19"/>
  <c r="O336" i="19" s="1"/>
  <c r="X336" i="19" s="1"/>
  <c r="C336" i="19"/>
  <c r="AA335" i="19"/>
  <c r="Y335" i="19"/>
  <c r="N335" i="19"/>
  <c r="O335" i="19" s="1"/>
  <c r="X335" i="19" s="1"/>
  <c r="C335" i="19"/>
  <c r="AA334" i="19"/>
  <c r="Y334" i="19"/>
  <c r="N334" i="19"/>
  <c r="O334" i="19" s="1"/>
  <c r="X334" i="19" s="1"/>
  <c r="C334" i="19"/>
  <c r="AA333" i="19"/>
  <c r="Y333" i="19"/>
  <c r="N333" i="19"/>
  <c r="O333" i="19" s="1"/>
  <c r="X333" i="19" s="1"/>
  <c r="C333" i="19"/>
  <c r="AA332" i="19"/>
  <c r="Y332" i="19"/>
  <c r="N332" i="19"/>
  <c r="O332" i="19" s="1"/>
  <c r="X332" i="19" s="1"/>
  <c r="C332" i="19"/>
  <c r="Z332" i="19" s="1"/>
  <c r="AA331" i="19"/>
  <c r="Y331" i="19"/>
  <c r="O331" i="19"/>
  <c r="X331" i="19" s="1"/>
  <c r="C331" i="19"/>
  <c r="Z331" i="19" s="1"/>
  <c r="AA330" i="19"/>
  <c r="Y330" i="19"/>
  <c r="W330" i="19"/>
  <c r="O330" i="19"/>
  <c r="X330" i="19" s="1"/>
  <c r="C330" i="19"/>
  <c r="Z330" i="19" s="1"/>
  <c r="AA329" i="19"/>
  <c r="Y329" i="19"/>
  <c r="S329" i="19"/>
  <c r="O329" i="19"/>
  <c r="C329" i="19"/>
  <c r="Z329" i="19" s="1"/>
  <c r="AA328" i="19"/>
  <c r="Y328" i="19"/>
  <c r="O328" i="19"/>
  <c r="X328" i="19" s="1"/>
  <c r="C328" i="19"/>
  <c r="Z328" i="19" s="1"/>
  <c r="AA327" i="19"/>
  <c r="Y327" i="19"/>
  <c r="S327" i="19"/>
  <c r="O327" i="19"/>
  <c r="C327" i="19"/>
  <c r="Z327" i="19" s="1"/>
  <c r="AA326" i="19"/>
  <c r="Y326" i="19"/>
  <c r="V326" i="19"/>
  <c r="O326" i="19"/>
  <c r="C326" i="19"/>
  <c r="Z326" i="19" s="1"/>
  <c r="AA325" i="19"/>
  <c r="Y325" i="19"/>
  <c r="V325" i="19"/>
  <c r="O325" i="19"/>
  <c r="C325" i="19"/>
  <c r="Z325" i="19" s="1"/>
  <c r="AA324" i="19"/>
  <c r="Y324" i="19"/>
  <c r="O324" i="19"/>
  <c r="X324" i="19" s="1"/>
  <c r="C324" i="19"/>
  <c r="Z324" i="19" s="1"/>
  <c r="AA323" i="19"/>
  <c r="Y323" i="19"/>
  <c r="O323" i="19"/>
  <c r="X323" i="19" s="1"/>
  <c r="C323" i="19"/>
  <c r="Z323" i="19" s="1"/>
  <c r="AA322" i="19"/>
  <c r="Y322" i="19"/>
  <c r="W322" i="19"/>
  <c r="V322" i="19"/>
  <c r="O322" i="19"/>
  <c r="C322" i="19"/>
  <c r="Z322" i="19" s="1"/>
  <c r="AA321" i="19"/>
  <c r="Y321" i="19"/>
  <c r="W321" i="19"/>
  <c r="O321" i="19"/>
  <c r="X321" i="19" s="1"/>
  <c r="C321" i="19"/>
  <c r="Z321" i="19" s="1"/>
  <c r="AA320" i="19"/>
  <c r="Y320" i="19"/>
  <c r="V320" i="19"/>
  <c r="O320" i="19"/>
  <c r="C320" i="19"/>
  <c r="Z320" i="19" s="1"/>
  <c r="AA319" i="19"/>
  <c r="Y319" i="19"/>
  <c r="V319" i="19"/>
  <c r="O319" i="19"/>
  <c r="C319" i="19"/>
  <c r="Z319" i="19" s="1"/>
  <c r="AA318" i="19"/>
  <c r="Y318" i="19"/>
  <c r="O318" i="19"/>
  <c r="X318" i="19" s="1"/>
  <c r="C318" i="19"/>
  <c r="Z318" i="19" s="1"/>
  <c r="AA317" i="19"/>
  <c r="Y317" i="19"/>
  <c r="S317" i="19"/>
  <c r="O317" i="19"/>
  <c r="C317" i="19"/>
  <c r="Z317" i="19" s="1"/>
  <c r="AA316" i="19"/>
  <c r="Y316" i="19"/>
  <c r="S316" i="19"/>
  <c r="O316" i="19"/>
  <c r="C316" i="19"/>
  <c r="Z316" i="19" s="1"/>
  <c r="AA315" i="19"/>
  <c r="Y315" i="19"/>
  <c r="W315" i="19"/>
  <c r="O315" i="19"/>
  <c r="X315" i="19" s="1"/>
  <c r="C315" i="19"/>
  <c r="Z315" i="19" s="1"/>
  <c r="AA314" i="19"/>
  <c r="Y314" i="19"/>
  <c r="O314" i="19"/>
  <c r="X314" i="19" s="1"/>
  <c r="C314" i="19"/>
  <c r="Z314" i="19" s="1"/>
  <c r="AA313" i="19"/>
  <c r="Y313" i="19"/>
  <c r="O313" i="19"/>
  <c r="X313" i="19" s="1"/>
  <c r="C313" i="19"/>
  <c r="Z313" i="19" s="1"/>
  <c r="AA312" i="19"/>
  <c r="Y312" i="19"/>
  <c r="O312" i="19"/>
  <c r="X312" i="19" s="1"/>
  <c r="C312" i="19"/>
  <c r="Z312" i="19" s="1"/>
  <c r="AA311" i="19"/>
  <c r="Y311" i="19"/>
  <c r="W311" i="19"/>
  <c r="V311" i="19"/>
  <c r="O311" i="19"/>
  <c r="C311" i="19"/>
  <c r="Z311" i="19" s="1"/>
  <c r="AA310" i="19"/>
  <c r="Y310" i="19"/>
  <c r="W310" i="19"/>
  <c r="O310" i="19"/>
  <c r="X310" i="19" s="1"/>
  <c r="C310" i="19"/>
  <c r="Z310" i="19" s="1"/>
  <c r="AA309" i="19"/>
  <c r="Y309" i="19"/>
  <c r="S309" i="19"/>
  <c r="O309" i="19"/>
  <c r="C309" i="19"/>
  <c r="Z309" i="19" s="1"/>
  <c r="AA308" i="19"/>
  <c r="Y308" i="19"/>
  <c r="W308" i="19"/>
  <c r="V308" i="19"/>
  <c r="O308" i="19"/>
  <c r="C308" i="19"/>
  <c r="Z308" i="19" s="1"/>
  <c r="AA307" i="19"/>
  <c r="Y307" i="19"/>
  <c r="V307" i="19"/>
  <c r="O307" i="19"/>
  <c r="C307" i="19"/>
  <c r="AA306" i="19"/>
  <c r="Y306" i="19"/>
  <c r="V306" i="19"/>
  <c r="O306" i="19"/>
  <c r="C306" i="19"/>
  <c r="Z306" i="19" s="1"/>
  <c r="AA305" i="19"/>
  <c r="Y305" i="19"/>
  <c r="V305" i="19"/>
  <c r="O305" i="19"/>
  <c r="C305" i="19"/>
  <c r="AA304" i="19"/>
  <c r="Y304" i="19"/>
  <c r="V304" i="19"/>
  <c r="O304" i="19"/>
  <c r="C304" i="19"/>
  <c r="Z304" i="19" s="1"/>
  <c r="AA303" i="19"/>
  <c r="Y303" i="19"/>
  <c r="V303" i="19"/>
  <c r="O303" i="19"/>
  <c r="C303" i="19"/>
  <c r="Z303" i="19" s="1"/>
  <c r="AA302" i="19"/>
  <c r="Y302" i="19"/>
  <c r="O302" i="19"/>
  <c r="X302" i="19" s="1"/>
  <c r="C302" i="19"/>
  <c r="Z302" i="19" s="1"/>
  <c r="AA301" i="19"/>
  <c r="Y301" i="19"/>
  <c r="W301" i="19"/>
  <c r="O301" i="19"/>
  <c r="X301" i="19" s="1"/>
  <c r="C301" i="19"/>
  <c r="Z301" i="19" s="1"/>
  <c r="AA300" i="19"/>
  <c r="Y300" i="19"/>
  <c r="S300" i="19"/>
  <c r="O300" i="19"/>
  <c r="C300" i="19"/>
  <c r="Z300" i="19" s="1"/>
  <c r="AA299" i="19"/>
  <c r="Y299" i="19"/>
  <c r="N299" i="19"/>
  <c r="O299" i="19" s="1"/>
  <c r="X299" i="19" s="1"/>
  <c r="C299" i="19"/>
  <c r="AA298" i="19"/>
  <c r="Y298" i="19"/>
  <c r="N298" i="19"/>
  <c r="O298" i="19" s="1"/>
  <c r="X298" i="19" s="1"/>
  <c r="C298" i="19"/>
  <c r="AA297" i="19"/>
  <c r="Y297" i="19"/>
  <c r="N297" i="19"/>
  <c r="O297" i="19" s="1"/>
  <c r="X297" i="19" s="1"/>
  <c r="C297" i="19"/>
  <c r="AA296" i="19"/>
  <c r="Y296" i="19"/>
  <c r="N296" i="19"/>
  <c r="O296" i="19" s="1"/>
  <c r="X296" i="19" s="1"/>
  <c r="C296" i="19"/>
  <c r="AA295" i="19"/>
  <c r="Y295" i="19"/>
  <c r="N295" i="19"/>
  <c r="O295" i="19" s="1"/>
  <c r="X295" i="19" s="1"/>
  <c r="C295" i="19"/>
  <c r="AA294" i="19"/>
  <c r="Y294" i="19"/>
  <c r="N294" i="19"/>
  <c r="O294" i="19" s="1"/>
  <c r="X294" i="19" s="1"/>
  <c r="C294" i="19"/>
  <c r="AA293" i="19"/>
  <c r="Y293" i="19"/>
  <c r="N293" i="19"/>
  <c r="O293" i="19" s="1"/>
  <c r="X293" i="19" s="1"/>
  <c r="C293" i="19"/>
  <c r="AA292" i="19"/>
  <c r="Y292" i="19"/>
  <c r="N292" i="19"/>
  <c r="O292" i="19" s="1"/>
  <c r="X292" i="19" s="1"/>
  <c r="C292" i="19"/>
  <c r="AA291" i="19"/>
  <c r="Y291" i="19"/>
  <c r="N291" i="19"/>
  <c r="O291" i="19" s="1"/>
  <c r="X291" i="19" s="1"/>
  <c r="C291" i="19"/>
  <c r="AA290" i="19"/>
  <c r="Y290" i="19"/>
  <c r="N290" i="19"/>
  <c r="O290" i="19" s="1"/>
  <c r="X290" i="19" s="1"/>
  <c r="C290" i="19"/>
  <c r="Z290" i="19" s="1"/>
  <c r="AA289" i="19"/>
  <c r="Y289" i="19"/>
  <c r="O289" i="19"/>
  <c r="X289" i="19" s="1"/>
  <c r="C289" i="19"/>
  <c r="AA288" i="19"/>
  <c r="Y288" i="19"/>
  <c r="S288" i="19"/>
  <c r="O288" i="19"/>
  <c r="C288" i="19"/>
  <c r="Z288" i="19" s="1"/>
  <c r="AA287" i="19"/>
  <c r="Y287" i="19"/>
  <c r="S287" i="19"/>
  <c r="O287" i="19"/>
  <c r="C287" i="19"/>
  <c r="Z287" i="19" s="1"/>
  <c r="AA286" i="19"/>
  <c r="Y286" i="19"/>
  <c r="O286" i="19"/>
  <c r="X286" i="19" s="1"/>
  <c r="C286" i="19"/>
  <c r="Z286" i="19" s="1"/>
  <c r="AA285" i="19"/>
  <c r="Y285" i="19"/>
  <c r="W285" i="19"/>
  <c r="V285" i="19"/>
  <c r="O285" i="19"/>
  <c r="C285" i="19"/>
  <c r="Z285" i="19" s="1"/>
  <c r="AA284" i="19"/>
  <c r="Y284" i="19"/>
  <c r="W284" i="19"/>
  <c r="O284" i="19"/>
  <c r="X284" i="19" s="1"/>
  <c r="C284" i="19"/>
  <c r="Z284" i="19" s="1"/>
  <c r="AA283" i="19"/>
  <c r="Y283" i="19"/>
  <c r="W283" i="19"/>
  <c r="O283" i="19"/>
  <c r="X283" i="19" s="1"/>
  <c r="C283" i="19"/>
  <c r="Z283" i="19" s="1"/>
  <c r="AA282" i="19"/>
  <c r="Y282" i="19"/>
  <c r="O282" i="19"/>
  <c r="X282" i="19" s="1"/>
  <c r="C282" i="19"/>
  <c r="Z282" i="19" s="1"/>
  <c r="AA281" i="19"/>
  <c r="Y281" i="19"/>
  <c r="O281" i="19"/>
  <c r="X281" i="19" s="1"/>
  <c r="C281" i="19"/>
  <c r="Z281" i="19" s="1"/>
  <c r="AA280" i="19"/>
  <c r="Y280" i="19"/>
  <c r="O280" i="19"/>
  <c r="X280" i="19" s="1"/>
  <c r="C280" i="19"/>
  <c r="Z280" i="19" s="1"/>
  <c r="AA279" i="19"/>
  <c r="Y279" i="19"/>
  <c r="O279" i="19"/>
  <c r="X279" i="19" s="1"/>
  <c r="C279" i="19"/>
  <c r="Z279" i="19" s="1"/>
  <c r="AA278" i="19"/>
  <c r="Y278" i="19"/>
  <c r="S278" i="19"/>
  <c r="O278" i="19"/>
  <c r="C278" i="19"/>
  <c r="Z278" i="19" s="1"/>
  <c r="AA277" i="19"/>
  <c r="Y277" i="19"/>
  <c r="W277" i="19"/>
  <c r="O277" i="19"/>
  <c r="X277" i="19" s="1"/>
  <c r="C277" i="19"/>
  <c r="Z277" i="19" s="1"/>
  <c r="AA276" i="19"/>
  <c r="Y276" i="19"/>
  <c r="S276" i="19"/>
  <c r="O276" i="19"/>
  <c r="C276" i="19"/>
  <c r="Z276" i="19" s="1"/>
  <c r="AA275" i="19"/>
  <c r="Y275" i="19"/>
  <c r="S275" i="19"/>
  <c r="O275" i="19"/>
  <c r="C275" i="19"/>
  <c r="Z275" i="19" s="1"/>
  <c r="AA274" i="19"/>
  <c r="Y274" i="19"/>
  <c r="W274" i="19"/>
  <c r="O274" i="19"/>
  <c r="X274" i="19" s="1"/>
  <c r="C274" i="19"/>
  <c r="Z274" i="19" s="1"/>
  <c r="AA273" i="19"/>
  <c r="Y273" i="19"/>
  <c r="W273" i="19"/>
  <c r="O273" i="19"/>
  <c r="X273" i="19" s="1"/>
  <c r="C273" i="19"/>
  <c r="Z273" i="19" s="1"/>
  <c r="AA272" i="19"/>
  <c r="Y272" i="19"/>
  <c r="W272" i="19"/>
  <c r="V272" i="19"/>
  <c r="O272" i="19"/>
  <c r="C272" i="19"/>
  <c r="Z272" i="19" s="1"/>
  <c r="AA271" i="19"/>
  <c r="Y271" i="19"/>
  <c r="W271" i="19"/>
  <c r="V271" i="19"/>
  <c r="O271" i="19"/>
  <c r="C271" i="19"/>
  <c r="Z271" i="19" s="1"/>
  <c r="AA270" i="19"/>
  <c r="Y270" i="19"/>
  <c r="W270" i="19"/>
  <c r="O270" i="19"/>
  <c r="X270" i="19" s="1"/>
  <c r="C270" i="19"/>
  <c r="Z270" i="19" s="1"/>
  <c r="AA269" i="19"/>
  <c r="Y269" i="19"/>
  <c r="W269" i="19"/>
  <c r="O269" i="19"/>
  <c r="X269" i="19" s="1"/>
  <c r="C269" i="19"/>
  <c r="Z269" i="19" s="1"/>
  <c r="AA268" i="19"/>
  <c r="Y268" i="19"/>
  <c r="W268" i="19"/>
  <c r="O268" i="19"/>
  <c r="X268" i="19" s="1"/>
  <c r="C268" i="19"/>
  <c r="Z268" i="19" s="1"/>
  <c r="AA267" i="19"/>
  <c r="Y267" i="19"/>
  <c r="N267" i="19"/>
  <c r="O267" i="19" s="1"/>
  <c r="X267" i="19" s="1"/>
  <c r="C267" i="19"/>
  <c r="AA266" i="19"/>
  <c r="Y266" i="19"/>
  <c r="N266" i="19"/>
  <c r="O266" i="19" s="1"/>
  <c r="X266" i="19" s="1"/>
  <c r="C266" i="19"/>
  <c r="AA265" i="19"/>
  <c r="Y265" i="19"/>
  <c r="N265" i="19"/>
  <c r="O265" i="19" s="1"/>
  <c r="X265" i="19" s="1"/>
  <c r="C265" i="19"/>
  <c r="AA264" i="19"/>
  <c r="Y264" i="19"/>
  <c r="N264" i="19"/>
  <c r="O264" i="19" s="1"/>
  <c r="X264" i="19" s="1"/>
  <c r="C264" i="19"/>
  <c r="AA263" i="19"/>
  <c r="Y263" i="19"/>
  <c r="N263" i="19"/>
  <c r="O263" i="19" s="1"/>
  <c r="X263" i="19" s="1"/>
  <c r="C263" i="19"/>
  <c r="AA262" i="19"/>
  <c r="Y262" i="19"/>
  <c r="N262" i="19"/>
  <c r="O262" i="19" s="1"/>
  <c r="X262" i="19" s="1"/>
  <c r="C262" i="19"/>
  <c r="AA261" i="19"/>
  <c r="Y261" i="19"/>
  <c r="N261" i="19"/>
  <c r="O261" i="19" s="1"/>
  <c r="X261" i="19" s="1"/>
  <c r="C261" i="19"/>
  <c r="AA260" i="19"/>
  <c r="Y260" i="19"/>
  <c r="N260" i="19"/>
  <c r="O260" i="19" s="1"/>
  <c r="X260" i="19" s="1"/>
  <c r="C260" i="19"/>
  <c r="AA259" i="19"/>
  <c r="Y259" i="19"/>
  <c r="N259" i="19"/>
  <c r="O259" i="19" s="1"/>
  <c r="X259" i="19" s="1"/>
  <c r="C259" i="19"/>
  <c r="AA258" i="19"/>
  <c r="Y258" i="19"/>
  <c r="N258" i="19"/>
  <c r="O258" i="19" s="1"/>
  <c r="X258" i="19" s="1"/>
  <c r="C258" i="19"/>
  <c r="Z258" i="19" s="1"/>
  <c r="AA257" i="19"/>
  <c r="Y257" i="19"/>
  <c r="W257" i="19"/>
  <c r="V257" i="19"/>
  <c r="O257" i="19"/>
  <c r="C257" i="19"/>
  <c r="Z257" i="19" s="1"/>
  <c r="AA256" i="19"/>
  <c r="Y256" i="19"/>
  <c r="W256" i="19"/>
  <c r="V256" i="19"/>
  <c r="O256" i="19"/>
  <c r="C256" i="19"/>
  <c r="Z256" i="19" s="1"/>
  <c r="AA255" i="19"/>
  <c r="Y255" i="19"/>
  <c r="W255" i="19"/>
  <c r="O255" i="19"/>
  <c r="X255" i="19" s="1"/>
  <c r="C255" i="19"/>
  <c r="Z255" i="19" s="1"/>
  <c r="AA254" i="19"/>
  <c r="Y254" i="19"/>
  <c r="W254" i="19"/>
  <c r="O254" i="19"/>
  <c r="X254" i="19" s="1"/>
  <c r="C254" i="19"/>
  <c r="Z254" i="19" s="1"/>
  <c r="AA253" i="19"/>
  <c r="Y253" i="19"/>
  <c r="W253" i="19"/>
  <c r="O253" i="19"/>
  <c r="X253" i="19" s="1"/>
  <c r="C253" i="19"/>
  <c r="Z253" i="19" s="1"/>
  <c r="AA252" i="19"/>
  <c r="Y252" i="19"/>
  <c r="W252" i="19"/>
  <c r="O252" i="19"/>
  <c r="X252" i="19" s="1"/>
  <c r="C252" i="19"/>
  <c r="Z252" i="19" s="1"/>
  <c r="AA251" i="19"/>
  <c r="Y251" i="19"/>
  <c r="W251" i="19"/>
  <c r="O251" i="19"/>
  <c r="X251" i="19" s="1"/>
  <c r="C251" i="19"/>
  <c r="Z251" i="19" s="1"/>
  <c r="AA250" i="19"/>
  <c r="Y250" i="19"/>
  <c r="W250" i="19"/>
  <c r="O250" i="19"/>
  <c r="X250" i="19" s="1"/>
  <c r="C250" i="19"/>
  <c r="Z250" i="19" s="1"/>
  <c r="AA249" i="19"/>
  <c r="Y249" i="19"/>
  <c r="W249" i="19"/>
  <c r="O249" i="19"/>
  <c r="X249" i="19" s="1"/>
  <c r="C249" i="19"/>
  <c r="Z249" i="19" s="1"/>
  <c r="AA248" i="19"/>
  <c r="Y248" i="19"/>
  <c r="W248" i="19"/>
  <c r="O248" i="19"/>
  <c r="X248" i="19" s="1"/>
  <c r="C248" i="19"/>
  <c r="Z248" i="19" s="1"/>
  <c r="AA247" i="19"/>
  <c r="Y247" i="19"/>
  <c r="S247" i="19"/>
  <c r="O247" i="19"/>
  <c r="C247" i="19"/>
  <c r="Z247" i="19" s="1"/>
  <c r="AA246" i="19"/>
  <c r="Y246" i="19"/>
  <c r="S246" i="19"/>
  <c r="O246" i="19"/>
  <c r="C246" i="19"/>
  <c r="Z246" i="19" s="1"/>
  <c r="AA245" i="19"/>
  <c r="Y245" i="19"/>
  <c r="W245" i="19"/>
  <c r="O245" i="19"/>
  <c r="X245" i="19" s="1"/>
  <c r="C245" i="19"/>
  <c r="Z245" i="19" s="1"/>
  <c r="AA244" i="19"/>
  <c r="Y244" i="19"/>
  <c r="W244" i="19"/>
  <c r="O244" i="19"/>
  <c r="X244" i="19" s="1"/>
  <c r="C244" i="19"/>
  <c r="Z244" i="19" s="1"/>
  <c r="AA243" i="19"/>
  <c r="Y243" i="19"/>
  <c r="W243" i="19"/>
  <c r="O243" i="19"/>
  <c r="X243" i="19" s="1"/>
  <c r="C243" i="19"/>
  <c r="Z243" i="19" s="1"/>
  <c r="AA242" i="19"/>
  <c r="Y242" i="19"/>
  <c r="N242" i="19"/>
  <c r="O242" i="19" s="1"/>
  <c r="X242" i="19" s="1"/>
  <c r="C242" i="19"/>
  <c r="AA241" i="19"/>
  <c r="Y241" i="19"/>
  <c r="N241" i="19"/>
  <c r="O241" i="19" s="1"/>
  <c r="X241" i="19" s="1"/>
  <c r="C241" i="19"/>
  <c r="AA240" i="19"/>
  <c r="Y240" i="19"/>
  <c r="N240" i="19"/>
  <c r="O240" i="19" s="1"/>
  <c r="X240" i="19" s="1"/>
  <c r="C240" i="19"/>
  <c r="AA239" i="19"/>
  <c r="Y239" i="19"/>
  <c r="N239" i="19"/>
  <c r="O239" i="19" s="1"/>
  <c r="X239" i="19" s="1"/>
  <c r="C239" i="19"/>
  <c r="AA238" i="19"/>
  <c r="Y238" i="19"/>
  <c r="N238" i="19"/>
  <c r="O238" i="19" s="1"/>
  <c r="X238" i="19" s="1"/>
  <c r="C238" i="19"/>
  <c r="AA237" i="19"/>
  <c r="Y237" i="19"/>
  <c r="N237" i="19"/>
  <c r="O237" i="19" s="1"/>
  <c r="X237" i="19" s="1"/>
  <c r="C237" i="19"/>
  <c r="AA236" i="19"/>
  <c r="Y236" i="19"/>
  <c r="N236" i="19"/>
  <c r="O236" i="19" s="1"/>
  <c r="X236" i="19" s="1"/>
  <c r="C236" i="19"/>
  <c r="AA235" i="19"/>
  <c r="Y235" i="19"/>
  <c r="N235" i="19"/>
  <c r="O235" i="19" s="1"/>
  <c r="X235" i="19" s="1"/>
  <c r="C235" i="19"/>
  <c r="AA234" i="19"/>
  <c r="Y234" i="19"/>
  <c r="N234" i="19"/>
  <c r="O234" i="19" s="1"/>
  <c r="X234" i="19" s="1"/>
  <c r="C234" i="19"/>
  <c r="AA233" i="19"/>
  <c r="Y233" i="19"/>
  <c r="N233" i="19"/>
  <c r="O233" i="19" s="1"/>
  <c r="X233" i="19" s="1"/>
  <c r="C233" i="19"/>
  <c r="Z233" i="19" s="1"/>
  <c r="AA232" i="19"/>
  <c r="Y232" i="19"/>
  <c r="O232" i="19"/>
  <c r="X232" i="19" s="1"/>
  <c r="C232" i="19"/>
  <c r="Z232" i="19" s="1"/>
  <c r="AA231" i="19"/>
  <c r="Y231" i="19"/>
  <c r="V231" i="19"/>
  <c r="O231" i="19"/>
  <c r="C231" i="19"/>
  <c r="Z231" i="19" s="1"/>
  <c r="AA230" i="19"/>
  <c r="Y230" i="19"/>
  <c r="W230" i="19"/>
  <c r="O230" i="19"/>
  <c r="X230" i="19" s="1"/>
  <c r="C230" i="19"/>
  <c r="Z230" i="19" s="1"/>
  <c r="AA229" i="19"/>
  <c r="Y229" i="19"/>
  <c r="W229" i="19"/>
  <c r="O229" i="19"/>
  <c r="X229" i="19" s="1"/>
  <c r="C229" i="19"/>
  <c r="Z229" i="19" s="1"/>
  <c r="AA228" i="19"/>
  <c r="Y228" i="19"/>
  <c r="W228" i="19"/>
  <c r="O228" i="19"/>
  <c r="X228" i="19" s="1"/>
  <c r="C228" i="19"/>
  <c r="Z228" i="19" s="1"/>
  <c r="AA227" i="19"/>
  <c r="Y227" i="19"/>
  <c r="W227" i="19"/>
  <c r="O227" i="19"/>
  <c r="X227" i="19" s="1"/>
  <c r="C227" i="19"/>
  <c r="Z227" i="19" s="1"/>
  <c r="AA226" i="19"/>
  <c r="Y226" i="19"/>
  <c r="W226" i="19"/>
  <c r="O226" i="19"/>
  <c r="X226" i="19" s="1"/>
  <c r="C226" i="19"/>
  <c r="Z226" i="19" s="1"/>
  <c r="AA225" i="19"/>
  <c r="Y225" i="19"/>
  <c r="W225" i="19"/>
  <c r="O225" i="19"/>
  <c r="X225" i="19" s="1"/>
  <c r="C225" i="19"/>
  <c r="Z225" i="19" s="1"/>
  <c r="AA224" i="19"/>
  <c r="Y224" i="19"/>
  <c r="W224" i="19"/>
  <c r="O224" i="19"/>
  <c r="X224" i="19" s="1"/>
  <c r="C224" i="19"/>
  <c r="Z224" i="19" s="1"/>
  <c r="Y223" i="19"/>
  <c r="W223" i="19"/>
  <c r="O223" i="19"/>
  <c r="X223" i="19" s="1"/>
  <c r="C223" i="19"/>
  <c r="Z223" i="19" s="1"/>
  <c r="AA222" i="19"/>
  <c r="Y222" i="19"/>
  <c r="W222" i="19"/>
  <c r="O222" i="19"/>
  <c r="X222" i="19" s="1"/>
  <c r="C222" i="19"/>
  <c r="Z222" i="19" s="1"/>
  <c r="AA221" i="19"/>
  <c r="Y221" i="19"/>
  <c r="W221" i="19"/>
  <c r="O221" i="19"/>
  <c r="X221" i="19" s="1"/>
  <c r="C221" i="19"/>
  <c r="Z221" i="19" s="1"/>
  <c r="AA220" i="19"/>
  <c r="Y220" i="19"/>
  <c r="O220" i="19"/>
  <c r="X220" i="19" s="1"/>
  <c r="C220" i="19"/>
  <c r="Z220" i="19" s="1"/>
  <c r="AA219" i="19"/>
  <c r="Y219" i="19"/>
  <c r="O219" i="19"/>
  <c r="X219" i="19" s="1"/>
  <c r="C219" i="19"/>
  <c r="Z219" i="19" s="1"/>
  <c r="AA218" i="19"/>
  <c r="Y218" i="19"/>
  <c r="S218" i="19"/>
  <c r="O218" i="19"/>
  <c r="C218" i="19"/>
  <c r="Z218" i="19" s="1"/>
  <c r="AA217" i="19"/>
  <c r="Y217" i="19"/>
  <c r="O217" i="19"/>
  <c r="X217" i="19" s="1"/>
  <c r="C217" i="19"/>
  <c r="Z217" i="19" s="1"/>
  <c r="AA216" i="19"/>
  <c r="Y216" i="19"/>
  <c r="N216" i="19"/>
  <c r="O216" i="19" s="1"/>
  <c r="X216" i="19" s="1"/>
  <c r="C216" i="19"/>
  <c r="AA215" i="19"/>
  <c r="Y215" i="19"/>
  <c r="N215" i="19"/>
  <c r="O215" i="19" s="1"/>
  <c r="X215" i="19" s="1"/>
  <c r="C215" i="19"/>
  <c r="AA214" i="19"/>
  <c r="Y214" i="19"/>
  <c r="N214" i="19"/>
  <c r="O214" i="19" s="1"/>
  <c r="X214" i="19" s="1"/>
  <c r="C214" i="19"/>
  <c r="AA213" i="19"/>
  <c r="Y213" i="19"/>
  <c r="N213" i="19"/>
  <c r="O213" i="19" s="1"/>
  <c r="X213" i="19" s="1"/>
  <c r="C213" i="19"/>
  <c r="AA212" i="19"/>
  <c r="Y212" i="19"/>
  <c r="N212" i="19"/>
  <c r="O212" i="19" s="1"/>
  <c r="X212" i="19" s="1"/>
  <c r="C212" i="19"/>
  <c r="AA211" i="19"/>
  <c r="Y211" i="19"/>
  <c r="N211" i="19"/>
  <c r="O211" i="19" s="1"/>
  <c r="X211" i="19" s="1"/>
  <c r="C211" i="19"/>
  <c r="AA210" i="19"/>
  <c r="Y210" i="19"/>
  <c r="N210" i="19"/>
  <c r="O210" i="19" s="1"/>
  <c r="X210" i="19" s="1"/>
  <c r="C210" i="19"/>
  <c r="AA209" i="19"/>
  <c r="Y209" i="19"/>
  <c r="N209" i="19"/>
  <c r="O209" i="19" s="1"/>
  <c r="X209" i="19" s="1"/>
  <c r="C209" i="19"/>
  <c r="AA208" i="19"/>
  <c r="Y208" i="19"/>
  <c r="N208" i="19"/>
  <c r="O208" i="19" s="1"/>
  <c r="X208" i="19" s="1"/>
  <c r="C208" i="19"/>
  <c r="AA207" i="19"/>
  <c r="Y207" i="19"/>
  <c r="N207" i="19"/>
  <c r="O207" i="19" s="1"/>
  <c r="X207" i="19" s="1"/>
  <c r="C207" i="19"/>
  <c r="Z207" i="19" s="1"/>
  <c r="Y206" i="19"/>
  <c r="W206" i="19"/>
  <c r="V206" i="19"/>
  <c r="O206" i="19"/>
  <c r="C206" i="19"/>
  <c r="Z206" i="19" s="1"/>
  <c r="Y205" i="19"/>
  <c r="W205" i="19"/>
  <c r="V205" i="19"/>
  <c r="O205" i="19"/>
  <c r="C205" i="19"/>
  <c r="Z205" i="19" s="1"/>
  <c r="AA204" i="19"/>
  <c r="Y204" i="19"/>
  <c r="W204" i="19"/>
  <c r="O204" i="19"/>
  <c r="X204" i="19" s="1"/>
  <c r="C204" i="19"/>
  <c r="Z204" i="19" s="1"/>
  <c r="AA203" i="19"/>
  <c r="Y203" i="19"/>
  <c r="W203" i="19"/>
  <c r="O203" i="19"/>
  <c r="X203" i="19" s="1"/>
  <c r="C203" i="19"/>
  <c r="Z203" i="19" s="1"/>
  <c r="AA202" i="19"/>
  <c r="Y202" i="19"/>
  <c r="W202" i="19"/>
  <c r="O202" i="19"/>
  <c r="X202" i="19" s="1"/>
  <c r="C202" i="19"/>
  <c r="Z202" i="19" s="1"/>
  <c r="Y201" i="19"/>
  <c r="W201" i="19"/>
  <c r="V201" i="19"/>
  <c r="O201" i="19"/>
  <c r="C201" i="19"/>
  <c r="Z201" i="19" s="1"/>
  <c r="AA200" i="19"/>
  <c r="Y200" i="19"/>
  <c r="W200" i="19"/>
  <c r="V200" i="19"/>
  <c r="O200" i="19"/>
  <c r="C200" i="19"/>
  <c r="Z200" i="19" s="1"/>
  <c r="AA199" i="19"/>
  <c r="Y199" i="19"/>
  <c r="W199" i="19"/>
  <c r="O199" i="19"/>
  <c r="X199" i="19" s="1"/>
  <c r="C199" i="19"/>
  <c r="Z199" i="19" s="1"/>
  <c r="Y198" i="19"/>
  <c r="W198" i="19"/>
  <c r="O198" i="19"/>
  <c r="X198" i="19" s="1"/>
  <c r="C198" i="19"/>
  <c r="Z198" i="19" s="1"/>
  <c r="AA197" i="19"/>
  <c r="Y197" i="19"/>
  <c r="N197" i="19"/>
  <c r="O197" i="19" s="1"/>
  <c r="X197" i="19" s="1"/>
  <c r="C197" i="19"/>
  <c r="AA196" i="19"/>
  <c r="Y196" i="19"/>
  <c r="N196" i="19"/>
  <c r="O196" i="19" s="1"/>
  <c r="X196" i="19" s="1"/>
  <c r="C196" i="19"/>
  <c r="AA195" i="19"/>
  <c r="Y195" i="19"/>
  <c r="N195" i="19"/>
  <c r="O195" i="19" s="1"/>
  <c r="X195" i="19" s="1"/>
  <c r="C195" i="19"/>
  <c r="AA194" i="19"/>
  <c r="Y194" i="19"/>
  <c r="N194" i="19"/>
  <c r="O194" i="19" s="1"/>
  <c r="X194" i="19" s="1"/>
  <c r="C194" i="19"/>
  <c r="AA193" i="19"/>
  <c r="Y193" i="19"/>
  <c r="N193" i="19"/>
  <c r="O193" i="19" s="1"/>
  <c r="X193" i="19" s="1"/>
  <c r="C193" i="19"/>
  <c r="AA192" i="19"/>
  <c r="Y192" i="19"/>
  <c r="N192" i="19"/>
  <c r="O192" i="19" s="1"/>
  <c r="X192" i="19" s="1"/>
  <c r="C192" i="19"/>
  <c r="AA191" i="19"/>
  <c r="Y191" i="19"/>
  <c r="N191" i="19"/>
  <c r="O191" i="19" s="1"/>
  <c r="X191" i="19" s="1"/>
  <c r="C191" i="19"/>
  <c r="AA190" i="19"/>
  <c r="Y190" i="19"/>
  <c r="N190" i="19"/>
  <c r="O190" i="19" s="1"/>
  <c r="X190" i="19" s="1"/>
  <c r="C190" i="19"/>
  <c r="AA189" i="19"/>
  <c r="Y189" i="19"/>
  <c r="N189" i="19"/>
  <c r="O189" i="19" s="1"/>
  <c r="X189" i="19" s="1"/>
  <c r="C189" i="19"/>
  <c r="AA188" i="19"/>
  <c r="Y188" i="19"/>
  <c r="N188" i="19"/>
  <c r="O188" i="19" s="1"/>
  <c r="X188" i="19" s="1"/>
  <c r="C188" i="19"/>
  <c r="Z188" i="19" s="1"/>
  <c r="AA187" i="19"/>
  <c r="Y187" i="19"/>
  <c r="W187" i="19"/>
  <c r="V187" i="19"/>
  <c r="O187" i="19"/>
  <c r="C187" i="19"/>
  <c r="Z187" i="19" s="1"/>
  <c r="AA186" i="19"/>
  <c r="Y186" i="19"/>
  <c r="W186" i="19"/>
  <c r="O186" i="19"/>
  <c r="X186" i="19" s="1"/>
  <c r="C186" i="19"/>
  <c r="Z186" i="19" s="1"/>
  <c r="AA185" i="19"/>
  <c r="Y185" i="19"/>
  <c r="W185" i="19"/>
  <c r="O185" i="19"/>
  <c r="X185" i="19" s="1"/>
  <c r="C185" i="19"/>
  <c r="Z185" i="19" s="1"/>
  <c r="AA184" i="19"/>
  <c r="Y184" i="19"/>
  <c r="W184" i="19"/>
  <c r="O184" i="19"/>
  <c r="X184" i="19" s="1"/>
  <c r="C184" i="19"/>
  <c r="Z184" i="19" s="1"/>
  <c r="AA183" i="19"/>
  <c r="Y183" i="19"/>
  <c r="O183" i="19"/>
  <c r="X183" i="19" s="1"/>
  <c r="C183" i="19"/>
  <c r="Z183" i="19" s="1"/>
  <c r="AA182" i="19"/>
  <c r="Y182" i="19"/>
  <c r="S182" i="19"/>
  <c r="O182" i="19"/>
  <c r="C182" i="19"/>
  <c r="Z182" i="19" s="1"/>
  <c r="AA181" i="19"/>
  <c r="Y181" i="19"/>
  <c r="W181" i="19"/>
  <c r="C181" i="19" s="1"/>
  <c r="Z181" i="19" s="1"/>
  <c r="O181" i="19"/>
  <c r="X181" i="19" s="1"/>
  <c r="AA180" i="19"/>
  <c r="Y180" i="19"/>
  <c r="W180" i="19"/>
  <c r="C180" i="19" s="1"/>
  <c r="Z180" i="19" s="1"/>
  <c r="O180" i="19"/>
  <c r="X180" i="19" s="1"/>
  <c r="AA179" i="19"/>
  <c r="Y179" i="19"/>
  <c r="O179" i="19"/>
  <c r="X179" i="19" s="1"/>
  <c r="C179" i="19"/>
  <c r="Z179" i="19" s="1"/>
  <c r="AA178" i="19"/>
  <c r="Y178" i="19"/>
  <c r="O178" i="19"/>
  <c r="X178" i="19" s="1"/>
  <c r="C178" i="19"/>
  <c r="Z178" i="19" s="1"/>
  <c r="AA177" i="19"/>
  <c r="Y177" i="19"/>
  <c r="W177" i="19"/>
  <c r="C177" i="19" s="1"/>
  <c r="Z177" i="19" s="1"/>
  <c r="O177" i="19"/>
  <c r="X177" i="19" s="1"/>
  <c r="AA176" i="19"/>
  <c r="Y176" i="19"/>
  <c r="W176" i="19"/>
  <c r="C176" i="19" s="1"/>
  <c r="Z176" i="19" s="1"/>
  <c r="O176" i="19"/>
  <c r="X176" i="19" s="1"/>
  <c r="AA175" i="19"/>
  <c r="Y175" i="19"/>
  <c r="N175" i="19"/>
  <c r="O175" i="19" s="1"/>
  <c r="X175" i="19" s="1"/>
  <c r="C175" i="19"/>
  <c r="AA174" i="19"/>
  <c r="Y174" i="19"/>
  <c r="N174" i="19"/>
  <c r="O174" i="19" s="1"/>
  <c r="X174" i="19" s="1"/>
  <c r="C174" i="19"/>
  <c r="AA173" i="19"/>
  <c r="Y173" i="19"/>
  <c r="N173" i="19"/>
  <c r="O173" i="19" s="1"/>
  <c r="X173" i="19" s="1"/>
  <c r="C173" i="19"/>
  <c r="AA172" i="19"/>
  <c r="Y172" i="19"/>
  <c r="N172" i="19"/>
  <c r="O172" i="19" s="1"/>
  <c r="X172" i="19" s="1"/>
  <c r="C172" i="19"/>
  <c r="AA171" i="19"/>
  <c r="Y171" i="19"/>
  <c r="N171" i="19"/>
  <c r="O171" i="19" s="1"/>
  <c r="X171" i="19" s="1"/>
  <c r="C171" i="19"/>
  <c r="AA170" i="19"/>
  <c r="Y170" i="19"/>
  <c r="N170" i="19"/>
  <c r="O170" i="19" s="1"/>
  <c r="X170" i="19" s="1"/>
  <c r="C170" i="19"/>
  <c r="AA169" i="19"/>
  <c r="Y169" i="19"/>
  <c r="N169" i="19"/>
  <c r="O169" i="19" s="1"/>
  <c r="X169" i="19" s="1"/>
  <c r="C169" i="19"/>
  <c r="AA168" i="19"/>
  <c r="Y168" i="19"/>
  <c r="N168" i="19"/>
  <c r="O168" i="19" s="1"/>
  <c r="X168" i="19" s="1"/>
  <c r="C168" i="19"/>
  <c r="AA167" i="19"/>
  <c r="Y167" i="19"/>
  <c r="N167" i="19"/>
  <c r="O167" i="19" s="1"/>
  <c r="X167" i="19" s="1"/>
  <c r="C167" i="19"/>
  <c r="AA166" i="19"/>
  <c r="Y166" i="19"/>
  <c r="N166" i="19"/>
  <c r="O166" i="19" s="1"/>
  <c r="X166" i="19" s="1"/>
  <c r="C166" i="19"/>
  <c r="Z166" i="19" s="1"/>
  <c r="AA165" i="19"/>
  <c r="Y165" i="19"/>
  <c r="W165" i="19"/>
  <c r="C165" i="19" s="1"/>
  <c r="Z165" i="19" s="1"/>
  <c r="O165" i="19"/>
  <c r="X165" i="19" s="1"/>
  <c r="AA164" i="19"/>
  <c r="Y164" i="19"/>
  <c r="W164" i="19"/>
  <c r="C164" i="19" s="1"/>
  <c r="Z164" i="19" s="1"/>
  <c r="O164" i="19"/>
  <c r="X164" i="19" s="1"/>
  <c r="AA163" i="19"/>
  <c r="Y163" i="19"/>
  <c r="W163" i="19"/>
  <c r="C163" i="19" s="1"/>
  <c r="Z163" i="19" s="1"/>
  <c r="O163" i="19"/>
  <c r="X163" i="19" s="1"/>
  <c r="AA162" i="19"/>
  <c r="Y162" i="19"/>
  <c r="N162" i="19"/>
  <c r="O162" i="19" s="1"/>
  <c r="X162" i="19" s="1"/>
  <c r="C162" i="19"/>
  <c r="Z162" i="19" s="1"/>
  <c r="AA161" i="19"/>
  <c r="Y161" i="19"/>
  <c r="N161" i="19"/>
  <c r="O161" i="19" s="1"/>
  <c r="X161" i="19" s="1"/>
  <c r="C161" i="19"/>
  <c r="Z161" i="19" s="1"/>
  <c r="AA160" i="19"/>
  <c r="Y160" i="19"/>
  <c r="N160" i="19"/>
  <c r="O160" i="19" s="1"/>
  <c r="X160" i="19" s="1"/>
  <c r="C160" i="19"/>
  <c r="Z160" i="19" s="1"/>
  <c r="AA159" i="19"/>
  <c r="Y159" i="19"/>
  <c r="N159" i="19"/>
  <c r="O159" i="19" s="1"/>
  <c r="X159" i="19" s="1"/>
  <c r="C159" i="19"/>
  <c r="Z159" i="19" s="1"/>
  <c r="AA158" i="19"/>
  <c r="Y158" i="19"/>
  <c r="N158" i="19"/>
  <c r="O158" i="19" s="1"/>
  <c r="X158" i="19" s="1"/>
  <c r="C158" i="19"/>
  <c r="Z158" i="19" s="1"/>
  <c r="AA157" i="19"/>
  <c r="Y157" i="19"/>
  <c r="N157" i="19"/>
  <c r="O157" i="19" s="1"/>
  <c r="X157" i="19" s="1"/>
  <c r="C157" i="19"/>
  <c r="Z157" i="19" s="1"/>
  <c r="AA156" i="19"/>
  <c r="Y156" i="19"/>
  <c r="N156" i="19"/>
  <c r="O156" i="19" s="1"/>
  <c r="X156" i="19" s="1"/>
  <c r="C156" i="19"/>
  <c r="Z156" i="19" s="1"/>
  <c r="AA155" i="19"/>
  <c r="Y155" i="19"/>
  <c r="N155" i="19"/>
  <c r="O155" i="19" s="1"/>
  <c r="X155" i="19" s="1"/>
  <c r="C155" i="19"/>
  <c r="Z155" i="19" s="1"/>
  <c r="AA154" i="19"/>
  <c r="Y154" i="19"/>
  <c r="N154" i="19"/>
  <c r="O154" i="19" s="1"/>
  <c r="X154" i="19" s="1"/>
  <c r="C154" i="19"/>
  <c r="Z154" i="19" s="1"/>
  <c r="AA153" i="19"/>
  <c r="Y153" i="19"/>
  <c r="N153" i="19"/>
  <c r="O153" i="19" s="1"/>
  <c r="X153" i="19" s="1"/>
  <c r="C153" i="19"/>
  <c r="Z153" i="19" s="1"/>
  <c r="AA152" i="19"/>
  <c r="Y152" i="19"/>
  <c r="W152" i="19"/>
  <c r="C152" i="19" s="1"/>
  <c r="Z152" i="19" s="1"/>
  <c r="O152" i="19"/>
  <c r="X152" i="19" s="1"/>
  <c r="AA151" i="19"/>
  <c r="Y151" i="19"/>
  <c r="W151" i="19"/>
  <c r="C151" i="19" s="1"/>
  <c r="Z151" i="19" s="1"/>
  <c r="O151" i="19"/>
  <c r="X151" i="19" s="1"/>
  <c r="AA150" i="19"/>
  <c r="Y150" i="19"/>
  <c r="W150" i="19"/>
  <c r="C150" i="19" s="1"/>
  <c r="Z150" i="19" s="1"/>
  <c r="O150" i="19"/>
  <c r="X150" i="19" s="1"/>
  <c r="AA149" i="19"/>
  <c r="Y149" i="19"/>
  <c r="W149" i="19"/>
  <c r="C149" i="19" s="1"/>
  <c r="Z149" i="19" s="1"/>
  <c r="O149" i="19"/>
  <c r="X149" i="19" s="1"/>
  <c r="AA148" i="19"/>
  <c r="Y148" i="19"/>
  <c r="W148" i="19"/>
  <c r="C148" i="19" s="1"/>
  <c r="Z148" i="19" s="1"/>
  <c r="V148" i="19"/>
  <c r="O148" i="19"/>
  <c r="AA147" i="19"/>
  <c r="Y147" i="19"/>
  <c r="O147" i="19"/>
  <c r="X147" i="19" s="1"/>
  <c r="C147" i="19"/>
  <c r="Z147" i="19" s="1"/>
  <c r="AA146" i="19"/>
  <c r="Y146" i="19"/>
  <c r="N146" i="19"/>
  <c r="O146" i="19" s="1"/>
  <c r="X146" i="19" s="1"/>
  <c r="C146" i="19"/>
  <c r="Z146" i="19" s="1"/>
  <c r="AA145" i="19"/>
  <c r="Y145" i="19"/>
  <c r="N145" i="19"/>
  <c r="O145" i="19" s="1"/>
  <c r="X145" i="19" s="1"/>
  <c r="C145" i="19"/>
  <c r="Z145" i="19" s="1"/>
  <c r="AA144" i="19"/>
  <c r="Y144" i="19"/>
  <c r="N144" i="19"/>
  <c r="O144" i="19" s="1"/>
  <c r="X144" i="19" s="1"/>
  <c r="C144" i="19"/>
  <c r="Z144" i="19" s="1"/>
  <c r="AA143" i="19"/>
  <c r="Y143" i="19"/>
  <c r="N143" i="19"/>
  <c r="O143" i="19" s="1"/>
  <c r="X143" i="19" s="1"/>
  <c r="C143" i="19"/>
  <c r="Z143" i="19" s="1"/>
  <c r="AA142" i="19"/>
  <c r="Y142" i="19"/>
  <c r="N142" i="19"/>
  <c r="O142" i="19" s="1"/>
  <c r="X142" i="19" s="1"/>
  <c r="C142" i="19"/>
  <c r="Z142" i="19" s="1"/>
  <c r="AA141" i="19"/>
  <c r="Y141" i="19"/>
  <c r="N141" i="19"/>
  <c r="O141" i="19" s="1"/>
  <c r="X141" i="19" s="1"/>
  <c r="C141" i="19"/>
  <c r="Z141" i="19" s="1"/>
  <c r="AA140" i="19"/>
  <c r="Y140" i="19"/>
  <c r="N140" i="19"/>
  <c r="O140" i="19" s="1"/>
  <c r="X140" i="19" s="1"/>
  <c r="C140" i="19"/>
  <c r="Z140" i="19" s="1"/>
  <c r="AA139" i="19"/>
  <c r="Y139" i="19"/>
  <c r="N139" i="19"/>
  <c r="O139" i="19" s="1"/>
  <c r="X139" i="19" s="1"/>
  <c r="C139" i="19"/>
  <c r="Z139" i="19" s="1"/>
  <c r="AA138" i="19"/>
  <c r="Y138" i="19"/>
  <c r="N138" i="19"/>
  <c r="O138" i="19" s="1"/>
  <c r="X138" i="19" s="1"/>
  <c r="C138" i="19"/>
  <c r="Z138" i="19" s="1"/>
  <c r="AA137" i="19"/>
  <c r="Y137" i="19"/>
  <c r="N137" i="19"/>
  <c r="O137" i="19" s="1"/>
  <c r="X137" i="19" s="1"/>
  <c r="C137" i="19"/>
  <c r="Z137" i="19" s="1"/>
  <c r="AA136" i="19"/>
  <c r="Y136" i="19"/>
  <c r="W136" i="19"/>
  <c r="C136" i="19" s="1"/>
  <c r="Z136" i="19" s="1"/>
  <c r="O136" i="19"/>
  <c r="X136" i="19" s="1"/>
  <c r="AA135" i="19"/>
  <c r="Y135" i="19"/>
  <c r="W135" i="19"/>
  <c r="C135" i="19" s="1"/>
  <c r="Z135" i="19" s="1"/>
  <c r="O135" i="19"/>
  <c r="X135" i="19" s="1"/>
  <c r="AA134" i="19"/>
  <c r="Y134" i="19"/>
  <c r="W134" i="19"/>
  <c r="C134" i="19" s="1"/>
  <c r="Z134" i="19" s="1"/>
  <c r="O134" i="19"/>
  <c r="X134" i="19" s="1"/>
  <c r="AA133" i="19"/>
  <c r="Y133" i="19"/>
  <c r="S133" i="19"/>
  <c r="O133" i="19"/>
  <c r="C133" i="19"/>
  <c r="Z133" i="19" s="1"/>
  <c r="AA132" i="19"/>
  <c r="Y132" i="19"/>
  <c r="S132" i="19"/>
  <c r="O132" i="19"/>
  <c r="C132" i="19"/>
  <c r="Z132" i="19" s="1"/>
  <c r="AA131" i="19"/>
  <c r="Y131" i="19"/>
  <c r="N131" i="19"/>
  <c r="O131" i="19" s="1"/>
  <c r="X131" i="19" s="1"/>
  <c r="C131" i="19"/>
  <c r="Z131" i="19" s="1"/>
  <c r="AA130" i="19"/>
  <c r="Y130" i="19"/>
  <c r="V130" i="19"/>
  <c r="N130" i="19"/>
  <c r="O130" i="19" s="1"/>
  <c r="C130" i="19"/>
  <c r="Z130" i="19" s="1"/>
  <c r="AA129" i="19"/>
  <c r="Y129" i="19"/>
  <c r="N129" i="19"/>
  <c r="O129" i="19" s="1"/>
  <c r="X129" i="19" s="1"/>
  <c r="C129" i="19"/>
  <c r="Z129" i="19" s="1"/>
  <c r="AA128" i="19"/>
  <c r="Y128" i="19"/>
  <c r="V128" i="19"/>
  <c r="N128" i="19"/>
  <c r="O128" i="19" s="1"/>
  <c r="C128" i="19"/>
  <c r="Z128" i="19" s="1"/>
  <c r="AA127" i="19"/>
  <c r="Y127" i="19"/>
  <c r="N127" i="19"/>
  <c r="O127" i="19" s="1"/>
  <c r="X127" i="19" s="1"/>
  <c r="C127" i="19"/>
  <c r="Z127" i="19" s="1"/>
  <c r="AA126" i="19"/>
  <c r="Y126" i="19"/>
  <c r="V126" i="19"/>
  <c r="N126" i="19"/>
  <c r="O126" i="19" s="1"/>
  <c r="C126" i="19"/>
  <c r="Z126" i="19" s="1"/>
  <c r="AA125" i="19"/>
  <c r="Y125" i="19"/>
  <c r="N125" i="19"/>
  <c r="O125" i="19" s="1"/>
  <c r="X125" i="19" s="1"/>
  <c r="C125" i="19"/>
  <c r="Z125" i="19" s="1"/>
  <c r="AA124" i="19"/>
  <c r="Y124" i="19"/>
  <c r="V124" i="19"/>
  <c r="N124" i="19"/>
  <c r="O124" i="19" s="1"/>
  <c r="C124" i="19"/>
  <c r="Z124" i="19" s="1"/>
  <c r="AA123" i="19"/>
  <c r="Y123" i="19"/>
  <c r="N123" i="19"/>
  <c r="O123" i="19" s="1"/>
  <c r="X123" i="19" s="1"/>
  <c r="C123" i="19"/>
  <c r="Z123" i="19" s="1"/>
  <c r="AA122" i="19"/>
  <c r="Y122" i="19"/>
  <c r="V122" i="19"/>
  <c r="N122" i="19"/>
  <c r="O122" i="19" s="1"/>
  <c r="C122" i="19"/>
  <c r="Z122" i="19" s="1"/>
  <c r="AA121" i="19"/>
  <c r="Y121" i="19"/>
  <c r="W121" i="19"/>
  <c r="C121" i="19" s="1"/>
  <c r="Z121" i="19" s="1"/>
  <c r="O121" i="19"/>
  <c r="X121" i="19" s="1"/>
  <c r="AA120" i="19"/>
  <c r="Y120" i="19"/>
  <c r="O120" i="19"/>
  <c r="X120" i="19" s="1"/>
  <c r="C120" i="19"/>
  <c r="Z120" i="19" s="1"/>
  <c r="AA119" i="19"/>
  <c r="Y119" i="19"/>
  <c r="O119" i="19"/>
  <c r="X119" i="19" s="1"/>
  <c r="C119" i="19"/>
  <c r="Z119" i="19" s="1"/>
  <c r="AA118" i="19"/>
  <c r="Y118" i="19"/>
  <c r="O118" i="19"/>
  <c r="X118" i="19" s="1"/>
  <c r="C118" i="19"/>
  <c r="Z118" i="19" s="1"/>
  <c r="AA117" i="19"/>
  <c r="Y117" i="19"/>
  <c r="V117" i="19"/>
  <c r="O117" i="19"/>
  <c r="C117" i="19"/>
  <c r="Z117" i="19" s="1"/>
  <c r="Y116" i="19"/>
  <c r="O116" i="19"/>
  <c r="X116" i="19" s="1"/>
  <c r="C116" i="19"/>
  <c r="AA115" i="19"/>
  <c r="Y115" i="19"/>
  <c r="O115" i="19"/>
  <c r="X115" i="19" s="1"/>
  <c r="C115" i="19"/>
  <c r="AA114" i="19"/>
  <c r="Y114" i="19"/>
  <c r="V114" i="19"/>
  <c r="O114" i="19"/>
  <c r="C114" i="19"/>
  <c r="AA113" i="19"/>
  <c r="Y113" i="19"/>
  <c r="W113" i="19"/>
  <c r="C113" i="19" s="1"/>
  <c r="O113" i="19"/>
  <c r="X113" i="19" s="1"/>
  <c r="AA112" i="19"/>
  <c r="Y112" i="19"/>
  <c r="O112" i="19"/>
  <c r="X112" i="19" s="1"/>
  <c r="C112" i="19"/>
  <c r="AA111" i="19"/>
  <c r="Y111" i="19"/>
  <c r="O111" i="19"/>
  <c r="X111" i="19" s="1"/>
  <c r="C111" i="19"/>
  <c r="Y110" i="19"/>
  <c r="N110" i="19"/>
  <c r="O110" i="19" s="1"/>
  <c r="X110" i="19" s="1"/>
  <c r="C110" i="19"/>
  <c r="Y109" i="19"/>
  <c r="N109" i="19"/>
  <c r="O109" i="19" s="1"/>
  <c r="X109" i="19" s="1"/>
  <c r="C109" i="19"/>
  <c r="Y108" i="19"/>
  <c r="N108" i="19"/>
  <c r="O108" i="19" s="1"/>
  <c r="X108" i="19" s="1"/>
  <c r="C108" i="19"/>
  <c r="Y107" i="19"/>
  <c r="N107" i="19"/>
  <c r="O107" i="19" s="1"/>
  <c r="X107" i="19" s="1"/>
  <c r="C107" i="19"/>
  <c r="Y106" i="19"/>
  <c r="N106" i="19"/>
  <c r="O106" i="19" s="1"/>
  <c r="X106" i="19" s="1"/>
  <c r="C106" i="19"/>
  <c r="Y105" i="19"/>
  <c r="N105" i="19"/>
  <c r="O105" i="19" s="1"/>
  <c r="X105" i="19" s="1"/>
  <c r="C105" i="19"/>
  <c r="Y104" i="19"/>
  <c r="N104" i="19"/>
  <c r="O104" i="19" s="1"/>
  <c r="X104" i="19" s="1"/>
  <c r="C104" i="19"/>
  <c r="Y103" i="19"/>
  <c r="N103" i="19"/>
  <c r="O103" i="19" s="1"/>
  <c r="X103" i="19" s="1"/>
  <c r="C103" i="19"/>
  <c r="Y102" i="19"/>
  <c r="N102" i="19"/>
  <c r="O102" i="19" s="1"/>
  <c r="X102" i="19" s="1"/>
  <c r="C102" i="19"/>
  <c r="Y101" i="19"/>
  <c r="N101" i="19"/>
  <c r="O101" i="19" s="1"/>
  <c r="X101" i="19" s="1"/>
  <c r="C101" i="19"/>
  <c r="AA100" i="19"/>
  <c r="Y100" i="19"/>
  <c r="W100" i="19"/>
  <c r="C100" i="19" s="1"/>
  <c r="AA99" i="19"/>
  <c r="Y99" i="19"/>
  <c r="W99" i="19"/>
  <c r="C99" i="19" s="1"/>
  <c r="Y98" i="19"/>
  <c r="O98" i="19"/>
  <c r="X98" i="19" s="1"/>
  <c r="C98" i="19"/>
  <c r="AA97" i="19"/>
  <c r="Y97" i="19"/>
  <c r="W97" i="19"/>
  <c r="C97" i="19" s="1"/>
  <c r="O97" i="19"/>
  <c r="X97" i="19" s="1"/>
  <c r="AA96" i="19"/>
  <c r="Y96" i="19"/>
  <c r="W96" i="19"/>
  <c r="C96" i="19" s="1"/>
  <c r="O96" i="19"/>
  <c r="X96" i="19" s="1"/>
  <c r="Y95" i="19"/>
  <c r="O95" i="19"/>
  <c r="X95" i="19" s="1"/>
  <c r="C95" i="19"/>
  <c r="Y94" i="19"/>
  <c r="O94" i="19"/>
  <c r="C94" i="19"/>
  <c r="AA93" i="19"/>
  <c r="Y93" i="19"/>
  <c r="W93" i="19"/>
  <c r="C93" i="19" s="1"/>
  <c r="O93" i="19"/>
  <c r="X93" i="19" s="1"/>
  <c r="AA92" i="19"/>
  <c r="Y92" i="19"/>
  <c r="W92" i="19"/>
  <c r="C92" i="19" s="1"/>
  <c r="V92" i="19"/>
  <c r="O92" i="19"/>
  <c r="Y91" i="19"/>
  <c r="O91" i="19"/>
  <c r="X91" i="19" s="1"/>
  <c r="C91" i="19"/>
  <c r="Y90" i="19"/>
  <c r="V90" i="19"/>
  <c r="O90" i="19"/>
  <c r="C90" i="19"/>
  <c r="C89" i="19"/>
  <c r="C88" i="19"/>
  <c r="AA87" i="19"/>
  <c r="W87" i="19"/>
  <c r="C87" i="19" s="1"/>
  <c r="AA86" i="19"/>
  <c r="W86" i="19"/>
  <c r="C86" i="19" s="1"/>
  <c r="V86" i="19"/>
  <c r="X86" i="19" s="1"/>
  <c r="C85" i="19"/>
  <c r="V84" i="19"/>
  <c r="X84" i="19" s="1"/>
  <c r="C84" i="19"/>
  <c r="Y83" i="19"/>
  <c r="O83" i="19"/>
  <c r="X83" i="19" s="1"/>
  <c r="C83" i="19"/>
  <c r="Y82" i="19"/>
  <c r="V82" i="19"/>
  <c r="O82" i="19"/>
  <c r="C82" i="19"/>
  <c r="Y81" i="19"/>
  <c r="V81" i="19"/>
  <c r="O81" i="19"/>
  <c r="C81" i="19"/>
  <c r="AA80" i="19"/>
  <c r="Y80" i="19"/>
  <c r="W80" i="19"/>
  <c r="C80" i="19" s="1"/>
  <c r="O80" i="19"/>
  <c r="X80" i="19" s="1"/>
  <c r="AA79" i="19"/>
  <c r="Y79" i="19"/>
  <c r="W79" i="19"/>
  <c r="C79" i="19" s="1"/>
  <c r="O79" i="19"/>
  <c r="X79" i="19" s="1"/>
  <c r="Y78" i="19"/>
  <c r="N78" i="19"/>
  <c r="O78" i="19" s="1"/>
  <c r="X78" i="19" s="1"/>
  <c r="C78" i="19"/>
  <c r="Y77" i="19"/>
  <c r="N77" i="19"/>
  <c r="O77" i="19" s="1"/>
  <c r="X77" i="19" s="1"/>
  <c r="C77" i="19"/>
  <c r="Y76" i="19"/>
  <c r="N76" i="19"/>
  <c r="O76" i="19" s="1"/>
  <c r="X76" i="19" s="1"/>
  <c r="C76" i="19"/>
  <c r="Y75" i="19"/>
  <c r="N75" i="19"/>
  <c r="O75" i="19" s="1"/>
  <c r="X75" i="19" s="1"/>
  <c r="C75" i="19"/>
  <c r="Y74" i="19"/>
  <c r="N74" i="19"/>
  <c r="O74" i="19" s="1"/>
  <c r="X74" i="19" s="1"/>
  <c r="C74" i="19"/>
  <c r="Y73" i="19"/>
  <c r="N73" i="19"/>
  <c r="O73" i="19" s="1"/>
  <c r="X73" i="19" s="1"/>
  <c r="C73" i="19"/>
  <c r="Y72" i="19"/>
  <c r="N72" i="19"/>
  <c r="O72" i="19" s="1"/>
  <c r="X72" i="19" s="1"/>
  <c r="C72" i="19"/>
  <c r="Y71" i="19"/>
  <c r="N71" i="19"/>
  <c r="O71" i="19" s="1"/>
  <c r="X71" i="19" s="1"/>
  <c r="C71" i="19"/>
  <c r="Y70" i="19"/>
  <c r="N70" i="19"/>
  <c r="O70" i="19" s="1"/>
  <c r="X70" i="19" s="1"/>
  <c r="C70" i="19"/>
  <c r="Y69" i="19"/>
  <c r="N69" i="19"/>
  <c r="O69" i="19" s="1"/>
  <c r="X69" i="19" s="1"/>
  <c r="C69" i="19"/>
  <c r="AA68" i="19"/>
  <c r="Y68" i="19"/>
  <c r="C68" i="19"/>
  <c r="Y67" i="19"/>
  <c r="C67" i="19"/>
  <c r="Y66" i="19"/>
  <c r="C66" i="19"/>
  <c r="Y65" i="19"/>
  <c r="V65" i="19"/>
  <c r="X65" i="19" s="1"/>
  <c r="C65" i="19"/>
  <c r="Y64" i="19"/>
  <c r="O64" i="19"/>
  <c r="X64" i="19" s="1"/>
  <c r="C64" i="19"/>
  <c r="Y63" i="19"/>
  <c r="V63" i="19"/>
  <c r="O63" i="19"/>
  <c r="C63" i="19"/>
  <c r="AA62" i="19"/>
  <c r="Z62" i="19" s="1"/>
  <c r="Y62" i="19"/>
  <c r="W62" i="19"/>
  <c r="C62" i="19" s="1"/>
  <c r="O62" i="19"/>
  <c r="X62" i="19" s="1"/>
  <c r="AA61" i="19"/>
  <c r="Z61" i="19" s="1"/>
  <c r="Y61" i="19"/>
  <c r="V61" i="19"/>
  <c r="O61" i="19"/>
  <c r="C61" i="19"/>
  <c r="AA60" i="19"/>
  <c r="Z60" i="19" s="1"/>
  <c r="Y60" i="19"/>
  <c r="O60" i="19"/>
  <c r="X60" i="19" s="1"/>
  <c r="C60" i="19"/>
  <c r="AA59" i="19"/>
  <c r="Z59" i="19" s="1"/>
  <c r="Y59" i="19"/>
  <c r="O59" i="19"/>
  <c r="X59" i="19" s="1"/>
  <c r="C59" i="19"/>
  <c r="AA58" i="19"/>
  <c r="Z58" i="19" s="1"/>
  <c r="Y58" i="19"/>
  <c r="O58" i="19"/>
  <c r="X58" i="19" s="1"/>
  <c r="C58" i="19"/>
  <c r="AA57" i="19"/>
  <c r="Z57" i="19" s="1"/>
  <c r="Y57" i="19"/>
  <c r="V57" i="19"/>
  <c r="O57" i="19"/>
  <c r="C57" i="19"/>
  <c r="Z56" i="19"/>
  <c r="Y56" i="19"/>
  <c r="N56" i="19"/>
  <c r="O56" i="19" s="1"/>
  <c r="X56" i="19" s="1"/>
  <c r="C56" i="19"/>
  <c r="Z55" i="19"/>
  <c r="Y55" i="19"/>
  <c r="N55" i="19"/>
  <c r="O55" i="19" s="1"/>
  <c r="X55" i="19" s="1"/>
  <c r="C55" i="19"/>
  <c r="Z54" i="19"/>
  <c r="Y54" i="19"/>
  <c r="N54" i="19"/>
  <c r="O54" i="19" s="1"/>
  <c r="X54" i="19" s="1"/>
  <c r="C54" i="19"/>
  <c r="Z53" i="19"/>
  <c r="Y53" i="19"/>
  <c r="N53" i="19"/>
  <c r="O53" i="19" s="1"/>
  <c r="X53" i="19" s="1"/>
  <c r="C53" i="19"/>
  <c r="Z52" i="19"/>
  <c r="Y52" i="19"/>
  <c r="N52" i="19"/>
  <c r="O52" i="19" s="1"/>
  <c r="X52" i="19" s="1"/>
  <c r="C52" i="19"/>
  <c r="Z51" i="19"/>
  <c r="Y51" i="19"/>
  <c r="N51" i="19"/>
  <c r="O51" i="19" s="1"/>
  <c r="X51" i="19" s="1"/>
  <c r="C51" i="19"/>
  <c r="Z50" i="19"/>
  <c r="Y50" i="19"/>
  <c r="N50" i="19"/>
  <c r="O50" i="19" s="1"/>
  <c r="X50" i="19" s="1"/>
  <c r="C50" i="19"/>
  <c r="Z49" i="19"/>
  <c r="Y49" i="19"/>
  <c r="N49" i="19"/>
  <c r="O49" i="19" s="1"/>
  <c r="X49" i="19" s="1"/>
  <c r="C49" i="19"/>
  <c r="Z48" i="19"/>
  <c r="Y48" i="19"/>
  <c r="N48" i="19"/>
  <c r="O48" i="19" s="1"/>
  <c r="X48" i="19" s="1"/>
  <c r="C48" i="19"/>
  <c r="Z47" i="19"/>
  <c r="Y47" i="19"/>
  <c r="N47" i="19"/>
  <c r="O47" i="19" s="1"/>
  <c r="X47" i="19" s="1"/>
  <c r="C47" i="19"/>
  <c r="AA46" i="19"/>
  <c r="Z46" i="19" s="1"/>
  <c r="Y46" i="19"/>
  <c r="W46" i="19"/>
  <c r="C46" i="19" s="1"/>
  <c r="V46" i="19"/>
  <c r="O46" i="19"/>
  <c r="AA45" i="19"/>
  <c r="Z45" i="19" s="1"/>
  <c r="Y45" i="19"/>
  <c r="S45" i="19"/>
  <c r="O45" i="19"/>
  <c r="C45" i="19"/>
  <c r="AA44" i="19"/>
  <c r="Z44" i="19" s="1"/>
  <c r="Y44" i="19"/>
  <c r="S44" i="19"/>
  <c r="O44" i="19"/>
  <c r="C44" i="19"/>
  <c r="AA43" i="19"/>
  <c r="Z43" i="19" s="1"/>
  <c r="Y43" i="19"/>
  <c r="S43" i="19"/>
  <c r="O43" i="19"/>
  <c r="C43" i="19"/>
  <c r="AA42" i="19"/>
  <c r="Z42" i="19" s="1"/>
  <c r="Y42" i="19"/>
  <c r="O42" i="19"/>
  <c r="X42" i="19" s="1"/>
  <c r="C42" i="19"/>
  <c r="AA41" i="19"/>
  <c r="Z41" i="19" s="1"/>
  <c r="Y41" i="19"/>
  <c r="V41" i="19"/>
  <c r="O41" i="19"/>
  <c r="C41" i="19"/>
  <c r="AA40" i="19"/>
  <c r="Z40" i="19" s="1"/>
  <c r="Y40" i="19"/>
  <c r="O40" i="19"/>
  <c r="X40" i="19" s="1"/>
  <c r="C40" i="19"/>
  <c r="AA39" i="19"/>
  <c r="Z39" i="19" s="1"/>
  <c r="Y39" i="19"/>
  <c r="V39" i="19"/>
  <c r="O39" i="19"/>
  <c r="C39" i="19"/>
  <c r="Z38" i="19"/>
  <c r="Y38" i="19"/>
  <c r="W38" i="19"/>
  <c r="C38" i="19" s="1"/>
  <c r="N38" i="19"/>
  <c r="O38" i="19" s="1"/>
  <c r="X38" i="19" s="1"/>
  <c r="Z37" i="19"/>
  <c r="Y37" i="19"/>
  <c r="W37" i="19"/>
  <c r="C37" i="19" s="1"/>
  <c r="N37" i="19"/>
  <c r="O37" i="19" s="1"/>
  <c r="X37" i="19" s="1"/>
  <c r="Z36" i="19"/>
  <c r="Y36" i="19"/>
  <c r="W36" i="19"/>
  <c r="C36" i="19" s="1"/>
  <c r="N36" i="19"/>
  <c r="O36" i="19" s="1"/>
  <c r="X36" i="19" s="1"/>
  <c r="Z35" i="19"/>
  <c r="Y35" i="19"/>
  <c r="W35" i="19"/>
  <c r="C35" i="19" s="1"/>
  <c r="N35" i="19"/>
  <c r="O35" i="19" s="1"/>
  <c r="X35" i="19" s="1"/>
  <c r="Z34" i="19"/>
  <c r="Y34" i="19"/>
  <c r="W34" i="19"/>
  <c r="C34" i="19" s="1"/>
  <c r="Q34" i="19"/>
  <c r="N34" i="19"/>
  <c r="O34" i="19" s="1"/>
  <c r="X34" i="19" s="1"/>
  <c r="Z33" i="19"/>
  <c r="Y33" i="19"/>
  <c r="W33" i="19"/>
  <c r="C33" i="19" s="1"/>
  <c r="Q33" i="19"/>
  <c r="N33" i="19"/>
  <c r="O33" i="19" s="1"/>
  <c r="X33" i="19" s="1"/>
  <c r="Z32" i="19"/>
  <c r="Y32" i="19"/>
  <c r="W32" i="19"/>
  <c r="C32" i="19" s="1"/>
  <c r="Q32" i="19"/>
  <c r="N32" i="19"/>
  <c r="O32" i="19" s="1"/>
  <c r="X32" i="19" s="1"/>
  <c r="Z31" i="19"/>
  <c r="Y31" i="19"/>
  <c r="W31" i="19"/>
  <c r="C31" i="19" s="1"/>
  <c r="Q31" i="19"/>
  <c r="N31" i="19"/>
  <c r="O31" i="19" s="1"/>
  <c r="X31" i="19" s="1"/>
  <c r="Z30" i="19"/>
  <c r="Y30" i="19"/>
  <c r="W30" i="19"/>
  <c r="C30" i="19" s="1"/>
  <c r="Q30" i="19"/>
  <c r="N30" i="19"/>
  <c r="O30" i="19" s="1"/>
  <c r="X30" i="19" s="1"/>
  <c r="Z29" i="19"/>
  <c r="Y29" i="19"/>
  <c r="W29" i="19"/>
  <c r="C29" i="19" s="1"/>
  <c r="Q29" i="19"/>
  <c r="N29" i="19"/>
  <c r="O29" i="19" s="1"/>
  <c r="X29" i="19" s="1"/>
  <c r="Q28" i="19"/>
  <c r="O28" i="19"/>
  <c r="X28" i="19" s="1"/>
  <c r="M28" i="19"/>
  <c r="Y28" i="19" s="1"/>
  <c r="C28" i="19"/>
  <c r="V27" i="19"/>
  <c r="Q27" i="19"/>
  <c r="O27" i="19"/>
  <c r="M27" i="19"/>
  <c r="Y27" i="19" s="1"/>
  <c r="C27" i="19"/>
  <c r="Q26" i="19"/>
  <c r="O26" i="19"/>
  <c r="K26" i="19"/>
  <c r="Y26" i="19" s="1"/>
  <c r="C26" i="19"/>
  <c r="O25" i="19"/>
  <c r="K25" i="19"/>
  <c r="Y25" i="19" s="1"/>
  <c r="C25" i="19"/>
  <c r="K24" i="19"/>
  <c r="S24" i="19" s="1"/>
  <c r="X24" i="19" s="1"/>
  <c r="C24" i="19"/>
  <c r="K23" i="19"/>
  <c r="S23" i="19" s="1"/>
  <c r="X23" i="19" s="1"/>
  <c r="C23" i="19"/>
  <c r="Q22" i="19"/>
  <c r="K22" i="19"/>
  <c r="N22" i="19" s="1"/>
  <c r="C22" i="19"/>
  <c r="Q21" i="19"/>
  <c r="K21" i="19"/>
  <c r="N21" i="19" s="1"/>
  <c r="C21" i="19"/>
  <c r="Q20" i="19"/>
  <c r="K20" i="19"/>
  <c r="N20" i="19" s="1"/>
  <c r="C20" i="19"/>
  <c r="Q19" i="19"/>
  <c r="K19" i="19"/>
  <c r="N19" i="19" s="1"/>
  <c r="C19" i="19"/>
  <c r="Q18" i="19"/>
  <c r="O18" i="19"/>
  <c r="X18" i="19" s="1"/>
  <c r="M18" i="19"/>
  <c r="Y18" i="19" s="1"/>
  <c r="C18" i="19"/>
  <c r="V17" i="19"/>
  <c r="Q17" i="19"/>
  <c r="O17" i="19"/>
  <c r="M17" i="19"/>
  <c r="Y17" i="19" s="1"/>
  <c r="C17" i="19"/>
  <c r="Q16" i="19"/>
  <c r="K16" i="19"/>
  <c r="N16" i="19" s="1"/>
  <c r="C16" i="19"/>
  <c r="Q15" i="19"/>
  <c r="O15" i="19"/>
  <c r="X15" i="19" s="1"/>
  <c r="K15" i="19"/>
  <c r="C15" i="19"/>
  <c r="Q14" i="19"/>
  <c r="K14" i="19"/>
  <c r="N14" i="19" s="1"/>
  <c r="C14" i="19"/>
  <c r="Q13" i="19"/>
  <c r="O13" i="19"/>
  <c r="X13" i="19" s="1"/>
  <c r="K13" i="19"/>
  <c r="C13" i="19"/>
  <c r="Q12" i="19"/>
  <c r="K12" i="19"/>
  <c r="N12" i="19" s="1"/>
  <c r="C12" i="19"/>
  <c r="Q11" i="19"/>
  <c r="K11" i="19"/>
  <c r="N11" i="19" s="1"/>
  <c r="C11" i="19"/>
  <c r="Q10" i="19"/>
  <c r="K10" i="19"/>
  <c r="N10" i="19" s="1"/>
  <c r="C10" i="19"/>
  <c r="Q9" i="19"/>
  <c r="K9" i="19"/>
  <c r="N9" i="19" s="1"/>
  <c r="C9" i="19"/>
  <c r="Q8" i="19"/>
  <c r="O8" i="19"/>
  <c r="X8" i="19" s="1"/>
  <c r="M8" i="19"/>
  <c r="Y8" i="19" s="1"/>
  <c r="C8" i="19"/>
  <c r="V7" i="19"/>
  <c r="Q7" i="19"/>
  <c r="O7" i="19"/>
  <c r="M7" i="19"/>
  <c r="Y7" i="19" s="1"/>
  <c r="C7" i="19"/>
  <c r="V6" i="19"/>
  <c r="O6" i="19"/>
  <c r="M6" i="19"/>
  <c r="Y6" i="19" s="1"/>
  <c r="C6" i="19"/>
  <c r="O5" i="19"/>
  <c r="X5" i="19" s="1"/>
  <c r="M5" i="19"/>
  <c r="Y5" i="19" s="1"/>
  <c r="C5" i="19"/>
  <c r="O4" i="19"/>
  <c r="X4" i="19" s="1"/>
  <c r="M4" i="19"/>
  <c r="Y4" i="19" s="1"/>
  <c r="C4" i="19"/>
  <c r="V3" i="19"/>
  <c r="O3" i="19"/>
  <c r="M3" i="19"/>
  <c r="Y3" i="19" s="1"/>
  <c r="C3" i="19"/>
  <c r="Y2" i="19"/>
  <c r="V2" i="19"/>
  <c r="O2" i="19"/>
  <c r="C2" i="19"/>
  <c r="X272" i="19" l="1"/>
  <c r="X303" i="19"/>
  <c r="X200" i="19"/>
  <c r="X205" i="19"/>
  <c r="X206" i="19"/>
  <c r="X285" i="19"/>
  <c r="X343" i="19"/>
  <c r="X218" i="19"/>
  <c r="X278" i="19"/>
  <c r="X309" i="19"/>
  <c r="X182" i="19"/>
  <c r="X17" i="19"/>
  <c r="X27" i="19"/>
  <c r="X187" i="19"/>
  <c r="X346" i="19"/>
  <c r="X257" i="19"/>
  <c r="X308" i="19"/>
  <c r="X322" i="19"/>
  <c r="X345" i="19"/>
  <c r="X39" i="19"/>
  <c r="X45" i="19"/>
  <c r="X46" i="19"/>
  <c r="X90" i="19"/>
  <c r="X126" i="19"/>
  <c r="X133" i="19"/>
  <c r="X148" i="19"/>
  <c r="X43" i="19"/>
  <c r="X275" i="19"/>
  <c r="X287" i="19"/>
  <c r="X316" i="19"/>
  <c r="X363" i="19"/>
  <c r="X247" i="19"/>
  <c r="X300" i="19"/>
  <c r="X329" i="19"/>
  <c r="X360" i="19"/>
  <c r="X366" i="19"/>
  <c r="X403" i="19"/>
  <c r="X7" i="19"/>
  <c r="X6" i="19"/>
  <c r="X44" i="19"/>
  <c r="X61" i="19"/>
  <c r="X81" i="19"/>
  <c r="X82" i="19"/>
  <c r="X124" i="19"/>
  <c r="X132" i="19"/>
  <c r="X201" i="19"/>
  <c r="X231" i="19"/>
  <c r="X246" i="19"/>
  <c r="X276" i="19"/>
  <c r="X288" i="19"/>
  <c r="X304" i="19"/>
  <c r="X311" i="19"/>
  <c r="X317" i="19"/>
  <c r="X327" i="19"/>
  <c r="X349" i="19"/>
  <c r="X365" i="19"/>
  <c r="X271" i="19"/>
  <c r="X305" i="19"/>
  <c r="X319" i="19"/>
  <c r="V94" i="19"/>
  <c r="X94" i="19" s="1"/>
  <c r="X63" i="19"/>
  <c r="X3" i="19"/>
  <c r="X41" i="19"/>
  <c r="X114" i="19"/>
  <c r="X117" i="19"/>
  <c r="X128" i="19"/>
  <c r="X256" i="19"/>
  <c r="X306" i="19"/>
  <c r="X320" i="19"/>
  <c r="X325" i="19"/>
  <c r="X361" i="19"/>
  <c r="X407" i="19"/>
  <c r="X57" i="19"/>
  <c r="X92" i="19"/>
  <c r="X122" i="19"/>
  <c r="X130" i="19"/>
  <c r="X307" i="19"/>
  <c r="X326" i="19"/>
  <c r="X342" i="19"/>
  <c r="X411" i="19"/>
  <c r="X478" i="19"/>
  <c r="X479" i="19"/>
  <c r="X476" i="19"/>
  <c r="X477" i="19"/>
  <c r="X465" i="19"/>
  <c r="X528" i="19"/>
  <c r="X464" i="19"/>
  <c r="X413" i="19"/>
  <c r="X2" i="19"/>
  <c r="Y24" i="19"/>
  <c r="Y23" i="19"/>
  <c r="Z536" i="19"/>
  <c r="Z538" i="19"/>
  <c r="Z540" i="19"/>
  <c r="Z542" i="19"/>
  <c r="Z544" i="19"/>
  <c r="Z546" i="19"/>
  <c r="Z548" i="19"/>
  <c r="Z550" i="19"/>
  <c r="Z556" i="19"/>
  <c r="Z562" i="19"/>
  <c r="Z521" i="19"/>
  <c r="Z523" i="19"/>
  <c r="Z525" i="19"/>
  <c r="Z530" i="19"/>
  <c r="Z532" i="19"/>
  <c r="Z516" i="19"/>
  <c r="Z520" i="19"/>
  <c r="Z524" i="19"/>
  <c r="Z539" i="19"/>
  <c r="Z541" i="19"/>
  <c r="Z545" i="19"/>
  <c r="Z549" i="19"/>
  <c r="Z553" i="19"/>
  <c r="Z561" i="19"/>
  <c r="Z522" i="19"/>
  <c r="Z526" i="19"/>
  <c r="Z537" i="19"/>
  <c r="Z543" i="19"/>
  <c r="Z547" i="19"/>
  <c r="Z551" i="19"/>
  <c r="Z555" i="19"/>
  <c r="Z514" i="19"/>
  <c r="Z482" i="19"/>
  <c r="Z484" i="19"/>
  <c r="Z486" i="19"/>
  <c r="Z498" i="19"/>
  <c r="Z500" i="19"/>
  <c r="Z502" i="19"/>
  <c r="Z506" i="19"/>
  <c r="Z483" i="19"/>
  <c r="Z485" i="19"/>
  <c r="Z497" i="19"/>
  <c r="Z499" i="19"/>
  <c r="Z517" i="19"/>
  <c r="Z531" i="19"/>
  <c r="Z414" i="19"/>
  <c r="Z509" i="19"/>
  <c r="Z510" i="19"/>
  <c r="Z513" i="19"/>
  <c r="N23" i="19"/>
  <c r="N24" i="19"/>
  <c r="Z487" i="19"/>
  <c r="Z488" i="19"/>
  <c r="Z494" i="19"/>
  <c r="Z518" i="19"/>
  <c r="Z519" i="19"/>
  <c r="N15" i="19"/>
  <c r="Z503" i="19"/>
  <c r="Z399" i="19"/>
  <c r="Z448" i="19"/>
  <c r="N25" i="19"/>
  <c r="Z515" i="19"/>
  <c r="S25" i="19"/>
  <c r="X25" i="19" s="1"/>
  <c r="N13" i="19"/>
  <c r="Z481" i="19"/>
  <c r="Z489" i="19"/>
  <c r="Z504" i="19"/>
  <c r="Z557" i="19"/>
  <c r="N26" i="19"/>
  <c r="Z490" i="19"/>
  <c r="Z491" i="19"/>
  <c r="Z492" i="19"/>
  <c r="Z493" i="19"/>
  <c r="Z505" i="19"/>
  <c r="Z511" i="19"/>
  <c r="Z512" i="19"/>
  <c r="Z558" i="19"/>
  <c r="Z559" i="19"/>
  <c r="Z560" i="19"/>
  <c r="Z495" i="19"/>
  <c r="Z496" i="19"/>
  <c r="Z501" i="19"/>
  <c r="S26" i="19"/>
  <c r="X26" i="19" s="1"/>
  <c r="Q94" i="6" l="1"/>
  <c r="P94" i="6"/>
  <c r="R94" i="6" s="1"/>
  <c r="Q119" i="6"/>
  <c r="P119" i="6"/>
  <c r="R119" i="6" s="1"/>
  <c r="R118" i="8"/>
  <c r="Q118" i="8"/>
  <c r="R116" i="8"/>
  <c r="Q116" i="8"/>
  <c r="R114" i="8"/>
  <c r="Q114" i="8"/>
  <c r="R112" i="8"/>
  <c r="Q112" i="8"/>
  <c r="R110" i="8"/>
  <c r="Q110" i="8"/>
  <c r="R109" i="8"/>
  <c r="Q109" i="8"/>
  <c r="R108" i="8"/>
  <c r="Q108" i="8"/>
  <c r="Q107" i="8"/>
  <c r="P107" i="8"/>
  <c r="R107" i="8" s="1"/>
  <c r="Q104" i="8"/>
  <c r="H104" i="8"/>
  <c r="R104" i="8" s="1"/>
  <c r="Q103" i="8"/>
  <c r="H103" i="8"/>
  <c r="R103" i="8" s="1"/>
  <c r="Q102" i="8"/>
  <c r="H102" i="8"/>
  <c r="R102" i="8" s="1"/>
  <c r="Q101" i="8"/>
  <c r="H101" i="8"/>
  <c r="R101" i="8" s="1"/>
  <c r="H100" i="8"/>
  <c r="J100" i="8" s="1"/>
  <c r="H99" i="8"/>
  <c r="J99" i="8" s="1"/>
  <c r="H98" i="8"/>
  <c r="J98" i="8" s="1"/>
  <c r="H97" i="8"/>
  <c r="J97" i="8" s="1"/>
  <c r="Q96" i="8"/>
  <c r="P96" i="8"/>
  <c r="R96" i="8" s="1"/>
  <c r="Q95" i="8"/>
  <c r="P95" i="8"/>
  <c r="R95" i="8" s="1"/>
  <c r="H94" i="8"/>
  <c r="J94" i="8" s="1"/>
  <c r="H93" i="8"/>
  <c r="J93" i="8" s="1"/>
  <c r="H92" i="8"/>
  <c r="J92" i="8" s="1"/>
  <c r="H91" i="8"/>
  <c r="J91" i="8" s="1"/>
  <c r="H90" i="8"/>
  <c r="J90" i="8" s="1"/>
  <c r="Q89" i="8"/>
  <c r="H89" i="8"/>
  <c r="H88" i="8"/>
  <c r="J88" i="8" s="1"/>
  <c r="Q87" i="8"/>
  <c r="H87" i="8"/>
  <c r="Q86" i="8"/>
  <c r="P86" i="8"/>
  <c r="R86" i="8" s="1"/>
  <c r="Q85" i="8"/>
  <c r="P85" i="8"/>
  <c r="R85" i="8" s="1"/>
  <c r="Q84" i="8"/>
  <c r="P84" i="8"/>
  <c r="R84" i="8" s="1"/>
  <c r="Q83" i="8"/>
  <c r="P83" i="8"/>
  <c r="R83" i="8" s="1"/>
  <c r="Q82" i="8"/>
  <c r="P82" i="8"/>
  <c r="R82" i="8" s="1"/>
  <c r="Q81" i="8"/>
  <c r="P81" i="8"/>
  <c r="R81" i="8" s="1"/>
  <c r="R80" i="8"/>
  <c r="Q80" i="8"/>
  <c r="R79" i="8"/>
  <c r="Q79" i="8"/>
  <c r="Q78" i="8"/>
  <c r="Q77" i="8"/>
  <c r="P77" i="8"/>
  <c r="R77" i="8" s="1"/>
  <c r="Q76" i="8"/>
  <c r="P76" i="8"/>
  <c r="R76" i="8" s="1"/>
  <c r="Q75" i="8"/>
  <c r="P75" i="8"/>
  <c r="R75" i="8" s="1"/>
  <c r="Q74" i="8"/>
  <c r="P74" i="8"/>
  <c r="R74" i="8" s="1"/>
  <c r="Q73" i="8"/>
  <c r="P73" i="8"/>
  <c r="R73" i="8" s="1"/>
  <c r="Q72" i="8"/>
  <c r="P72" i="8"/>
  <c r="R72" i="8" s="1"/>
  <c r="Q71" i="8"/>
  <c r="P71" i="8"/>
  <c r="R71" i="8" s="1"/>
  <c r="R70" i="8"/>
  <c r="J70" i="8"/>
  <c r="Q70" i="8" s="1"/>
  <c r="R69" i="8"/>
  <c r="J69" i="8"/>
  <c r="Q69" i="8" s="1"/>
  <c r="R68" i="8"/>
  <c r="J68" i="8"/>
  <c r="Q68" i="8" s="1"/>
  <c r="R67" i="8"/>
  <c r="J67" i="8"/>
  <c r="Q67" i="8" s="1"/>
  <c r="R66" i="8"/>
  <c r="J66" i="8"/>
  <c r="Q66" i="8" s="1"/>
  <c r="Q65" i="8"/>
  <c r="P65" i="8"/>
  <c r="R65" i="8" s="1"/>
  <c r="R64" i="8"/>
  <c r="J64" i="8"/>
  <c r="Q64" i="8" s="1"/>
  <c r="R63" i="8"/>
  <c r="J63" i="8"/>
  <c r="Q63" i="8" s="1"/>
  <c r="Q62" i="8"/>
  <c r="P62" i="8"/>
  <c r="R62" i="8" s="1"/>
  <c r="Q61" i="8"/>
  <c r="P61" i="8"/>
  <c r="R61" i="8" s="1"/>
  <c r="Q60" i="8"/>
  <c r="P60" i="8"/>
  <c r="R60" i="8" s="1"/>
  <c r="P59" i="8"/>
  <c r="R59" i="8" s="1"/>
  <c r="R58" i="8"/>
  <c r="Q58" i="8"/>
  <c r="Q57" i="8"/>
  <c r="P57" i="8"/>
  <c r="R57" i="8" s="1"/>
  <c r="Q56" i="8"/>
  <c r="P56" i="8"/>
  <c r="R56" i="8" s="1"/>
  <c r="Q55" i="8"/>
  <c r="P55" i="8"/>
  <c r="R55" i="8" s="1"/>
  <c r="Q54" i="8"/>
  <c r="P54" i="8"/>
  <c r="R54" i="8" s="1"/>
  <c r="Q53" i="8"/>
  <c r="P53" i="8"/>
  <c r="R53" i="8" s="1"/>
  <c r="Q52" i="8"/>
  <c r="P52" i="8"/>
  <c r="R52" i="8" s="1"/>
  <c r="R51" i="8"/>
  <c r="Q51" i="8"/>
  <c r="R50" i="8"/>
  <c r="Q50" i="8"/>
  <c r="O50" i="8"/>
  <c r="Q49" i="8"/>
  <c r="O49" i="8"/>
  <c r="Q48" i="8"/>
  <c r="O48" i="8"/>
  <c r="Q47" i="8"/>
  <c r="O47" i="8"/>
  <c r="Q46" i="8"/>
  <c r="O46" i="8"/>
  <c r="Q45" i="8"/>
  <c r="O45" i="8"/>
  <c r="R44" i="8"/>
  <c r="Q44" i="8"/>
  <c r="O44" i="8"/>
  <c r="R43" i="8"/>
  <c r="S43" i="8" s="1"/>
  <c r="Q43" i="8"/>
  <c r="O43" i="8"/>
  <c r="R42" i="8"/>
  <c r="Q42" i="8"/>
  <c r="O42" i="8"/>
  <c r="R41" i="8"/>
  <c r="Q41" i="8"/>
  <c r="R40" i="8"/>
  <c r="Q40" i="8"/>
  <c r="R39" i="8"/>
  <c r="Q39" i="8"/>
  <c r="Q38" i="8"/>
  <c r="Q37" i="8"/>
  <c r="O37" i="8"/>
  <c r="N37" i="8"/>
  <c r="Q36" i="8"/>
  <c r="N36" i="8"/>
  <c r="Q35" i="8"/>
  <c r="O35" i="8"/>
  <c r="N35" i="8"/>
  <c r="Q34" i="8"/>
  <c r="N34" i="8"/>
  <c r="Q33" i="8"/>
  <c r="O33" i="8"/>
  <c r="Q32" i="8"/>
  <c r="O32" i="8"/>
  <c r="Q31" i="8"/>
  <c r="O31" i="8"/>
  <c r="Q30" i="8"/>
  <c r="O30" i="8"/>
  <c r="Q29" i="8"/>
  <c r="N29" i="8"/>
  <c r="Q28" i="8"/>
  <c r="N28" i="8"/>
  <c r="Q27" i="8"/>
  <c r="O27" i="8"/>
  <c r="Q26" i="8"/>
  <c r="O26" i="8"/>
  <c r="Q25" i="8"/>
  <c r="O25" i="8"/>
  <c r="Q24" i="8"/>
  <c r="O24" i="8"/>
  <c r="O23" i="8"/>
  <c r="O22" i="8"/>
  <c r="Q21" i="8"/>
  <c r="Q20" i="8"/>
  <c r="Q19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O10" i="8"/>
  <c r="N10" i="8"/>
  <c r="O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Q78" i="7"/>
  <c r="P78" i="7"/>
  <c r="P77" i="7"/>
  <c r="O77" i="7"/>
  <c r="Q77" i="7" s="1"/>
  <c r="P76" i="7"/>
  <c r="O76" i="7"/>
  <c r="Q76" i="7" s="1"/>
  <c r="P75" i="7"/>
  <c r="O75" i="7"/>
  <c r="Q75" i="7" s="1"/>
  <c r="P74" i="7"/>
  <c r="O74" i="7"/>
  <c r="Q74" i="7" s="1"/>
  <c r="P73" i="7"/>
  <c r="O73" i="7"/>
  <c r="Q73" i="7" s="1"/>
  <c r="P72" i="7"/>
  <c r="O72" i="7"/>
  <c r="Q72" i="7" s="1"/>
  <c r="P71" i="7"/>
  <c r="O71" i="7"/>
  <c r="Q71" i="7" s="1"/>
  <c r="Q70" i="7"/>
  <c r="I70" i="7"/>
  <c r="P70" i="7" s="1"/>
  <c r="Q69" i="7"/>
  <c r="I69" i="7"/>
  <c r="P69" i="7" s="1"/>
  <c r="Q68" i="7"/>
  <c r="I68" i="7"/>
  <c r="P68" i="7" s="1"/>
  <c r="Q67" i="7"/>
  <c r="I67" i="7"/>
  <c r="P67" i="7" s="1"/>
  <c r="Q66" i="7"/>
  <c r="I66" i="7"/>
  <c r="P66" i="7" s="1"/>
  <c r="P65" i="7"/>
  <c r="O65" i="7"/>
  <c r="Q65" i="7" s="1"/>
  <c r="Q64" i="7"/>
  <c r="I64" i="7"/>
  <c r="P64" i="7" s="1"/>
  <c r="Q63" i="7"/>
  <c r="I63" i="7"/>
  <c r="P63" i="7" s="1"/>
  <c r="P62" i="7"/>
  <c r="O62" i="7"/>
  <c r="Q62" i="7" s="1"/>
  <c r="P61" i="7"/>
  <c r="O61" i="7"/>
  <c r="Q61" i="7" s="1"/>
  <c r="P60" i="7"/>
  <c r="O60" i="7"/>
  <c r="Q60" i="7" s="1"/>
  <c r="O59" i="7"/>
  <c r="Q59" i="7" s="1"/>
  <c r="Q58" i="7"/>
  <c r="P58" i="7"/>
  <c r="P57" i="7"/>
  <c r="O57" i="7"/>
  <c r="Q57" i="7" s="1"/>
  <c r="P56" i="7"/>
  <c r="O56" i="7"/>
  <c r="Q56" i="7" s="1"/>
  <c r="P55" i="7"/>
  <c r="O55" i="7"/>
  <c r="Q55" i="7" s="1"/>
  <c r="P54" i="7"/>
  <c r="O54" i="7"/>
  <c r="Q54" i="7" s="1"/>
  <c r="P53" i="7"/>
  <c r="O53" i="7"/>
  <c r="Q53" i="7" s="1"/>
  <c r="P52" i="7"/>
  <c r="O52" i="7"/>
  <c r="Q52" i="7" s="1"/>
  <c r="Q51" i="7"/>
  <c r="P51" i="7"/>
  <c r="Q50" i="7"/>
  <c r="P50" i="7"/>
  <c r="N50" i="7"/>
  <c r="P49" i="7"/>
  <c r="N49" i="7"/>
  <c r="P48" i="7"/>
  <c r="N48" i="7"/>
  <c r="P47" i="7"/>
  <c r="N47" i="7"/>
  <c r="P46" i="7"/>
  <c r="N46" i="7"/>
  <c r="P45" i="7"/>
  <c r="N45" i="7"/>
  <c r="Q44" i="7"/>
  <c r="P44" i="7"/>
  <c r="N44" i="7"/>
  <c r="Q43" i="7"/>
  <c r="R43" i="7" s="1"/>
  <c r="P43" i="7"/>
  <c r="N43" i="7"/>
  <c r="Q42" i="7"/>
  <c r="P42" i="7"/>
  <c r="N42" i="7"/>
  <c r="Q41" i="7"/>
  <c r="P41" i="7"/>
  <c r="Q40" i="7"/>
  <c r="P40" i="7"/>
  <c r="Q39" i="7"/>
  <c r="P39" i="7"/>
  <c r="P38" i="7"/>
  <c r="P37" i="7"/>
  <c r="N37" i="7"/>
  <c r="M37" i="7"/>
  <c r="P36" i="7"/>
  <c r="M36" i="7"/>
  <c r="P35" i="7"/>
  <c r="N35" i="7"/>
  <c r="M35" i="7"/>
  <c r="P34" i="7"/>
  <c r="M34" i="7"/>
  <c r="P33" i="7"/>
  <c r="N33" i="7"/>
  <c r="P32" i="7"/>
  <c r="N32" i="7"/>
  <c r="P31" i="7"/>
  <c r="N31" i="7"/>
  <c r="P30" i="7"/>
  <c r="N30" i="7"/>
  <c r="P29" i="7"/>
  <c r="M29" i="7"/>
  <c r="P28" i="7"/>
  <c r="M28" i="7"/>
  <c r="P27" i="7"/>
  <c r="N27" i="7"/>
  <c r="P26" i="7"/>
  <c r="N26" i="7"/>
  <c r="P25" i="7"/>
  <c r="N25" i="7"/>
  <c r="P24" i="7"/>
  <c r="N24" i="7"/>
  <c r="N23" i="7"/>
  <c r="N22" i="7"/>
  <c r="P21" i="7"/>
  <c r="P20" i="7"/>
  <c r="P19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N10" i="7"/>
  <c r="M10" i="7"/>
  <c r="N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R117" i="6"/>
  <c r="Q117" i="6"/>
  <c r="R115" i="6"/>
  <c r="Q115" i="6"/>
  <c r="R113" i="6"/>
  <c r="Q113" i="6"/>
  <c r="R111" i="6"/>
  <c r="Q111" i="6"/>
  <c r="R109" i="6"/>
  <c r="Q109" i="6"/>
  <c r="R108" i="6"/>
  <c r="Q108" i="6"/>
  <c r="R107" i="6"/>
  <c r="Q107" i="6"/>
  <c r="Q106" i="6"/>
  <c r="P106" i="6"/>
  <c r="R106" i="6" s="1"/>
  <c r="Q105" i="6"/>
  <c r="P105" i="6"/>
  <c r="R105" i="6" s="1"/>
  <c r="Q104" i="6"/>
  <c r="H104" i="6"/>
  <c r="R104" i="6" s="1"/>
  <c r="Q103" i="6"/>
  <c r="H103" i="6"/>
  <c r="R103" i="6" s="1"/>
  <c r="Q102" i="6"/>
  <c r="H102" i="6"/>
  <c r="R102" i="6" s="1"/>
  <c r="Q101" i="6"/>
  <c r="H101" i="6"/>
  <c r="R101" i="6" s="1"/>
  <c r="H100" i="6"/>
  <c r="J100" i="6" s="1"/>
  <c r="H99" i="6"/>
  <c r="J99" i="6" s="1"/>
  <c r="H98" i="6"/>
  <c r="J98" i="6" s="1"/>
  <c r="H97" i="6"/>
  <c r="J97" i="6" s="1"/>
  <c r="Q96" i="6"/>
  <c r="P96" i="6"/>
  <c r="R96" i="6" s="1"/>
  <c r="Q95" i="6"/>
  <c r="P95" i="6"/>
  <c r="R95" i="6" s="1"/>
  <c r="H93" i="6"/>
  <c r="J93" i="6" s="1"/>
  <c r="H92" i="6"/>
  <c r="J92" i="6" s="1"/>
  <c r="H91" i="6"/>
  <c r="J91" i="6" s="1"/>
  <c r="H90" i="6"/>
  <c r="J90" i="6" s="1"/>
  <c r="H89" i="6"/>
  <c r="J89" i="6" s="1"/>
  <c r="Q88" i="6"/>
  <c r="H88" i="6"/>
  <c r="H87" i="6"/>
  <c r="J87" i="6" s="1"/>
  <c r="Q86" i="6"/>
  <c r="H86" i="6"/>
  <c r="Q85" i="6"/>
  <c r="P85" i="6"/>
  <c r="R85" i="6" s="1"/>
  <c r="Q84" i="6"/>
  <c r="P84" i="6"/>
  <c r="R84" i="6" s="1"/>
  <c r="Q83" i="6"/>
  <c r="P83" i="6"/>
  <c r="R83" i="6" s="1"/>
  <c r="Q82" i="6"/>
  <c r="P82" i="6"/>
  <c r="R82" i="6" s="1"/>
  <c r="Q81" i="6"/>
  <c r="P81" i="6"/>
  <c r="R81" i="6" s="1"/>
  <c r="Q80" i="6"/>
  <c r="P80" i="6"/>
  <c r="R80" i="6" s="1"/>
  <c r="R79" i="6"/>
  <c r="Q79" i="6"/>
  <c r="R78" i="6"/>
  <c r="Q78" i="6"/>
  <c r="Q77" i="6"/>
  <c r="P77" i="6"/>
  <c r="R77" i="6" s="1"/>
  <c r="Q76" i="6"/>
  <c r="P76" i="6"/>
  <c r="R76" i="6" s="1"/>
  <c r="Q75" i="6"/>
  <c r="P75" i="6"/>
  <c r="R75" i="6" s="1"/>
  <c r="Q74" i="6"/>
  <c r="P74" i="6"/>
  <c r="R74" i="6" s="1"/>
  <c r="Q73" i="6"/>
  <c r="P73" i="6"/>
  <c r="R73" i="6" s="1"/>
  <c r="Q72" i="6"/>
  <c r="P72" i="6"/>
  <c r="R72" i="6" s="1"/>
  <c r="Q71" i="6"/>
  <c r="P71" i="6"/>
  <c r="R71" i="6" s="1"/>
  <c r="R70" i="6"/>
  <c r="J70" i="6"/>
  <c r="Q70" i="6" s="1"/>
  <c r="R69" i="6"/>
  <c r="J69" i="6"/>
  <c r="Q69" i="6" s="1"/>
  <c r="R68" i="6"/>
  <c r="J68" i="6"/>
  <c r="Q68" i="6" s="1"/>
  <c r="R67" i="6"/>
  <c r="J67" i="6"/>
  <c r="Q67" i="6" s="1"/>
  <c r="R66" i="6"/>
  <c r="J66" i="6"/>
  <c r="Q66" i="6" s="1"/>
  <c r="Q65" i="6"/>
  <c r="P65" i="6"/>
  <c r="R65" i="6" s="1"/>
  <c r="R64" i="6"/>
  <c r="J64" i="6"/>
  <c r="Q64" i="6" s="1"/>
  <c r="R63" i="6"/>
  <c r="J63" i="6"/>
  <c r="Q63" i="6" s="1"/>
  <c r="Q62" i="6"/>
  <c r="P62" i="6"/>
  <c r="R62" i="6" s="1"/>
  <c r="Q61" i="6"/>
  <c r="P61" i="6"/>
  <c r="R61" i="6" s="1"/>
  <c r="Q60" i="6"/>
  <c r="P60" i="6"/>
  <c r="R60" i="6" s="1"/>
  <c r="P59" i="6"/>
  <c r="R59" i="6" s="1"/>
  <c r="R58" i="6"/>
  <c r="Q58" i="6"/>
  <c r="Q57" i="6"/>
  <c r="P57" i="6"/>
  <c r="R57" i="6" s="1"/>
  <c r="Q56" i="6"/>
  <c r="P56" i="6"/>
  <c r="R56" i="6" s="1"/>
  <c r="Q55" i="6"/>
  <c r="P55" i="6"/>
  <c r="R55" i="6" s="1"/>
  <c r="Q54" i="6"/>
  <c r="P54" i="6"/>
  <c r="R54" i="6" s="1"/>
  <c r="Q53" i="6"/>
  <c r="P53" i="6"/>
  <c r="R53" i="6" s="1"/>
  <c r="Q52" i="6"/>
  <c r="P52" i="6"/>
  <c r="R52" i="6" s="1"/>
  <c r="R51" i="6"/>
  <c r="Q51" i="6"/>
  <c r="R50" i="6"/>
  <c r="Q50" i="6"/>
  <c r="O50" i="6"/>
  <c r="Q49" i="6"/>
  <c r="O49" i="6"/>
  <c r="Q48" i="6"/>
  <c r="O48" i="6"/>
  <c r="Q47" i="6"/>
  <c r="O47" i="6"/>
  <c r="Q46" i="6"/>
  <c r="O46" i="6"/>
  <c r="Q45" i="6"/>
  <c r="O45" i="6"/>
  <c r="R44" i="6"/>
  <c r="Q44" i="6"/>
  <c r="O44" i="6"/>
  <c r="R43" i="6"/>
  <c r="S43" i="6" s="1"/>
  <c r="Q43" i="6"/>
  <c r="O43" i="6"/>
  <c r="R42" i="6"/>
  <c r="Q42" i="6"/>
  <c r="O42" i="6"/>
  <c r="R41" i="6"/>
  <c r="Q41" i="6"/>
  <c r="R40" i="6"/>
  <c r="Q40" i="6"/>
  <c r="R39" i="6"/>
  <c r="Q39" i="6"/>
  <c r="Q38" i="6"/>
  <c r="Q37" i="6"/>
  <c r="O37" i="6"/>
  <c r="N37" i="6"/>
  <c r="Q36" i="6"/>
  <c r="N36" i="6"/>
  <c r="Q35" i="6"/>
  <c r="O35" i="6"/>
  <c r="N35" i="6"/>
  <c r="Q34" i="6"/>
  <c r="N34" i="6"/>
  <c r="Q33" i="6"/>
  <c r="O33" i="6"/>
  <c r="Q32" i="6"/>
  <c r="O32" i="6"/>
  <c r="Q31" i="6"/>
  <c r="O31" i="6"/>
  <c r="Q30" i="6"/>
  <c r="O30" i="6"/>
  <c r="Q29" i="6"/>
  <c r="N29" i="6"/>
  <c r="Q28" i="6"/>
  <c r="N28" i="6"/>
  <c r="Q27" i="6"/>
  <c r="O27" i="6"/>
  <c r="Q26" i="6"/>
  <c r="O26" i="6"/>
  <c r="Q25" i="6"/>
  <c r="O25" i="6"/>
  <c r="Q24" i="6"/>
  <c r="O24" i="6"/>
  <c r="O23" i="6"/>
  <c r="O22" i="6"/>
  <c r="Q21" i="6"/>
  <c r="Q20" i="6"/>
  <c r="Q19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O10" i="6"/>
  <c r="N10" i="6"/>
  <c r="O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R28" i="8"/>
  <c r="R7" i="8"/>
  <c r="Q34" i="7"/>
  <c r="R8" i="6"/>
  <c r="R30" i="6"/>
  <c r="Q36" i="7"/>
  <c r="R22" i="8"/>
  <c r="Q25" i="7"/>
  <c r="R12" i="6"/>
  <c r="R4" i="6"/>
  <c r="R12" i="8"/>
  <c r="Q35" i="7"/>
  <c r="R19" i="8"/>
  <c r="R21" i="6"/>
  <c r="R37" i="8"/>
  <c r="Q19" i="7"/>
  <c r="Q3" i="7"/>
  <c r="R15" i="6"/>
  <c r="Q28" i="7"/>
  <c r="Q7" i="7"/>
  <c r="R31" i="8"/>
  <c r="Q18" i="7"/>
  <c r="Q49" i="7"/>
  <c r="R49" i="7" s="1"/>
  <c r="R33" i="6"/>
  <c r="R2" i="6"/>
  <c r="R32" i="6"/>
  <c r="Q9" i="7"/>
  <c r="R13" i="6"/>
  <c r="Q16" i="7"/>
  <c r="Q4" i="7"/>
  <c r="R31" i="6"/>
  <c r="R22" i="6"/>
  <c r="R37" i="6"/>
  <c r="R14" i="6"/>
  <c r="R38" i="8"/>
  <c r="Q5" i="7"/>
  <c r="R5" i="8"/>
  <c r="R7" i="6"/>
  <c r="R16" i="8"/>
  <c r="R21" i="8"/>
  <c r="Q15" i="7"/>
  <c r="Q37" i="7"/>
  <c r="Q23" i="7"/>
  <c r="R6" i="8"/>
  <c r="Q30" i="7"/>
  <c r="Q8" i="7"/>
  <c r="R35" i="8"/>
  <c r="R38" i="6"/>
  <c r="R16" i="6"/>
  <c r="R33" i="8"/>
  <c r="Q12" i="7"/>
  <c r="Q38" i="7"/>
  <c r="R18" i="6"/>
  <c r="R4" i="8"/>
  <c r="R8" i="8"/>
  <c r="Q22" i="7"/>
  <c r="R34" i="8"/>
  <c r="R30" i="8"/>
  <c r="R32" i="8"/>
  <c r="Q24" i="7"/>
  <c r="R34" i="6"/>
  <c r="Q29" i="7"/>
  <c r="R26" i="8"/>
  <c r="R49" i="8"/>
  <c r="S49" i="8" s="1"/>
  <c r="Q31" i="7"/>
  <c r="R17" i="6"/>
  <c r="R25" i="6"/>
  <c r="R45" i="8"/>
  <c r="S45" i="8" s="1"/>
  <c r="R23" i="8"/>
  <c r="R15" i="8"/>
  <c r="R6" i="6"/>
  <c r="R48" i="6"/>
  <c r="S48" i="6" s="1"/>
  <c r="Q26" i="7"/>
  <c r="R19" i="6"/>
  <c r="R9" i="6"/>
  <c r="R10" i="8"/>
  <c r="R35" i="6"/>
  <c r="R26" i="6"/>
  <c r="R45" i="6"/>
  <c r="S45" i="6" s="1"/>
  <c r="Q13" i="7"/>
  <c r="R17" i="8"/>
  <c r="R24" i="6"/>
  <c r="R10" i="6"/>
  <c r="R11" i="6"/>
  <c r="R46" i="8"/>
  <c r="S46" i="8" s="1"/>
  <c r="Q48" i="7"/>
  <c r="R48" i="7" s="1"/>
  <c r="R48" i="8"/>
  <c r="S48" i="8" s="1"/>
  <c r="R13" i="8"/>
  <c r="R5" i="6"/>
  <c r="Q17" i="7"/>
  <c r="Q11" i="7"/>
  <c r="Q45" i="7"/>
  <c r="R45" i="7" s="1"/>
  <c r="R18" i="8"/>
  <c r="R27" i="6"/>
  <c r="R20" i="6"/>
  <c r="R9" i="8"/>
  <c r="R20" i="8"/>
  <c r="Q27" i="7"/>
  <c r="Q2" i="7"/>
  <c r="R29" i="8"/>
  <c r="Q10" i="7"/>
  <c r="R14" i="8"/>
  <c r="Q47" i="7"/>
  <c r="R47" i="7" s="1"/>
  <c r="Q20" i="7"/>
  <c r="Q14" i="7"/>
  <c r="Q33" i="7"/>
  <c r="R11" i="8"/>
  <c r="R47" i="6"/>
  <c r="S47" i="6" s="1"/>
  <c r="R46" i="6"/>
  <c r="S46" i="6" s="1"/>
  <c r="R3" i="6"/>
  <c r="R29" i="6"/>
  <c r="R28" i="6"/>
  <c r="Q32" i="7"/>
  <c r="R24" i="8"/>
  <c r="Q6" i="7"/>
  <c r="R36" i="6"/>
  <c r="Q21" i="7"/>
  <c r="R23" i="6"/>
  <c r="R3" i="8"/>
  <c r="R49" i="6"/>
  <c r="S49" i="6" s="1"/>
  <c r="R36" i="8"/>
  <c r="R2" i="8"/>
  <c r="R25" i="8"/>
  <c r="Q46" i="7"/>
  <c r="R46" i="7" s="1"/>
  <c r="R27" i="8"/>
  <c r="R47" i="8"/>
  <c r="S47" i="8" s="1"/>
  <c r="J102" i="8" l="1"/>
  <c r="J104" i="8"/>
  <c r="J103" i="8"/>
  <c r="J89" i="8"/>
  <c r="J102" i="6"/>
  <c r="S9" i="6"/>
  <c r="J88" i="6"/>
  <c r="J86" i="6"/>
  <c r="J103" i="6"/>
  <c r="Q120" i="6"/>
  <c r="Q121" i="6"/>
  <c r="R9" i="7"/>
  <c r="S9" i="8"/>
  <c r="J101" i="6"/>
  <c r="J104" i="6"/>
  <c r="J87" i="8"/>
  <c r="J101" i="8"/>
</calcChain>
</file>

<file path=xl/comments1.xml><?xml version="1.0" encoding="utf-8"?>
<comments xmlns="http://schemas.openxmlformats.org/spreadsheetml/2006/main">
  <authors>
    <author>Windows 用户</author>
    <author>周盛岚</author>
  </authors>
  <commentList>
    <comment ref="A1" authorId="0" shapeId="0">
      <text/>
    </comment>
    <comment ref="K32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克</t>
        </r>
      </text>
    </comment>
    <comment ref="N413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确认邮件：376.583</t>
        </r>
      </text>
    </comment>
    <comment ref="L44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0.5吨</t>
        </r>
      </text>
    </comment>
    <comment ref="M44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0.5吨
</t>
        </r>
      </text>
    </comment>
    <comment ref="N448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0.5吨</t>
        </r>
      </text>
    </comment>
    <comment ref="J46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障碍价格：7114元。
</t>
        </r>
      </text>
    </comment>
    <comment ref="N537" authorId="1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</text>
    </comment>
    <comment ref="N538" authorId="1" shapeId="0">
      <text>
        <r>
          <rPr>
            <sz val="9"/>
            <color indexed="81"/>
            <rFont val="宋体"/>
            <family val="3"/>
            <charset val="134"/>
          </rPr>
          <t xml:space="preserve">远期
</t>
        </r>
      </text>
    </comment>
    <comment ref="K641" authorId="0" shapeId="0">
      <text>
        <r>
          <rPr>
            <b/>
            <sz val="9"/>
            <color indexed="81"/>
            <rFont val="宋体"/>
            <family val="3"/>
            <charset val="134"/>
          </rPr>
          <t>单位：Kg</t>
        </r>
      </text>
    </comment>
    <comment ref="N642" authorId="0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</text>
    </comment>
    <comment ref="N643" authorId="0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</text>
    </comment>
    <comment ref="K6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单位:kg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4" authorId="1" shapeId="0">
      <text>
        <r>
          <rPr>
            <sz val="9"/>
            <color indexed="81"/>
            <rFont val="宋体"/>
            <family val="3"/>
            <charset val="134"/>
          </rPr>
          <t xml:space="preserve">远期
</t>
        </r>
      </text>
    </comment>
    <comment ref="N685" authorId="1" shapeId="0">
      <text>
        <r>
          <rPr>
            <sz val="9"/>
            <color indexed="81"/>
            <rFont val="宋体"/>
            <family val="3"/>
            <charset val="134"/>
          </rPr>
          <t xml:space="preserve">远期
</t>
        </r>
      </text>
    </comment>
    <comment ref="N686" authorId="1" shapeId="0">
      <text>
        <r>
          <rPr>
            <sz val="9"/>
            <color indexed="81"/>
            <rFont val="宋体"/>
            <family val="3"/>
            <charset val="134"/>
          </rPr>
          <t xml:space="preserve">远期
</t>
        </r>
      </text>
    </comment>
    <comment ref="N687" authorId="1" shapeId="0">
      <text>
        <r>
          <rPr>
            <sz val="9"/>
            <color indexed="81"/>
            <rFont val="宋体"/>
            <family val="3"/>
            <charset val="134"/>
          </rPr>
          <t xml:space="preserve">远期
</t>
        </r>
      </text>
    </comment>
    <comment ref="N688" authorId="1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9" authorId="1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90" authorId="1" shapeId="0">
      <text>
        <r>
          <rPr>
            <sz val="9"/>
            <color indexed="81"/>
            <rFont val="宋体"/>
            <family val="3"/>
            <charset val="134"/>
          </rPr>
          <t>远期</t>
        </r>
      </text>
    </comment>
    <comment ref="N691" authorId="1" shapeId="0">
      <text>
        <r>
          <rPr>
            <b/>
            <sz val="9"/>
            <color indexed="81"/>
            <rFont val="宋体"/>
            <family val="3"/>
            <charset val="134"/>
          </rPr>
          <t>远期</t>
        </r>
      </text>
    </comment>
    <comment ref="N824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确认书上记录10.035
</t>
        </r>
      </text>
    </comment>
    <comment ref="K933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单位：kg</t>
        </r>
      </text>
    </comment>
    <comment ref="N1006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确认书上记录24.63
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<sst xmlns="http://schemas.openxmlformats.org/spreadsheetml/2006/main" count="11122" uniqueCount="2035">
  <si>
    <t>客户名称</t>
  </si>
  <si>
    <t>开始日</t>
  </si>
  <si>
    <t>结束日</t>
  </si>
  <si>
    <t>标的</t>
  </si>
  <si>
    <t>客户交易方向</t>
  </si>
  <si>
    <t>类型</t>
  </si>
  <si>
    <t>数量(吨）</t>
  </si>
  <si>
    <t>行权价</t>
  </si>
  <si>
    <t>单位权利金</t>
  </si>
  <si>
    <t>确认书编号</t>
  </si>
  <si>
    <t>结算书编号</t>
  </si>
  <si>
    <t>结算价/平仓权利金</t>
  </si>
  <si>
    <t>结算金额</t>
  </si>
  <si>
    <t>结算日期/平仓日期</t>
  </si>
  <si>
    <t>入场价</t>
  </si>
  <si>
    <t>权利金</t>
  </si>
  <si>
    <t>名义金额</t>
  </si>
  <si>
    <t>备注</t>
  </si>
  <si>
    <t>客户类别</t>
  </si>
  <si>
    <t>莱宝白糖</t>
  </si>
  <si>
    <t>SR801</t>
  </si>
  <si>
    <t>卖出</t>
  </si>
  <si>
    <t>美式看涨</t>
  </si>
  <si>
    <t>LBNY001</t>
  </si>
  <si>
    <t>LBNY009</t>
  </si>
  <si>
    <t>美式看跌</t>
  </si>
  <si>
    <t>LBNY002</t>
  </si>
  <si>
    <t>LBNY010</t>
  </si>
  <si>
    <t>LBNY003</t>
  </si>
  <si>
    <t>LBNY011</t>
  </si>
  <si>
    <t>LBNY004</t>
  </si>
  <si>
    <t>LBNY012</t>
  </si>
  <si>
    <t>LBNY005</t>
  </si>
  <si>
    <t>LBNY013</t>
  </si>
  <si>
    <t>LBNY006</t>
  </si>
  <si>
    <t>LBNY014</t>
  </si>
  <si>
    <t>中国太保</t>
  </si>
  <si>
    <t>CF801</t>
  </si>
  <si>
    <t>买入</t>
  </si>
  <si>
    <t>亚式看跌</t>
  </si>
  <si>
    <t>ZGTB001</t>
  </si>
  <si>
    <t>ZGTB003</t>
  </si>
  <si>
    <t>中国人保</t>
  </si>
  <si>
    <t>RU1801</t>
  </si>
  <si>
    <t>ZGRB002</t>
  </si>
  <si>
    <t>ZGRB003</t>
  </si>
  <si>
    <t>中国平安</t>
  </si>
  <si>
    <t>C1801</t>
  </si>
  <si>
    <t>ZGPA001</t>
  </si>
  <si>
    <t>LBNY007</t>
  </si>
  <si>
    <t>LBNY015</t>
  </si>
  <si>
    <t>LBNY008</t>
  </si>
  <si>
    <t>LBNY016</t>
  </si>
  <si>
    <t>ZGTB002</t>
  </si>
  <si>
    <t>ZGTB004</t>
  </si>
  <si>
    <t>浙期实业</t>
  </si>
  <si>
    <t>欧式看涨</t>
  </si>
  <si>
    <t>ZQSY008</t>
  </si>
  <si>
    <t>ZQSY009</t>
  </si>
  <si>
    <t>欧式看跌</t>
  </si>
  <si>
    <t>ZGTB005</t>
  </si>
  <si>
    <t>ZGRB004</t>
  </si>
  <si>
    <t>ZGTB006</t>
  </si>
  <si>
    <t>北大荒</t>
  </si>
  <si>
    <t>A1805</t>
  </si>
  <si>
    <t>BDH001</t>
  </si>
  <si>
    <t>BDH002</t>
  </si>
  <si>
    <t>正大蛋业</t>
  </si>
  <si>
    <t>JD1805</t>
  </si>
  <si>
    <t>ZDDY001</t>
  </si>
  <si>
    <t>ZDDY002</t>
  </si>
  <si>
    <t>26W权利金一开始免，后面结算扣</t>
  </si>
  <si>
    <t>ZGRB005</t>
  </si>
  <si>
    <t>ZGTB007</t>
  </si>
  <si>
    <t>ZGTB008</t>
  </si>
  <si>
    <t>中金</t>
  </si>
  <si>
    <t>RB1805</t>
  </si>
  <si>
    <t>ZJ001</t>
  </si>
  <si>
    <t>20171121-CICC-SWZF-RB1801-VAN-P-24</t>
  </si>
  <si>
    <t>永安资本</t>
  </si>
  <si>
    <t>TA805</t>
  </si>
  <si>
    <t>20150057-2-5</t>
  </si>
  <si>
    <t>20150057-4-5</t>
  </si>
  <si>
    <t>平仓</t>
  </si>
  <si>
    <t>I1805</t>
  </si>
  <si>
    <t>20150057-2结算单</t>
  </si>
  <si>
    <t>20150057-3结算单</t>
  </si>
  <si>
    <t>20150057-6-7</t>
  </si>
  <si>
    <t>20150057-6结算单</t>
  </si>
  <si>
    <t>20150057-6-8</t>
  </si>
  <si>
    <t>20150057-7结算单</t>
  </si>
  <si>
    <t>南华资本</t>
  </si>
  <si>
    <t>NHZB005</t>
  </si>
  <si>
    <t>NHZB007</t>
  </si>
  <si>
    <t>NHZB009</t>
  </si>
  <si>
    <t>NHZB006</t>
  </si>
  <si>
    <t>NHZB008</t>
  </si>
  <si>
    <t>NHZB010</t>
  </si>
  <si>
    <t>JM1805</t>
  </si>
  <si>
    <t>20171208-CICC-SWZF-JM1805-VAN-P-112</t>
  </si>
  <si>
    <t>重庆鼎富瑞泽</t>
  </si>
  <si>
    <t>蝶式</t>
  </si>
  <si>
    <t>4500-4550-4600</t>
  </si>
  <si>
    <t>dfrz001</t>
  </si>
  <si>
    <t>dfrz002</t>
  </si>
  <si>
    <t>3900/3839</t>
  </si>
  <si>
    <t>dfrz003</t>
  </si>
  <si>
    <t>dfrz005</t>
  </si>
  <si>
    <t>3804/3824</t>
  </si>
  <si>
    <t>dfrz004</t>
  </si>
  <si>
    <t>dfrz006</t>
  </si>
  <si>
    <t>国泰君安</t>
  </si>
  <si>
    <t>CW20160002C0001</t>
  </si>
  <si>
    <t>银丰铜业</t>
  </si>
  <si>
    <t>CU1805</t>
  </si>
  <si>
    <t>YFTY001</t>
  </si>
  <si>
    <t>YFTY002</t>
  </si>
  <si>
    <t>SR5-9</t>
  </si>
  <si>
    <t>LBNY017</t>
  </si>
  <si>
    <t>LBNY020</t>
  </si>
  <si>
    <t>LBNY018</t>
  </si>
  <si>
    <t>LBNY021</t>
  </si>
  <si>
    <t>LBNY019</t>
  </si>
  <si>
    <t>LBNY022</t>
  </si>
  <si>
    <t>LBNY023</t>
  </si>
  <si>
    <t>LBNY024</t>
  </si>
  <si>
    <t>RU1805</t>
  </si>
  <si>
    <t>奇异期权</t>
  </si>
  <si>
    <t>ZGRB006A</t>
  </si>
  <si>
    <t>最低赔付10元/吨</t>
  </si>
  <si>
    <t>C1901</t>
  </si>
  <si>
    <t>奇异亚欧式看跌期权</t>
  </si>
  <si>
    <t>ZGPA004</t>
  </si>
  <si>
    <t>A1901</t>
  </si>
  <si>
    <t>ZGPA005</t>
  </si>
  <si>
    <t>ZGPA006</t>
  </si>
  <si>
    <t>ZGPA011</t>
  </si>
  <si>
    <t>其他</t>
  </si>
  <si>
    <t>ZGPA003</t>
  </si>
  <si>
    <t>-</t>
  </si>
  <si>
    <t>产业</t>
  </si>
  <si>
    <t>大商所JD1901</t>
  </si>
  <si>
    <t>亚欧式看跌期权</t>
  </si>
  <si>
    <t>RBCQ001</t>
  </si>
  <si>
    <t>RBCQ002</t>
  </si>
  <si>
    <t>RBCQ003</t>
  </si>
  <si>
    <t>大商所JD1905</t>
  </si>
  <si>
    <t>华泰长城</t>
  </si>
  <si>
    <t>PP1809</t>
  </si>
  <si>
    <t>跨式</t>
  </si>
  <si>
    <t>180522000016-17</t>
  </si>
  <si>
    <t>ZGPA007</t>
  </si>
  <si>
    <t>ZGPA009</t>
  </si>
  <si>
    <t>AP1901</t>
  </si>
  <si>
    <t>ZGTB009</t>
  </si>
  <si>
    <t>SR1901</t>
  </si>
  <si>
    <t>奇异亚欧式看涨期权</t>
  </si>
  <si>
    <t>ZGTB010</t>
  </si>
  <si>
    <t>北大荒（红星农垦）</t>
  </si>
  <si>
    <t>Call Spread</t>
  </si>
  <si>
    <t>1874 / 1974</t>
  </si>
  <si>
    <t>1875 / 1975</t>
  </si>
  <si>
    <t>云南临沧</t>
  </si>
  <si>
    <t>RU1901</t>
  </si>
  <si>
    <t>奇异亚式看跌期权</t>
  </si>
  <si>
    <t>1886 / 1986</t>
  </si>
  <si>
    <t>1892 / 1982</t>
  </si>
  <si>
    <t>广发商贸</t>
  </si>
  <si>
    <t>AP20181109a</t>
  </si>
  <si>
    <t>AP20181109b</t>
  </si>
  <si>
    <t>鲁证经贸</t>
  </si>
  <si>
    <t>RB1901</t>
  </si>
  <si>
    <t xml:space="preserve">LZ-OTC20189657 </t>
  </si>
  <si>
    <t>杭州汉杰投资管理有限公司</t>
  </si>
  <si>
    <t>j1901</t>
  </si>
  <si>
    <t>HZHJ001</t>
  </si>
  <si>
    <t>SC1901</t>
  </si>
  <si>
    <t xml:space="preserve"> 美式看涨 </t>
  </si>
  <si>
    <t>YAZB181128</t>
  </si>
  <si>
    <t>浙江成钢投资发展有限公司</t>
  </si>
  <si>
    <t>rb1901</t>
  </si>
  <si>
    <t>ZJCG001</t>
  </si>
  <si>
    <t>AP905</t>
  </si>
  <si>
    <t>ZGTB012</t>
  </si>
  <si>
    <t>2019年1月2号收盘价</t>
  </si>
  <si>
    <t>ZGTB013</t>
  </si>
  <si>
    <t>CF901</t>
  </si>
  <si>
    <t>亚式期权</t>
  </si>
  <si>
    <t>RBBJ001</t>
  </si>
  <si>
    <t xml:space="preserve">江苏济凡资产管理有限公司 </t>
  </si>
  <si>
    <t>美式看涨期权</t>
  </si>
  <si>
    <t>LZJM181224-AU</t>
  </si>
  <si>
    <t>LZJM181224-AG</t>
  </si>
  <si>
    <t>国泰君安风险管理</t>
  </si>
  <si>
    <t>GTJA181224-AU</t>
  </si>
  <si>
    <t>GTJA181224-AG</t>
  </si>
  <si>
    <t>浙江南华资本管理有限公司</t>
  </si>
  <si>
    <t>NHZB181226-AU</t>
  </si>
  <si>
    <t>NHZB181226-AG</t>
    <phoneticPr fontId="2" type="noConversion"/>
  </si>
  <si>
    <t>PP1909</t>
    <phoneticPr fontId="2" type="noConversion"/>
  </si>
  <si>
    <t>美式看跌期权</t>
    <phoneticPr fontId="2" type="noConversion"/>
  </si>
  <si>
    <t>GTJA181227-PP</t>
    <phoneticPr fontId="2" type="noConversion"/>
  </si>
  <si>
    <t>V1905</t>
    <phoneticPr fontId="2" type="noConversion"/>
  </si>
  <si>
    <t>JFHC011</t>
    <phoneticPr fontId="2" type="noConversion"/>
  </si>
  <si>
    <t>SR905</t>
    <phoneticPr fontId="2" type="noConversion"/>
  </si>
  <si>
    <t>永安资本</t>
    <phoneticPr fontId="2" type="noConversion"/>
  </si>
  <si>
    <t>V1905</t>
    <phoneticPr fontId="2" type="noConversion"/>
  </si>
  <si>
    <t>CS1905</t>
    <phoneticPr fontId="2" type="noConversion"/>
  </si>
  <si>
    <t xml:space="preserve">江苏济凡资产管理有限公司 </t>
    <phoneticPr fontId="2" type="noConversion"/>
  </si>
  <si>
    <t>ZGTB014</t>
    <phoneticPr fontId="2" type="noConversion"/>
  </si>
  <si>
    <t>YAZB181218</t>
    <phoneticPr fontId="2" type="noConversion"/>
  </si>
  <si>
    <t>JFHC001</t>
    <phoneticPr fontId="2" type="noConversion"/>
  </si>
  <si>
    <t>JFHC181221</t>
    <phoneticPr fontId="2" type="noConversion"/>
  </si>
  <si>
    <t>鲁证经贸</t>
    <phoneticPr fontId="2" type="noConversion"/>
  </si>
  <si>
    <t>LZJM181224-AU</t>
    <phoneticPr fontId="2" type="noConversion"/>
  </si>
  <si>
    <t>LZJM181224-AG</t>
    <phoneticPr fontId="2" type="noConversion"/>
  </si>
  <si>
    <t>国泰君安风险管理</t>
    <phoneticPr fontId="2" type="noConversion"/>
  </si>
  <si>
    <t xml:space="preserve">江苏济凡资产管理有限公司 </t>
    <phoneticPr fontId="2" type="noConversion"/>
  </si>
  <si>
    <t>JFHC002</t>
    <phoneticPr fontId="2" type="noConversion"/>
  </si>
  <si>
    <t>SC1903</t>
    <phoneticPr fontId="2" type="noConversion"/>
  </si>
  <si>
    <t>交易员</t>
    <phoneticPr fontId="2" type="noConversion"/>
  </si>
  <si>
    <t>CU1903</t>
    <phoneticPr fontId="2" type="noConversion"/>
  </si>
  <si>
    <t>卖出</t>
    <phoneticPr fontId="2" type="noConversion"/>
  </si>
  <si>
    <t>欧式看涨</t>
    <phoneticPr fontId="2" type="noConversion"/>
  </si>
  <si>
    <t>欧式看跌</t>
    <phoneticPr fontId="2" type="noConversion"/>
  </si>
  <si>
    <t>江苏亨通高压海缆有限公司</t>
    <phoneticPr fontId="2" type="noConversion"/>
  </si>
  <si>
    <t>亨通集团上海贸易有限公司</t>
    <phoneticPr fontId="2" type="noConversion"/>
  </si>
  <si>
    <t>江苏亨通线缆科技有限公司</t>
    <phoneticPr fontId="2" type="noConversion"/>
  </si>
  <si>
    <t>江苏亨通精工金属材料有限公司</t>
    <phoneticPr fontId="2" type="noConversion"/>
  </si>
  <si>
    <t>江苏亨通电力电缆有限公司</t>
    <phoneticPr fontId="2" type="noConversion"/>
  </si>
  <si>
    <t>CU1903</t>
    <phoneticPr fontId="2" type="noConversion"/>
  </si>
  <si>
    <t>TA1905</t>
    <phoneticPr fontId="2" type="noConversion"/>
  </si>
  <si>
    <t>CF1905</t>
    <phoneticPr fontId="2" type="noConversion"/>
  </si>
  <si>
    <t>AU1906g</t>
    <phoneticPr fontId="2" type="noConversion"/>
  </si>
  <si>
    <t>AG1906kg</t>
    <phoneticPr fontId="2" type="noConversion"/>
  </si>
  <si>
    <t>OTC-C00001</t>
    <phoneticPr fontId="2" type="noConversion"/>
  </si>
  <si>
    <t>OTC-C00006</t>
    <phoneticPr fontId="2" type="noConversion"/>
  </si>
  <si>
    <t>OTC-C00002</t>
    <phoneticPr fontId="2" type="noConversion"/>
  </si>
  <si>
    <t>OTC-C00003</t>
    <phoneticPr fontId="2" type="noConversion"/>
  </si>
  <si>
    <t>OTC-C00004</t>
    <phoneticPr fontId="2" type="noConversion"/>
  </si>
  <si>
    <t>OTC-C00005</t>
    <phoneticPr fontId="2" type="noConversion"/>
  </si>
  <si>
    <t>买入</t>
    <phoneticPr fontId="2" type="noConversion"/>
  </si>
  <si>
    <t>LZJM181224-AU</t>
    <phoneticPr fontId="2" type="noConversion"/>
  </si>
  <si>
    <t>JFHC002</t>
    <phoneticPr fontId="2" type="noConversion"/>
  </si>
  <si>
    <t>何剑桥</t>
    <phoneticPr fontId="2" type="noConversion"/>
  </si>
  <si>
    <t>谢晨星</t>
  </si>
  <si>
    <t>尤瑞悦</t>
    <phoneticPr fontId="2" type="noConversion"/>
  </si>
  <si>
    <t>林秉玮</t>
    <phoneticPr fontId="2" type="noConversion"/>
  </si>
  <si>
    <t>谢晨星</t>
    <phoneticPr fontId="2" type="noConversion"/>
  </si>
  <si>
    <t>中国太保</t>
    <phoneticPr fontId="2" type="noConversion"/>
  </si>
  <si>
    <t>JFHC001</t>
    <phoneticPr fontId="2" type="noConversion"/>
  </si>
  <si>
    <t>交易员</t>
    <phoneticPr fontId="2" type="noConversion"/>
  </si>
  <si>
    <t>JFHC011</t>
    <phoneticPr fontId="2" type="noConversion"/>
  </si>
  <si>
    <t>永安资本</t>
    <phoneticPr fontId="2" type="noConversion"/>
  </si>
  <si>
    <t>YAZB181218</t>
    <phoneticPr fontId="2" type="noConversion"/>
  </si>
  <si>
    <t>其他</t>
    <phoneticPr fontId="2" type="noConversion"/>
  </si>
  <si>
    <t>CF1905</t>
    <phoneticPr fontId="2" type="noConversion"/>
  </si>
  <si>
    <t xml:space="preserve"> 美式看涨 </t>
    <phoneticPr fontId="2" type="noConversion"/>
  </si>
  <si>
    <t>V1905</t>
  </si>
  <si>
    <t>JFHC011</t>
  </si>
  <si>
    <t>OTC-C00007</t>
    <phoneticPr fontId="2" type="noConversion"/>
  </si>
  <si>
    <t>OTC-C00012</t>
    <phoneticPr fontId="2" type="noConversion"/>
  </si>
  <si>
    <t>OTC-C00016</t>
    <phoneticPr fontId="2" type="noConversion"/>
  </si>
  <si>
    <t>被动</t>
    <phoneticPr fontId="2" type="noConversion"/>
  </si>
  <si>
    <t>主动</t>
    <phoneticPr fontId="2" type="noConversion"/>
  </si>
  <si>
    <t>何剑桥</t>
  </si>
  <si>
    <t>国泰君安风险管理有限公司</t>
  </si>
  <si>
    <t>CF905</t>
    <phoneticPr fontId="2" type="noConversion"/>
  </si>
  <si>
    <t>OTC-C00026</t>
    <phoneticPr fontId="2" type="noConversion"/>
  </si>
  <si>
    <t>AP905</t>
    <phoneticPr fontId="2" type="noConversion"/>
  </si>
  <si>
    <t>sc1903</t>
  </si>
  <si>
    <t>OTC-C00031</t>
    <phoneticPr fontId="2" type="noConversion"/>
  </si>
  <si>
    <t>OTC-C00035</t>
    <phoneticPr fontId="2" type="noConversion"/>
  </si>
  <si>
    <t>JFHC001-L</t>
    <phoneticPr fontId="2" type="noConversion"/>
  </si>
  <si>
    <t>谢晨星</t>
    <phoneticPr fontId="2" type="noConversion"/>
  </si>
  <si>
    <t>卖出</t>
    <phoneticPr fontId="2" type="noConversion"/>
  </si>
  <si>
    <t>状态</t>
    <phoneticPr fontId="2" type="noConversion"/>
  </si>
  <si>
    <t>p1905</t>
    <phoneticPr fontId="2" type="noConversion"/>
  </si>
  <si>
    <t>OTC-C00050</t>
    <phoneticPr fontId="2" type="noConversion"/>
  </si>
  <si>
    <t>TA905</t>
    <phoneticPr fontId="2" type="noConversion"/>
  </si>
  <si>
    <t>TA905</t>
    <phoneticPr fontId="2" type="noConversion"/>
  </si>
  <si>
    <t>sc1903</t>
    <phoneticPr fontId="2" type="noConversion"/>
  </si>
  <si>
    <t>OTC-C00019-L</t>
    <phoneticPr fontId="2" type="noConversion"/>
  </si>
  <si>
    <t>OTC-C00051</t>
    <phoneticPr fontId="2" type="noConversion"/>
  </si>
  <si>
    <t>OTC-C00053</t>
    <phoneticPr fontId="2" type="noConversion"/>
  </si>
  <si>
    <t>OTC-C00004-L</t>
  </si>
  <si>
    <t>OTC-C00005-L</t>
  </si>
  <si>
    <t>bu1906</t>
    <phoneticPr fontId="2" type="noConversion"/>
  </si>
  <si>
    <t>OTC-C00058</t>
    <phoneticPr fontId="2" type="noConversion"/>
  </si>
  <si>
    <t>OTC-C00066</t>
    <phoneticPr fontId="2" type="noConversion"/>
  </si>
  <si>
    <t>OTC-C00067</t>
    <phoneticPr fontId="2" type="noConversion"/>
  </si>
  <si>
    <t>OTC-C00031-L</t>
    <phoneticPr fontId="2" type="noConversion"/>
  </si>
  <si>
    <t>OTC-C00068</t>
    <phoneticPr fontId="2" type="noConversion"/>
  </si>
  <si>
    <t>OTC-C00073</t>
    <phoneticPr fontId="2" type="noConversion"/>
  </si>
  <si>
    <t>尤瑞悦</t>
    <phoneticPr fontId="2" type="noConversion"/>
  </si>
  <si>
    <t>主动</t>
    <phoneticPr fontId="2" type="noConversion"/>
  </si>
  <si>
    <t>林秉玮</t>
    <phoneticPr fontId="2" type="noConversion"/>
  </si>
  <si>
    <t>被动</t>
    <phoneticPr fontId="2" type="noConversion"/>
  </si>
  <si>
    <t>产业</t>
    <phoneticPr fontId="2" type="noConversion"/>
  </si>
  <si>
    <t>OTC-C00074</t>
    <phoneticPr fontId="2" type="noConversion"/>
  </si>
  <si>
    <t>OTC-C00019</t>
    <phoneticPr fontId="2" type="noConversion"/>
  </si>
  <si>
    <t>YAZB181218-L</t>
    <phoneticPr fontId="2" type="noConversion"/>
  </si>
  <si>
    <t>OTC-C00075</t>
    <phoneticPr fontId="2" type="noConversion"/>
  </si>
  <si>
    <t>OTC-C00006-L</t>
    <phoneticPr fontId="2" type="noConversion"/>
  </si>
  <si>
    <t>OTC-C00016-L</t>
    <phoneticPr fontId="2" type="noConversion"/>
  </si>
  <si>
    <t>OTC-C00038-L</t>
    <phoneticPr fontId="2" type="noConversion"/>
  </si>
  <si>
    <t>jm1905</t>
    <phoneticPr fontId="2" type="noConversion"/>
  </si>
  <si>
    <t>OTC-C00081</t>
    <phoneticPr fontId="2" type="noConversion"/>
  </si>
  <si>
    <t>OTC-C00082</t>
    <phoneticPr fontId="2" type="noConversion"/>
  </si>
  <si>
    <t>rb1905</t>
    <phoneticPr fontId="2" type="noConversion"/>
  </si>
  <si>
    <t>OTC-C00047-L</t>
    <phoneticPr fontId="2" type="noConversion"/>
  </si>
  <si>
    <t>OTC-C00021-L</t>
    <phoneticPr fontId="2" type="noConversion"/>
  </si>
  <si>
    <t>OTC-C00086</t>
    <phoneticPr fontId="2" type="noConversion"/>
  </si>
  <si>
    <t>OTC-C00008-L</t>
    <phoneticPr fontId="2" type="noConversion"/>
  </si>
  <si>
    <t>卖出</t>
    <phoneticPr fontId="2" type="noConversion"/>
  </si>
  <si>
    <t>GTJA181227-PP-L</t>
    <phoneticPr fontId="2" type="noConversion"/>
  </si>
  <si>
    <t>买入</t>
    <phoneticPr fontId="2" type="noConversion"/>
  </si>
  <si>
    <t>ru1905</t>
    <phoneticPr fontId="2" type="noConversion"/>
  </si>
  <si>
    <t>买入</t>
    <phoneticPr fontId="2" type="noConversion"/>
  </si>
  <si>
    <t>ag1906</t>
    <phoneticPr fontId="2" type="noConversion"/>
  </si>
  <si>
    <t>OTC-C00094</t>
    <phoneticPr fontId="2" type="noConversion"/>
  </si>
  <si>
    <t>c1905</t>
    <phoneticPr fontId="2" type="noConversion"/>
  </si>
  <si>
    <t>OTC-C00095</t>
    <phoneticPr fontId="2" type="noConversion"/>
  </si>
  <si>
    <t>ag1906</t>
    <phoneticPr fontId="2" type="noConversion"/>
  </si>
  <si>
    <t>sc1904</t>
    <phoneticPr fontId="2" type="noConversion"/>
  </si>
  <si>
    <t>OTC-C00102</t>
    <phoneticPr fontId="2" type="noConversion"/>
  </si>
  <si>
    <t>OTC-C00100</t>
    <phoneticPr fontId="2" type="noConversion"/>
  </si>
  <si>
    <t>OTC-C00060-L</t>
    <phoneticPr fontId="2" type="noConversion"/>
  </si>
  <si>
    <t>2019/1/31*</t>
    <phoneticPr fontId="2" type="noConversion"/>
  </si>
  <si>
    <t>OTC-C00104</t>
    <phoneticPr fontId="2" type="noConversion"/>
  </si>
  <si>
    <t>OI905</t>
    <phoneticPr fontId="2" type="noConversion"/>
  </si>
  <si>
    <t>OTC-C00105</t>
    <phoneticPr fontId="2" type="noConversion"/>
  </si>
  <si>
    <t>p1905</t>
    <phoneticPr fontId="2" type="noConversion"/>
  </si>
  <si>
    <t>OTC-C00106</t>
    <phoneticPr fontId="2" type="noConversion"/>
  </si>
  <si>
    <t>OTC-C00108</t>
    <phoneticPr fontId="2" type="noConversion"/>
  </si>
  <si>
    <t>2019/2/21*</t>
    <phoneticPr fontId="2" type="noConversion"/>
  </si>
  <si>
    <t>au1906</t>
    <phoneticPr fontId="2" type="noConversion"/>
  </si>
  <si>
    <t>OTC-C00109</t>
    <phoneticPr fontId="2" type="noConversion"/>
  </si>
  <si>
    <t>产业</t>
    <phoneticPr fontId="2" type="noConversion"/>
  </si>
  <si>
    <t>产业</t>
    <phoneticPr fontId="2" type="noConversion"/>
  </si>
  <si>
    <t>其他</t>
    <phoneticPr fontId="2" type="noConversion"/>
  </si>
  <si>
    <t>pb1905</t>
    <phoneticPr fontId="2" type="noConversion"/>
  </si>
  <si>
    <t>OTC-C00110</t>
    <phoneticPr fontId="2" type="noConversion"/>
  </si>
  <si>
    <t>hc1905</t>
    <phoneticPr fontId="2" type="noConversion"/>
  </si>
  <si>
    <t>OTC-C00112</t>
    <phoneticPr fontId="2" type="noConversion"/>
  </si>
  <si>
    <t>OTC-C00113</t>
    <phoneticPr fontId="2" type="noConversion"/>
  </si>
  <si>
    <t>OTC-C00114</t>
    <phoneticPr fontId="2" type="noConversion"/>
  </si>
  <si>
    <t>OTC-C00115</t>
    <phoneticPr fontId="2" type="noConversion"/>
  </si>
  <si>
    <t>OTC-C00116</t>
    <phoneticPr fontId="2" type="noConversion"/>
  </si>
  <si>
    <t>OTC-C00117</t>
    <phoneticPr fontId="2" type="noConversion"/>
  </si>
  <si>
    <t>OTC-C00120</t>
    <phoneticPr fontId="2" type="noConversion"/>
  </si>
  <si>
    <t>OTC-C00069-L</t>
    <phoneticPr fontId="2" type="noConversion"/>
  </si>
  <si>
    <t>OTC-C00071-L</t>
    <phoneticPr fontId="2" type="noConversion"/>
  </si>
  <si>
    <t>平仓日期</t>
    <phoneticPr fontId="2" type="noConversion"/>
  </si>
  <si>
    <t>OTC-C00122</t>
    <phoneticPr fontId="2" type="noConversion"/>
  </si>
  <si>
    <t>OTC-C00123</t>
    <phoneticPr fontId="2" type="noConversion"/>
  </si>
  <si>
    <t>OTC-C00103-L</t>
    <phoneticPr fontId="2" type="noConversion"/>
  </si>
  <si>
    <t>ru1905</t>
    <phoneticPr fontId="2" type="noConversion"/>
  </si>
  <si>
    <t>y1905</t>
    <phoneticPr fontId="2" type="noConversion"/>
  </si>
  <si>
    <t>i1905</t>
    <phoneticPr fontId="2" type="noConversion"/>
  </si>
  <si>
    <t>OTC-C00126</t>
    <phoneticPr fontId="2" type="noConversion"/>
  </si>
  <si>
    <t>OTC-C00127</t>
    <phoneticPr fontId="2" type="noConversion"/>
  </si>
  <si>
    <t>OTC-C00128</t>
    <phoneticPr fontId="2" type="noConversion"/>
  </si>
  <si>
    <t>OTC-C00129</t>
    <phoneticPr fontId="2" type="noConversion"/>
  </si>
  <si>
    <t>OTC-C00130</t>
    <phoneticPr fontId="2" type="noConversion"/>
  </si>
  <si>
    <t>OTC-C00133</t>
    <phoneticPr fontId="2" type="noConversion"/>
  </si>
  <si>
    <t>OTC-C00075-L</t>
    <phoneticPr fontId="2" type="noConversion"/>
  </si>
  <si>
    <t>OTC-C00134</t>
    <phoneticPr fontId="2" type="noConversion"/>
  </si>
  <si>
    <t>pb1905</t>
    <phoneticPr fontId="2" type="noConversion"/>
  </si>
  <si>
    <t>OTC-C00138</t>
    <phoneticPr fontId="2" type="noConversion"/>
  </si>
  <si>
    <t>OTC-C00137</t>
    <phoneticPr fontId="2" type="noConversion"/>
  </si>
  <si>
    <t>TA905</t>
    <phoneticPr fontId="2" type="noConversion"/>
  </si>
  <si>
    <t>OTC-C00066-L</t>
    <phoneticPr fontId="2" type="noConversion"/>
  </si>
  <si>
    <t>OTC-C00082-L</t>
    <phoneticPr fontId="2" type="noConversion"/>
  </si>
  <si>
    <t>OTC-C00093-L</t>
    <phoneticPr fontId="2" type="noConversion"/>
  </si>
  <si>
    <t>OTC-C00059-L</t>
    <phoneticPr fontId="2" type="noConversion"/>
  </si>
  <si>
    <t>c1905</t>
    <phoneticPr fontId="2" type="noConversion"/>
  </si>
  <si>
    <t>OTC-C00080-L</t>
    <phoneticPr fontId="2" type="noConversion"/>
  </si>
  <si>
    <t>OTC-C00094-L</t>
    <phoneticPr fontId="2" type="noConversion"/>
  </si>
  <si>
    <t>OTC-C00142</t>
    <phoneticPr fontId="2" type="noConversion"/>
  </si>
  <si>
    <t>OTC-C00141</t>
    <phoneticPr fontId="2" type="noConversion"/>
  </si>
  <si>
    <t>OTC-C00150</t>
    <phoneticPr fontId="2" type="noConversion"/>
  </si>
  <si>
    <t>j1909</t>
    <phoneticPr fontId="2" type="noConversion"/>
  </si>
  <si>
    <t>rb1910</t>
    <phoneticPr fontId="2" type="noConversion"/>
  </si>
  <si>
    <t>OTC-C00011</t>
    <phoneticPr fontId="2" type="noConversion"/>
  </si>
  <si>
    <t>OTC-C00010-L</t>
    <phoneticPr fontId="2" type="noConversion"/>
  </si>
  <si>
    <t>OTC-C00011-L</t>
    <phoneticPr fontId="2" type="noConversion"/>
  </si>
  <si>
    <t>OTC-C00012-L</t>
    <phoneticPr fontId="2" type="noConversion"/>
  </si>
  <si>
    <t>OTC-C00013-L</t>
    <phoneticPr fontId="2" type="noConversion"/>
  </si>
  <si>
    <t>OTC-C00014-L</t>
    <phoneticPr fontId="2" type="noConversion"/>
  </si>
  <si>
    <t>OTC-C00086-L</t>
    <phoneticPr fontId="2" type="noConversion"/>
  </si>
  <si>
    <t>OTC-C00159</t>
    <phoneticPr fontId="2" type="noConversion"/>
  </si>
  <si>
    <t>OTC-C00085-L</t>
    <phoneticPr fontId="2" type="noConversion"/>
  </si>
  <si>
    <t>c1909</t>
    <phoneticPr fontId="2" type="noConversion"/>
  </si>
  <si>
    <t>刘剑溥</t>
    <phoneticPr fontId="2" type="noConversion"/>
  </si>
  <si>
    <t>OTC-C00125-L</t>
    <phoneticPr fontId="2" type="noConversion"/>
  </si>
  <si>
    <t>OTC-C00168</t>
    <phoneticPr fontId="2" type="noConversion"/>
  </si>
  <si>
    <t>a1909</t>
    <phoneticPr fontId="2" type="noConversion"/>
  </si>
  <si>
    <t>OTC-C00174</t>
    <phoneticPr fontId="2" type="noConversion"/>
  </si>
  <si>
    <t>OTC-C00175</t>
    <phoneticPr fontId="2" type="noConversion"/>
  </si>
  <si>
    <t>OTC-C00017-L-1</t>
    <phoneticPr fontId="2" type="noConversion"/>
  </si>
  <si>
    <t>y1909</t>
    <phoneticPr fontId="2" type="noConversion"/>
  </si>
  <si>
    <t>OTC-C00178</t>
    <phoneticPr fontId="2" type="noConversion"/>
  </si>
  <si>
    <t>OTC-C00181</t>
    <phoneticPr fontId="2" type="noConversion"/>
  </si>
  <si>
    <t>jm1909</t>
    <phoneticPr fontId="2" type="noConversion"/>
  </si>
  <si>
    <t>OTC-C00184</t>
    <phoneticPr fontId="2" type="noConversion"/>
  </si>
  <si>
    <t>OTC-C00098-L</t>
    <phoneticPr fontId="2" type="noConversion"/>
  </si>
  <si>
    <t>OTC-C00195</t>
    <phoneticPr fontId="2" type="noConversion"/>
  </si>
  <si>
    <t>OTC-C00197</t>
    <phoneticPr fontId="2" type="noConversion"/>
  </si>
  <si>
    <t>OTC-C00009-L-2</t>
    <phoneticPr fontId="2" type="noConversion"/>
  </si>
  <si>
    <t>OTC-C00165-L</t>
    <phoneticPr fontId="2" type="noConversion"/>
  </si>
  <si>
    <t>OTC-C00139-L</t>
    <phoneticPr fontId="2" type="noConversion"/>
  </si>
  <si>
    <t>到期日</t>
    <phoneticPr fontId="2" type="noConversion"/>
  </si>
  <si>
    <t>林</t>
    <phoneticPr fontId="17" type="noConversion"/>
  </si>
  <si>
    <t>谢</t>
    <phoneticPr fontId="17" type="noConversion"/>
  </si>
  <si>
    <t>刘</t>
    <phoneticPr fontId="17" type="noConversion"/>
  </si>
  <si>
    <t>期权</t>
    <phoneticPr fontId="17" type="noConversion"/>
  </si>
  <si>
    <t>optionday</t>
    <phoneticPr fontId="17" type="noConversion"/>
  </si>
  <si>
    <t>OTC-C00073</t>
    <phoneticPr fontId="2" type="noConversion"/>
  </si>
  <si>
    <t>OTC-C00080</t>
    <phoneticPr fontId="2" type="noConversion"/>
  </si>
  <si>
    <t>OTC-C00080</t>
    <phoneticPr fontId="2" type="noConversion"/>
  </si>
  <si>
    <t>OTC-C00113-L</t>
    <phoneticPr fontId="2" type="noConversion"/>
  </si>
  <si>
    <t>OTC-C00180</t>
    <phoneticPr fontId="2" type="noConversion"/>
  </si>
  <si>
    <t>OTC-C00080-L</t>
    <phoneticPr fontId="2" type="noConversion"/>
  </si>
  <si>
    <t>OTC-C00085-L</t>
    <phoneticPr fontId="2" type="noConversion"/>
  </si>
  <si>
    <t>OTC-C00139</t>
    <phoneticPr fontId="2" type="noConversion"/>
  </si>
  <si>
    <t>OTC-C00151</t>
    <phoneticPr fontId="2" type="noConversion"/>
  </si>
  <si>
    <t>OTC-C00152</t>
    <phoneticPr fontId="2" type="noConversion"/>
  </si>
  <si>
    <t>OTC-C00016</t>
    <phoneticPr fontId="2" type="noConversion"/>
  </si>
  <si>
    <t>OTC-C00008</t>
    <phoneticPr fontId="2" type="noConversion"/>
  </si>
  <si>
    <t>OTC-C00008</t>
    <phoneticPr fontId="2" type="noConversion"/>
  </si>
  <si>
    <t>OTC-C00007</t>
    <phoneticPr fontId="2" type="noConversion"/>
  </si>
  <si>
    <t>OTC-C00017</t>
    <phoneticPr fontId="2" type="noConversion"/>
  </si>
  <si>
    <t>OTC-C00017</t>
    <phoneticPr fontId="2" type="noConversion"/>
  </si>
  <si>
    <t>OTC-C00031</t>
    <phoneticPr fontId="2" type="noConversion"/>
  </si>
  <si>
    <t>OTC-C00081</t>
    <phoneticPr fontId="2" type="noConversion"/>
  </si>
  <si>
    <t>OTC-C00205</t>
    <phoneticPr fontId="2" type="noConversion"/>
  </si>
  <si>
    <t>OTC-C00118-L</t>
    <phoneticPr fontId="2" type="noConversion"/>
  </si>
  <si>
    <t>OTC-C00172-L</t>
    <phoneticPr fontId="2" type="noConversion"/>
  </si>
  <si>
    <r>
      <t>OTC-C00201</t>
    </r>
    <r>
      <rPr>
        <sz val="11"/>
        <color indexed="8"/>
        <rFont val="宋体"/>
        <family val="3"/>
        <charset val="134"/>
      </rPr>
      <t/>
    </r>
    <phoneticPr fontId="2" type="noConversion"/>
  </si>
  <si>
    <t>OTC-C00113-L</t>
    <phoneticPr fontId="2" type="noConversion"/>
  </si>
  <si>
    <t>OTC-C00114-L</t>
    <phoneticPr fontId="2" type="noConversion"/>
  </si>
  <si>
    <t>OTC-C00115-L</t>
    <phoneticPr fontId="2" type="noConversion"/>
  </si>
  <si>
    <t>OTC-C00115-L</t>
    <phoneticPr fontId="2" type="noConversion"/>
  </si>
  <si>
    <t>OTC-C00116-L</t>
    <phoneticPr fontId="2" type="noConversion"/>
  </si>
  <si>
    <t>OTC-C00116-L</t>
    <phoneticPr fontId="2" type="noConversion"/>
  </si>
  <si>
    <t>OTC-C00117-L</t>
    <phoneticPr fontId="2" type="noConversion"/>
  </si>
  <si>
    <t>OTC-C00117-L</t>
    <phoneticPr fontId="2" type="noConversion"/>
  </si>
  <si>
    <t>OTC-C00104-L</t>
    <phoneticPr fontId="2" type="noConversion"/>
  </si>
  <si>
    <t>OTC-C00081-L</t>
    <phoneticPr fontId="2" type="noConversion"/>
  </si>
  <si>
    <t>LZJM181224-AU</t>
    <phoneticPr fontId="2" type="noConversion"/>
  </si>
  <si>
    <t>LZJM181224-AG</t>
    <phoneticPr fontId="2" type="noConversion"/>
  </si>
  <si>
    <t>LZJM181224-AG</t>
    <phoneticPr fontId="2" type="noConversion"/>
  </si>
  <si>
    <t>GTJA181224-AU</t>
    <phoneticPr fontId="2" type="noConversion"/>
  </si>
  <si>
    <t>GTJA181224-AU</t>
    <phoneticPr fontId="2" type="noConversion"/>
  </si>
  <si>
    <t>GTJA181224-AG</t>
    <phoneticPr fontId="2" type="noConversion"/>
  </si>
  <si>
    <t>GTJA181227-PP</t>
    <phoneticPr fontId="2" type="noConversion"/>
  </si>
  <si>
    <t>OTC-C00049-L</t>
    <phoneticPr fontId="2" type="noConversion"/>
  </si>
  <si>
    <t>OTC-C00003</t>
    <phoneticPr fontId="2" type="noConversion"/>
  </si>
  <si>
    <t>OTC-C00003</t>
    <phoneticPr fontId="2" type="noConversion"/>
  </si>
  <si>
    <t>OTC-C00004-L</t>
    <phoneticPr fontId="2" type="noConversion"/>
  </si>
  <si>
    <t>OTC-C00005-L</t>
    <phoneticPr fontId="2" type="noConversion"/>
  </si>
  <si>
    <t>OTC-C00010</t>
    <phoneticPr fontId="2" type="noConversion"/>
  </si>
  <si>
    <t>OTC-C00012</t>
    <phoneticPr fontId="2" type="noConversion"/>
  </si>
  <si>
    <t>OTC-C00013</t>
    <phoneticPr fontId="2" type="noConversion"/>
  </si>
  <si>
    <t>OTC-C00014</t>
    <phoneticPr fontId="2" type="noConversion"/>
  </si>
  <si>
    <t>OTC-C00183-L</t>
    <phoneticPr fontId="2" type="noConversion"/>
  </si>
  <si>
    <t>OTC-C00112-L</t>
    <phoneticPr fontId="2" type="noConversion"/>
  </si>
  <si>
    <t>OTC-C00208</t>
    <phoneticPr fontId="2" type="noConversion"/>
  </si>
  <si>
    <t>OTC-C00018</t>
    <phoneticPr fontId="2" type="noConversion"/>
  </si>
  <si>
    <t>OTC-C00018-L</t>
    <phoneticPr fontId="2" type="noConversion"/>
  </si>
  <si>
    <t>OTC-C00021</t>
    <phoneticPr fontId="2" type="noConversion"/>
  </si>
  <si>
    <t>OTC-C00022</t>
    <phoneticPr fontId="2" type="noConversion"/>
  </si>
  <si>
    <t>OTC-C00022-L</t>
    <phoneticPr fontId="2" type="noConversion"/>
  </si>
  <si>
    <t>OTC-C00023</t>
    <phoneticPr fontId="2" type="noConversion"/>
  </si>
  <si>
    <t>OTC-C00023-L</t>
    <phoneticPr fontId="2" type="noConversion"/>
  </si>
  <si>
    <t>OTC-C00024</t>
    <phoneticPr fontId="2" type="noConversion"/>
  </si>
  <si>
    <t>OTC-C00024-L</t>
    <phoneticPr fontId="2" type="noConversion"/>
  </si>
  <si>
    <t>OTC-C00025</t>
    <phoneticPr fontId="2" type="noConversion"/>
  </si>
  <si>
    <t>OTC-C00025-L</t>
    <phoneticPr fontId="2" type="noConversion"/>
  </si>
  <si>
    <t>OTC-C00026-L</t>
    <phoneticPr fontId="2" type="noConversion"/>
  </si>
  <si>
    <t>OTC-C00026</t>
    <phoneticPr fontId="2" type="noConversion"/>
  </si>
  <si>
    <t>OTC-C00028</t>
    <phoneticPr fontId="2" type="noConversion"/>
  </si>
  <si>
    <t>OTC-C00029</t>
    <phoneticPr fontId="2" type="noConversion"/>
  </si>
  <si>
    <t>OTC-C00032</t>
    <phoneticPr fontId="2" type="noConversion"/>
  </si>
  <si>
    <t>OTC-C00032-L</t>
    <phoneticPr fontId="2" type="noConversion"/>
  </si>
  <si>
    <t>OTC-C00033</t>
    <phoneticPr fontId="2" type="noConversion"/>
  </si>
  <si>
    <t>OTC-C00033-L</t>
    <phoneticPr fontId="2" type="noConversion"/>
  </si>
  <si>
    <t>OTC-C00040</t>
    <phoneticPr fontId="2" type="noConversion"/>
  </si>
  <si>
    <t>OTC-C00040-L</t>
    <phoneticPr fontId="2" type="noConversion"/>
  </si>
  <si>
    <t>OTC-C00041</t>
    <phoneticPr fontId="2" type="noConversion"/>
  </si>
  <si>
    <t>OTC-C00041-L</t>
    <phoneticPr fontId="2" type="noConversion"/>
  </si>
  <si>
    <t>OTC-C00042</t>
    <phoneticPr fontId="2" type="noConversion"/>
  </si>
  <si>
    <t>OTC-C00042-L</t>
    <phoneticPr fontId="2" type="noConversion"/>
  </si>
  <si>
    <t>OTC-C00043</t>
    <phoneticPr fontId="2" type="noConversion"/>
  </si>
  <si>
    <t>OTC-C00043-L</t>
    <phoneticPr fontId="2" type="noConversion"/>
  </si>
  <si>
    <t>OTC-C00043-L</t>
    <phoneticPr fontId="2" type="noConversion"/>
  </si>
  <si>
    <t>OTC-C00044</t>
    <phoneticPr fontId="2" type="noConversion"/>
  </si>
  <si>
    <t>OTC-C00044-L</t>
    <phoneticPr fontId="2" type="noConversion"/>
  </si>
  <si>
    <t>OTC-C00048</t>
    <phoneticPr fontId="2" type="noConversion"/>
  </si>
  <si>
    <t>OTC-C00049</t>
    <phoneticPr fontId="2" type="noConversion"/>
  </si>
  <si>
    <t>OTC-C00052</t>
    <phoneticPr fontId="2" type="noConversion"/>
  </si>
  <si>
    <t>OTC-C00052-L</t>
    <phoneticPr fontId="2" type="noConversion"/>
  </si>
  <si>
    <t>OTC-C00053-L</t>
    <phoneticPr fontId="2" type="noConversion"/>
  </si>
  <si>
    <t>OTC-C00054</t>
    <phoneticPr fontId="2" type="noConversion"/>
  </si>
  <si>
    <t>OTC-C00054-L</t>
    <phoneticPr fontId="2" type="noConversion"/>
  </si>
  <si>
    <t>OTC-C00055</t>
    <phoneticPr fontId="2" type="noConversion"/>
  </si>
  <si>
    <t>OTC-C00055-L</t>
    <phoneticPr fontId="2" type="noConversion"/>
  </si>
  <si>
    <t>OTC-C00056</t>
    <phoneticPr fontId="2" type="noConversion"/>
  </si>
  <si>
    <t>OTC-C00056-L</t>
    <phoneticPr fontId="2" type="noConversion"/>
  </si>
  <si>
    <t>OTC-C00057</t>
    <phoneticPr fontId="2" type="noConversion"/>
  </si>
  <si>
    <t>OTC-C00057-L</t>
    <phoneticPr fontId="2" type="noConversion"/>
  </si>
  <si>
    <t>OTC-C00060</t>
    <phoneticPr fontId="2" type="noConversion"/>
  </si>
  <si>
    <t>OTC-C00061</t>
    <phoneticPr fontId="2" type="noConversion"/>
  </si>
  <si>
    <t>OTC-C00061-L</t>
    <phoneticPr fontId="2" type="noConversion"/>
  </si>
  <si>
    <t>OTC-C00062</t>
    <phoneticPr fontId="2" type="noConversion"/>
  </si>
  <si>
    <t>OTC-C00062-L</t>
    <phoneticPr fontId="2" type="noConversion"/>
  </si>
  <si>
    <t>OTC-C00063</t>
    <phoneticPr fontId="2" type="noConversion"/>
  </si>
  <si>
    <t>OTC-C00063-L</t>
    <phoneticPr fontId="2" type="noConversion"/>
  </si>
  <si>
    <t>OTC-C00064</t>
    <phoneticPr fontId="2" type="noConversion"/>
  </si>
  <si>
    <t>OTC-C00064-L</t>
    <phoneticPr fontId="2" type="noConversion"/>
  </si>
  <si>
    <t>OTC-C00068-L</t>
    <phoneticPr fontId="2" type="noConversion"/>
  </si>
  <si>
    <t>OTC-C00069</t>
    <phoneticPr fontId="2" type="noConversion"/>
  </si>
  <si>
    <t>OTC-C00070</t>
    <phoneticPr fontId="2" type="noConversion"/>
  </si>
  <si>
    <t>OTC-C00070-L</t>
    <phoneticPr fontId="2" type="noConversion"/>
  </si>
  <si>
    <t>OTC-C00071</t>
    <phoneticPr fontId="2" type="noConversion"/>
  </si>
  <si>
    <t>OTC-C00072</t>
    <phoneticPr fontId="2" type="noConversion"/>
  </si>
  <si>
    <t>OTC-C00072-L</t>
    <phoneticPr fontId="2" type="noConversion"/>
  </si>
  <si>
    <t>OTC-C00075</t>
    <phoneticPr fontId="2" type="noConversion"/>
  </si>
  <si>
    <t>OTC-C00076</t>
    <phoneticPr fontId="2" type="noConversion"/>
  </si>
  <si>
    <t>OTC-C00076-L</t>
    <phoneticPr fontId="2" type="noConversion"/>
  </si>
  <si>
    <t>OTC-C00077</t>
    <phoneticPr fontId="2" type="noConversion"/>
  </si>
  <si>
    <t>OTC-C00077-L</t>
    <phoneticPr fontId="2" type="noConversion"/>
  </si>
  <si>
    <t>OTC-C00077</t>
    <phoneticPr fontId="2" type="noConversion"/>
  </si>
  <si>
    <t>OTC-C00078</t>
    <phoneticPr fontId="2" type="noConversion"/>
  </si>
  <si>
    <t>OTC-C00078-L</t>
    <phoneticPr fontId="2" type="noConversion"/>
  </si>
  <si>
    <t>OTC-C00078</t>
    <phoneticPr fontId="2" type="noConversion"/>
  </si>
  <si>
    <t>OTC-C00079</t>
    <phoneticPr fontId="2" type="noConversion"/>
  </si>
  <si>
    <t>OTC-C00079-L</t>
    <phoneticPr fontId="2" type="noConversion"/>
  </si>
  <si>
    <t>OTC-C00083</t>
    <phoneticPr fontId="2" type="noConversion"/>
  </si>
  <si>
    <t>OTC-C00083-L-1</t>
    <phoneticPr fontId="2" type="noConversion"/>
  </si>
  <si>
    <t>OTC-C00087</t>
    <phoneticPr fontId="2" type="noConversion"/>
  </si>
  <si>
    <t>OTC-C00087-L</t>
    <phoneticPr fontId="2" type="noConversion"/>
  </si>
  <si>
    <t>OTC-C00088</t>
    <phoneticPr fontId="2" type="noConversion"/>
  </si>
  <si>
    <t>OTC-C00088-L</t>
    <phoneticPr fontId="2" type="noConversion"/>
  </si>
  <si>
    <t>OTC-C00089</t>
    <phoneticPr fontId="2" type="noConversion"/>
  </si>
  <si>
    <t>OTC-C00089-L</t>
    <phoneticPr fontId="2" type="noConversion"/>
  </si>
  <si>
    <t>OTC-C00089</t>
    <phoneticPr fontId="2" type="noConversion"/>
  </si>
  <si>
    <t>OTC-C00090</t>
    <phoneticPr fontId="2" type="noConversion"/>
  </si>
  <si>
    <t>OTC-C00090-L</t>
    <phoneticPr fontId="2" type="noConversion"/>
  </si>
  <si>
    <t>OTC-C00090</t>
    <phoneticPr fontId="2" type="noConversion"/>
  </si>
  <si>
    <t>OTC-C00098</t>
    <phoneticPr fontId="2" type="noConversion"/>
  </si>
  <si>
    <t>OTC-C00099</t>
    <phoneticPr fontId="2" type="noConversion"/>
  </si>
  <si>
    <t>OTC-C00099-L</t>
    <phoneticPr fontId="2" type="noConversion"/>
  </si>
  <si>
    <t>OTC-C00100-L</t>
    <phoneticPr fontId="2" type="noConversion"/>
  </si>
  <si>
    <t>OTC-C00101</t>
    <phoneticPr fontId="2" type="noConversion"/>
  </si>
  <si>
    <t>OTC-C00101-L</t>
    <phoneticPr fontId="2" type="noConversion"/>
  </si>
  <si>
    <t>OTC-C00101-L</t>
    <phoneticPr fontId="2" type="noConversion"/>
  </si>
  <si>
    <t>OTC-C00102-L</t>
    <phoneticPr fontId="2" type="noConversion"/>
  </si>
  <si>
    <t>OTC-C00103</t>
    <phoneticPr fontId="2" type="noConversion"/>
  </si>
  <si>
    <t>OTC-C00154</t>
    <phoneticPr fontId="2" type="noConversion"/>
  </si>
  <si>
    <t>OTC-C00155</t>
    <phoneticPr fontId="2" type="noConversion"/>
  </si>
  <si>
    <t>OTC-C00158</t>
    <phoneticPr fontId="2" type="noConversion"/>
  </si>
  <si>
    <t>OTC-C00170</t>
    <phoneticPr fontId="2" type="noConversion"/>
  </si>
  <si>
    <t>OTC-C00092</t>
    <phoneticPr fontId="2" type="noConversion"/>
  </si>
  <si>
    <t>OTC-C00085</t>
    <phoneticPr fontId="2" type="noConversion"/>
  </si>
  <si>
    <t>OTC-C00082</t>
    <phoneticPr fontId="2" type="noConversion"/>
  </si>
  <si>
    <t>OTC-C00008-L</t>
    <phoneticPr fontId="2" type="noConversion"/>
  </si>
  <si>
    <t>OTC-C00092-L</t>
    <phoneticPr fontId="2" type="noConversion"/>
  </si>
  <si>
    <t>OTC-C00198</t>
    <phoneticPr fontId="2" type="noConversion"/>
  </si>
  <si>
    <t>CF909</t>
    <phoneticPr fontId="2" type="noConversion"/>
  </si>
  <si>
    <t>OTC-C00122-L</t>
    <phoneticPr fontId="2" type="noConversion"/>
  </si>
  <si>
    <t>OTC-C00168-L</t>
    <phoneticPr fontId="2" type="noConversion"/>
  </si>
  <si>
    <t>OTC-C00179-L</t>
    <phoneticPr fontId="2" type="noConversion"/>
  </si>
  <si>
    <t>OTC-C00146-L</t>
    <phoneticPr fontId="2" type="noConversion"/>
  </si>
  <si>
    <t>OTC-C00147-L</t>
    <phoneticPr fontId="2" type="noConversion"/>
  </si>
  <si>
    <t>OTC-C00203</t>
    <phoneticPr fontId="2" type="noConversion"/>
  </si>
  <si>
    <t>OTC-C00065</t>
    <phoneticPr fontId="2" type="noConversion"/>
  </si>
  <si>
    <t>hc1910</t>
    <phoneticPr fontId="2" type="noConversion"/>
  </si>
  <si>
    <t>OTC-C00129-L</t>
    <phoneticPr fontId="2" type="noConversion"/>
  </si>
  <si>
    <t>OTC-C00126-L</t>
    <phoneticPr fontId="2" type="noConversion"/>
  </si>
  <si>
    <t>OTC-C00137-L</t>
    <phoneticPr fontId="2" type="noConversion"/>
  </si>
  <si>
    <t>OTC-C00178-L</t>
    <phoneticPr fontId="2" type="noConversion"/>
  </si>
  <si>
    <t>OTC-C00204</t>
    <phoneticPr fontId="2" type="noConversion"/>
  </si>
  <si>
    <t>OTC-C00206</t>
    <phoneticPr fontId="2" type="noConversion"/>
  </si>
  <si>
    <t>OTC-C00207</t>
    <phoneticPr fontId="2" type="noConversion"/>
  </si>
  <si>
    <t>OTC-C00130-L</t>
    <phoneticPr fontId="2" type="noConversion"/>
  </si>
  <si>
    <t>OTC-C00131</t>
    <phoneticPr fontId="2" type="noConversion"/>
  </si>
  <si>
    <t>OTC-C00131-L</t>
    <phoneticPr fontId="2" type="noConversion"/>
  </si>
  <si>
    <t>OTC-C00132</t>
    <phoneticPr fontId="2" type="noConversion"/>
  </si>
  <si>
    <t>OTC-C00132-L</t>
    <phoneticPr fontId="2" type="noConversion"/>
  </si>
  <si>
    <t>OTC-C00133-L</t>
    <phoneticPr fontId="2" type="noConversion"/>
  </si>
  <si>
    <t>OTC-C00212</t>
    <phoneticPr fontId="2" type="noConversion"/>
  </si>
  <si>
    <t>OTC-C00213</t>
    <phoneticPr fontId="2" type="noConversion"/>
  </si>
  <si>
    <t>OTC-C00214</t>
    <phoneticPr fontId="2" type="noConversion"/>
  </si>
  <si>
    <t>OTC-C00215</t>
    <phoneticPr fontId="2" type="noConversion"/>
  </si>
  <si>
    <t>OTC-C00216</t>
    <phoneticPr fontId="2" type="noConversion"/>
  </si>
  <si>
    <t>OTC-C00083-L-2</t>
    <phoneticPr fontId="2" type="noConversion"/>
  </si>
  <si>
    <t>OTC-C00209</t>
    <phoneticPr fontId="2" type="noConversion"/>
  </si>
  <si>
    <t>OTC-C00146</t>
    <phoneticPr fontId="2" type="noConversion"/>
  </si>
  <si>
    <t>OTC-C00144</t>
    <phoneticPr fontId="2" type="noConversion"/>
  </si>
  <si>
    <t>OTC-C00144-L</t>
    <phoneticPr fontId="2" type="noConversion"/>
  </si>
  <si>
    <t>OTC-C00185</t>
    <phoneticPr fontId="2" type="noConversion"/>
  </si>
  <si>
    <t>OTC-C00211</t>
    <phoneticPr fontId="2" type="noConversion"/>
  </si>
  <si>
    <t>OTC-C00192-L</t>
    <phoneticPr fontId="2" type="noConversion"/>
  </si>
  <si>
    <t>OTC-C00196-L</t>
    <phoneticPr fontId="2" type="noConversion"/>
  </si>
  <si>
    <t>OTC-C00154-L</t>
    <phoneticPr fontId="2" type="noConversion"/>
  </si>
  <si>
    <t>OTC-C00156</t>
    <phoneticPr fontId="2" type="noConversion"/>
  </si>
  <si>
    <t>OTC-C00157</t>
    <phoneticPr fontId="2" type="noConversion"/>
  </si>
  <si>
    <t>OTC-C00151-L</t>
    <phoneticPr fontId="2" type="noConversion"/>
  </si>
  <si>
    <t>OTC-C00153-L</t>
    <phoneticPr fontId="2" type="noConversion"/>
  </si>
  <si>
    <t>OTC-C00222</t>
    <phoneticPr fontId="2" type="noConversion"/>
  </si>
  <si>
    <t>OTC-C00048-L</t>
    <phoneticPr fontId="2" type="noConversion"/>
  </si>
  <si>
    <t>OTC-C00065-L</t>
    <phoneticPr fontId="2" type="noConversion"/>
  </si>
  <si>
    <t>OTC-C00105-L</t>
    <phoneticPr fontId="2" type="noConversion"/>
  </si>
  <si>
    <t>OTC-C00007-L</t>
    <phoneticPr fontId="2" type="noConversion"/>
  </si>
  <si>
    <t>OTC-C00217</t>
    <phoneticPr fontId="2" type="noConversion"/>
  </si>
  <si>
    <t>OTC-C00218</t>
    <phoneticPr fontId="2" type="noConversion"/>
  </si>
  <si>
    <t>OTC-C00219</t>
    <phoneticPr fontId="2" type="noConversion"/>
  </si>
  <si>
    <t>OTC-C00220</t>
    <phoneticPr fontId="2" type="noConversion"/>
  </si>
  <si>
    <t>OTC-C00221</t>
    <phoneticPr fontId="2" type="noConversion"/>
  </si>
  <si>
    <t>OTC-C00163-L</t>
    <phoneticPr fontId="2" type="noConversion"/>
  </si>
  <si>
    <t>OTC-C00164-L</t>
    <phoneticPr fontId="2" type="noConversion"/>
  </si>
  <si>
    <t>OTC-C00194-L</t>
    <phoneticPr fontId="2" type="noConversion"/>
  </si>
  <si>
    <t>ZGTB018</t>
    <phoneticPr fontId="2" type="noConversion"/>
  </si>
  <si>
    <t>OTC-C00197-L</t>
    <phoneticPr fontId="2" type="noConversion"/>
  </si>
  <si>
    <t>OTC-C00185-L</t>
    <phoneticPr fontId="2" type="noConversion"/>
  </si>
  <si>
    <t>OTC-C00193-L</t>
    <phoneticPr fontId="2" type="noConversion"/>
  </si>
  <si>
    <t>OTC-C00145-L</t>
    <phoneticPr fontId="2" type="noConversion"/>
  </si>
  <si>
    <t>OTC-C00152-L</t>
    <phoneticPr fontId="2" type="noConversion"/>
  </si>
  <si>
    <t>OTC-C00181-L</t>
    <phoneticPr fontId="2" type="noConversion"/>
  </si>
  <si>
    <t>OTC-C00110-L</t>
    <phoneticPr fontId="2" type="noConversion"/>
  </si>
  <si>
    <t>OTC-C00120-L</t>
    <phoneticPr fontId="2" type="noConversion"/>
  </si>
  <si>
    <t>OTC-C00141-L</t>
    <phoneticPr fontId="2" type="noConversion"/>
  </si>
  <si>
    <t>OTC-C00108-L</t>
    <phoneticPr fontId="2" type="noConversion"/>
  </si>
  <si>
    <t>OTC-C00106-L</t>
    <phoneticPr fontId="2" type="noConversion"/>
  </si>
  <si>
    <t>OTC-C00017-L-2</t>
    <phoneticPr fontId="2" type="noConversion"/>
  </si>
  <si>
    <t>OTC-C00109-L</t>
    <phoneticPr fontId="2" type="noConversion"/>
  </si>
  <si>
    <t>OTC-C00150-L</t>
    <phoneticPr fontId="2" type="noConversion"/>
  </si>
  <si>
    <t>OTC-C00134-L</t>
    <phoneticPr fontId="2" type="noConversion"/>
  </si>
  <si>
    <t>OTC-C00095-L</t>
    <phoneticPr fontId="2" type="noConversion"/>
  </si>
  <si>
    <t>OTC-C00095-L</t>
    <phoneticPr fontId="2" type="noConversion"/>
  </si>
  <si>
    <t>OTC-C00145</t>
    <phoneticPr fontId="2" type="noConversion"/>
  </si>
  <si>
    <t>OTC-C00192</t>
    <phoneticPr fontId="2" type="noConversion"/>
  </si>
  <si>
    <t>OTC-C00193</t>
    <phoneticPr fontId="2" type="noConversion"/>
  </si>
  <si>
    <t>OTC-C00223</t>
    <phoneticPr fontId="2" type="noConversion"/>
  </si>
  <si>
    <t>OTC-C00224</t>
    <phoneticPr fontId="2" type="noConversion"/>
  </si>
  <si>
    <t>OTC-C00225</t>
    <phoneticPr fontId="2" type="noConversion"/>
  </si>
  <si>
    <t>OTC-C00226</t>
    <phoneticPr fontId="2" type="noConversion"/>
  </si>
  <si>
    <t>OTC-C00227</t>
    <phoneticPr fontId="2" type="noConversion"/>
  </si>
  <si>
    <t>OTC-C00231</t>
    <phoneticPr fontId="2" type="noConversion"/>
  </si>
  <si>
    <t>OTC-C00232</t>
    <phoneticPr fontId="2" type="noConversion"/>
  </si>
  <si>
    <t>OTC-C00233</t>
    <phoneticPr fontId="2" type="noConversion"/>
  </si>
  <si>
    <t>OTC-C00234</t>
    <phoneticPr fontId="2" type="noConversion"/>
  </si>
  <si>
    <t>OTC-C00235</t>
    <phoneticPr fontId="2" type="noConversion"/>
  </si>
  <si>
    <t>OTC-C00235</t>
    <phoneticPr fontId="2" type="noConversion"/>
  </si>
  <si>
    <t>OTC-C00191</t>
    <phoneticPr fontId="2" type="noConversion"/>
  </si>
  <si>
    <r>
      <t>OTC-C00187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</si>
  <si>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OTC-C00189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</si>
  <si>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OTC-C00189-L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</si>
  <si>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OTC-C00190-L</t>
    </r>
    <r>
      <rPr>
        <sz val="11"/>
        <color indexed="8"/>
        <rFont val="宋体"/>
        <family val="3"/>
        <charset val="134"/>
      </rPr>
      <t/>
    </r>
    <phoneticPr fontId="2" type="noConversion"/>
  </si>
  <si>
    <t>JFHC001</t>
    <phoneticPr fontId="2" type="noConversion"/>
  </si>
  <si>
    <t>JFHC011</t>
    <phoneticPr fontId="2" type="noConversion"/>
  </si>
  <si>
    <t>OTC-C00015</t>
    <phoneticPr fontId="2" type="noConversion"/>
  </si>
  <si>
    <t>OTC-C00015-L</t>
    <phoneticPr fontId="2" type="noConversion"/>
  </si>
  <si>
    <t>OTC-C00015-L</t>
    <phoneticPr fontId="2" type="noConversion"/>
  </si>
  <si>
    <t>OTC-C00019</t>
    <phoneticPr fontId="2" type="noConversion"/>
  </si>
  <si>
    <t>OTC-C00020</t>
    <phoneticPr fontId="2" type="noConversion"/>
  </si>
  <si>
    <t>OTC-C00027</t>
    <phoneticPr fontId="2" type="noConversion"/>
  </si>
  <si>
    <t>OTC-C00027-L</t>
    <phoneticPr fontId="2" type="noConversion"/>
  </si>
  <si>
    <t>OTC-C00030</t>
    <phoneticPr fontId="2" type="noConversion"/>
  </si>
  <si>
    <t>OTC-C00030</t>
    <phoneticPr fontId="2" type="noConversion"/>
  </si>
  <si>
    <t>OTC-C00034</t>
    <phoneticPr fontId="2" type="noConversion"/>
  </si>
  <si>
    <t>OTC-C00034-L</t>
    <phoneticPr fontId="2" type="noConversion"/>
  </si>
  <si>
    <t>OTC-C00034-L</t>
    <phoneticPr fontId="2" type="noConversion"/>
  </si>
  <si>
    <t>OTC-C00036</t>
    <phoneticPr fontId="2" type="noConversion"/>
  </si>
  <si>
    <t>OTC-C00036-L</t>
    <phoneticPr fontId="2" type="noConversion"/>
  </si>
  <si>
    <t>OTC-C00037</t>
    <phoneticPr fontId="2" type="noConversion"/>
  </si>
  <si>
    <t>OTC-C00037-L</t>
    <phoneticPr fontId="2" type="noConversion"/>
  </si>
  <si>
    <t>OTC-C00038</t>
    <phoneticPr fontId="2" type="noConversion"/>
  </si>
  <si>
    <t>OTC-C00039</t>
    <phoneticPr fontId="2" type="noConversion"/>
  </si>
  <si>
    <t>OTC-C00039-L</t>
    <phoneticPr fontId="2" type="noConversion"/>
  </si>
  <si>
    <t>OTC-C00045</t>
    <phoneticPr fontId="2" type="noConversion"/>
  </si>
  <si>
    <t>OTC-C00045-L</t>
    <phoneticPr fontId="2" type="noConversion"/>
  </si>
  <si>
    <t>OTC-C00046</t>
    <phoneticPr fontId="2" type="noConversion"/>
  </si>
  <si>
    <t>OTC-C00046-L</t>
    <phoneticPr fontId="2" type="noConversion"/>
  </si>
  <si>
    <t>OTC-C00047</t>
    <phoneticPr fontId="2" type="noConversion"/>
  </si>
  <si>
    <t>OTC-C00047-L</t>
    <phoneticPr fontId="2" type="noConversion"/>
  </si>
  <si>
    <t>OTC-C00047</t>
    <phoneticPr fontId="2" type="noConversion"/>
  </si>
  <si>
    <t>OTC-C00050-L</t>
    <phoneticPr fontId="2" type="noConversion"/>
  </si>
  <si>
    <t>OTC-C00051-L</t>
    <phoneticPr fontId="2" type="noConversion"/>
  </si>
  <si>
    <t>OTC-C00058-L</t>
    <phoneticPr fontId="2" type="noConversion"/>
  </si>
  <si>
    <t>OTC-C00059</t>
    <phoneticPr fontId="2" type="noConversion"/>
  </si>
  <si>
    <t>OTC-C00067-L</t>
    <phoneticPr fontId="2" type="noConversion"/>
  </si>
  <si>
    <t>OTC-C00074-L</t>
    <phoneticPr fontId="2" type="noConversion"/>
  </si>
  <si>
    <t>OTC-C00084</t>
    <phoneticPr fontId="2" type="noConversion"/>
  </si>
  <si>
    <t>OTC-C00084-L</t>
    <phoneticPr fontId="2" type="noConversion"/>
  </si>
  <si>
    <t>OTC-C00091</t>
    <phoneticPr fontId="2" type="noConversion"/>
  </si>
  <si>
    <t>OTC-C00091-L</t>
    <phoneticPr fontId="2" type="noConversion"/>
  </si>
  <si>
    <t>OTC-C00093</t>
    <phoneticPr fontId="2" type="noConversion"/>
  </si>
  <si>
    <t>OTC-C00096</t>
    <phoneticPr fontId="2" type="noConversion"/>
  </si>
  <si>
    <t>OTC-C00096-L</t>
    <phoneticPr fontId="2" type="noConversion"/>
  </si>
  <si>
    <t>OTC-C00097</t>
    <phoneticPr fontId="2" type="noConversion"/>
  </si>
  <si>
    <t>OTC-C00097-L</t>
    <phoneticPr fontId="2" type="noConversion"/>
  </si>
  <si>
    <t>OTC-C00107</t>
    <phoneticPr fontId="2" type="noConversion"/>
  </si>
  <si>
    <t>OTC-C00107-L</t>
    <phoneticPr fontId="2" type="noConversion"/>
  </si>
  <si>
    <t>OTC-C00111</t>
    <phoneticPr fontId="2" type="noConversion"/>
  </si>
  <si>
    <t>OTC-C00111-L</t>
    <phoneticPr fontId="2" type="noConversion"/>
  </si>
  <si>
    <t>OTC-C00118</t>
    <phoneticPr fontId="2" type="noConversion"/>
  </si>
  <si>
    <t>OTC-C00119</t>
    <phoneticPr fontId="2" type="noConversion"/>
  </si>
  <si>
    <t>OTC-C00119-L</t>
    <phoneticPr fontId="2" type="noConversion"/>
  </si>
  <si>
    <t>OTC-C00121</t>
    <phoneticPr fontId="2" type="noConversion"/>
  </si>
  <si>
    <t>OTC-C00121-L</t>
    <phoneticPr fontId="2" type="noConversion"/>
  </si>
  <si>
    <t>OTC-C00124</t>
    <phoneticPr fontId="2" type="noConversion"/>
  </si>
  <si>
    <t>OTC-C00125</t>
    <phoneticPr fontId="2" type="noConversion"/>
  </si>
  <si>
    <t>OTC-C00124-L</t>
    <phoneticPr fontId="2" type="noConversion"/>
  </si>
  <si>
    <t>OTC-C00128-L</t>
    <phoneticPr fontId="2" type="noConversion"/>
  </si>
  <si>
    <t>OTC-C00135</t>
    <phoneticPr fontId="2" type="noConversion"/>
  </si>
  <si>
    <t>OTC-C00136</t>
    <phoneticPr fontId="2" type="noConversion"/>
  </si>
  <si>
    <t>OTC-C00138-L</t>
    <phoneticPr fontId="2" type="noConversion"/>
  </si>
  <si>
    <t>OTC-C00140</t>
    <phoneticPr fontId="2" type="noConversion"/>
  </si>
  <si>
    <t>OTC-C00143</t>
    <phoneticPr fontId="2" type="noConversion"/>
  </si>
  <si>
    <t>OTC-C00147</t>
    <phoneticPr fontId="2" type="noConversion"/>
  </si>
  <si>
    <t>OTC-C00148</t>
    <phoneticPr fontId="2" type="noConversion"/>
  </si>
  <si>
    <t>OTC-C00149</t>
    <phoneticPr fontId="2" type="noConversion"/>
  </si>
  <si>
    <t>OTC-C00160</t>
    <phoneticPr fontId="2" type="noConversion"/>
  </si>
  <si>
    <t>OTC-C00162</t>
    <phoneticPr fontId="2" type="noConversion"/>
  </si>
  <si>
    <t>OTC-C00163</t>
    <phoneticPr fontId="2" type="noConversion"/>
  </si>
  <si>
    <t>OTC-C00163</t>
    <phoneticPr fontId="2" type="noConversion"/>
  </si>
  <si>
    <t>OTC-C00164</t>
    <phoneticPr fontId="2" type="noConversion"/>
  </si>
  <si>
    <t>OTC-C00164</t>
    <phoneticPr fontId="2" type="noConversion"/>
  </si>
  <si>
    <t>OTC-C00165</t>
    <phoneticPr fontId="2" type="noConversion"/>
  </si>
  <si>
    <t>OTC-C00166</t>
    <phoneticPr fontId="2" type="noConversion"/>
  </si>
  <si>
    <t>OTC-C00167</t>
    <phoneticPr fontId="2" type="noConversion"/>
  </si>
  <si>
    <t>OTC-C00169</t>
    <phoneticPr fontId="2" type="noConversion"/>
  </si>
  <si>
    <t>OTC-C00171</t>
    <phoneticPr fontId="2" type="noConversion"/>
  </si>
  <si>
    <t>OTC-C00172</t>
    <phoneticPr fontId="2" type="noConversion"/>
  </si>
  <si>
    <t>OTC-C00173</t>
    <phoneticPr fontId="2" type="noConversion"/>
  </si>
  <si>
    <t>OTC-C00191-L</t>
    <phoneticPr fontId="2" type="noConversion"/>
  </si>
  <si>
    <t>OTC-C00228</t>
    <phoneticPr fontId="2" type="noConversion"/>
  </si>
  <si>
    <t>OTC-C00229</t>
    <phoneticPr fontId="2" type="noConversion"/>
  </si>
  <si>
    <t>OTC-C00237</t>
    <phoneticPr fontId="2" type="noConversion"/>
  </si>
  <si>
    <t>买入第1期</t>
    <phoneticPr fontId="2" type="noConversion"/>
  </si>
  <si>
    <t>买入第2期</t>
    <phoneticPr fontId="2" type="noConversion"/>
  </si>
  <si>
    <t>买入第3期</t>
    <phoneticPr fontId="2" type="noConversion"/>
  </si>
  <si>
    <t>买入第4期</t>
    <phoneticPr fontId="2" type="noConversion"/>
  </si>
  <si>
    <t>jm1905</t>
    <phoneticPr fontId="2" type="noConversion"/>
  </si>
  <si>
    <t>MA905</t>
    <phoneticPr fontId="2" type="noConversion"/>
  </si>
  <si>
    <t>MA909</t>
    <phoneticPr fontId="2" type="noConversion"/>
  </si>
  <si>
    <t>ru1909</t>
    <phoneticPr fontId="2" type="noConversion"/>
  </si>
  <si>
    <t>ZC905</t>
    <phoneticPr fontId="2" type="noConversion"/>
  </si>
  <si>
    <t>v1905</t>
    <phoneticPr fontId="2" type="noConversion"/>
  </si>
  <si>
    <t>pp1909</t>
    <phoneticPr fontId="2" type="noConversion"/>
  </si>
  <si>
    <t>cs1905</t>
    <phoneticPr fontId="2" type="noConversion"/>
  </si>
  <si>
    <t>l1909</t>
    <phoneticPr fontId="2" type="noConversion"/>
  </si>
  <si>
    <t>l1905</t>
    <phoneticPr fontId="2" type="noConversion"/>
  </si>
  <si>
    <t>ni1909</t>
    <phoneticPr fontId="2" type="noConversion"/>
  </si>
  <si>
    <t>ni1906</t>
    <phoneticPr fontId="2" type="noConversion"/>
  </si>
  <si>
    <t>OTC-C00009</t>
    <phoneticPr fontId="2" type="noConversion"/>
  </si>
  <si>
    <t>OTC-C00009-L-1</t>
    <phoneticPr fontId="2" type="noConversion"/>
  </si>
  <si>
    <t>OTC-C00204-L</t>
    <phoneticPr fontId="2" type="noConversion"/>
  </si>
  <si>
    <t>OTC-C00035</t>
    <phoneticPr fontId="2" type="noConversion"/>
  </si>
  <si>
    <t>何剑桥</t>
    <phoneticPr fontId="2" type="noConversion"/>
  </si>
  <si>
    <t>谢晨星</t>
    <phoneticPr fontId="2" type="noConversion"/>
  </si>
  <si>
    <t>被动</t>
    <phoneticPr fontId="2" type="noConversion"/>
  </si>
  <si>
    <t>OTC-C00240</t>
    <phoneticPr fontId="2" type="noConversion"/>
  </si>
  <si>
    <t>OTC-C00241</t>
    <phoneticPr fontId="2" type="noConversion"/>
  </si>
  <si>
    <t>OTC-C00242</t>
    <phoneticPr fontId="2" type="noConversion"/>
  </si>
  <si>
    <t>OTC-C00236</t>
    <phoneticPr fontId="2" type="noConversion"/>
  </si>
  <si>
    <t>OTC-C00238</t>
    <phoneticPr fontId="2" type="noConversion"/>
  </si>
  <si>
    <t>OTC-C00247</t>
    <phoneticPr fontId="2" type="noConversion"/>
  </si>
  <si>
    <t>OTC-C00244</t>
    <phoneticPr fontId="2" type="noConversion"/>
  </si>
  <si>
    <t>OTC-C00239</t>
    <phoneticPr fontId="2" type="noConversion"/>
  </si>
  <si>
    <t>OTC-C00239</t>
    <phoneticPr fontId="2" type="noConversion"/>
  </si>
  <si>
    <t>OTC-C00242</t>
    <phoneticPr fontId="2" type="noConversion"/>
  </si>
  <si>
    <t>OTC-C00243</t>
    <phoneticPr fontId="2" type="noConversion"/>
  </si>
  <si>
    <t>OTC-C00244</t>
    <phoneticPr fontId="2" type="noConversion"/>
  </si>
  <si>
    <t>OTC-C00245</t>
    <phoneticPr fontId="2" type="noConversion"/>
  </si>
  <si>
    <t>OTC-C00246</t>
    <phoneticPr fontId="2" type="noConversion"/>
  </si>
  <si>
    <t>OTC-C00247</t>
    <phoneticPr fontId="2" type="noConversion"/>
  </si>
  <si>
    <t>OTC-C00248</t>
    <phoneticPr fontId="2" type="noConversion"/>
  </si>
  <si>
    <t>OTC-C00180-L</t>
    <phoneticPr fontId="2" type="noConversion"/>
  </si>
  <si>
    <t>OTC-C00214-L</t>
    <phoneticPr fontId="2" type="noConversion"/>
  </si>
  <si>
    <t>OTC-C00215-L</t>
    <phoneticPr fontId="2" type="noConversion"/>
  </si>
  <si>
    <t>OTC-C00216-L</t>
    <phoneticPr fontId="2" type="noConversion"/>
  </si>
  <si>
    <t>OTC-C00218-L</t>
    <phoneticPr fontId="2" type="noConversion"/>
  </si>
  <si>
    <t>OTC-C00220-L</t>
    <phoneticPr fontId="2" type="noConversion"/>
  </si>
  <si>
    <t>OTC-C00221-L</t>
    <phoneticPr fontId="2" type="noConversion"/>
  </si>
  <si>
    <t>OTC-C00250</t>
    <phoneticPr fontId="2" type="noConversion"/>
  </si>
  <si>
    <t>OTC-C00251</t>
    <phoneticPr fontId="2" type="noConversion"/>
  </si>
  <si>
    <t>OTC-C00252</t>
    <phoneticPr fontId="2" type="noConversion"/>
  </si>
  <si>
    <t>OTC-C00253</t>
    <phoneticPr fontId="2" type="noConversion"/>
  </si>
  <si>
    <t>OTC-C00254</t>
    <phoneticPr fontId="2" type="noConversion"/>
  </si>
  <si>
    <t>OTC-C00255</t>
    <phoneticPr fontId="2" type="noConversion"/>
  </si>
  <si>
    <t>OTC-C00256</t>
    <phoneticPr fontId="2" type="noConversion"/>
  </si>
  <si>
    <t>OTC-C00249</t>
    <phoneticPr fontId="2" type="noConversion"/>
  </si>
  <si>
    <t>OTC-C00223-L</t>
    <phoneticPr fontId="2" type="noConversion"/>
  </si>
  <si>
    <t>OTC-C00224-L</t>
    <phoneticPr fontId="2" type="noConversion"/>
  </si>
  <si>
    <t>OTC-C00227-L</t>
    <phoneticPr fontId="2" type="noConversion"/>
  </si>
  <si>
    <t>OTC-C00257</t>
    <phoneticPr fontId="2" type="noConversion"/>
  </si>
  <si>
    <t>OTC-C00260</t>
    <phoneticPr fontId="2" type="noConversion"/>
  </si>
  <si>
    <t>OTC-C00261</t>
    <phoneticPr fontId="2" type="noConversion"/>
  </si>
  <si>
    <t>OTC-C00263</t>
    <phoneticPr fontId="2" type="noConversion"/>
  </si>
  <si>
    <t>OTC-C00264</t>
    <phoneticPr fontId="2" type="noConversion"/>
  </si>
  <si>
    <t>OTC-C00231-L</t>
    <phoneticPr fontId="2" type="noConversion"/>
  </si>
  <si>
    <t>OTC-C00155-L</t>
    <phoneticPr fontId="2" type="noConversion"/>
  </si>
  <si>
    <t>OTC-C00156-L</t>
    <phoneticPr fontId="2" type="noConversion"/>
  </si>
  <si>
    <t>OTC-C00157-L</t>
    <phoneticPr fontId="2" type="noConversion"/>
  </si>
  <si>
    <t>OTC-C00158-L</t>
    <phoneticPr fontId="2" type="noConversion"/>
  </si>
  <si>
    <t>OTC-C00035-L</t>
    <phoneticPr fontId="2" type="noConversion"/>
  </si>
  <si>
    <t>OTC-C00258</t>
    <phoneticPr fontId="2" type="noConversion"/>
  </si>
  <si>
    <t>OTC-C00262</t>
    <phoneticPr fontId="2" type="noConversion"/>
  </si>
  <si>
    <t>OTC-C00232-L</t>
    <phoneticPr fontId="2" type="noConversion"/>
  </si>
  <si>
    <t>OTC-C00234-L</t>
    <phoneticPr fontId="2" type="noConversion"/>
  </si>
  <si>
    <t>OTC-C00235-L</t>
    <phoneticPr fontId="2" type="noConversion"/>
  </si>
  <si>
    <r>
      <t>OTC-C00030</t>
    </r>
    <r>
      <rPr>
        <sz val="11"/>
        <color indexed="8"/>
        <rFont val="宋体"/>
        <family val="3"/>
        <charset val="134"/>
        <scheme val="minor"/>
      </rPr>
      <t>-L</t>
    </r>
    <phoneticPr fontId="2" type="noConversion"/>
  </si>
  <si>
    <r>
      <t>r</t>
    </r>
    <r>
      <rPr>
        <sz val="11"/>
        <color indexed="8"/>
        <rFont val="宋体"/>
        <family val="3"/>
        <charset val="134"/>
        <scheme val="minor"/>
      </rPr>
      <t>b1905</t>
    </r>
    <phoneticPr fontId="2" type="noConversion"/>
  </si>
  <si>
    <r>
      <t>OTC-C00020</t>
    </r>
    <r>
      <rPr>
        <sz val="11"/>
        <color indexed="8"/>
        <rFont val="宋体"/>
        <family val="3"/>
        <charset val="134"/>
        <scheme val="minor"/>
      </rPr>
      <t>-L</t>
    </r>
    <phoneticPr fontId="2" type="noConversion"/>
  </si>
  <si>
    <r>
      <t>r</t>
    </r>
    <r>
      <rPr>
        <sz val="11"/>
        <color indexed="8"/>
        <rFont val="宋体"/>
        <family val="3"/>
        <charset val="134"/>
        <scheme val="minor"/>
      </rPr>
      <t>b1905</t>
    </r>
    <phoneticPr fontId="2" type="noConversion"/>
  </si>
  <si>
    <r>
      <t>OTC-</t>
    </r>
    <r>
      <rPr>
        <sz val="11"/>
        <color indexed="8"/>
        <rFont val="宋体"/>
        <family val="3"/>
        <charset val="134"/>
        <scheme val="minor"/>
      </rPr>
      <t>C00028-L</t>
    </r>
    <phoneticPr fontId="2" type="noConversion"/>
  </si>
  <si>
    <r>
      <t>OTC-C00029-</t>
    </r>
    <r>
      <rPr>
        <sz val="11"/>
        <color indexed="8"/>
        <rFont val="宋体"/>
        <family val="3"/>
        <charset val="134"/>
        <scheme val="minor"/>
      </rPr>
      <t>L</t>
    </r>
    <phoneticPr fontId="2" type="noConversion"/>
  </si>
  <si>
    <r>
      <t>OTC-C00029</t>
    </r>
    <r>
      <rPr>
        <sz val="11"/>
        <color indexed="8"/>
        <rFont val="宋体"/>
        <family val="3"/>
        <charset val="134"/>
        <scheme val="minor"/>
      </rPr>
      <t>-L</t>
    </r>
    <phoneticPr fontId="2" type="noConversion"/>
  </si>
  <si>
    <r>
      <t>OTC-C00031</t>
    </r>
    <r>
      <rPr>
        <sz val="11"/>
        <color indexed="8"/>
        <rFont val="宋体"/>
        <family val="3"/>
        <charset val="134"/>
        <scheme val="minor"/>
      </rPr>
      <t>-L</t>
    </r>
    <phoneticPr fontId="2" type="noConversion"/>
  </si>
  <si>
    <r>
      <t>b</t>
    </r>
    <r>
      <rPr>
        <sz val="11"/>
        <color indexed="8"/>
        <rFont val="宋体"/>
        <family val="3"/>
        <charset val="134"/>
        <scheme val="minor"/>
      </rPr>
      <t>u1906</t>
    </r>
    <phoneticPr fontId="2" type="noConversion"/>
  </si>
  <si>
    <r>
      <t>OTC-C0007</t>
    </r>
    <r>
      <rPr>
        <sz val="11"/>
        <color indexed="8"/>
        <rFont val="宋体"/>
        <family val="3"/>
        <charset val="134"/>
        <scheme val="minor"/>
      </rPr>
      <t>3-L</t>
    </r>
    <phoneticPr fontId="2" type="noConversion"/>
  </si>
  <si>
    <r>
      <t>CF</t>
    </r>
    <r>
      <rPr>
        <sz val="11"/>
        <color indexed="8"/>
        <rFont val="宋体"/>
        <family val="3"/>
        <charset val="134"/>
        <scheme val="minor"/>
      </rPr>
      <t>909</t>
    </r>
    <phoneticPr fontId="2" type="noConversion"/>
  </si>
  <si>
    <r>
      <t>OTC-C00170-</t>
    </r>
    <r>
      <rPr>
        <sz val="11"/>
        <color theme="1"/>
        <rFont val="宋体"/>
        <family val="3"/>
        <charset val="134"/>
        <scheme val="minor"/>
      </rPr>
      <t>L</t>
    </r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</si>
  <si>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186</t>
    </r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</si>
  <si>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186-L</t>
    </r>
    <phoneticPr fontId="2" type="noConversion"/>
  </si>
  <si>
    <r>
      <t>OTC-C00187-L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</si>
  <si>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OTC-C00187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</si>
  <si>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OTC-C00188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</si>
  <si>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OTC-C00188-L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</si>
  <si>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OTC-C00188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</si>
  <si>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OTC-C00189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</si>
  <si>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OTC-C00190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</si>
  <si>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199</t>
    </r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</si>
  <si>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199</t>
    </r>
    <phoneticPr fontId="2" type="noConversion"/>
  </si>
  <si>
    <r>
      <t>OTC-C00200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</si>
  <si>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OTC-C00201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</si>
  <si>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OTC-C00202</t>
    </r>
    <r>
      <rPr>
        <sz val="11"/>
        <color indexed="8"/>
        <rFont val="宋体"/>
        <family val="3"/>
        <charset val="134"/>
      </rPr>
      <t/>
    </r>
    <phoneticPr fontId="2" type="noConversion"/>
  </si>
  <si>
    <t>OTC-C00265</t>
    <phoneticPr fontId="2" type="noConversion"/>
  </si>
  <si>
    <t>OTC-C00270</t>
    <phoneticPr fontId="2" type="noConversion"/>
  </si>
  <si>
    <t>OTC-C00271</t>
    <phoneticPr fontId="2" type="noConversion"/>
  </si>
  <si>
    <t>OTC-C00272</t>
    <phoneticPr fontId="2" type="noConversion"/>
  </si>
  <si>
    <t>OTC-C00269</t>
    <phoneticPr fontId="2" type="noConversion"/>
  </si>
  <si>
    <t>OTC-C00270</t>
    <phoneticPr fontId="2" type="noConversion"/>
  </si>
  <si>
    <t>OTC-C00273</t>
    <phoneticPr fontId="2" type="noConversion"/>
  </si>
  <si>
    <t>OTC-C00266</t>
    <phoneticPr fontId="2" type="noConversion"/>
  </si>
  <si>
    <t>OTC-C00267</t>
    <phoneticPr fontId="2" type="noConversion"/>
  </si>
  <si>
    <t>OTC-C00276</t>
    <phoneticPr fontId="2" type="noConversion"/>
  </si>
  <si>
    <t>OTC-C00277</t>
    <phoneticPr fontId="2" type="noConversion"/>
  </si>
  <si>
    <t>OTC-C00278</t>
    <phoneticPr fontId="2" type="noConversion"/>
  </si>
  <si>
    <t>OTC-C00279</t>
    <phoneticPr fontId="2" type="noConversion"/>
  </si>
  <si>
    <t>OTC-C00179</t>
    <phoneticPr fontId="2" type="noConversion"/>
  </si>
  <si>
    <t>OTC-C00194</t>
    <phoneticPr fontId="2" type="noConversion"/>
  </si>
  <si>
    <t>OTC-C00210</t>
    <phoneticPr fontId="2" type="noConversion"/>
  </si>
  <si>
    <t>OTC-C00143-L</t>
    <phoneticPr fontId="2" type="noConversion"/>
  </si>
  <si>
    <t>OTC-C00159-L</t>
    <phoneticPr fontId="2" type="noConversion"/>
  </si>
  <si>
    <t>OTC-C00166-L</t>
    <phoneticPr fontId="2" type="noConversion"/>
  </si>
  <si>
    <t>OTC-C00173-L</t>
    <phoneticPr fontId="2" type="noConversion"/>
  </si>
  <si>
    <t>OTC-C00174-L</t>
    <phoneticPr fontId="2" type="noConversion"/>
  </si>
  <si>
    <t>OTC-C00175-L</t>
    <phoneticPr fontId="2" type="noConversion"/>
  </si>
  <si>
    <t>OTC-C00195-L</t>
    <phoneticPr fontId="2" type="noConversion"/>
  </si>
  <si>
    <t>OTC-C00123-L</t>
    <phoneticPr fontId="2" type="noConversion"/>
  </si>
  <si>
    <t>OTC-C00127-L</t>
    <phoneticPr fontId="2" type="noConversion"/>
  </si>
  <si>
    <t>OTC-C00135-L</t>
    <phoneticPr fontId="2" type="noConversion"/>
  </si>
  <si>
    <t>OTC-C00136-L</t>
    <phoneticPr fontId="2" type="noConversion"/>
  </si>
  <si>
    <t>OTC-C00140-L</t>
    <phoneticPr fontId="2" type="noConversion"/>
  </si>
  <si>
    <t>OTC-C00142-L</t>
    <phoneticPr fontId="2" type="noConversion"/>
  </si>
  <si>
    <t>OTC-C00148-L</t>
    <phoneticPr fontId="2" type="noConversion"/>
  </si>
  <si>
    <t>OTC-C00149-L</t>
    <phoneticPr fontId="2" type="noConversion"/>
  </si>
  <si>
    <t>OTC-C00160-L</t>
    <phoneticPr fontId="2" type="noConversion"/>
  </si>
  <si>
    <t>OTC-C00162-L</t>
    <phoneticPr fontId="2" type="noConversion"/>
  </si>
  <si>
    <t>OTC-C00167-L</t>
    <phoneticPr fontId="2" type="noConversion"/>
  </si>
  <si>
    <t>OTC-C00169-L</t>
    <phoneticPr fontId="2" type="noConversion"/>
  </si>
  <si>
    <t>OTC-C00171-L</t>
    <phoneticPr fontId="2" type="noConversion"/>
  </si>
  <si>
    <t>OTC-C00184-L</t>
    <phoneticPr fontId="2" type="noConversion"/>
  </si>
  <si>
    <t>OTC-C00230</t>
    <phoneticPr fontId="2" type="noConversion"/>
  </si>
  <si>
    <t>OTC-C00259</t>
    <phoneticPr fontId="2" type="noConversion"/>
  </si>
  <si>
    <t>OTC-C00275</t>
    <phoneticPr fontId="2" type="noConversion"/>
  </si>
  <si>
    <t>OTC-C00246-L</t>
    <phoneticPr fontId="2" type="noConversion"/>
  </si>
  <si>
    <t>颜色</t>
    <phoneticPr fontId="17" type="noConversion"/>
  </si>
  <si>
    <t>说明</t>
    <phoneticPr fontId="17" type="noConversion"/>
  </si>
  <si>
    <t>后期有修正</t>
    <phoneticPr fontId="17" type="noConversion"/>
  </si>
  <si>
    <t>确认书、结算书电子版已上传OPENKM、纸质版已归档。</t>
    <phoneticPr fontId="2" type="noConversion"/>
  </si>
  <si>
    <t>其他颜色为区分项目标注。</t>
    <phoneticPr fontId="2" type="noConversion"/>
  </si>
  <si>
    <t>交易员何剑桥</t>
    <phoneticPr fontId="2" type="noConversion"/>
  </si>
  <si>
    <t>交易员刘剑溥</t>
    <phoneticPr fontId="17" type="noConversion"/>
  </si>
  <si>
    <t>交易员林秉玮</t>
    <phoneticPr fontId="17" type="noConversion"/>
  </si>
  <si>
    <t>交易员谢晨星</t>
    <phoneticPr fontId="17" type="noConversion"/>
  </si>
  <si>
    <t>ZGTB020</t>
    <phoneticPr fontId="2" type="noConversion"/>
  </si>
  <si>
    <t>亨通项目</t>
    <phoneticPr fontId="17" type="noConversion"/>
  </si>
  <si>
    <t>谢晨星</t>
    <phoneticPr fontId="2" type="noConversion"/>
  </si>
  <si>
    <t>谢晨星</t>
    <phoneticPr fontId="2" type="noConversion"/>
  </si>
  <si>
    <t>ni1905</t>
    <phoneticPr fontId="2" type="noConversion"/>
  </si>
  <si>
    <t>ru1909</t>
    <phoneticPr fontId="2" type="noConversion"/>
  </si>
  <si>
    <t>bu1906</t>
    <phoneticPr fontId="2" type="noConversion"/>
  </si>
  <si>
    <r>
      <t>CF</t>
    </r>
    <r>
      <rPr>
        <sz val="11"/>
        <color indexed="8"/>
        <rFont val="宋体"/>
        <family val="3"/>
        <charset val="134"/>
        <scheme val="minor"/>
      </rPr>
      <t>909</t>
    </r>
    <phoneticPr fontId="2" type="noConversion"/>
  </si>
  <si>
    <t>AP907</t>
    <phoneticPr fontId="2" type="noConversion"/>
  </si>
  <si>
    <t>l1909</t>
    <phoneticPr fontId="2" type="noConversion"/>
  </si>
  <si>
    <t>ag1912</t>
    <phoneticPr fontId="2" type="noConversion"/>
  </si>
  <si>
    <t>i1909</t>
    <phoneticPr fontId="2" type="noConversion"/>
  </si>
  <si>
    <t>zn1907</t>
    <phoneticPr fontId="2" type="noConversion"/>
  </si>
  <si>
    <t>jd1909</t>
    <phoneticPr fontId="2" type="noConversion"/>
  </si>
  <si>
    <t>rb2001</t>
    <phoneticPr fontId="2" type="noConversion"/>
  </si>
  <si>
    <t>l2001</t>
    <phoneticPr fontId="2" type="noConversion"/>
  </si>
  <si>
    <t>pp2001</t>
    <phoneticPr fontId="2" type="noConversion"/>
  </si>
  <si>
    <t>ZGTB013</t>
    <phoneticPr fontId="2" type="noConversion"/>
  </si>
  <si>
    <t>ZGTB019</t>
    <phoneticPr fontId="2" type="noConversion"/>
  </si>
  <si>
    <t>行权价</t>
    <phoneticPr fontId="2" type="noConversion"/>
  </si>
  <si>
    <t>入场价</t>
    <phoneticPr fontId="2" type="noConversion"/>
  </si>
  <si>
    <t>单位权利金</t>
    <phoneticPr fontId="2" type="noConversion"/>
  </si>
  <si>
    <t>结算日期</t>
    <phoneticPr fontId="2" type="noConversion"/>
  </si>
  <si>
    <t>头寸（我司）</t>
    <phoneticPr fontId="2" type="noConversion"/>
  </si>
  <si>
    <t>方向（我司）</t>
    <phoneticPr fontId="2" type="noConversion"/>
  </si>
  <si>
    <t>ZGTB017</t>
    <phoneticPr fontId="2" type="noConversion"/>
  </si>
  <si>
    <t>rb1910-rb2001</t>
    <phoneticPr fontId="2" type="noConversion"/>
  </si>
  <si>
    <t>OTC-C00282</t>
    <phoneticPr fontId="2" type="noConversion"/>
  </si>
  <si>
    <t>OTC-C00286</t>
    <phoneticPr fontId="2" type="noConversion"/>
  </si>
  <si>
    <t>OTC-C00287</t>
    <phoneticPr fontId="2" type="noConversion"/>
  </si>
  <si>
    <t>OTC-C00288</t>
    <phoneticPr fontId="2" type="noConversion"/>
  </si>
  <si>
    <t>OTC-C00251-L</t>
    <phoneticPr fontId="2" type="noConversion"/>
  </si>
  <si>
    <t>OTC-C00289</t>
    <phoneticPr fontId="2" type="noConversion"/>
  </si>
  <si>
    <t>OTC-C00290</t>
    <phoneticPr fontId="2" type="noConversion"/>
  </si>
  <si>
    <t>OTC-C00281</t>
    <phoneticPr fontId="2" type="noConversion"/>
  </si>
  <si>
    <t>OTC-C00283</t>
    <phoneticPr fontId="2" type="noConversion"/>
  </si>
  <si>
    <t>OTC-C00284</t>
    <phoneticPr fontId="2" type="noConversion"/>
  </si>
  <si>
    <t>OTC-C00293</t>
    <phoneticPr fontId="2" type="noConversion"/>
  </si>
  <si>
    <t>中国国际金融股份有限公司</t>
  </si>
  <si>
    <t>au1912</t>
    <phoneticPr fontId="2" type="noConversion"/>
  </si>
  <si>
    <t>PP2001</t>
    <phoneticPr fontId="2" type="noConversion"/>
  </si>
  <si>
    <t>宁波华是特贸易有限公司</t>
  </si>
  <si>
    <t>pp2001</t>
    <phoneticPr fontId="2" type="noConversion"/>
  </si>
  <si>
    <t>OTC-C00303</t>
    <phoneticPr fontId="2" type="noConversion"/>
  </si>
  <si>
    <t>y1909</t>
  </si>
  <si>
    <t>OTC-C00302</t>
    <phoneticPr fontId="2" type="noConversion"/>
  </si>
  <si>
    <t>OTC-C00302-L</t>
    <phoneticPr fontId="2" type="noConversion"/>
  </si>
  <si>
    <t>OTC-C00303-L</t>
    <phoneticPr fontId="2" type="noConversion"/>
  </si>
  <si>
    <t>OTC-C00291</t>
    <phoneticPr fontId="2" type="noConversion"/>
  </si>
  <si>
    <t>OTC-C00292</t>
    <phoneticPr fontId="2" type="noConversion"/>
  </si>
  <si>
    <t>OTC-C00274</t>
    <phoneticPr fontId="2" type="noConversion"/>
  </si>
  <si>
    <t>浙江纳轩资产管理有限公司</t>
  </si>
  <si>
    <t>接单
（主动or被动）</t>
    <phoneticPr fontId="2" type="noConversion"/>
  </si>
  <si>
    <t>平仓
单位权利金
（客户）</t>
    <phoneticPr fontId="2" type="noConversion"/>
  </si>
  <si>
    <t>行权收益
（客户）</t>
    <phoneticPr fontId="2" type="noConversion"/>
  </si>
  <si>
    <t>结算价
（行权）</t>
    <phoneticPr fontId="2" type="noConversion"/>
  </si>
  <si>
    <t>平仓收益
（客户
平仓权利金
总额）</t>
    <phoneticPr fontId="2" type="noConversion"/>
  </si>
  <si>
    <t>数量
(吨）</t>
    <phoneticPr fontId="2" type="noConversion"/>
  </si>
  <si>
    <t>OTC-C00310</t>
    <phoneticPr fontId="2" type="noConversion"/>
  </si>
  <si>
    <t>OTC-C00312</t>
    <phoneticPr fontId="2" type="noConversion"/>
  </si>
  <si>
    <t>OTC-C00313</t>
    <phoneticPr fontId="2" type="noConversion"/>
  </si>
  <si>
    <t>OTC-C00314</t>
    <phoneticPr fontId="2" type="noConversion"/>
  </si>
  <si>
    <t>OTC-C00315</t>
    <phoneticPr fontId="2" type="noConversion"/>
  </si>
  <si>
    <t>OTC-C00316</t>
    <phoneticPr fontId="2" type="noConversion"/>
  </si>
  <si>
    <t>OTC-C00317</t>
    <phoneticPr fontId="2" type="noConversion"/>
  </si>
  <si>
    <t>OTC-C00318</t>
    <phoneticPr fontId="2" type="noConversion"/>
  </si>
  <si>
    <t>OTC-C00319</t>
    <phoneticPr fontId="2" type="noConversion"/>
  </si>
  <si>
    <t>OTC-C00274-L-1</t>
    <phoneticPr fontId="2" type="noConversion"/>
  </si>
  <si>
    <t>OTC-C00323</t>
    <phoneticPr fontId="2" type="noConversion"/>
  </si>
  <si>
    <t>OTC-C00295</t>
    <phoneticPr fontId="2" type="noConversion"/>
  </si>
  <si>
    <t>OTC-C00296</t>
    <phoneticPr fontId="2" type="noConversion"/>
  </si>
  <si>
    <t>OTC-C00297</t>
    <phoneticPr fontId="2" type="noConversion"/>
  </si>
  <si>
    <t>OTC-C00298</t>
    <phoneticPr fontId="2" type="noConversion"/>
  </si>
  <si>
    <t>OTC-C00299</t>
    <phoneticPr fontId="2" type="noConversion"/>
  </si>
  <si>
    <t>OTC-C00307</t>
    <phoneticPr fontId="2" type="noConversion"/>
  </si>
  <si>
    <t>OTC-C00322</t>
    <phoneticPr fontId="2" type="noConversion"/>
  </si>
  <si>
    <t>OTC-C00280</t>
    <phoneticPr fontId="2" type="noConversion"/>
  </si>
  <si>
    <t>j1909</t>
    <phoneticPr fontId="17" type="noConversion"/>
  </si>
  <si>
    <t>j1909</t>
    <phoneticPr fontId="17" type="noConversion"/>
  </si>
  <si>
    <t>买入</t>
    <phoneticPr fontId="2" type="noConversion"/>
  </si>
  <si>
    <t>OTC-C00307-L</t>
    <phoneticPr fontId="17" type="noConversion"/>
  </si>
  <si>
    <t>奇异亚欧式看涨</t>
  </si>
  <si>
    <t>奇异亚欧式看跌</t>
  </si>
  <si>
    <t>亚欧式看跌</t>
  </si>
  <si>
    <t>欧式向下敲出看跌</t>
  </si>
  <si>
    <t>主动</t>
    <phoneticPr fontId="17" type="noConversion"/>
  </si>
  <si>
    <t>MA001</t>
    <phoneticPr fontId="17" type="noConversion"/>
  </si>
  <si>
    <t>卖出</t>
    <phoneticPr fontId="17" type="noConversion"/>
  </si>
  <si>
    <t>美式看跌</t>
    <phoneticPr fontId="17" type="noConversion"/>
  </si>
  <si>
    <t>OTC-C00317-L</t>
    <phoneticPr fontId="2" type="noConversion"/>
  </si>
  <si>
    <t>OTC-C00318-L</t>
    <phoneticPr fontId="2" type="noConversion"/>
  </si>
  <si>
    <t>OTC-C00319-L</t>
    <phoneticPr fontId="2" type="noConversion"/>
  </si>
  <si>
    <t>OTC-C00310-L</t>
    <phoneticPr fontId="2" type="noConversion"/>
  </si>
  <si>
    <t>OTC-C00322-L</t>
    <phoneticPr fontId="2" type="noConversion"/>
  </si>
  <si>
    <t>rb2001</t>
    <phoneticPr fontId="17" type="noConversion"/>
  </si>
  <si>
    <t>美式看涨</t>
    <phoneticPr fontId="17" type="noConversion"/>
  </si>
  <si>
    <t>hc2001-hc2005</t>
    <phoneticPr fontId="17" type="noConversion"/>
  </si>
  <si>
    <t>bu1912</t>
    <phoneticPr fontId="17" type="noConversion"/>
  </si>
  <si>
    <t>zn1910</t>
    <phoneticPr fontId="17" type="noConversion"/>
  </si>
  <si>
    <t>卖出</t>
    <phoneticPr fontId="17" type="noConversion"/>
  </si>
  <si>
    <t>i2001</t>
    <phoneticPr fontId="17" type="noConversion"/>
  </si>
  <si>
    <t>欧式看跌</t>
    <phoneticPr fontId="17" type="noConversion"/>
  </si>
  <si>
    <t>j1909</t>
    <phoneticPr fontId="17" type="noConversion"/>
  </si>
  <si>
    <t>被动</t>
    <phoneticPr fontId="2" type="noConversion"/>
  </si>
  <si>
    <t>OTC-C00346</t>
  </si>
  <si>
    <t>OTC-C00341</t>
    <phoneticPr fontId="2" type="noConversion"/>
  </si>
  <si>
    <t>OTC-C00342</t>
    <phoneticPr fontId="2" type="noConversion"/>
  </si>
  <si>
    <t>买入</t>
    <phoneticPr fontId="17" type="noConversion"/>
  </si>
  <si>
    <t xml:space="preserve">
PnL
（客户）</t>
    <phoneticPr fontId="2" type="noConversion"/>
  </si>
  <si>
    <t>买入</t>
    <phoneticPr fontId="17" type="noConversion"/>
  </si>
  <si>
    <t>i2001</t>
    <phoneticPr fontId="2" type="noConversion"/>
  </si>
  <si>
    <t>OTC-C00348</t>
    <phoneticPr fontId="2" type="noConversion"/>
  </si>
  <si>
    <t>OTC-C00348</t>
    <phoneticPr fontId="2" type="noConversion"/>
  </si>
  <si>
    <t>OTC-C00349</t>
    <phoneticPr fontId="2" type="noConversion"/>
  </si>
  <si>
    <t>OTC-C00349</t>
    <phoneticPr fontId="2" type="noConversion"/>
  </si>
  <si>
    <t>OTC-C00350</t>
    <phoneticPr fontId="2" type="noConversion"/>
  </si>
  <si>
    <t>OTC-C00351</t>
    <phoneticPr fontId="2" type="noConversion"/>
  </si>
  <si>
    <t>OTC-C00351</t>
    <phoneticPr fontId="2" type="noConversion"/>
  </si>
  <si>
    <t>OTC-C00352</t>
    <phoneticPr fontId="2" type="noConversion"/>
  </si>
  <si>
    <t>OTC-C00352</t>
    <phoneticPr fontId="2" type="noConversion"/>
  </si>
  <si>
    <t>OTC-C00357</t>
    <phoneticPr fontId="2" type="noConversion"/>
  </si>
  <si>
    <t>TA909</t>
  </si>
  <si>
    <t>cu1903</t>
  </si>
  <si>
    <t>cu1904</t>
  </si>
  <si>
    <t>cu1905</t>
  </si>
  <si>
    <t>cu1906</t>
  </si>
  <si>
    <t>cu1907</t>
  </si>
  <si>
    <t>cu1908</t>
  </si>
  <si>
    <t>cu1909</t>
  </si>
  <si>
    <t>cu1910</t>
  </si>
  <si>
    <t>天示（上海）企业管理有限公司</t>
  </si>
  <si>
    <t>OTC-C00361</t>
    <phoneticPr fontId="2" type="noConversion"/>
  </si>
  <si>
    <t>ni1910</t>
    <phoneticPr fontId="2" type="noConversion"/>
  </si>
  <si>
    <t>ni1910</t>
    <phoneticPr fontId="2" type="noConversion"/>
  </si>
  <si>
    <t>OTC-C00153</t>
    <phoneticPr fontId="2" type="noConversion"/>
  </si>
  <si>
    <t>OTC-C00161</t>
    <phoneticPr fontId="2" type="noConversion"/>
  </si>
  <si>
    <t>OTC-C00161-L</t>
    <phoneticPr fontId="2" type="noConversion"/>
  </si>
  <si>
    <t>OTC-C00177</t>
    <phoneticPr fontId="2" type="noConversion"/>
  </si>
  <si>
    <t>OTC-C00177-L</t>
    <phoneticPr fontId="2" type="noConversion"/>
  </si>
  <si>
    <t>OTC-C00176</t>
    <phoneticPr fontId="2" type="noConversion"/>
  </si>
  <si>
    <t>OTC-C00176-L</t>
    <phoneticPr fontId="2" type="noConversion"/>
  </si>
  <si>
    <t>OTC-C00182</t>
    <phoneticPr fontId="2" type="noConversion"/>
  </si>
  <si>
    <t>OTC-C00182-L</t>
    <phoneticPr fontId="2" type="noConversion"/>
  </si>
  <si>
    <t>OTC-C00183</t>
    <phoneticPr fontId="2" type="noConversion"/>
  </si>
  <si>
    <t>OTC-C00196</t>
    <phoneticPr fontId="2" type="noConversion"/>
  </si>
  <si>
    <t>OTC-C00268</t>
    <phoneticPr fontId="2" type="noConversion"/>
  </si>
  <si>
    <t>OTC-C00268</t>
    <phoneticPr fontId="2" type="noConversion"/>
  </si>
  <si>
    <t>OTC-C00306</t>
    <phoneticPr fontId="2" type="noConversion"/>
  </si>
  <si>
    <t>OTC-C00306</t>
    <phoneticPr fontId="2" type="noConversion"/>
  </si>
  <si>
    <t>OTC-C00324</t>
    <phoneticPr fontId="2" type="noConversion"/>
  </si>
  <si>
    <t>OTC-C00325</t>
    <phoneticPr fontId="2" type="noConversion"/>
  </si>
  <si>
    <t>OTC-C00325</t>
    <phoneticPr fontId="2" type="noConversion"/>
  </si>
  <si>
    <t>OTC-C00344</t>
    <phoneticPr fontId="2" type="noConversion"/>
  </si>
  <si>
    <t>OTC-C00281-L</t>
    <phoneticPr fontId="2" type="noConversion"/>
  </si>
  <si>
    <t>避险波动率（mid）</t>
    <phoneticPr fontId="2" type="noConversion"/>
  </si>
  <si>
    <t>编号</t>
    <phoneticPr fontId="2" type="noConversion"/>
  </si>
  <si>
    <t>成交波动率</t>
    <phoneticPr fontId="2" type="noConversion"/>
  </si>
  <si>
    <t>OTC-C00364</t>
    <phoneticPr fontId="2" type="noConversion"/>
  </si>
  <si>
    <t>OTC-C00365</t>
  </si>
  <si>
    <t>OTC-C00366</t>
  </si>
  <si>
    <t>OTC-C00367</t>
  </si>
  <si>
    <t>OTC-C00368</t>
  </si>
  <si>
    <t>OTC-C00369</t>
  </si>
  <si>
    <t>OTC-C00370</t>
  </si>
  <si>
    <t>TA001</t>
    <phoneticPr fontId="2" type="noConversion"/>
  </si>
  <si>
    <t>i2001</t>
    <phoneticPr fontId="2" type="noConversion"/>
  </si>
  <si>
    <t>OTC-C00295-L</t>
    <phoneticPr fontId="2" type="noConversion"/>
  </si>
  <si>
    <t>OTC-C00296-L</t>
  </si>
  <si>
    <t>OTC-C00297-L</t>
  </si>
  <si>
    <t>OTC-C00298-L</t>
  </si>
  <si>
    <t>OTC-C00299-L</t>
  </si>
  <si>
    <t>OTC-C00294-L</t>
    <phoneticPr fontId="2" type="noConversion"/>
  </si>
  <si>
    <t>ru2001-ru2005</t>
  </si>
  <si>
    <t>rb1910-rb2001</t>
    <phoneticPr fontId="2" type="noConversion"/>
  </si>
  <si>
    <t>OTC-C00285</t>
    <phoneticPr fontId="2" type="noConversion"/>
  </si>
  <si>
    <t>i1909</t>
    <phoneticPr fontId="2" type="noConversion"/>
  </si>
  <si>
    <t>i2001</t>
    <phoneticPr fontId="2" type="noConversion"/>
  </si>
  <si>
    <t>卖出</t>
    <phoneticPr fontId="2" type="noConversion"/>
  </si>
  <si>
    <t>欧式看跌</t>
    <phoneticPr fontId="2" type="noConversion"/>
  </si>
  <si>
    <t>美式看涨</t>
    <phoneticPr fontId="2" type="noConversion"/>
  </si>
  <si>
    <t>产业</t>
    <phoneticPr fontId="2" type="noConversion"/>
  </si>
  <si>
    <t>OTC-C00375</t>
    <phoneticPr fontId="2" type="noConversion"/>
  </si>
  <si>
    <t>ag1912</t>
    <phoneticPr fontId="2" type="noConversion"/>
  </si>
  <si>
    <t>买入</t>
    <phoneticPr fontId="17" type="noConversion"/>
  </si>
  <si>
    <t>欧式看涨</t>
    <phoneticPr fontId="2" type="noConversion"/>
  </si>
  <si>
    <t>OTC-C00376</t>
    <phoneticPr fontId="2" type="noConversion"/>
  </si>
  <si>
    <t>OTC-C00198-L</t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</si>
  <si>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199-L</t>
    </r>
    <phoneticPr fontId="2" type="noConversion"/>
  </si>
  <si>
    <r>
      <t>OTC-C00</t>
    </r>
    <r>
      <rPr>
        <sz val="11"/>
        <color indexed="8"/>
        <rFont val="宋体"/>
        <family val="3"/>
        <charset val="134"/>
        <scheme val="minor"/>
      </rPr>
      <t>199-L</t>
    </r>
    <phoneticPr fontId="2" type="noConversion"/>
  </si>
  <si>
    <r>
      <t>OTC-C00200-L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</si>
  <si>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OTC-C00201-L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</si>
  <si>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OTC-C00202-L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</si>
  <si>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OTC-C00203-L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</si>
  <si>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t>OTC-C00203-L</t>
    </r>
    <r>
      <rPr>
        <sz val="11"/>
        <color indexed="8"/>
        <rFont val="宋体"/>
        <family val="3"/>
        <charset val="134"/>
      </rPr>
      <t/>
    </r>
    <phoneticPr fontId="2" type="noConversion"/>
  </si>
  <si>
    <t>OTC-C00205-L</t>
    <phoneticPr fontId="2" type="noConversion"/>
  </si>
  <si>
    <t>OTC-C00206-L</t>
    <phoneticPr fontId="2" type="noConversion"/>
  </si>
  <si>
    <t>OTC-C00207-L</t>
    <phoneticPr fontId="2" type="noConversion"/>
  </si>
  <si>
    <t>OTC-C00208-L</t>
    <phoneticPr fontId="2" type="noConversion"/>
  </si>
  <si>
    <t>OTC-C00209-L</t>
    <phoneticPr fontId="2" type="noConversion"/>
  </si>
  <si>
    <t>OTC-C00210-L</t>
    <phoneticPr fontId="2" type="noConversion"/>
  </si>
  <si>
    <t>OTC-C00211-L</t>
    <phoneticPr fontId="2" type="noConversion"/>
  </si>
  <si>
    <t>OTC-C00212-L</t>
    <phoneticPr fontId="2" type="noConversion"/>
  </si>
  <si>
    <t>OTC-C00213-L</t>
    <phoneticPr fontId="2" type="noConversion"/>
  </si>
  <si>
    <t>OTC-C00213-L</t>
    <phoneticPr fontId="2" type="noConversion"/>
  </si>
  <si>
    <t>OTC-C00214-L</t>
    <phoneticPr fontId="2" type="noConversion"/>
  </si>
  <si>
    <t>OTC-C00215-L</t>
    <phoneticPr fontId="2" type="noConversion"/>
  </si>
  <si>
    <t>OTC-C00216-L</t>
    <phoneticPr fontId="2" type="noConversion"/>
  </si>
  <si>
    <t>OTC-C00217-L</t>
    <phoneticPr fontId="2" type="noConversion"/>
  </si>
  <si>
    <t>OTC-C00217-L</t>
    <phoneticPr fontId="2" type="noConversion"/>
  </si>
  <si>
    <t>OTC-C00218-L</t>
    <phoneticPr fontId="2" type="noConversion"/>
  </si>
  <si>
    <t>OTC-C00219-L</t>
    <phoneticPr fontId="2" type="noConversion"/>
  </si>
  <si>
    <t>OTC-C00220-L</t>
    <phoneticPr fontId="2" type="noConversion"/>
  </si>
  <si>
    <t>OTC-C00221-L</t>
    <phoneticPr fontId="2" type="noConversion"/>
  </si>
  <si>
    <t>OTC-C00222-L</t>
    <phoneticPr fontId="2" type="noConversion"/>
  </si>
  <si>
    <t>OTC-C00223-L</t>
    <phoneticPr fontId="2" type="noConversion"/>
  </si>
  <si>
    <t>OTC-C00224-L</t>
    <phoneticPr fontId="2" type="noConversion"/>
  </si>
  <si>
    <t>OTC-C00225-L</t>
    <phoneticPr fontId="2" type="noConversion"/>
  </si>
  <si>
    <t>OTC-C00225-L</t>
    <phoneticPr fontId="2" type="noConversion"/>
  </si>
  <si>
    <t>OTC-C00226-L</t>
    <phoneticPr fontId="2" type="noConversion"/>
  </si>
  <si>
    <t>OTC-C00227-L</t>
    <phoneticPr fontId="2" type="noConversion"/>
  </si>
  <si>
    <t>OTC-C00229-L</t>
    <phoneticPr fontId="2" type="noConversion"/>
  </si>
  <si>
    <t>OTC-C00230-L</t>
    <phoneticPr fontId="2" type="noConversion"/>
  </si>
  <si>
    <t>OTC-C00231-L</t>
    <phoneticPr fontId="2" type="noConversion"/>
  </si>
  <si>
    <t>OTC-C00232-L</t>
    <phoneticPr fontId="2" type="noConversion"/>
  </si>
  <si>
    <t>OTC-C00233-L</t>
    <phoneticPr fontId="2" type="noConversion"/>
  </si>
  <si>
    <t>OTC-C00234-L</t>
    <phoneticPr fontId="2" type="noConversion"/>
  </si>
  <si>
    <t>OTC-C00235-L</t>
    <phoneticPr fontId="2" type="noConversion"/>
  </si>
  <si>
    <t>OTC-C00236-L</t>
    <phoneticPr fontId="2" type="noConversion"/>
  </si>
  <si>
    <t>OTC-C00237-L</t>
    <phoneticPr fontId="2" type="noConversion"/>
  </si>
  <si>
    <t>OTC-C00238-L</t>
    <phoneticPr fontId="2" type="noConversion"/>
  </si>
  <si>
    <t>OTC-C00239-L</t>
    <phoneticPr fontId="2" type="noConversion"/>
  </si>
  <si>
    <t>OTC-C00239-L</t>
    <phoneticPr fontId="2" type="noConversion"/>
  </si>
  <si>
    <t>OTC-C00240-L</t>
    <phoneticPr fontId="2" type="noConversion"/>
  </si>
  <si>
    <t>OTC-C00240-L</t>
    <phoneticPr fontId="2" type="noConversion"/>
  </si>
  <si>
    <t>OTC-C00241-L</t>
    <phoneticPr fontId="2" type="noConversion"/>
  </si>
  <si>
    <t>OTC-C00241-L</t>
    <phoneticPr fontId="2" type="noConversion"/>
  </si>
  <si>
    <t>OTC-C00242-L</t>
    <phoneticPr fontId="2" type="noConversion"/>
  </si>
  <si>
    <t>OTC-C00243-L</t>
    <phoneticPr fontId="2" type="noConversion"/>
  </si>
  <si>
    <t>OTC-C00244-L</t>
    <phoneticPr fontId="2" type="noConversion"/>
  </si>
  <si>
    <t>OTC-C00245-L</t>
    <phoneticPr fontId="2" type="noConversion"/>
  </si>
  <si>
    <t>OTC-C00247-L</t>
    <phoneticPr fontId="2" type="noConversion"/>
  </si>
  <si>
    <t>OTC-C00248-L</t>
    <phoneticPr fontId="2" type="noConversion"/>
  </si>
  <si>
    <t>OTC-C00248-L</t>
    <phoneticPr fontId="2" type="noConversion"/>
  </si>
  <si>
    <t>OTC-C00249-L</t>
    <phoneticPr fontId="2" type="noConversion"/>
  </si>
  <si>
    <t>OTC-C00250-L</t>
    <phoneticPr fontId="2" type="noConversion"/>
  </si>
  <si>
    <t>OTC-C00251-L</t>
    <phoneticPr fontId="2" type="noConversion"/>
  </si>
  <si>
    <t>OTC-C00252-L</t>
    <phoneticPr fontId="2" type="noConversion"/>
  </si>
  <si>
    <t>OTC-C00253-L</t>
    <phoneticPr fontId="2" type="noConversion"/>
  </si>
  <si>
    <t>OTC-C00254-L</t>
    <phoneticPr fontId="2" type="noConversion"/>
  </si>
  <si>
    <t>OTC-C00254-L</t>
    <phoneticPr fontId="2" type="noConversion"/>
  </si>
  <si>
    <t>OTC-C00255-L</t>
    <phoneticPr fontId="2" type="noConversion"/>
  </si>
  <si>
    <t>OTC-C00256-L</t>
    <phoneticPr fontId="2" type="noConversion"/>
  </si>
  <si>
    <t>OTC-C00257-L</t>
    <phoneticPr fontId="2" type="noConversion"/>
  </si>
  <si>
    <t>OTC-C00258-L</t>
    <phoneticPr fontId="2" type="noConversion"/>
  </si>
  <si>
    <t>OTC-C00259-L</t>
    <phoneticPr fontId="2" type="noConversion"/>
  </si>
  <si>
    <t>OTC-C00260-L</t>
    <phoneticPr fontId="2" type="noConversion"/>
  </si>
  <si>
    <t>OTC-C00260-L</t>
    <phoneticPr fontId="2" type="noConversion"/>
  </si>
  <si>
    <t>OTC-C00261-L</t>
    <phoneticPr fontId="2" type="noConversion"/>
  </si>
  <si>
    <t>OTC-C00261-L</t>
    <phoneticPr fontId="2" type="noConversion"/>
  </si>
  <si>
    <t>OTC-C00262-L</t>
    <phoneticPr fontId="2" type="noConversion"/>
  </si>
  <si>
    <t>OTC-C00262-L</t>
    <phoneticPr fontId="2" type="noConversion"/>
  </si>
  <si>
    <t>OTC-C00263-L</t>
    <phoneticPr fontId="2" type="noConversion"/>
  </si>
  <si>
    <t>OTC-C00263-L</t>
    <phoneticPr fontId="2" type="noConversion"/>
  </si>
  <si>
    <t>OTC-C00264-L</t>
    <phoneticPr fontId="2" type="noConversion"/>
  </si>
  <si>
    <t>OTC-C00264-L</t>
    <phoneticPr fontId="2" type="noConversion"/>
  </si>
  <si>
    <t>OTC-C00265-L</t>
    <phoneticPr fontId="2" type="noConversion"/>
  </si>
  <si>
    <t>OTC-C00266-L</t>
    <phoneticPr fontId="2" type="noConversion"/>
  </si>
  <si>
    <t>OTC-C00267-L</t>
    <phoneticPr fontId="2" type="noConversion"/>
  </si>
  <si>
    <t>OTC-C00268-L</t>
    <phoneticPr fontId="2" type="noConversion"/>
  </si>
  <si>
    <t>OTC-C00268-L</t>
    <phoneticPr fontId="2" type="noConversion"/>
  </si>
  <si>
    <t>OTC-C00269-L</t>
    <phoneticPr fontId="2" type="noConversion"/>
  </si>
  <si>
    <t>OTC-C00269-L</t>
    <phoneticPr fontId="2" type="noConversion"/>
  </si>
  <si>
    <t>OTC-C00270-L</t>
    <phoneticPr fontId="2" type="noConversion"/>
  </si>
  <si>
    <t>OTC-C00271-L</t>
    <phoneticPr fontId="2" type="noConversion"/>
  </si>
  <si>
    <t>OTC-C00271-L</t>
    <phoneticPr fontId="2" type="noConversion"/>
  </si>
  <si>
    <t>OTC-C00272-L</t>
    <phoneticPr fontId="2" type="noConversion"/>
  </si>
  <si>
    <t>OTC-C00272-L</t>
    <phoneticPr fontId="2" type="noConversion"/>
  </si>
  <si>
    <t>OTC-C00273-L</t>
    <phoneticPr fontId="2" type="noConversion"/>
  </si>
  <si>
    <t>OTC-C00274-L-2</t>
    <phoneticPr fontId="2" type="noConversion"/>
  </si>
  <si>
    <t>OTC-C00274-L-3</t>
    <phoneticPr fontId="2" type="noConversion"/>
  </si>
  <si>
    <t>OTC-C00274-L-4</t>
    <phoneticPr fontId="2" type="noConversion"/>
  </si>
  <si>
    <t>OTC-C00274-L-5</t>
    <phoneticPr fontId="2" type="noConversion"/>
  </si>
  <si>
    <t>OTC-C00275-L</t>
    <phoneticPr fontId="2" type="noConversion"/>
  </si>
  <si>
    <t>OTC-C00275-L</t>
    <phoneticPr fontId="2" type="noConversion"/>
  </si>
  <si>
    <t>OTC-C00276-L</t>
    <phoneticPr fontId="2" type="noConversion"/>
  </si>
  <si>
    <t>OTC-C00277-L</t>
    <phoneticPr fontId="2" type="noConversion"/>
  </si>
  <si>
    <t>OTC-C00277-L</t>
    <phoneticPr fontId="2" type="noConversion"/>
  </si>
  <si>
    <t>OTC-C00278-L</t>
    <phoneticPr fontId="2" type="noConversion"/>
  </si>
  <si>
    <t>OTC-C00279-L</t>
    <phoneticPr fontId="2" type="noConversion"/>
  </si>
  <si>
    <t>OTC-C00279-L</t>
    <phoneticPr fontId="2" type="noConversion"/>
  </si>
  <si>
    <t>OTC-C00280-L</t>
    <phoneticPr fontId="2" type="noConversion"/>
  </si>
  <si>
    <t>OTC-C00282-L</t>
    <phoneticPr fontId="2" type="noConversion"/>
  </si>
  <si>
    <t>OTC-C00283-L</t>
    <phoneticPr fontId="2" type="noConversion"/>
  </si>
  <si>
    <t>OTC-C00284-L</t>
    <phoneticPr fontId="2" type="noConversion"/>
  </si>
  <si>
    <t>OTC-C00286-L</t>
    <phoneticPr fontId="2" type="noConversion"/>
  </si>
  <si>
    <t>OTC-C00286-L</t>
    <phoneticPr fontId="2" type="noConversion"/>
  </si>
  <si>
    <t>OTC-C00287-L</t>
    <phoneticPr fontId="2" type="noConversion"/>
  </si>
  <si>
    <t>OTC-C00288-L</t>
    <phoneticPr fontId="2" type="noConversion"/>
  </si>
  <si>
    <t>OTC-C00288-L</t>
    <phoneticPr fontId="2" type="noConversion"/>
  </si>
  <si>
    <t>OTC-C00289-L</t>
    <phoneticPr fontId="2" type="noConversion"/>
  </si>
  <si>
    <t>OTC-C00289-L</t>
    <phoneticPr fontId="2" type="noConversion"/>
  </si>
  <si>
    <t>OTC-C00290-L</t>
    <phoneticPr fontId="2" type="noConversion"/>
  </si>
  <si>
    <t>OTC-C00291-L</t>
    <phoneticPr fontId="2" type="noConversion"/>
  </si>
  <si>
    <t>OTC-C00292-L</t>
    <phoneticPr fontId="2" type="noConversion"/>
  </si>
  <si>
    <t>OTC-C00285-L</t>
    <phoneticPr fontId="2" type="noConversion"/>
  </si>
  <si>
    <t>OTC-C00378</t>
    <phoneticPr fontId="2" type="noConversion"/>
  </si>
  <si>
    <t>OTC-C00384</t>
  </si>
  <si>
    <t>OTC-C00312-L</t>
    <phoneticPr fontId="2" type="noConversion"/>
  </si>
  <si>
    <t>OTC-C00313-L</t>
    <phoneticPr fontId="2" type="noConversion"/>
  </si>
  <si>
    <t>OTC-C00315-L</t>
    <phoneticPr fontId="2" type="noConversion"/>
  </si>
  <si>
    <t>OTC-C00316-L</t>
    <phoneticPr fontId="2" type="noConversion"/>
  </si>
  <si>
    <t>MA001</t>
    <phoneticPr fontId="2" type="noConversion"/>
  </si>
  <si>
    <t>被动</t>
    <phoneticPr fontId="2" type="noConversion"/>
  </si>
  <si>
    <t>OTC-C00379</t>
    <phoneticPr fontId="2" type="noConversion"/>
  </si>
  <si>
    <t>OTC-C00377</t>
    <phoneticPr fontId="2" type="noConversion"/>
  </si>
  <si>
    <t>美式看涨</t>
    <phoneticPr fontId="17" type="noConversion"/>
  </si>
  <si>
    <t>OTC-C00345</t>
    <phoneticPr fontId="2" type="noConversion"/>
  </si>
  <si>
    <t>OTC-C00387</t>
  </si>
  <si>
    <t>ru2001</t>
    <phoneticPr fontId="2" type="noConversion"/>
  </si>
  <si>
    <t>OTC-C00389</t>
  </si>
  <si>
    <t>OTC-C00339-L</t>
    <phoneticPr fontId="2" type="noConversion"/>
  </si>
  <si>
    <t>i2001</t>
    <phoneticPr fontId="17" type="noConversion"/>
  </si>
  <si>
    <t>OTC-C00390</t>
    <phoneticPr fontId="2" type="noConversion"/>
  </si>
  <si>
    <t>OTC-C00393</t>
  </si>
  <si>
    <t>OTC-C00394</t>
  </si>
  <si>
    <t>OTC-C00395</t>
  </si>
  <si>
    <t>OTC-C00396</t>
    <phoneticPr fontId="2" type="noConversion"/>
  </si>
  <si>
    <t>OTC-C00397</t>
  </si>
  <si>
    <t>OTC-C00398</t>
    <phoneticPr fontId="2" type="noConversion"/>
  </si>
  <si>
    <t>欧式看跌</t>
    <phoneticPr fontId="2" type="noConversion"/>
  </si>
  <si>
    <t>l2001</t>
    <phoneticPr fontId="2" type="noConversion"/>
  </si>
  <si>
    <t>OTC-C00399</t>
    <phoneticPr fontId="2" type="noConversion"/>
  </si>
  <si>
    <t>eg2001</t>
    <phoneticPr fontId="2" type="noConversion"/>
  </si>
  <si>
    <t>OTC-C00306-L</t>
    <phoneticPr fontId="2" type="noConversion"/>
  </si>
  <si>
    <t>OTC-C00331</t>
    <phoneticPr fontId="2" type="noConversion"/>
  </si>
  <si>
    <t>OTC-C00331-L</t>
    <phoneticPr fontId="2" type="noConversion"/>
  </si>
  <si>
    <t>OTC-C00331</t>
    <phoneticPr fontId="2" type="noConversion"/>
  </si>
  <si>
    <t>OTC-C00332</t>
    <phoneticPr fontId="2" type="noConversion"/>
  </si>
  <si>
    <t>OTC-C00332-L</t>
    <phoneticPr fontId="2" type="noConversion"/>
  </si>
  <si>
    <t>OTC-C00332</t>
    <phoneticPr fontId="2" type="noConversion"/>
  </si>
  <si>
    <t>OTC-C00333</t>
    <phoneticPr fontId="2" type="noConversion"/>
  </si>
  <si>
    <t>OTC-C00333-L</t>
    <phoneticPr fontId="2" type="noConversion"/>
  </si>
  <si>
    <t>OTC-C00333</t>
    <phoneticPr fontId="2" type="noConversion"/>
  </si>
  <si>
    <t>OTC-C00333-L</t>
    <phoneticPr fontId="2" type="noConversion"/>
  </si>
  <si>
    <t>OTC-C00334</t>
    <phoneticPr fontId="2" type="noConversion"/>
  </si>
  <si>
    <t>OTC-C00334-L</t>
    <phoneticPr fontId="2" type="noConversion"/>
  </si>
  <si>
    <t>OTC-C00334</t>
    <phoneticPr fontId="2" type="noConversion"/>
  </si>
  <si>
    <t>OTC-C00335</t>
    <phoneticPr fontId="2" type="noConversion"/>
  </si>
  <si>
    <t>OTC-C00335-L</t>
    <phoneticPr fontId="2" type="noConversion"/>
  </si>
  <si>
    <t>OTC-C00329</t>
    <phoneticPr fontId="2" type="noConversion"/>
  </si>
  <si>
    <t>OTC-C00329-L</t>
    <phoneticPr fontId="2" type="noConversion"/>
  </si>
  <si>
    <t>OTC-C00330</t>
    <phoneticPr fontId="2" type="noConversion"/>
  </si>
  <si>
    <t>OTC-C00330-L</t>
    <phoneticPr fontId="2" type="noConversion"/>
  </si>
  <si>
    <t>OTC-C00312-L</t>
    <phoneticPr fontId="2" type="noConversion"/>
  </si>
  <si>
    <t>OTC-C00313-L</t>
    <phoneticPr fontId="2" type="noConversion"/>
  </si>
  <si>
    <t>OTC-C00314-L</t>
    <phoneticPr fontId="2" type="noConversion"/>
  </si>
  <si>
    <t>OTC-C00315-L</t>
    <phoneticPr fontId="2" type="noConversion"/>
  </si>
  <si>
    <t>OTC-C00316-L</t>
    <phoneticPr fontId="2" type="noConversion"/>
  </si>
  <si>
    <t>OTC-C00327</t>
    <phoneticPr fontId="2" type="noConversion"/>
  </si>
  <si>
    <t>OTC-C00327-L</t>
    <phoneticPr fontId="2" type="noConversion"/>
  </si>
  <si>
    <t>OTC-C00338</t>
    <phoneticPr fontId="2" type="noConversion"/>
  </si>
  <si>
    <t>OTC-C00339</t>
    <phoneticPr fontId="2" type="noConversion"/>
  </si>
  <si>
    <t>OTC-C00305-L</t>
    <phoneticPr fontId="2" type="noConversion"/>
  </si>
  <si>
    <t>OTC-C00305</t>
    <phoneticPr fontId="2" type="noConversion"/>
  </si>
  <si>
    <t>OTC-C00353</t>
    <phoneticPr fontId="2" type="noConversion"/>
  </si>
  <si>
    <t>OTC-C00342-L-1</t>
    <phoneticPr fontId="2" type="noConversion"/>
  </si>
  <si>
    <t>OTC-C00342-L-2</t>
    <phoneticPr fontId="2" type="noConversion"/>
  </si>
  <si>
    <t>OTC-C00373</t>
    <phoneticPr fontId="2" type="noConversion"/>
  </si>
  <si>
    <t>OTC-C00374</t>
    <phoneticPr fontId="2" type="noConversion"/>
  </si>
  <si>
    <t>OTC-C00309-L</t>
    <phoneticPr fontId="2" type="noConversion"/>
  </si>
  <si>
    <t>OTC-C00340-L</t>
    <phoneticPr fontId="2" type="noConversion"/>
  </si>
  <si>
    <t>c2001</t>
    <phoneticPr fontId="2" type="noConversion"/>
  </si>
  <si>
    <t>v2001</t>
    <phoneticPr fontId="2" type="noConversion"/>
  </si>
  <si>
    <t>eg2001</t>
    <phoneticPr fontId="2" type="noConversion"/>
  </si>
  <si>
    <t>亚欧式看跌</t>
    <phoneticPr fontId="2" type="noConversion"/>
  </si>
  <si>
    <t>OTC-C00341-L</t>
    <phoneticPr fontId="2" type="noConversion"/>
  </si>
  <si>
    <t>谢晨星</t>
    <phoneticPr fontId="2" type="noConversion"/>
  </si>
  <si>
    <t>被动</t>
    <phoneticPr fontId="2" type="noConversion"/>
  </si>
  <si>
    <t>产业</t>
    <phoneticPr fontId="2" type="noConversion"/>
  </si>
  <si>
    <t>OTC-C00406</t>
  </si>
  <si>
    <t>OTC-C00406</t>
    <phoneticPr fontId="2" type="noConversion"/>
  </si>
  <si>
    <t>OTC-C00407</t>
    <phoneticPr fontId="2" type="noConversion"/>
  </si>
  <si>
    <t>OTC-C00407</t>
    <phoneticPr fontId="2" type="noConversion"/>
  </si>
  <si>
    <t>OTC-C00408</t>
    <phoneticPr fontId="2" type="noConversion"/>
  </si>
  <si>
    <t>OTC-C00409</t>
    <phoneticPr fontId="2" type="noConversion"/>
  </si>
  <si>
    <t>OTC-C00410</t>
    <phoneticPr fontId="2" type="noConversion"/>
  </si>
  <si>
    <t>OTC-C00410</t>
    <phoneticPr fontId="2" type="noConversion"/>
  </si>
  <si>
    <t>cu1911</t>
    <phoneticPr fontId="2" type="noConversion"/>
  </si>
  <si>
    <t>OTC-C00400</t>
    <phoneticPr fontId="2" type="noConversion"/>
  </si>
  <si>
    <t>OTC-C00300</t>
    <phoneticPr fontId="2" type="noConversion"/>
  </si>
  <si>
    <t>OTC-C00300</t>
    <phoneticPr fontId="2" type="noConversion"/>
  </si>
  <si>
    <t>OTC-C00304</t>
    <phoneticPr fontId="2" type="noConversion"/>
  </si>
  <si>
    <t>OTC-C00308</t>
    <phoneticPr fontId="2" type="noConversion"/>
  </si>
  <si>
    <t>OTC-C00309</t>
    <phoneticPr fontId="2" type="noConversion"/>
  </si>
  <si>
    <t>OTC-C00326</t>
    <phoneticPr fontId="2" type="noConversion"/>
  </si>
  <si>
    <t>OTC-C00336</t>
    <phoneticPr fontId="2" type="noConversion"/>
  </si>
  <si>
    <t>OTC-C00347</t>
    <phoneticPr fontId="2" type="noConversion"/>
  </si>
  <si>
    <t>OTC-C00347</t>
    <phoneticPr fontId="2" type="noConversion"/>
  </si>
  <si>
    <t>OTC-C00354</t>
    <phoneticPr fontId="2" type="noConversion"/>
  </si>
  <si>
    <t>OTC-C00354</t>
    <phoneticPr fontId="2" type="noConversion"/>
  </si>
  <si>
    <t>OTC-C00356</t>
    <phoneticPr fontId="2" type="noConversion"/>
  </si>
  <si>
    <t>OTC-C00362</t>
    <phoneticPr fontId="2" type="noConversion"/>
  </si>
  <si>
    <t>OTC-C00358</t>
    <phoneticPr fontId="2" type="noConversion"/>
  </si>
  <si>
    <t>OTC-C00358</t>
    <phoneticPr fontId="2" type="noConversion"/>
  </si>
  <si>
    <t>OTC-C00360</t>
    <phoneticPr fontId="2" type="noConversion"/>
  </si>
  <si>
    <t>OTC-C00371</t>
    <phoneticPr fontId="2" type="noConversion"/>
  </si>
  <si>
    <t>OTC-C00293-L</t>
    <phoneticPr fontId="2" type="noConversion"/>
  </si>
  <si>
    <t>OTC-C00293-L</t>
    <phoneticPr fontId="2" type="noConversion"/>
  </si>
  <si>
    <t>OTC-C00301</t>
    <phoneticPr fontId="2" type="noConversion"/>
  </si>
  <si>
    <t>OTC-C00311</t>
    <phoneticPr fontId="2" type="noConversion"/>
  </si>
  <si>
    <t>OTC-C00320</t>
    <phoneticPr fontId="2" type="noConversion"/>
  </si>
  <si>
    <t>OTC-C00321</t>
    <phoneticPr fontId="2" type="noConversion"/>
  </si>
  <si>
    <t>OTC-C00328</t>
    <phoneticPr fontId="2" type="noConversion"/>
  </si>
  <si>
    <t>OTC-C00355</t>
    <phoneticPr fontId="2" type="noConversion"/>
  </si>
  <si>
    <t>OTC-C00355</t>
    <phoneticPr fontId="2" type="noConversion"/>
  </si>
  <si>
    <t>OTC-C00357</t>
    <phoneticPr fontId="2" type="noConversion"/>
  </si>
  <si>
    <t>OTC-C00359</t>
    <phoneticPr fontId="2" type="noConversion"/>
  </si>
  <si>
    <t>OTC-C00363</t>
    <phoneticPr fontId="2" type="noConversion"/>
  </si>
  <si>
    <t>OTC-C00363</t>
    <phoneticPr fontId="2" type="noConversion"/>
  </si>
  <si>
    <t>OTC-C00320-L</t>
    <phoneticPr fontId="2" type="noConversion"/>
  </si>
  <si>
    <t>OTC-C00321-L</t>
    <phoneticPr fontId="2" type="noConversion"/>
  </si>
  <si>
    <t>OTC-C00311-L</t>
    <phoneticPr fontId="2" type="noConversion"/>
  </si>
  <si>
    <t>远期</t>
    <phoneticPr fontId="2" type="noConversion"/>
  </si>
  <si>
    <t>OTC-C00390</t>
    <phoneticPr fontId="2" type="noConversion"/>
  </si>
  <si>
    <t>备注</t>
    <phoneticPr fontId="2" type="noConversion"/>
  </si>
  <si>
    <t>OTC-C00411</t>
    <phoneticPr fontId="2" type="noConversion"/>
  </si>
  <si>
    <t>OTC-C00413</t>
    <phoneticPr fontId="2" type="noConversion"/>
  </si>
  <si>
    <t>OTC-C00412</t>
    <phoneticPr fontId="2" type="noConversion"/>
  </si>
  <si>
    <t>OTC-C00414</t>
    <phoneticPr fontId="2" type="noConversion"/>
  </si>
  <si>
    <t>OTC-C00412</t>
    <phoneticPr fontId="2" type="noConversion"/>
  </si>
  <si>
    <t>OTC-C00413</t>
    <phoneticPr fontId="2" type="noConversion"/>
  </si>
  <si>
    <t>OTC-C00414</t>
    <phoneticPr fontId="2" type="noConversion"/>
  </si>
  <si>
    <t>OTC-C00415</t>
    <phoneticPr fontId="2" type="noConversion"/>
  </si>
  <si>
    <t>初始保证金</t>
    <phoneticPr fontId="2" type="noConversion"/>
  </si>
  <si>
    <t>c2005</t>
    <phoneticPr fontId="2" type="noConversion"/>
  </si>
  <si>
    <t>OTC-C00416</t>
    <phoneticPr fontId="2" type="noConversion"/>
  </si>
  <si>
    <t>互换</t>
    <phoneticPr fontId="2" type="noConversion"/>
  </si>
  <si>
    <t>互换</t>
    <phoneticPr fontId="2" type="noConversion"/>
  </si>
  <si>
    <t>互换</t>
    <phoneticPr fontId="2" type="noConversion"/>
  </si>
  <si>
    <t>s-20190829-000005_1</t>
    <phoneticPr fontId="2" type="noConversion"/>
  </si>
  <si>
    <t>卖出</t>
    <phoneticPr fontId="17" type="noConversion"/>
  </si>
  <si>
    <t>千惠云航1号私募证券投资基金</t>
  </si>
  <si>
    <t>保险+期货</t>
    <phoneticPr fontId="2" type="noConversion"/>
  </si>
  <si>
    <t>保险+期货</t>
    <phoneticPr fontId="2" type="noConversion"/>
  </si>
  <si>
    <t>浙江分公司</t>
    <phoneticPr fontId="2" type="noConversion"/>
  </si>
  <si>
    <t>其他</t>
    <phoneticPr fontId="2" type="noConversion"/>
  </si>
  <si>
    <t>被动</t>
    <phoneticPr fontId="2" type="noConversion"/>
  </si>
  <si>
    <t>其他</t>
    <phoneticPr fontId="2" type="noConversion"/>
  </si>
  <si>
    <t>c2001</t>
    <phoneticPr fontId="2" type="noConversion"/>
  </si>
  <si>
    <t>卖出</t>
    <phoneticPr fontId="17" type="noConversion"/>
  </si>
  <si>
    <t>互换</t>
    <phoneticPr fontId="2" type="noConversion"/>
  </si>
  <si>
    <t>s-20190829-000004_1</t>
    <phoneticPr fontId="2" type="noConversion"/>
  </si>
  <si>
    <t>OTC-C00343</t>
    <phoneticPr fontId="2" type="noConversion"/>
  </si>
  <si>
    <t>OTC-C00340</t>
    <phoneticPr fontId="2" type="noConversion"/>
  </si>
  <si>
    <t>OTC-C00340-L</t>
    <phoneticPr fontId="2" type="noConversion"/>
  </si>
  <si>
    <t>欧式看跌</t>
    <phoneticPr fontId="2" type="noConversion"/>
  </si>
  <si>
    <t>千惠选股对冲1号私募证券基金自8月15日（客户确认日期）起更名为千惠云航1号私募证券投资基金</t>
    <phoneticPr fontId="2" type="noConversion"/>
  </si>
  <si>
    <t>买入19-新14</t>
  </si>
  <si>
    <t>OTC-C00417</t>
    <phoneticPr fontId="2" type="noConversion"/>
  </si>
  <si>
    <t>OTC-C00424</t>
    <phoneticPr fontId="2" type="noConversion"/>
  </si>
  <si>
    <t>OTC-C00418</t>
    <phoneticPr fontId="2" type="noConversion"/>
  </si>
  <si>
    <t>敲入价</t>
    <phoneticPr fontId="2" type="noConversion"/>
  </si>
  <si>
    <t>参与率</t>
    <phoneticPr fontId="2" type="noConversion"/>
  </si>
  <si>
    <t>OTC-C00323-L</t>
    <phoneticPr fontId="2" type="noConversion"/>
  </si>
  <si>
    <t>OTC-C00405</t>
    <phoneticPr fontId="2" type="noConversion"/>
  </si>
  <si>
    <t>买入</t>
    <phoneticPr fontId="2" type="noConversion"/>
  </si>
  <si>
    <t>al1911</t>
    <phoneticPr fontId="2" type="noConversion"/>
  </si>
  <si>
    <t>OTC-C00419</t>
    <phoneticPr fontId="2" type="noConversion"/>
  </si>
  <si>
    <t>OTC-C00419</t>
    <phoneticPr fontId="2" type="noConversion"/>
  </si>
  <si>
    <t>OTC-C00420</t>
    <phoneticPr fontId="2" type="noConversion"/>
  </si>
  <si>
    <t>OTC-C00420</t>
    <phoneticPr fontId="2" type="noConversion"/>
  </si>
  <si>
    <t>OTC-C00421</t>
    <phoneticPr fontId="2" type="noConversion"/>
  </si>
  <si>
    <t>OTC-C00421</t>
    <phoneticPr fontId="2" type="noConversion"/>
  </si>
  <si>
    <t>OTC-C00422</t>
    <phoneticPr fontId="2" type="noConversion"/>
  </si>
  <si>
    <t>OTC-C00423</t>
    <phoneticPr fontId="2" type="noConversion"/>
  </si>
  <si>
    <t>OTC-C00423</t>
    <phoneticPr fontId="2" type="noConversion"/>
  </si>
  <si>
    <t>OTC-C00379</t>
    <phoneticPr fontId="2" type="noConversion"/>
  </si>
  <si>
    <t>OTC-C00380</t>
    <phoneticPr fontId="2" type="noConversion"/>
  </si>
  <si>
    <t>OTC-C00381</t>
    <phoneticPr fontId="2" type="noConversion"/>
  </si>
  <si>
    <t>OTC-C00382</t>
    <phoneticPr fontId="2" type="noConversion"/>
  </si>
  <si>
    <t>OTC-C00382</t>
    <phoneticPr fontId="2" type="noConversion"/>
  </si>
  <si>
    <t>OTC-C00383</t>
    <phoneticPr fontId="2" type="noConversion"/>
  </si>
  <si>
    <t>OTC-C00383</t>
    <phoneticPr fontId="2" type="noConversion"/>
  </si>
  <si>
    <t>OTC-C00309-L</t>
    <phoneticPr fontId="2" type="noConversion"/>
  </si>
  <si>
    <t>OTC-C00301-L</t>
    <phoneticPr fontId="2" type="noConversion"/>
  </si>
  <si>
    <t>OTC-C00301-L</t>
    <phoneticPr fontId="2" type="noConversion"/>
  </si>
  <si>
    <t>OTC-C00304-L</t>
    <phoneticPr fontId="2" type="noConversion"/>
  </si>
  <si>
    <t>OTC-C00336-L</t>
    <phoneticPr fontId="2" type="noConversion"/>
  </si>
  <si>
    <t>OTC-C00385</t>
    <phoneticPr fontId="2" type="noConversion"/>
  </si>
  <si>
    <t>OTC-C00385</t>
    <phoneticPr fontId="2" type="noConversion"/>
  </si>
  <si>
    <t>OTC-C00386</t>
    <phoneticPr fontId="2" type="noConversion"/>
  </si>
  <si>
    <t>OTC-C00386</t>
    <phoneticPr fontId="2" type="noConversion"/>
  </si>
  <si>
    <t>OTC-C00388</t>
    <phoneticPr fontId="2" type="noConversion"/>
  </si>
  <si>
    <t>OTC-C00388</t>
    <phoneticPr fontId="2" type="noConversion"/>
  </si>
  <si>
    <t>OTC-C00308-L</t>
    <phoneticPr fontId="2" type="noConversion"/>
  </si>
  <si>
    <t>OTC-C00300-L</t>
    <phoneticPr fontId="2" type="noConversion"/>
  </si>
  <si>
    <t>OTC-C00300-L</t>
    <phoneticPr fontId="2" type="noConversion"/>
  </si>
  <si>
    <t>OTC-C00326-L</t>
    <phoneticPr fontId="2" type="noConversion"/>
  </si>
  <si>
    <t>OTC-C00391</t>
    <phoneticPr fontId="2" type="noConversion"/>
  </si>
  <si>
    <t>OTC-C00391</t>
    <phoneticPr fontId="2" type="noConversion"/>
  </si>
  <si>
    <t>OTC-C00392</t>
    <phoneticPr fontId="2" type="noConversion"/>
  </si>
  <si>
    <t>OTC-C00392</t>
    <phoneticPr fontId="2" type="noConversion"/>
  </si>
  <si>
    <t>OTC-C00401</t>
    <phoneticPr fontId="2" type="noConversion"/>
  </si>
  <si>
    <t>OTC-C00401</t>
    <phoneticPr fontId="2" type="noConversion"/>
  </si>
  <si>
    <t>OTC-C00403</t>
    <phoneticPr fontId="2" type="noConversion"/>
  </si>
  <si>
    <t>c2005</t>
    <phoneticPr fontId="2" type="noConversion"/>
  </si>
  <si>
    <t>OTC-C00425</t>
    <phoneticPr fontId="2" type="noConversion"/>
  </si>
  <si>
    <t>OTC-C00425</t>
    <phoneticPr fontId="2" type="noConversion"/>
  </si>
  <si>
    <t>eg2001</t>
    <phoneticPr fontId="2" type="noConversion"/>
  </si>
  <si>
    <t>买入19-新15</t>
  </si>
  <si>
    <t>产业</t>
    <phoneticPr fontId="2" type="noConversion"/>
  </si>
  <si>
    <t>卖出</t>
    <phoneticPr fontId="2" type="noConversion"/>
  </si>
  <si>
    <t>TA001</t>
    <phoneticPr fontId="2" type="noConversion"/>
  </si>
  <si>
    <t>eg2001</t>
    <phoneticPr fontId="2" type="noConversion"/>
  </si>
  <si>
    <t>买入</t>
    <phoneticPr fontId="2" type="noConversion"/>
  </si>
  <si>
    <t>欧式看涨</t>
    <phoneticPr fontId="2" type="noConversion"/>
  </si>
  <si>
    <t>OTC-C00427</t>
    <phoneticPr fontId="2" type="noConversion"/>
  </si>
  <si>
    <t>OTC-C00428</t>
    <phoneticPr fontId="2" type="noConversion"/>
  </si>
  <si>
    <t>OTC-C00429</t>
    <phoneticPr fontId="2" type="noConversion"/>
  </si>
  <si>
    <t>OTC-C00430</t>
    <phoneticPr fontId="2" type="noConversion"/>
  </si>
  <si>
    <t>OTC-C00431</t>
    <phoneticPr fontId="2" type="noConversion"/>
  </si>
  <si>
    <t>OTC-C00432</t>
    <phoneticPr fontId="2" type="noConversion"/>
  </si>
  <si>
    <t>OTC-C00433</t>
    <phoneticPr fontId="2" type="noConversion"/>
  </si>
  <si>
    <t>JFHC001-M</t>
    <phoneticPr fontId="2" type="noConversion"/>
  </si>
  <si>
    <t>JFHC001-M-L</t>
    <phoneticPr fontId="2" type="noConversion"/>
  </si>
  <si>
    <t>JFHC181221-M</t>
    <phoneticPr fontId="2" type="noConversion"/>
  </si>
  <si>
    <t>JFHC181221-M-L</t>
    <phoneticPr fontId="2" type="noConversion"/>
  </si>
  <si>
    <t>JFHC002-M</t>
  </si>
  <si>
    <t>JFHC002-M-L</t>
  </si>
  <si>
    <t>JFHC002-M-L</t>
    <phoneticPr fontId="2" type="noConversion"/>
  </si>
  <si>
    <t>JFHC002-M</t>
    <phoneticPr fontId="2" type="noConversion"/>
  </si>
  <si>
    <t>JFHC011-M</t>
  </si>
  <si>
    <t>JFHC011-M-L</t>
  </si>
  <si>
    <t>JFHC011-M-L</t>
    <phoneticPr fontId="2" type="noConversion"/>
  </si>
  <si>
    <t>JFHC011-M</t>
    <phoneticPr fontId="2" type="noConversion"/>
  </si>
  <si>
    <t>OTC-C00006-M</t>
    <phoneticPr fontId="2" type="noConversion"/>
  </si>
  <si>
    <t>OTC-C00006-M-L</t>
    <phoneticPr fontId="2" type="noConversion"/>
  </si>
  <si>
    <t>OTC-C00006-M</t>
    <phoneticPr fontId="2" type="noConversion"/>
  </si>
  <si>
    <t>OTC-C00015-M</t>
    <phoneticPr fontId="2" type="noConversion"/>
  </si>
  <si>
    <t>OTC-C00015-M-L</t>
    <phoneticPr fontId="2" type="noConversion"/>
  </si>
  <si>
    <t>OTC-C00015-M</t>
    <phoneticPr fontId="2" type="noConversion"/>
  </si>
  <si>
    <t>卖出</t>
    <phoneticPr fontId="17" type="noConversion"/>
  </si>
  <si>
    <t>LME1909090379674</t>
  </si>
  <si>
    <t>LME1909090379673</t>
    <phoneticPr fontId="2" type="noConversion"/>
  </si>
  <si>
    <t>LMECU3M/USD</t>
  </si>
  <si>
    <t>LME1909110380975</t>
  </si>
  <si>
    <t>LME1909110380977</t>
  </si>
  <si>
    <t>LMECU3M/USD</t>
    <phoneticPr fontId="2" type="noConversion"/>
  </si>
  <si>
    <t>远期</t>
    <phoneticPr fontId="2" type="noConversion"/>
  </si>
  <si>
    <t>OTC-C00435</t>
    <phoneticPr fontId="2" type="noConversion"/>
  </si>
  <si>
    <t>OTC-C00294-L</t>
    <phoneticPr fontId="2" type="noConversion"/>
  </si>
  <si>
    <t>主动</t>
    <phoneticPr fontId="2" type="noConversion"/>
  </si>
  <si>
    <t>主动</t>
    <phoneticPr fontId="2" type="noConversion"/>
  </si>
  <si>
    <t>其他</t>
    <phoneticPr fontId="2" type="noConversion"/>
  </si>
  <si>
    <t>其他</t>
    <phoneticPr fontId="2" type="noConversion"/>
  </si>
  <si>
    <t>卖出</t>
    <phoneticPr fontId="2" type="noConversion"/>
  </si>
  <si>
    <t>欧式看涨</t>
    <phoneticPr fontId="2" type="noConversion"/>
  </si>
  <si>
    <t>卖出</t>
    <phoneticPr fontId="2" type="noConversion"/>
  </si>
  <si>
    <t>刘剑溥</t>
    <phoneticPr fontId="2" type="noConversion"/>
  </si>
  <si>
    <t>刘剑溥</t>
    <phoneticPr fontId="2" type="noConversion"/>
  </si>
  <si>
    <t>其他</t>
    <phoneticPr fontId="2" type="noConversion"/>
  </si>
  <si>
    <t>i2001</t>
    <phoneticPr fontId="2" type="noConversion"/>
  </si>
  <si>
    <t>买入</t>
    <phoneticPr fontId="2" type="noConversion"/>
  </si>
  <si>
    <t>cu1912</t>
  </si>
  <si>
    <t>cu1912</t>
    <phoneticPr fontId="2" type="noConversion"/>
  </si>
  <si>
    <t>OTC-C00439</t>
    <phoneticPr fontId="2" type="noConversion"/>
  </si>
  <si>
    <t>OTC-C00440</t>
    <phoneticPr fontId="2" type="noConversion"/>
  </si>
  <si>
    <t>OTC-C00441</t>
    <phoneticPr fontId="2" type="noConversion"/>
  </si>
  <si>
    <t>OTC-C00441</t>
    <phoneticPr fontId="2" type="noConversion"/>
  </si>
  <si>
    <t>OTC-C00442</t>
    <phoneticPr fontId="2" type="noConversion"/>
  </si>
  <si>
    <t>OTC-C00442</t>
    <phoneticPr fontId="2" type="noConversion"/>
  </si>
  <si>
    <t>OTC-C00443</t>
    <phoneticPr fontId="2" type="noConversion"/>
  </si>
  <si>
    <t>买入</t>
    <phoneticPr fontId="17" type="noConversion"/>
  </si>
  <si>
    <t>OTC-C00228-L</t>
    <phoneticPr fontId="2" type="noConversion"/>
  </si>
  <si>
    <t>FG001</t>
    <phoneticPr fontId="17" type="noConversion"/>
  </si>
  <si>
    <t>买入</t>
    <phoneticPr fontId="17" type="noConversion"/>
  </si>
  <si>
    <t>卖出</t>
    <phoneticPr fontId="17" type="noConversion"/>
  </si>
  <si>
    <t>美式看跌</t>
    <phoneticPr fontId="17" type="noConversion"/>
  </si>
  <si>
    <t>OTC-C00338-L-1</t>
    <phoneticPr fontId="2" type="noConversion"/>
  </si>
  <si>
    <t>OTC-C00338-L-2</t>
    <phoneticPr fontId="2" type="noConversion"/>
  </si>
  <si>
    <t>OTC-C00402</t>
    <phoneticPr fontId="2" type="noConversion"/>
  </si>
  <si>
    <t>OTC-C00404</t>
    <phoneticPr fontId="2" type="noConversion"/>
  </si>
  <si>
    <t>OTC-C00328-L</t>
    <phoneticPr fontId="2" type="noConversion"/>
  </si>
  <si>
    <t>OTC-C00328-L</t>
    <phoneticPr fontId="2" type="noConversion"/>
  </si>
  <si>
    <t>s-20190920-000002_1</t>
    <phoneticPr fontId="2" type="noConversion"/>
  </si>
  <si>
    <t>c2005</t>
    <phoneticPr fontId="2" type="noConversion"/>
  </si>
  <si>
    <t>参与率</t>
    <phoneticPr fontId="2" type="noConversion"/>
  </si>
  <si>
    <t>第二期</t>
    <phoneticPr fontId="2" type="noConversion"/>
  </si>
  <si>
    <t>第二期</t>
    <phoneticPr fontId="2" type="noConversion"/>
  </si>
  <si>
    <t>rb2001</t>
    <phoneticPr fontId="17" type="noConversion"/>
  </si>
  <si>
    <t>rb2001</t>
    <phoneticPr fontId="17" type="noConversion"/>
  </si>
  <si>
    <t>买入</t>
    <phoneticPr fontId="17" type="noConversion"/>
  </si>
  <si>
    <t>OTC-C00436</t>
    <phoneticPr fontId="2" type="noConversion"/>
  </si>
  <si>
    <t>OTC-C00446</t>
    <phoneticPr fontId="2" type="noConversion"/>
  </si>
  <si>
    <t>OTC-C00446</t>
    <phoneticPr fontId="2" type="noConversion"/>
  </si>
  <si>
    <t>OTC-C00294</t>
    <phoneticPr fontId="2" type="noConversion"/>
  </si>
  <si>
    <t>OTC-C00344-M</t>
    <phoneticPr fontId="2" type="noConversion"/>
  </si>
  <si>
    <t>OTC-C00438</t>
    <phoneticPr fontId="2" type="noConversion"/>
  </si>
  <si>
    <t>OTC-C00450</t>
    <phoneticPr fontId="2" type="noConversion"/>
  </si>
  <si>
    <t>OTC-C00451</t>
    <phoneticPr fontId="2" type="noConversion"/>
  </si>
  <si>
    <t>OTC-C00452</t>
    <phoneticPr fontId="2" type="noConversion"/>
  </si>
  <si>
    <t>OTC-C00453</t>
    <phoneticPr fontId="2" type="noConversion"/>
  </si>
  <si>
    <t>OTC-C00454</t>
    <phoneticPr fontId="2" type="noConversion"/>
  </si>
  <si>
    <t>OTC-C00361</t>
    <phoneticPr fontId="2" type="noConversion"/>
  </si>
  <si>
    <t>i2001</t>
    <phoneticPr fontId="2" type="noConversion"/>
  </si>
  <si>
    <t>OTC-C00456</t>
  </si>
  <si>
    <t>主动</t>
    <phoneticPr fontId="2" type="noConversion"/>
  </si>
  <si>
    <t>ag1912</t>
    <phoneticPr fontId="17" type="noConversion"/>
  </si>
  <si>
    <t>OTC-C00455</t>
    <phoneticPr fontId="2" type="noConversion"/>
  </si>
  <si>
    <t>产业</t>
    <phoneticPr fontId="2" type="noConversion"/>
  </si>
  <si>
    <t>CJ912</t>
    <phoneticPr fontId="2" type="noConversion"/>
  </si>
  <si>
    <t>卖出</t>
    <phoneticPr fontId="2" type="noConversion"/>
  </si>
  <si>
    <t>欧式看跌</t>
    <phoneticPr fontId="2" type="noConversion"/>
  </si>
  <si>
    <t>OTC-C00345-M</t>
    <phoneticPr fontId="2" type="noConversion"/>
  </si>
  <si>
    <t>交易员</t>
  </si>
  <si>
    <t>接单
（主动or被动）</t>
  </si>
  <si>
    <t>状态</t>
  </si>
  <si>
    <t>到期日</t>
  </si>
  <si>
    <t>数量
(吨）</t>
  </si>
  <si>
    <t>平仓
单位权利金
（客户）</t>
  </si>
  <si>
    <t>平仓收益
（客户
平仓权利金
总额）</t>
  </si>
  <si>
    <t>平仓日期</t>
  </si>
  <si>
    <t>结算价
（行权）</t>
  </si>
  <si>
    <t>行权收益
（客户）</t>
  </si>
  <si>
    <t>结算日期</t>
  </si>
  <si>
    <t xml:space="preserve">
PnL
（客户）</t>
  </si>
  <si>
    <t>头寸（我司）</t>
  </si>
  <si>
    <t>方向（我司）</t>
  </si>
  <si>
    <t>编号</t>
  </si>
  <si>
    <t>成交波动率</t>
  </si>
  <si>
    <t>避险波动率（mid）</t>
  </si>
  <si>
    <t>初始保证金</t>
  </si>
  <si>
    <t>汇率</t>
    <phoneticPr fontId="17" type="noConversion"/>
  </si>
  <si>
    <t>名义金额
RMB</t>
    <phoneticPr fontId="17" type="noConversion"/>
  </si>
  <si>
    <t>被动</t>
  </si>
  <si>
    <t>到期</t>
  </si>
  <si>
    <t>上海浦东发展银行股份有限公司</t>
  </si>
  <si>
    <t>远期</t>
  </si>
  <si>
    <t/>
  </si>
  <si>
    <t>LME1909090379673</t>
  </si>
  <si>
    <t>OTC-C00458</t>
    <phoneticPr fontId="2" type="noConversion"/>
  </si>
  <si>
    <t>OTC-C00459</t>
    <phoneticPr fontId="2" type="noConversion"/>
  </si>
  <si>
    <t>OTC-C00459</t>
    <phoneticPr fontId="2" type="noConversion"/>
  </si>
  <si>
    <t>OTC-C00460</t>
    <phoneticPr fontId="2" type="noConversion"/>
  </si>
  <si>
    <t>OTC-C00460</t>
    <phoneticPr fontId="2" type="noConversion"/>
  </si>
  <si>
    <t>OTC-C00461</t>
    <phoneticPr fontId="2" type="noConversion"/>
  </si>
  <si>
    <t>OTC-C00462</t>
    <phoneticPr fontId="2" type="noConversion"/>
  </si>
  <si>
    <t>OTC-C00462</t>
    <phoneticPr fontId="2" type="noConversion"/>
  </si>
  <si>
    <t>OTC-C00465</t>
    <phoneticPr fontId="2" type="noConversion"/>
  </si>
  <si>
    <t>OTC-C00434</t>
    <phoneticPr fontId="2" type="noConversion"/>
  </si>
  <si>
    <t>OTC-C00434</t>
    <phoneticPr fontId="2" type="noConversion"/>
  </si>
  <si>
    <t>OTC-C00444</t>
    <phoneticPr fontId="2" type="noConversion"/>
  </si>
  <si>
    <t>OTC-C00445</t>
    <phoneticPr fontId="2" type="noConversion"/>
  </si>
  <si>
    <t>OTC-C00445</t>
    <phoneticPr fontId="2" type="noConversion"/>
  </si>
  <si>
    <t>OTC-C00447</t>
    <phoneticPr fontId="2" type="noConversion"/>
  </si>
  <si>
    <t>OTC-C00448</t>
    <phoneticPr fontId="2" type="noConversion"/>
  </si>
  <si>
    <t>OTC-C00449</t>
    <phoneticPr fontId="2" type="noConversion"/>
  </si>
  <si>
    <t>OTC-C00449</t>
    <phoneticPr fontId="2" type="noConversion"/>
  </si>
  <si>
    <t>OTC-C00457</t>
    <phoneticPr fontId="2" type="noConversion"/>
  </si>
  <si>
    <t>cu2001</t>
    <phoneticPr fontId="2" type="noConversion"/>
  </si>
  <si>
    <t>买入</t>
    <phoneticPr fontId="2" type="noConversion"/>
  </si>
  <si>
    <t>ru2005</t>
    <phoneticPr fontId="2" type="noConversion"/>
  </si>
  <si>
    <t>欧式看跌</t>
    <phoneticPr fontId="2" type="noConversion"/>
  </si>
  <si>
    <t>上期所场外期权</t>
    <phoneticPr fontId="2" type="noConversion"/>
  </si>
  <si>
    <t>OTC-C00466</t>
    <phoneticPr fontId="2" type="noConversion"/>
  </si>
  <si>
    <t>OTC-C00468</t>
    <phoneticPr fontId="2" type="noConversion"/>
  </si>
  <si>
    <t>OTC-C00469</t>
    <phoneticPr fontId="2" type="noConversion"/>
  </si>
  <si>
    <t>OTC-C00469</t>
    <phoneticPr fontId="2" type="noConversion"/>
  </si>
  <si>
    <t>OTC-C00470</t>
    <phoneticPr fontId="2" type="noConversion"/>
  </si>
  <si>
    <t>OTC-C00471</t>
    <phoneticPr fontId="2" type="noConversion"/>
  </si>
  <si>
    <t>OTC-C00471</t>
    <phoneticPr fontId="2" type="noConversion"/>
  </si>
  <si>
    <t>OTC-C00472</t>
    <phoneticPr fontId="2" type="noConversion"/>
  </si>
  <si>
    <t>ru2001</t>
    <phoneticPr fontId="2" type="noConversion"/>
  </si>
  <si>
    <t>卖出</t>
    <phoneticPr fontId="2" type="noConversion"/>
  </si>
  <si>
    <t>美式看涨</t>
    <phoneticPr fontId="2" type="noConversion"/>
  </si>
  <si>
    <t>美式看跌</t>
    <phoneticPr fontId="2" type="noConversion"/>
  </si>
  <si>
    <t>被动</t>
    <phoneticPr fontId="2" type="noConversion"/>
  </si>
  <si>
    <t>卖出</t>
    <phoneticPr fontId="2" type="noConversion"/>
  </si>
  <si>
    <t>其他</t>
    <phoneticPr fontId="17" type="noConversion"/>
  </si>
  <si>
    <t>OTC-C00474</t>
    <phoneticPr fontId="2" type="noConversion"/>
  </si>
  <si>
    <t>OTC-C00476</t>
    <phoneticPr fontId="2" type="noConversion"/>
  </si>
  <si>
    <t>OTC-C00477</t>
    <phoneticPr fontId="2" type="noConversion"/>
  </si>
  <si>
    <t>OTC-C00479</t>
    <phoneticPr fontId="2" type="noConversion"/>
  </si>
  <si>
    <t>买入</t>
    <phoneticPr fontId="2" type="noConversion"/>
  </si>
  <si>
    <t>OTC-C00475</t>
    <phoneticPr fontId="2" type="noConversion"/>
  </si>
  <si>
    <t>OTC-C00480</t>
    <phoneticPr fontId="2" type="noConversion"/>
  </si>
  <si>
    <t>s-20190830-000001_1</t>
    <phoneticPr fontId="2" type="noConversion"/>
  </si>
  <si>
    <t>s-20190830-000001_2</t>
    <phoneticPr fontId="2" type="noConversion"/>
  </si>
  <si>
    <t>被动</t>
    <phoneticPr fontId="2" type="noConversion"/>
  </si>
  <si>
    <t>eg2005</t>
    <phoneticPr fontId="2" type="noConversion"/>
  </si>
  <si>
    <t>OTC-C00481</t>
    <phoneticPr fontId="2" type="noConversion"/>
  </si>
  <si>
    <t>OTC-C00482</t>
    <phoneticPr fontId="2" type="noConversion"/>
  </si>
  <si>
    <t>OTC-C00483</t>
    <phoneticPr fontId="2" type="noConversion"/>
  </si>
  <si>
    <t>OTC-C00484</t>
    <phoneticPr fontId="2" type="noConversion"/>
  </si>
  <si>
    <t>OTC-C00484</t>
    <phoneticPr fontId="2" type="noConversion"/>
  </si>
  <si>
    <t>OTC-C00485</t>
    <phoneticPr fontId="2" type="noConversion"/>
  </si>
  <si>
    <t>OTC-C00478</t>
    <phoneticPr fontId="2" type="noConversion"/>
  </si>
  <si>
    <t>卖出</t>
    <phoneticPr fontId="17" type="noConversion"/>
  </si>
  <si>
    <t>买入</t>
    <phoneticPr fontId="2" type="noConversion"/>
  </si>
  <si>
    <t>i2001</t>
    <phoneticPr fontId="17" type="noConversion"/>
  </si>
  <si>
    <t>敲出价</t>
    <phoneticPr fontId="2" type="noConversion"/>
  </si>
  <si>
    <t>ru2005-nr2002</t>
    <phoneticPr fontId="2" type="noConversion"/>
  </si>
  <si>
    <t>卖出</t>
    <phoneticPr fontId="2" type="noConversion"/>
  </si>
  <si>
    <t>欧式看涨</t>
    <phoneticPr fontId="2" type="noConversion"/>
  </si>
  <si>
    <t>向下敲出看跌</t>
    <phoneticPr fontId="2" type="noConversion"/>
  </si>
  <si>
    <t>nr2002</t>
    <phoneticPr fontId="17" type="noConversion"/>
  </si>
  <si>
    <t>OTC-C00488</t>
    <phoneticPr fontId="2" type="noConversion"/>
  </si>
  <si>
    <t>OTC-C00489</t>
    <phoneticPr fontId="2" type="noConversion"/>
  </si>
  <si>
    <t>OTC-C00490</t>
    <phoneticPr fontId="2" type="noConversion"/>
  </si>
  <si>
    <t>OTC-C00492</t>
    <phoneticPr fontId="2" type="noConversion"/>
  </si>
  <si>
    <t>TA001</t>
    <phoneticPr fontId="2" type="noConversion"/>
  </si>
  <si>
    <t>主动</t>
    <phoneticPr fontId="2" type="noConversion"/>
  </si>
  <si>
    <t>其他</t>
    <phoneticPr fontId="2" type="noConversion"/>
  </si>
  <si>
    <t>卖出</t>
    <phoneticPr fontId="2" type="noConversion"/>
  </si>
  <si>
    <t>美式看跌</t>
    <phoneticPr fontId="17" type="noConversion"/>
  </si>
  <si>
    <t>欧式看涨</t>
    <phoneticPr fontId="2" type="noConversion"/>
  </si>
  <si>
    <t>sp2001</t>
    <phoneticPr fontId="2" type="noConversion"/>
  </si>
  <si>
    <t>bu2006</t>
    <phoneticPr fontId="17" type="noConversion"/>
  </si>
  <si>
    <t>OTC-C00486</t>
    <phoneticPr fontId="2" type="noConversion"/>
  </si>
  <si>
    <t>OTC-C00426</t>
    <phoneticPr fontId="2" type="noConversion"/>
  </si>
  <si>
    <t>OTC-C00463</t>
    <phoneticPr fontId="2" type="noConversion"/>
  </si>
  <si>
    <t>OTC-C00464</t>
    <phoneticPr fontId="2" type="noConversion"/>
  </si>
  <si>
    <t>l2001</t>
    <phoneticPr fontId="2" type="noConversion"/>
  </si>
  <si>
    <t>l2001</t>
    <phoneticPr fontId="2" type="noConversion"/>
  </si>
  <si>
    <t>OTC-C00493</t>
    <phoneticPr fontId="2" type="noConversion"/>
  </si>
  <si>
    <t>OTC-C00496</t>
    <phoneticPr fontId="2" type="noConversion"/>
  </si>
  <si>
    <t>OTC-C00499</t>
    <phoneticPr fontId="2" type="noConversion"/>
  </si>
  <si>
    <t>OTC-C00499</t>
    <phoneticPr fontId="2" type="noConversion"/>
  </si>
  <si>
    <t>OTC-C00500</t>
    <phoneticPr fontId="2" type="noConversion"/>
  </si>
  <si>
    <t>OTC-C00500</t>
    <phoneticPr fontId="2" type="noConversion"/>
  </si>
  <si>
    <t>OTC-C00501</t>
    <phoneticPr fontId="2" type="noConversion"/>
  </si>
  <si>
    <t>OTC-C00501</t>
    <phoneticPr fontId="2" type="noConversion"/>
  </si>
  <si>
    <t>OTC-C00502</t>
    <phoneticPr fontId="2" type="noConversion"/>
  </si>
  <si>
    <t>OTC-C00502</t>
    <phoneticPr fontId="2" type="noConversion"/>
  </si>
  <si>
    <t>OTC-C00503</t>
    <phoneticPr fontId="2" type="noConversion"/>
  </si>
  <si>
    <t>OTC-C00504</t>
    <phoneticPr fontId="2" type="noConversion"/>
  </si>
  <si>
    <t>OTC-C00504</t>
    <phoneticPr fontId="2" type="noConversion"/>
  </si>
  <si>
    <t>TA005</t>
    <phoneticPr fontId="2" type="noConversion"/>
  </si>
  <si>
    <t>美式看涨</t>
    <phoneticPr fontId="17" type="noConversion"/>
  </si>
  <si>
    <t>FG001</t>
    <phoneticPr fontId="2" type="noConversion"/>
  </si>
  <si>
    <t>第一期</t>
    <phoneticPr fontId="2" type="noConversion"/>
  </si>
  <si>
    <t>第二期</t>
    <phoneticPr fontId="2" type="noConversion"/>
  </si>
  <si>
    <t>ru2001</t>
    <phoneticPr fontId="2" type="noConversion"/>
  </si>
  <si>
    <t>奇异亚式增强看跌</t>
    <phoneticPr fontId="2" type="noConversion"/>
  </si>
  <si>
    <t>刘剑溥</t>
    <phoneticPr fontId="2" type="noConversion"/>
  </si>
  <si>
    <t>主动</t>
    <phoneticPr fontId="2" type="noConversion"/>
  </si>
  <si>
    <t>买入</t>
    <phoneticPr fontId="2" type="noConversion"/>
  </si>
  <si>
    <t>欧式看涨</t>
    <phoneticPr fontId="17" type="noConversion"/>
  </si>
  <si>
    <t>欧式看跌</t>
    <phoneticPr fontId="17" type="noConversion"/>
  </si>
  <si>
    <t>rb2005</t>
    <phoneticPr fontId="2" type="noConversion"/>
  </si>
  <si>
    <t>卖出</t>
    <phoneticPr fontId="17" type="noConversion"/>
  </si>
  <si>
    <t>OTC-C00510</t>
  </si>
  <si>
    <t>OTC-C00511</t>
  </si>
  <si>
    <t>OTC-C00473</t>
    <phoneticPr fontId="2" type="noConversion"/>
  </si>
  <si>
    <t>主动</t>
    <phoneticPr fontId="2" type="noConversion"/>
  </si>
  <si>
    <t>rb2001</t>
    <phoneticPr fontId="2" type="noConversion"/>
  </si>
  <si>
    <t>美式看跌</t>
    <phoneticPr fontId="2" type="noConversion"/>
  </si>
  <si>
    <t>rb2005</t>
    <phoneticPr fontId="2" type="noConversion"/>
  </si>
  <si>
    <t>买入</t>
    <phoneticPr fontId="2" type="noConversion"/>
  </si>
  <si>
    <t>OTC-C00467</t>
    <phoneticPr fontId="2" type="noConversion"/>
  </si>
  <si>
    <t>OTC-C00467</t>
    <phoneticPr fontId="2" type="noConversion"/>
  </si>
  <si>
    <t>OTC-C00487</t>
    <phoneticPr fontId="2" type="noConversion"/>
  </si>
  <si>
    <t>OTC-C00494</t>
    <phoneticPr fontId="2" type="noConversion"/>
  </si>
  <si>
    <t>OTC-C00494</t>
    <phoneticPr fontId="2" type="noConversion"/>
  </si>
  <si>
    <t>OTC-C00497</t>
    <phoneticPr fontId="2" type="noConversion"/>
  </si>
  <si>
    <t>OTC-C00497</t>
    <phoneticPr fontId="2" type="noConversion"/>
  </si>
  <si>
    <t>eg2001</t>
    <phoneticPr fontId="2" type="noConversion"/>
  </si>
  <si>
    <t>OTC-C00514</t>
    <phoneticPr fontId="2" type="noConversion"/>
  </si>
  <si>
    <t>OTC-C00512</t>
    <phoneticPr fontId="2" type="noConversion"/>
  </si>
  <si>
    <t>OTC-C00517</t>
    <phoneticPr fontId="2" type="noConversion"/>
  </si>
  <si>
    <t>OTC-C00518</t>
    <phoneticPr fontId="2" type="noConversion"/>
  </si>
  <si>
    <t>OTC-C00519</t>
    <phoneticPr fontId="2" type="noConversion"/>
  </si>
  <si>
    <t>OTC-C00520</t>
    <phoneticPr fontId="2" type="noConversion"/>
  </si>
  <si>
    <t>OTC-C00520</t>
    <phoneticPr fontId="2" type="noConversion"/>
  </si>
  <si>
    <t>OTC-C00521</t>
    <phoneticPr fontId="2" type="noConversion"/>
  </si>
  <si>
    <t>OTC-C00524</t>
    <phoneticPr fontId="2" type="noConversion"/>
  </si>
  <si>
    <t>OTC-C00523</t>
    <phoneticPr fontId="2" type="noConversion"/>
  </si>
  <si>
    <t>其他</t>
    <phoneticPr fontId="2" type="noConversion"/>
  </si>
  <si>
    <t>OTC-C00508</t>
    <phoneticPr fontId="2" type="noConversion"/>
  </si>
  <si>
    <t>OTC-C00525</t>
    <phoneticPr fontId="2" type="noConversion"/>
  </si>
  <si>
    <t>OTC-C00506</t>
    <phoneticPr fontId="2" type="noConversion"/>
  </si>
  <si>
    <t>OTC-C00506</t>
    <phoneticPr fontId="2" type="noConversion"/>
  </si>
  <si>
    <t>OTC-C00509</t>
    <phoneticPr fontId="2" type="noConversion"/>
  </si>
  <si>
    <t>OTC-C00509</t>
    <phoneticPr fontId="2" type="noConversion"/>
  </si>
  <si>
    <t>OTC-C00513</t>
    <phoneticPr fontId="2" type="noConversion"/>
  </si>
  <si>
    <t>eg2005</t>
    <phoneticPr fontId="2" type="noConversion"/>
  </si>
  <si>
    <t>l2001</t>
    <phoneticPr fontId="2" type="noConversion"/>
  </si>
  <si>
    <t>OTC-C00522</t>
    <phoneticPr fontId="2" type="noConversion"/>
  </si>
  <si>
    <t>TA001</t>
    <phoneticPr fontId="2" type="noConversion"/>
  </si>
  <si>
    <t>sp2001</t>
    <phoneticPr fontId="2" type="noConversion"/>
  </si>
  <si>
    <t>sp2001</t>
    <phoneticPr fontId="2" type="noConversion"/>
  </si>
  <si>
    <t>zn2001</t>
    <phoneticPr fontId="17" type="noConversion"/>
  </si>
  <si>
    <t>产业</t>
    <phoneticPr fontId="17" type="noConversion"/>
  </si>
  <si>
    <t>何剑桥</t>
    <phoneticPr fontId="17" type="noConversion"/>
  </si>
  <si>
    <t>al2003</t>
    <phoneticPr fontId="2" type="noConversion"/>
  </si>
  <si>
    <t>al2004</t>
    <phoneticPr fontId="2" type="noConversion"/>
  </si>
  <si>
    <t>我司方向</t>
    <phoneticPr fontId="2" type="noConversion"/>
  </si>
  <si>
    <t>卖出固定收益率</t>
    <phoneticPr fontId="2" type="noConversion"/>
  </si>
  <si>
    <t>买入固定收益率</t>
    <phoneticPr fontId="2" type="noConversion"/>
  </si>
  <si>
    <t>卖出</t>
    <phoneticPr fontId="2" type="noConversion"/>
  </si>
  <si>
    <t>OTC-C00526</t>
    <phoneticPr fontId="2" type="noConversion"/>
  </si>
  <si>
    <t>OTC-C00526</t>
    <phoneticPr fontId="2" type="noConversion"/>
  </si>
  <si>
    <t>OTC-C00324-L</t>
    <phoneticPr fontId="2" type="noConversion"/>
  </si>
  <si>
    <t>OTC-C00325-L</t>
    <phoneticPr fontId="2" type="noConversion"/>
  </si>
  <si>
    <t>OTC-C00325-L</t>
    <phoneticPr fontId="2" type="noConversion"/>
  </si>
  <si>
    <t>OTC-C00337</t>
    <phoneticPr fontId="2" type="noConversion"/>
  </si>
  <si>
    <t>OTC-C00337-L</t>
    <phoneticPr fontId="2" type="noConversion"/>
  </si>
  <si>
    <t>OTC-C00507</t>
    <phoneticPr fontId="2" type="noConversion"/>
  </si>
  <si>
    <t>OTC-C00515</t>
    <phoneticPr fontId="2" type="noConversion"/>
  </si>
  <si>
    <t>OTC-C00516</t>
    <phoneticPr fontId="2" type="noConversion"/>
  </si>
  <si>
    <t>卖出</t>
    <phoneticPr fontId="2" type="noConversion"/>
  </si>
  <si>
    <t>ni2001</t>
    <phoneticPr fontId="2" type="noConversion"/>
  </si>
  <si>
    <t>谢晨星</t>
    <phoneticPr fontId="2" type="noConversion"/>
  </si>
  <si>
    <t>被动</t>
    <phoneticPr fontId="2" type="noConversion"/>
  </si>
  <si>
    <t>ag2002</t>
    <phoneticPr fontId="2" type="noConversion"/>
  </si>
  <si>
    <t>eg2001</t>
    <phoneticPr fontId="2" type="noConversion"/>
  </si>
  <si>
    <t>ru2005</t>
    <phoneticPr fontId="2" type="noConversion"/>
  </si>
  <si>
    <t>欧式看跌</t>
    <phoneticPr fontId="2" type="noConversion"/>
  </si>
  <si>
    <t>OTC-C00405-L</t>
    <phoneticPr fontId="2" type="noConversion"/>
  </si>
  <si>
    <t>cu2002</t>
    <phoneticPr fontId="2" type="noConversion"/>
  </si>
  <si>
    <t>bu2006</t>
    <phoneticPr fontId="2" type="noConversion"/>
  </si>
  <si>
    <t>bu2006</t>
    <phoneticPr fontId="2" type="noConversion"/>
  </si>
  <si>
    <t>AP005</t>
    <phoneticPr fontId="2" type="noConversion"/>
  </si>
  <si>
    <t>增强亚式看跌价差</t>
    <phoneticPr fontId="2" type="noConversion"/>
  </si>
  <si>
    <t>l2001</t>
    <phoneticPr fontId="2" type="noConversion"/>
  </si>
  <si>
    <t>Delta Switch</t>
    <phoneticPr fontId="2" type="noConversion"/>
  </si>
  <si>
    <t>Collar</t>
    <phoneticPr fontId="2" type="noConversion"/>
  </si>
  <si>
    <t>p2005</t>
    <phoneticPr fontId="2" type="noConversion"/>
  </si>
  <si>
    <t>美式看涨</t>
    <phoneticPr fontId="2" type="noConversion"/>
  </si>
  <si>
    <t>卖出</t>
    <phoneticPr fontId="2" type="noConversion"/>
  </si>
  <si>
    <t>MA005</t>
    <phoneticPr fontId="2" type="noConversion"/>
  </si>
  <si>
    <t>MA005</t>
    <phoneticPr fontId="2" type="noConversion"/>
  </si>
  <si>
    <t>刘剑溥</t>
    <phoneticPr fontId="2" type="noConversion"/>
  </si>
  <si>
    <t>OTC-C00561</t>
  </si>
  <si>
    <t xml:space="preserve"> rb2005-i2005</t>
    <phoneticPr fontId="2" type="noConversion"/>
  </si>
  <si>
    <t>美式看涨</t>
    <phoneticPr fontId="2" type="noConversion"/>
  </si>
  <si>
    <t>美式看跌</t>
    <phoneticPr fontId="2" type="noConversion"/>
  </si>
  <si>
    <t>Collar</t>
    <phoneticPr fontId="2" type="noConversion"/>
  </si>
  <si>
    <t>p2005</t>
    <phoneticPr fontId="2" type="noConversion"/>
  </si>
  <si>
    <t>v2005</t>
    <phoneticPr fontId="2" type="noConversion"/>
  </si>
  <si>
    <t>OTC-C00495</t>
    <phoneticPr fontId="2" type="noConversion"/>
  </si>
  <si>
    <t>OTC-C00495</t>
    <phoneticPr fontId="2" type="noConversion"/>
  </si>
  <si>
    <t>OTC-C00498</t>
    <phoneticPr fontId="2" type="noConversion"/>
  </si>
  <si>
    <t>OTC-C00505</t>
    <phoneticPr fontId="2" type="noConversion"/>
  </si>
  <si>
    <t>OTC-C00505</t>
    <phoneticPr fontId="2" type="noConversion"/>
  </si>
  <si>
    <t>OTC-C00464-L</t>
    <phoneticPr fontId="2" type="noConversion"/>
  </si>
  <si>
    <t>OTC-C00437</t>
    <phoneticPr fontId="2" type="noConversion"/>
  </si>
  <si>
    <t>OTC-C00437-L</t>
    <phoneticPr fontId="2" type="noConversion"/>
  </si>
  <si>
    <t>OTC-C00560</t>
    <phoneticPr fontId="2" type="noConversion"/>
  </si>
  <si>
    <t xml:space="preserve"> rb2005-i2005</t>
    <phoneticPr fontId="2" type="noConversion"/>
  </si>
  <si>
    <t>TA005</t>
    <phoneticPr fontId="2" type="noConversion"/>
  </si>
  <si>
    <t>OTC-C00555</t>
    <phoneticPr fontId="2" type="noConversion"/>
  </si>
  <si>
    <t>OTC-C00556</t>
    <phoneticPr fontId="2" type="noConversion"/>
  </si>
  <si>
    <t>OTC-C00556</t>
    <phoneticPr fontId="2" type="noConversion"/>
  </si>
  <si>
    <t>OTC-C00557</t>
    <phoneticPr fontId="2" type="noConversion"/>
  </si>
  <si>
    <t>OTC-C00558</t>
    <phoneticPr fontId="2" type="noConversion"/>
  </si>
  <si>
    <t>OTC-C00559</t>
    <phoneticPr fontId="2" type="noConversion"/>
  </si>
  <si>
    <t>OTC-C00559</t>
    <phoneticPr fontId="2" type="noConversion"/>
  </si>
  <si>
    <t>买入</t>
    <phoneticPr fontId="17" type="noConversion"/>
  </si>
  <si>
    <t>OTC-C00567</t>
  </si>
  <si>
    <t>卖出</t>
    <phoneticPr fontId="2" type="noConversion"/>
  </si>
  <si>
    <t>FG005</t>
    <phoneticPr fontId="17" type="noConversion"/>
  </si>
  <si>
    <t>主动</t>
    <phoneticPr fontId="2" type="noConversion"/>
  </si>
  <si>
    <t>OTC-C00570</t>
  </si>
  <si>
    <t>产业</t>
    <phoneticPr fontId="2" type="noConversion"/>
  </si>
  <si>
    <t>OTC-C00572</t>
  </si>
  <si>
    <t>OTC-C00574</t>
  </si>
  <si>
    <t>OTC-C00566</t>
    <phoneticPr fontId="2" type="noConversion"/>
  </si>
  <si>
    <t>OTC-C00566</t>
    <phoneticPr fontId="2" type="noConversion"/>
  </si>
  <si>
    <t>OTC-C00565</t>
    <phoneticPr fontId="2" type="noConversion"/>
  </si>
  <si>
    <t>OTC-C00565</t>
    <phoneticPr fontId="2" type="noConversion"/>
  </si>
  <si>
    <t>OTC-C00564</t>
    <phoneticPr fontId="2" type="noConversion"/>
  </si>
  <si>
    <t>OTC-C00562</t>
    <phoneticPr fontId="2" type="noConversion"/>
  </si>
  <si>
    <t>OTC-C00563</t>
    <phoneticPr fontId="2" type="noConversion"/>
  </si>
  <si>
    <t>OTC-C00554</t>
    <phoneticPr fontId="2" type="noConversion"/>
  </si>
  <si>
    <t>互换</t>
    <phoneticPr fontId="2" type="noConversion"/>
  </si>
  <si>
    <t>互换</t>
    <phoneticPr fontId="2" type="noConversion"/>
  </si>
  <si>
    <t>sc2002</t>
    <phoneticPr fontId="2" type="noConversion"/>
  </si>
  <si>
    <t>OTC-C00568</t>
    <phoneticPr fontId="2" type="noConversion"/>
  </si>
  <si>
    <t>OTC-C00571</t>
    <phoneticPr fontId="2" type="noConversion"/>
  </si>
  <si>
    <t>OTC-C00491</t>
    <phoneticPr fontId="2" type="noConversion"/>
  </si>
  <si>
    <t>OTC-C00491</t>
    <phoneticPr fontId="2" type="noConversion"/>
  </si>
  <si>
    <t>OTC-C00573</t>
    <phoneticPr fontId="2" type="noConversion"/>
  </si>
  <si>
    <t>OTC-C00569</t>
    <phoneticPr fontId="2" type="noConversion"/>
  </si>
  <si>
    <t>OTC-C00575</t>
    <phoneticPr fontId="2" type="noConversion"/>
  </si>
  <si>
    <t>OTC-C00575</t>
    <phoneticPr fontId="2" type="noConversion"/>
  </si>
  <si>
    <t>OTC-C00578</t>
  </si>
  <si>
    <t>v2005</t>
    <phoneticPr fontId="2" type="noConversion"/>
  </si>
  <si>
    <t>OTC-C00579</t>
  </si>
  <si>
    <t>被动</t>
    <phoneticPr fontId="2" type="noConversion"/>
  </si>
  <si>
    <t>其他</t>
    <phoneticPr fontId="2" type="noConversion"/>
  </si>
  <si>
    <t>买入</t>
    <phoneticPr fontId="2" type="noConversion"/>
  </si>
  <si>
    <t>买入</t>
    <phoneticPr fontId="17" type="noConversion"/>
  </si>
  <si>
    <t>美式看跌</t>
    <phoneticPr fontId="2" type="noConversion"/>
  </si>
  <si>
    <t>ru2005</t>
    <phoneticPr fontId="2" type="noConversion"/>
  </si>
  <si>
    <t>浙江分公司</t>
    <phoneticPr fontId="2" type="noConversion"/>
  </si>
  <si>
    <t>i2005</t>
    <phoneticPr fontId="2" type="noConversion"/>
  </si>
  <si>
    <t>欧式看涨</t>
    <phoneticPr fontId="2" type="noConversion"/>
  </si>
  <si>
    <t>OTC-C00577</t>
    <phoneticPr fontId="2" type="noConversion"/>
  </si>
  <si>
    <t>OTC-C00581</t>
    <phoneticPr fontId="2" type="noConversion"/>
  </si>
  <si>
    <t>OTC-C00580</t>
    <phoneticPr fontId="2" type="noConversion"/>
  </si>
  <si>
    <t>OTC-C00583</t>
    <phoneticPr fontId="2" type="noConversion"/>
  </si>
  <si>
    <t>OTC-C00582</t>
    <phoneticPr fontId="2" type="noConversion"/>
  </si>
  <si>
    <t>OTC-C00576</t>
    <phoneticPr fontId="2" type="noConversion"/>
  </si>
  <si>
    <t>OTC-C00576</t>
    <phoneticPr fontId="2" type="noConversion"/>
  </si>
  <si>
    <t>cu2003</t>
    <phoneticPr fontId="2" type="noConversion"/>
  </si>
  <si>
    <t>cu2003</t>
    <phoneticPr fontId="2" type="noConversion"/>
  </si>
  <si>
    <t>SA005</t>
    <phoneticPr fontId="17" type="noConversion"/>
  </si>
  <si>
    <t>OTC-C00584</t>
    <phoneticPr fontId="2" type="noConversion"/>
  </si>
  <si>
    <t>OTC-C00584</t>
    <phoneticPr fontId="2" type="noConversion"/>
  </si>
  <si>
    <t>OTC-C00585</t>
    <phoneticPr fontId="2" type="noConversion"/>
  </si>
  <si>
    <t>OTC-C00586</t>
  </si>
  <si>
    <t>p2005</t>
    <phoneticPr fontId="2" type="noConversion"/>
  </si>
  <si>
    <t>提前行权</t>
    <phoneticPr fontId="2" type="noConversion"/>
  </si>
  <si>
    <t>OTC-C00372</t>
    <phoneticPr fontId="2" type="noConversion"/>
  </si>
  <si>
    <t>OTC-C00494-L</t>
    <phoneticPr fontId="2" type="noConversion"/>
  </si>
  <si>
    <t>OTC-C00495-L</t>
    <phoneticPr fontId="2" type="noConversion"/>
  </si>
  <si>
    <t>Collar</t>
    <phoneticPr fontId="2" type="noConversion"/>
  </si>
  <si>
    <t>OTC-C00587</t>
  </si>
  <si>
    <t>OTC-C00588</t>
  </si>
  <si>
    <t>OTC-C00550-L</t>
    <phoneticPr fontId="2" type="noConversion"/>
  </si>
  <si>
    <t>九三玉米项目分两期进行，两期权利金加总后为76.68</t>
  </si>
  <si>
    <t>修正时间2019.12.20，修正前单位权利金为54，行权收益为4492080。</t>
    <phoneticPr fontId="2" type="noConversion"/>
  </si>
  <si>
    <t>p2005</t>
    <phoneticPr fontId="2" type="noConversion"/>
  </si>
  <si>
    <t>sp2005</t>
    <phoneticPr fontId="2" type="noConversion"/>
  </si>
  <si>
    <t>欧式看涨</t>
    <phoneticPr fontId="2" type="noConversion"/>
  </si>
  <si>
    <t>OTC-C00539-L</t>
    <phoneticPr fontId="2" type="noConversion"/>
  </si>
  <si>
    <t>OTC-C00590</t>
    <phoneticPr fontId="2" type="noConversion"/>
  </si>
  <si>
    <t>OTC-C00592</t>
  </si>
  <si>
    <t>v2005</t>
    <phoneticPr fontId="2" type="noConversion"/>
  </si>
  <si>
    <t>陈俊</t>
    <phoneticPr fontId="2" type="noConversion"/>
  </si>
  <si>
    <t>做市业务部</t>
    <phoneticPr fontId="2" type="noConversion"/>
  </si>
  <si>
    <t>互换-投资部</t>
    <phoneticPr fontId="2" type="noConversion"/>
  </si>
  <si>
    <t>OTC-C00589</t>
    <phoneticPr fontId="2" type="noConversion"/>
  </si>
  <si>
    <t>浙江分公司</t>
    <phoneticPr fontId="2" type="noConversion"/>
  </si>
  <si>
    <t>OTC-C00594</t>
  </si>
  <si>
    <t>ru2005</t>
    <phoneticPr fontId="17" type="noConversion"/>
  </si>
  <si>
    <t>ru2005</t>
    <phoneticPr fontId="17" type="noConversion"/>
  </si>
  <si>
    <t>OTC-C00595</t>
  </si>
  <si>
    <t>j2005</t>
    <phoneticPr fontId="2" type="noConversion"/>
  </si>
  <si>
    <t>OTC-C00591</t>
    <phoneticPr fontId="2" type="noConversion"/>
  </si>
  <si>
    <t>OTC-C00591</t>
    <phoneticPr fontId="2" type="noConversion"/>
  </si>
  <si>
    <t>宁波中哲物产有限公司</t>
  </si>
  <si>
    <t>杭州中菁实业有限公司</t>
  </si>
  <si>
    <t>上海润森投资咨询有限公司</t>
  </si>
  <si>
    <t>宁波经济技术开发区汇星贸易有限公司</t>
  </si>
  <si>
    <t>中国太平洋财产保险股份有限公司</t>
  </si>
  <si>
    <t>浙江永安资本管理有限公司</t>
  </si>
  <si>
    <t>济凡汇川私募证券投资基金</t>
  </si>
  <si>
    <t>鲁证经贸有限公司</t>
  </si>
  <si>
    <t>江苏亨通高压海缆有限公司</t>
  </si>
  <si>
    <t>亨通集团上海贸易有限公司</t>
  </si>
  <si>
    <t>江苏亨通线缆科技有限公司</t>
  </si>
  <si>
    <t>江苏亨通精工金属材料有限公司</t>
  </si>
  <si>
    <t>江苏亨通电力电缆有限公司</t>
  </si>
  <si>
    <t>华泰长城资本管理有限公司</t>
  </si>
  <si>
    <t>句容新程塑料包装有限公司</t>
  </si>
  <si>
    <t>国联汇富资本管理有限公司</t>
  </si>
  <si>
    <t>广发商贸有限公司</t>
  </si>
  <si>
    <t>中信证券股份有限公司</t>
  </si>
  <si>
    <t>上海开坦国际物流有限公司</t>
  </si>
  <si>
    <t>上海赫亮国际贸易有限公司</t>
  </si>
  <si>
    <t>深圳茂源资本资产管理有限公司</t>
  </si>
  <si>
    <t>宁波聚宝丰新材料科技有限公司</t>
  </si>
  <si>
    <t>杭州杰萃服饰有限公司</t>
  </si>
  <si>
    <t>浙江热联中邦供应链服务有限公司</t>
  </si>
  <si>
    <t>温州中希电工合金有限公司</t>
  </si>
  <si>
    <t>中国人民财产保险股份有限公司上海自贸试验区分公司</t>
  </si>
  <si>
    <t>宁波泓达金属材料有限公司</t>
  </si>
  <si>
    <t>上海琼台投资管理有限公司</t>
  </si>
  <si>
    <t>深圳前海中投天琪资本管理有限公司</t>
  </si>
  <si>
    <t>中国大地财产保险股份有限公司甘肃分公司</t>
  </si>
  <si>
    <t>阳光农业相互保险公司</t>
  </si>
  <si>
    <t>杭实国贸投资(杭州)有限公司</t>
  </si>
  <si>
    <t>南京构世云贸易有限公司</t>
  </si>
  <si>
    <t>上海仕悦实业有限公司</t>
  </si>
  <si>
    <t>宁波福祥地贵金属有限公司</t>
  </si>
  <si>
    <t>奔诺能源化工有限公司</t>
  </si>
  <si>
    <t>上海勤政投资管理有限公司</t>
  </si>
  <si>
    <t>太仓赫然伊品国际贸易有限公司</t>
  </si>
  <si>
    <t>远大能源化工有限公司</t>
  </si>
  <si>
    <t>东证润和资本管理有限公司</t>
  </si>
  <si>
    <t>浙江浙期实业有限公司</t>
  </si>
  <si>
    <t>光大光子投资管理有限公司</t>
  </si>
  <si>
    <t>赫然伊品（苏州）商品贸易有限公司</t>
  </si>
  <si>
    <t>云南天然橡胶产业集团有限公司</t>
  </si>
  <si>
    <t>卓汇基金管理有限公司</t>
  </si>
  <si>
    <t>上海际丰投资管理有限责任公司</t>
  </si>
  <si>
    <t>青岛悦友国际贸易有限公司</t>
  </si>
  <si>
    <t>武汉劲暄物业管理有限公司</t>
  </si>
  <si>
    <t>上海海通资源管理有限公司</t>
  </si>
  <si>
    <t>陕西赫然伊品商品贸易有限公司</t>
  </si>
  <si>
    <t>申万宏源证券有限公司</t>
  </si>
  <si>
    <t>东海资本管理有限公司</t>
  </si>
  <si>
    <t>千惠领航5号私募证券投资基金</t>
  </si>
  <si>
    <t>上海锐镐有色金属股份有限公司</t>
  </si>
  <si>
    <t>宁波杉杉能化有限公司</t>
  </si>
  <si>
    <t>OTC-C00596</t>
  </si>
  <si>
    <t>OTC-C00597</t>
  </si>
  <si>
    <t>OTC-C00598</t>
  </si>
  <si>
    <t>rb2005</t>
    <phoneticPr fontId="2" type="noConversion"/>
  </si>
  <si>
    <t>rb2005</t>
    <phoneticPr fontId="2" type="noConversion"/>
  </si>
  <si>
    <t>i2005</t>
    <phoneticPr fontId="2" type="noConversion"/>
  </si>
  <si>
    <t>i2005</t>
    <phoneticPr fontId="2" type="noConversion"/>
  </si>
  <si>
    <t>上海新湖瑞丰金融服务有限公司</t>
    <phoneticPr fontId="2" type="noConversion"/>
  </si>
  <si>
    <t>其他</t>
    <phoneticPr fontId="2" type="noConversion"/>
  </si>
  <si>
    <t>卖出</t>
    <phoneticPr fontId="2" type="noConversion"/>
  </si>
  <si>
    <t>美式看涨</t>
    <phoneticPr fontId="2" type="noConversion"/>
  </si>
  <si>
    <t>OTC-C00593</t>
    <phoneticPr fontId="2" type="noConversion"/>
  </si>
  <si>
    <t>浙江永安资本管理有限公司</t>
    <phoneticPr fontId="2" type="noConversion"/>
  </si>
  <si>
    <t>深圳茂源资本资产管理有限公司</t>
    <phoneticPr fontId="2" type="noConversion"/>
  </si>
  <si>
    <t>v2005</t>
    <phoneticPr fontId="2" type="noConversion"/>
  </si>
  <si>
    <t>OTC-C00599</t>
  </si>
  <si>
    <t>OTC-C00600</t>
  </si>
  <si>
    <t>千惠云航1号私募证券投资基金</t>
    <phoneticPr fontId="2" type="noConversion"/>
  </si>
  <si>
    <t>OTC-C00599</t>
    <phoneticPr fontId="2" type="noConversion"/>
  </si>
  <si>
    <t>东海资本管理有限公司</t>
    <phoneticPr fontId="2" type="noConversion"/>
  </si>
  <si>
    <t>TA005</t>
    <phoneticPr fontId="2" type="noConversion"/>
  </si>
  <si>
    <t>OTC-C00601</t>
  </si>
  <si>
    <t>OTC-C00602</t>
  </si>
  <si>
    <t>OTC-C00566-L</t>
    <phoneticPr fontId="2" type="noConversion"/>
  </si>
  <si>
    <t>中国人民财产保险股份有限公司广西壮族自治区分公司</t>
  </si>
  <si>
    <t>0.68*c2009+0.2*m2009</t>
    <phoneticPr fontId="2" type="noConversion"/>
  </si>
  <si>
    <t>16%/25%</t>
    <phoneticPr fontId="2" type="noConversion"/>
  </si>
  <si>
    <t>亚式平值看跌期权</t>
  </si>
  <si>
    <t>（上一版本数据单位权利金55.54286，权利金9720000），真实成本50.2857元/吨（880000/17500）</t>
    <phoneticPr fontId="2" type="noConversion"/>
  </si>
  <si>
    <t>OTC-C00603</t>
  </si>
  <si>
    <t>OTC-C00602-L</t>
    <phoneticPr fontId="2" type="noConversion"/>
  </si>
  <si>
    <t>OTC-C00343-L</t>
    <phoneticPr fontId="2" type="noConversion"/>
  </si>
  <si>
    <t>OTC-C00344-L-1</t>
    <phoneticPr fontId="2" type="noConversion"/>
  </si>
  <si>
    <t>OTC-C00345-L-1</t>
    <phoneticPr fontId="2" type="noConversion"/>
  </si>
  <si>
    <t>OTC-C00346-L</t>
    <phoneticPr fontId="2" type="noConversion"/>
  </si>
  <si>
    <t>OTC-C00347-L</t>
    <phoneticPr fontId="2" type="noConversion"/>
  </si>
  <si>
    <t>OTC-C00348-L</t>
    <phoneticPr fontId="2" type="noConversion"/>
  </si>
  <si>
    <t>OTC-C00349-L</t>
    <phoneticPr fontId="2" type="noConversion"/>
  </si>
  <si>
    <t>OTC-C00350-L</t>
    <phoneticPr fontId="2" type="noConversion"/>
  </si>
  <si>
    <t>OTC-C00351-L</t>
    <phoneticPr fontId="2" type="noConversion"/>
  </si>
  <si>
    <t>OTC-C00352-L</t>
    <phoneticPr fontId="2" type="noConversion"/>
  </si>
  <si>
    <t>OTC-C00353-L</t>
    <phoneticPr fontId="2" type="noConversion"/>
  </si>
  <si>
    <t>OTC-C00354-L</t>
    <phoneticPr fontId="2" type="noConversion"/>
  </si>
  <si>
    <t>OTC-C00355-L</t>
    <phoneticPr fontId="2" type="noConversion"/>
  </si>
  <si>
    <t>OTC-C00356-L</t>
    <phoneticPr fontId="2" type="noConversion"/>
  </si>
  <si>
    <t>OTC-C00357-L</t>
    <phoneticPr fontId="2" type="noConversion"/>
  </si>
  <si>
    <t>OTC-C00358-L</t>
    <phoneticPr fontId="2" type="noConversion"/>
  </si>
  <si>
    <t>OTC-C00359-L</t>
    <phoneticPr fontId="2" type="noConversion"/>
  </si>
  <si>
    <t>OTC-C00360-L</t>
    <phoneticPr fontId="2" type="noConversion"/>
  </si>
  <si>
    <t>OTC-C00361-L</t>
    <phoneticPr fontId="2" type="noConversion"/>
  </si>
  <si>
    <t>OTC-C00362-L</t>
    <phoneticPr fontId="2" type="noConversion"/>
  </si>
  <si>
    <t>OTC-C00363-L</t>
    <phoneticPr fontId="2" type="noConversion"/>
  </si>
  <si>
    <t>OTC-C00364-L</t>
    <phoneticPr fontId="2" type="noConversion"/>
  </si>
  <si>
    <t>OTC-C00365-L</t>
    <phoneticPr fontId="2" type="noConversion"/>
  </si>
  <si>
    <t>OTC-C00366-L</t>
    <phoneticPr fontId="2" type="noConversion"/>
  </si>
  <si>
    <t>OTC-C00367-L</t>
    <phoneticPr fontId="2" type="noConversion"/>
  </si>
  <si>
    <t>OTC-C00368-L</t>
    <phoneticPr fontId="2" type="noConversion"/>
  </si>
  <si>
    <t>OTC-C00369-L</t>
    <phoneticPr fontId="2" type="noConversion"/>
  </si>
  <si>
    <t>OTC-C00370-L</t>
    <phoneticPr fontId="2" type="noConversion"/>
  </si>
  <si>
    <t>OTC-C00371-L</t>
    <phoneticPr fontId="2" type="noConversion"/>
  </si>
  <si>
    <t>OTC-C00372-L</t>
    <phoneticPr fontId="2" type="noConversion"/>
  </si>
  <si>
    <t>OTC-C00373-L</t>
    <phoneticPr fontId="2" type="noConversion"/>
  </si>
  <si>
    <t>OTC-C00374-L</t>
    <phoneticPr fontId="2" type="noConversion"/>
  </si>
  <si>
    <t>OTC-C00375-L</t>
    <phoneticPr fontId="2" type="noConversion"/>
  </si>
  <si>
    <t>OTC-C00376-L</t>
    <phoneticPr fontId="2" type="noConversion"/>
  </si>
  <si>
    <t>OTC-C00377-L</t>
    <phoneticPr fontId="2" type="noConversion"/>
  </si>
  <si>
    <t>OTC-C00378-L</t>
    <phoneticPr fontId="2" type="noConversion"/>
  </si>
  <si>
    <t>OTC-C00379-L</t>
    <phoneticPr fontId="2" type="noConversion"/>
  </si>
  <si>
    <t>OTC-C00380-L</t>
    <phoneticPr fontId="2" type="noConversion"/>
  </si>
  <si>
    <t>OTC-C00381-L</t>
    <phoneticPr fontId="2" type="noConversion"/>
  </si>
  <si>
    <t>OTC-C00382-L</t>
    <phoneticPr fontId="2" type="noConversion"/>
  </si>
  <si>
    <t>OTC-C00383-L</t>
    <phoneticPr fontId="2" type="noConversion"/>
  </si>
  <si>
    <t>OTC-C00384-L</t>
    <phoneticPr fontId="2" type="noConversion"/>
  </si>
  <si>
    <t>OTC-C00385-L</t>
    <phoneticPr fontId="2" type="noConversion"/>
  </si>
  <si>
    <t>OTC-C00386-L</t>
    <phoneticPr fontId="2" type="noConversion"/>
  </si>
  <si>
    <t>OTC-C00387-L</t>
    <phoneticPr fontId="2" type="noConversion"/>
  </si>
  <si>
    <t>OTC-C00388-L</t>
    <phoneticPr fontId="2" type="noConversion"/>
  </si>
  <si>
    <t>OTC-C00389-L</t>
    <phoneticPr fontId="2" type="noConversion"/>
  </si>
  <si>
    <t>OTC-C00390-L</t>
    <phoneticPr fontId="2" type="noConversion"/>
  </si>
  <si>
    <t>OTC-C00391-L</t>
    <phoneticPr fontId="2" type="noConversion"/>
  </si>
  <si>
    <t>OTC-C00392-L</t>
    <phoneticPr fontId="2" type="noConversion"/>
  </si>
  <si>
    <t>OTC-C00393-L</t>
    <phoneticPr fontId="2" type="noConversion"/>
  </si>
  <si>
    <t>OTC-C00394-L</t>
    <phoneticPr fontId="2" type="noConversion"/>
  </si>
  <si>
    <t>OTC-C00395-L</t>
    <phoneticPr fontId="2" type="noConversion"/>
  </si>
  <si>
    <t>OTC-C00396-L</t>
    <phoneticPr fontId="2" type="noConversion"/>
  </si>
  <si>
    <t>OTC-C00397-L</t>
    <phoneticPr fontId="2" type="noConversion"/>
  </si>
  <si>
    <t>OTC-C00398-L</t>
    <phoneticPr fontId="2" type="noConversion"/>
  </si>
  <si>
    <t>OTC-C00399-L</t>
    <phoneticPr fontId="2" type="noConversion"/>
  </si>
  <si>
    <t>OTC-C00400-L</t>
    <phoneticPr fontId="2" type="noConversion"/>
  </si>
  <si>
    <t>OTC-C00401-L</t>
    <phoneticPr fontId="2" type="noConversion"/>
  </si>
  <si>
    <t>OTC-C00402-L</t>
    <phoneticPr fontId="2" type="noConversion"/>
  </si>
  <si>
    <t>OTC-C00403-L</t>
    <phoneticPr fontId="2" type="noConversion"/>
  </si>
  <si>
    <t>OTC-C00404-L</t>
    <phoneticPr fontId="2" type="noConversion"/>
  </si>
  <si>
    <t>OTC-C00406-L</t>
    <phoneticPr fontId="2" type="noConversion"/>
  </si>
  <si>
    <t>OTC-C00407-L</t>
    <phoneticPr fontId="2" type="noConversion"/>
  </si>
  <si>
    <t>OTC-C00408-L</t>
    <phoneticPr fontId="2" type="noConversion"/>
  </si>
  <si>
    <t>OTC-C00409-L</t>
    <phoneticPr fontId="2" type="noConversion"/>
  </si>
  <si>
    <t>OTC-C00410-L</t>
    <phoneticPr fontId="2" type="noConversion"/>
  </si>
  <si>
    <t>OTC-C00411-L</t>
    <phoneticPr fontId="2" type="noConversion"/>
  </si>
  <si>
    <t>OTC-C00412-L</t>
    <phoneticPr fontId="2" type="noConversion"/>
  </si>
  <si>
    <t>OTC-C00413-L</t>
    <phoneticPr fontId="2" type="noConversion"/>
  </si>
  <si>
    <t>OTC-C00414-L</t>
    <phoneticPr fontId="2" type="noConversion"/>
  </si>
  <si>
    <t>OTC-C00415-L</t>
    <phoneticPr fontId="2" type="noConversion"/>
  </si>
  <si>
    <t>OTC-C00416-L</t>
    <phoneticPr fontId="2" type="noConversion"/>
  </si>
  <si>
    <t>OTC-C00417-L</t>
    <phoneticPr fontId="2" type="noConversion"/>
  </si>
  <si>
    <t>s-20190829-000004_2</t>
    <phoneticPr fontId="2" type="noConversion"/>
  </si>
  <si>
    <t>s-20190829-000005_2</t>
    <phoneticPr fontId="2" type="noConversion"/>
  </si>
  <si>
    <t>OTC-C00418-L</t>
    <phoneticPr fontId="2" type="noConversion"/>
  </si>
  <si>
    <t>OTC-C00424-L</t>
    <phoneticPr fontId="2" type="noConversion"/>
  </si>
  <si>
    <t>OTC-C00432-L</t>
    <phoneticPr fontId="2" type="noConversion"/>
  </si>
  <si>
    <t>OTC-C00433-L</t>
    <phoneticPr fontId="2" type="noConversion"/>
  </si>
  <si>
    <t>OTC-C00434-L</t>
    <phoneticPr fontId="2" type="noConversion"/>
  </si>
  <si>
    <t>LME1909110380975</t>
    <phoneticPr fontId="2" type="noConversion"/>
  </si>
  <si>
    <t>LME1909110380977</t>
    <phoneticPr fontId="2" type="noConversion"/>
  </si>
  <si>
    <t>OTC-C00435-L</t>
    <phoneticPr fontId="2" type="noConversion"/>
  </si>
  <si>
    <t>OTC-C00436-L</t>
    <phoneticPr fontId="2" type="noConversion"/>
  </si>
  <si>
    <t>s-20190920-000002_2</t>
    <phoneticPr fontId="2" type="noConversion"/>
  </si>
  <si>
    <t>OTC-C00463-L</t>
    <phoneticPr fontId="2" type="noConversion"/>
  </si>
  <si>
    <t>OTC-C00527</t>
    <phoneticPr fontId="2" type="noConversion"/>
  </si>
  <si>
    <t>OTC-C00528</t>
    <phoneticPr fontId="2" type="noConversion"/>
  </si>
  <si>
    <t>OTC-C00529</t>
    <phoneticPr fontId="2" type="noConversion"/>
  </si>
  <si>
    <t>OTC-C00530</t>
    <phoneticPr fontId="2" type="noConversion"/>
  </si>
  <si>
    <t>OTC-C00531</t>
    <phoneticPr fontId="2" type="noConversion"/>
  </si>
  <si>
    <t>OTC-C00532</t>
    <phoneticPr fontId="2" type="noConversion"/>
  </si>
  <si>
    <t>OTC-C00533</t>
    <phoneticPr fontId="2" type="noConversion"/>
  </si>
  <si>
    <t>OTC-C00534</t>
    <phoneticPr fontId="2" type="noConversion"/>
  </si>
  <si>
    <t>OTC-C00535</t>
    <phoneticPr fontId="2" type="noConversion"/>
  </si>
  <si>
    <t>OTC-C00536</t>
    <phoneticPr fontId="2" type="noConversion"/>
  </si>
  <si>
    <t>OTC-C00537</t>
    <phoneticPr fontId="2" type="noConversion"/>
  </si>
  <si>
    <t>OTC-C00538</t>
    <phoneticPr fontId="2" type="noConversion"/>
  </si>
  <si>
    <t>OTC-C00539</t>
    <phoneticPr fontId="2" type="noConversion"/>
  </si>
  <si>
    <t>OTC-C00540</t>
    <phoneticPr fontId="2" type="noConversion"/>
  </si>
  <si>
    <t>OTC-C00541</t>
    <phoneticPr fontId="2" type="noConversion"/>
  </si>
  <si>
    <t>OTC-C00542</t>
    <phoneticPr fontId="2" type="noConversion"/>
  </si>
  <si>
    <t>OTC-C00543</t>
    <phoneticPr fontId="2" type="noConversion"/>
  </si>
  <si>
    <t>OTC-C00544</t>
    <phoneticPr fontId="2" type="noConversion"/>
  </si>
  <si>
    <t>OTC-C00545</t>
    <phoneticPr fontId="2" type="noConversion"/>
  </si>
  <si>
    <t>OTC-C00546</t>
    <phoneticPr fontId="2" type="noConversion"/>
  </si>
  <si>
    <t>OTC-C00547</t>
    <phoneticPr fontId="2" type="noConversion"/>
  </si>
  <si>
    <t>OTC-C00548</t>
    <phoneticPr fontId="2" type="noConversion"/>
  </si>
  <si>
    <t>OTC-C00549</t>
    <phoneticPr fontId="2" type="noConversion"/>
  </si>
  <si>
    <t>OTC-C00550</t>
    <phoneticPr fontId="2" type="noConversion"/>
  </si>
  <si>
    <t>OTC-C00551</t>
    <phoneticPr fontId="2" type="noConversion"/>
  </si>
  <si>
    <t>OTC-C00552</t>
    <phoneticPr fontId="2" type="noConversion"/>
  </si>
  <si>
    <t>OTC-C00553</t>
    <phoneticPr fontId="2" type="noConversion"/>
  </si>
  <si>
    <t>OTC-C00573-L</t>
    <phoneticPr fontId="2" type="noConversion"/>
  </si>
  <si>
    <t>OTC-C00572-L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</si>
</sst>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77" formatCode="#,##0.0_ ;[Red]\-#,##0.0\ "/>
    <numFmt numFmtId="178" formatCode="#,##0.00_ ;[Red]\-#,##0.00\ "/>
    <numFmt numFmtId="179" formatCode="0.000_ ;[Red]\-0.000\ "/>
    <numFmt numFmtId="180" formatCode="0.00_);[Red]\(0.00\)"/>
  </numFmts>
  <fonts count="23" x14ac:knownFonts="1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/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645">
    <xf numFmtId="0" fontId="0" fillId="0" borderId="0" xfId="0">
      <alignment vertical="center"/>
    </xf>
    <xf numFmtId="0" fontId="10" fillId="2" borderId="0" xfId="0" applyFont="1" applyFill="1" applyAlignment="1">
      <alignment vertical="center"/>
    </xf>
    <xf numFmtId="0" fontId="11" fillId="2" borderId="0" xfId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177" fontId="10" fillId="2" borderId="0" xfId="0" applyNumberFormat="1" applyFont="1" applyFill="1" applyAlignment="1">
      <alignment horizontal="center" vertical="center"/>
    </xf>
    <xf numFmtId="178" fontId="10" fillId="2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177" fontId="10" fillId="2" borderId="0" xfId="1" applyNumberFormat="1" applyFont="1" applyFill="1" applyAlignment="1">
      <alignment horizontal="center" vertical="center"/>
    </xf>
    <xf numFmtId="177" fontId="10" fillId="4" borderId="0" xfId="0" applyNumberFormat="1" applyFont="1" applyFill="1" applyAlignment="1">
      <alignment horizontal="center" vertical="center"/>
    </xf>
    <xf numFmtId="178" fontId="10" fillId="4" borderId="0" xfId="0" applyNumberFormat="1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center" vertical="center"/>
    </xf>
    <xf numFmtId="178" fontId="10" fillId="5" borderId="0" xfId="0" applyNumberFormat="1" applyFont="1" applyFill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3" fontId="10" fillId="5" borderId="0" xfId="0" applyNumberFormat="1" applyFont="1" applyFill="1" applyAlignment="1">
      <alignment horizontal="center"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6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Border="1" applyAlignment="1">
      <alignment horizontal="center" vertical="center"/>
    </xf>
    <xf numFmtId="177" fontId="10" fillId="6" borderId="0" xfId="0" applyNumberFormat="1" applyFont="1" applyFill="1" applyAlignment="1">
      <alignment horizontal="center" vertical="center"/>
    </xf>
    <xf numFmtId="178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76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14" fontId="0" fillId="9" borderId="1" xfId="0" applyNumberFormat="1" applyFont="1" applyFill="1" applyBorder="1" applyAlignment="1">
      <alignment horizontal="center" vertical="center"/>
    </xf>
    <xf numFmtId="177" fontId="0" fillId="9" borderId="1" xfId="0" applyNumberFormat="1" applyFont="1" applyFill="1" applyBorder="1" applyAlignment="1">
      <alignment horizontal="center" vertical="center"/>
    </xf>
    <xf numFmtId="178" fontId="0" fillId="9" borderId="1" xfId="0" applyNumberFormat="1" applyFont="1" applyFill="1" applyBorder="1" applyAlignment="1">
      <alignment horizontal="center" vertical="center"/>
    </xf>
    <xf numFmtId="3" fontId="0" fillId="9" borderId="1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vertical="center" wrapText="1"/>
    </xf>
    <xf numFmtId="0" fontId="11" fillId="8" borderId="0" xfId="1" applyFont="1" applyFill="1" applyAlignment="1">
      <alignment horizontal="center" vertical="center" wrapText="1"/>
    </xf>
    <xf numFmtId="177" fontId="11" fillId="8" borderId="0" xfId="1" applyNumberFormat="1" applyFont="1" applyFill="1" applyAlignment="1">
      <alignment horizontal="center" vertical="center" wrapText="1"/>
    </xf>
    <xf numFmtId="178" fontId="11" fillId="8" borderId="0" xfId="1" applyNumberFormat="1" applyFont="1" applyFill="1" applyAlignment="1">
      <alignment horizontal="center" vertical="center" wrapText="1"/>
    </xf>
    <xf numFmtId="178" fontId="11" fillId="8" borderId="0" xfId="0" applyNumberFormat="1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vertical="center" wrapText="1"/>
    </xf>
    <xf numFmtId="179" fontId="0" fillId="9" borderId="1" xfId="0" applyNumberFormat="1" applyFont="1" applyFill="1" applyBorder="1" applyAlignment="1">
      <alignment horizontal="center" vertical="center"/>
    </xf>
    <xf numFmtId="176" fontId="12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177" fontId="15" fillId="9" borderId="1" xfId="0" applyNumberFormat="1" applyFont="1" applyFill="1" applyBorder="1" applyAlignment="1">
      <alignment horizontal="center" vertical="center"/>
    </xf>
    <xf numFmtId="178" fontId="15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vertical="center" wrapText="1"/>
    </xf>
    <xf numFmtId="0" fontId="16" fillId="8" borderId="1" xfId="1" applyFont="1" applyFill="1" applyBorder="1" applyAlignment="1">
      <alignment horizontal="center" vertical="center" wrapText="1"/>
    </xf>
    <xf numFmtId="177" fontId="16" fillId="8" borderId="1" xfId="1" applyNumberFormat="1" applyFont="1" applyFill="1" applyBorder="1" applyAlignment="1">
      <alignment horizontal="center" vertical="center" wrapText="1"/>
    </xf>
    <xf numFmtId="178" fontId="16" fillId="8" borderId="1" xfId="1" applyNumberFormat="1" applyFont="1" applyFill="1" applyBorder="1" applyAlignment="1">
      <alignment horizontal="center" vertical="center" wrapText="1"/>
    </xf>
    <xf numFmtId="178" fontId="16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 wrapText="1"/>
    </xf>
    <xf numFmtId="177" fontId="8" fillId="10" borderId="1" xfId="1" applyNumberFormat="1" applyFont="1" applyFill="1" applyBorder="1" applyAlignment="1">
      <alignment horizontal="center" vertical="center" wrapText="1"/>
    </xf>
    <xf numFmtId="178" fontId="8" fillId="10" borderId="1" xfId="1" applyNumberFormat="1" applyFont="1" applyFill="1" applyBorder="1" applyAlignment="1">
      <alignment horizontal="center" vertical="center" wrapText="1"/>
    </xf>
    <xf numFmtId="178" fontId="8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77" fontId="7" fillId="9" borderId="1" xfId="1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4" fontId="14" fillId="2" borderId="0" xfId="0" applyNumberFormat="1" applyFont="1" applyFill="1" applyAlignment="1">
      <alignment horizontal="center" vertical="center"/>
    </xf>
    <xf numFmtId="177" fontId="14" fillId="2" borderId="0" xfId="0" applyNumberFormat="1" applyFont="1" applyFill="1" applyAlignment="1">
      <alignment horizontal="center" vertical="center"/>
    </xf>
    <xf numFmtId="178" fontId="14" fillId="2" borderId="0" xfId="0" applyNumberFormat="1" applyFont="1" applyFill="1" applyAlignment="1">
      <alignment horizontal="center" vertical="center"/>
    </xf>
    <xf numFmtId="178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76" fontId="15" fillId="9" borderId="1" xfId="0" applyNumberFormat="1" applyFont="1" applyFill="1" applyBorder="1" applyAlignment="1">
      <alignment horizontal="center" vertical="center"/>
    </xf>
    <xf numFmtId="178" fontId="15" fillId="9" borderId="1" xfId="0" applyNumberFormat="1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 applyProtection="1">
      <alignment horizontal="center" vertical="center" wrapText="1"/>
      <protection locked="0"/>
    </xf>
    <xf numFmtId="1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NumberFormat="1" applyFont="1" applyFill="1" applyBorder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13" borderId="0" xfId="0" applyFont="1" applyFill="1" applyBorder="1" applyAlignment="1">
      <alignment horizontal="center" vertical="center"/>
    </xf>
    <xf numFmtId="14" fontId="20" fillId="15" borderId="0" xfId="0" applyNumberFormat="1" applyFont="1" applyFill="1" applyBorder="1" applyAlignment="1">
      <alignment horizontal="center" vertical="center" wrapText="1"/>
    </xf>
    <xf numFmtId="0" fontId="20" fillId="12" borderId="0" xfId="0" applyNumberFormat="1" applyFont="1" applyFill="1" applyBorder="1" applyAlignment="1">
      <alignment horizontal="center" vertical="center" wrapText="1"/>
    </xf>
    <xf numFmtId="0" fontId="20" fillId="16" borderId="0" xfId="0" applyNumberFormat="1" applyFont="1" applyFill="1" applyBorder="1" applyAlignment="1">
      <alignment horizontal="center" vertical="center" wrapText="1"/>
    </xf>
    <xf numFmtId="0" fontId="20" fillId="11" borderId="0" xfId="0" applyNumberFormat="1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14" fontId="0" fillId="15" borderId="4" xfId="0" applyNumberFormat="1" applyFont="1" applyFill="1" applyBorder="1" applyAlignment="1">
      <alignment horizontal="center" vertical="center" wrapText="1"/>
    </xf>
    <xf numFmtId="14" fontId="0" fillId="15" borderId="1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 wrapText="1"/>
    </xf>
    <xf numFmtId="0" fontId="0" fillId="12" borderId="1" xfId="0" applyNumberFormat="1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4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9" borderId="1" xfId="2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80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180" fontId="14" fillId="9" borderId="1" xfId="0" applyNumberFormat="1" applyFont="1" applyFill="1" applyBorder="1" applyAlignment="1">
      <alignment horizontal="center" vertical="center"/>
    </xf>
    <xf numFmtId="180" fontId="0" fillId="9" borderId="1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9" fontId="0" fillId="9" borderId="1" xfId="0" applyNumberFormat="1" applyFon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>
      <alignment vertical="center"/>
    </xf>
    <xf numFmtId="10" fontId="0" fillId="9" borderId="1" xfId="0" applyNumberFormat="1" applyFont="1" applyFill="1" applyBorder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>
      <alignment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0" fillId="9" borderId="1" xfId="3" applyNumberFormat="1" applyFont="1" applyFill="1" applyBorder="1" applyAlignment="1">
      <alignment horizontal="center" vertical="center"/>
    </xf>
    <xf numFmtId="10" fontId="14" fillId="9" borderId="1" xfId="3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16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>
      <alignment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14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0" fillId="0" borderId="0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0" fillId="8" borderId="1" xfId="3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3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17" borderId="4" xfId="0" applyNumberFormat="1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10" fontId="0" fillId="17" borderId="1" xfId="3" applyNumberFormat="1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14" fontId="10" fillId="7" borderId="7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177" fontId="10" fillId="7" borderId="7" xfId="0" applyNumberFormat="1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</cellXfs>
  <cellStyles count="4">
    <cellStyle name="百分比" xfId="3" builtinId="5"/>
    <cellStyle name="常规" xfId="0" builtinId="0"/>
    <cellStyle name="常规 2" xfId="1"/>
    <cellStyle name="千位分隔" xfId="2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657225</xdr:colOff>
      <xdr:row>0</xdr:row>
      <xdr:rowOff>0</xdr:rowOff>
    </xdr:from>
    <xdr:to>
      <xdr:col>24</xdr:col>
      <xdr:colOff>46587</xdr:colOff>
      <xdr:row>30</xdr:row>
      <xdr:rowOff>113643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0"/>
          <a:ext cx="8304762" cy="5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618105</xdr:colOff>
      <xdr:row>30</xdr:row>
      <xdr:rowOff>161262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161905" cy="5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sett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>
      <selection activeCell="B2" sqref="B2:B5"/>
    </sheetView>
  </sheetViews>
  <sheetFormatPr defaultRowHeight="13.5" x14ac:dyDescent="0.15"/>
  <cols>
    <col min="1" max="1" width="16" customWidth="1"/>
    <col min="2" max="2" width="11.625" style="44" bestFit="1" customWidth="1"/>
  </cols>
  <sheetData>
    <row r="1" spans="1:2" x14ac:dyDescent="0.15">
      <c r="B1" s="44" t="s">
        <v>416</v>
      </c>
    </row>
    <row r="2" spans="1:2" x14ac:dyDescent="0.15">
      <c r="A2" t="s">
        <v>413</v>
      </c>
      <c r="B2" s="44">
        <v>-215459</v>
      </c>
    </row>
    <row r="3" spans="1:2" x14ac:dyDescent="0.15">
      <c r="A3" t="s">
        <v>414</v>
      </c>
      <c r="B3" s="44">
        <v>1320635.5</v>
      </c>
    </row>
    <row r="4" spans="1:2" x14ac:dyDescent="0.15">
      <c r="A4" t="s">
        <v>414</v>
      </c>
      <c r="B4" s="44">
        <v>-3422078.6</v>
      </c>
    </row>
    <row r="5" spans="1:2" x14ac:dyDescent="0.15">
      <c r="A5" t="s">
        <v>415</v>
      </c>
      <c r="B5" s="44">
        <v>64395</v>
      </c>
    </row>
    <row r="9" spans="1:2" x14ac:dyDescent="0.15">
      <c r="A9" t="s">
        <v>417</v>
      </c>
      <c r="B9" s="44">
        <v>-2316957.1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8"/>
  <sheetViews>
    <sheetView workbookViewId="0">
      <selection activeCell="F38" sqref="F38"/>
    </sheetView>
  </sheetViews>
  <sheetFormatPr defaultRowHeight="13.5" x14ac:dyDescent="0.15"/>
  <cols>
    <col min="2" max="2" width="13.75" customWidth="1"/>
  </cols>
  <sheetData>
    <row r="1" spans="1:2" x14ac:dyDescent="0.15">
      <c r="A1" t="s">
        <v>882</v>
      </c>
      <c r="B1" t="s">
        <v>883</v>
      </c>
    </row>
    <row r="2" spans="1:2" x14ac:dyDescent="0.15">
      <c r="A2" s="114"/>
      <c r="B2" t="s">
        <v>884</v>
      </c>
    </row>
    <row r="3" spans="1:2" s="133" customFormat="1" x14ac:dyDescent="0.15">
      <c r="A3" s="132"/>
    </row>
    <row r="4" spans="1:2" x14ac:dyDescent="0.15">
      <c r="A4" s="115"/>
      <c r="B4" t="s">
        <v>885</v>
      </c>
    </row>
    <row r="5" spans="1:2" s="133" customFormat="1" x14ac:dyDescent="0.15">
      <c r="A5" s="110"/>
    </row>
    <row r="6" spans="1:2" x14ac:dyDescent="0.15">
      <c r="A6" s="116"/>
      <c r="B6" t="s">
        <v>887</v>
      </c>
    </row>
    <row r="7" spans="1:2" s="133" customFormat="1" x14ac:dyDescent="0.15">
      <c r="A7" s="134"/>
    </row>
    <row r="8" spans="1:2" x14ac:dyDescent="0.15">
      <c r="A8" s="117"/>
      <c r="B8" t="s">
        <v>888</v>
      </c>
    </row>
    <row r="9" spans="1:2" s="133" customFormat="1" x14ac:dyDescent="0.15">
      <c r="A9" s="135"/>
    </row>
    <row r="10" spans="1:2" x14ac:dyDescent="0.15">
      <c r="A10" s="118"/>
      <c r="B10" t="s">
        <v>889</v>
      </c>
    </row>
    <row r="11" spans="1:2" s="133" customFormat="1" x14ac:dyDescent="0.15">
      <c r="A11" s="135"/>
    </row>
    <row r="12" spans="1:2" x14ac:dyDescent="0.15">
      <c r="A12" s="119"/>
      <c r="B12" t="s">
        <v>890</v>
      </c>
    </row>
    <row r="13" spans="1:2" s="133" customFormat="1" x14ac:dyDescent="0.15">
      <c r="A13" s="135"/>
    </row>
    <row r="14" spans="1:2" x14ac:dyDescent="0.15">
      <c r="A14" s="122"/>
      <c r="B14" t="s">
        <v>892</v>
      </c>
    </row>
    <row r="16" spans="1:2" x14ac:dyDescent="0.15">
      <c r="B16" t="s">
        <v>1347</v>
      </c>
    </row>
    <row r="18" spans="2:2" x14ac:dyDescent="0.15">
      <c r="B18" t="s">
        <v>886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38"/>
  <sheetViews>
    <sheetView tabSelected="1" zoomScale="85" zoomScaleNormal="85" workbookViewId="0">
      <pane ySplit="1" topLeftCell="A1026" activePane="bottomLeft" state="frozen"/>
      <selection pane="bottomLeft" activeCell="K1045" sqref="K1045"/>
    </sheetView>
  </sheetViews>
  <sheetFormatPr defaultColWidth="9" defaultRowHeight="24.95" customHeight="1" x14ac:dyDescent="0.15"/>
  <cols>
    <col min="1" max="1" width="7.25" style="110" customWidth="1"/>
    <col min="2" max="2" width="7.875" style="110" customWidth="1"/>
    <col min="3" max="3" width="6.5" style="108" customWidth="1"/>
    <col min="4" max="4" width="28" style="110" customWidth="1"/>
    <col min="5" max="5" width="8" style="108" customWidth="1"/>
    <col min="6" max="7" width="10.375" style="136" customWidth="1"/>
    <col min="8" max="8" width="20.5" style="110" bestFit="1" customWidth="1"/>
    <col min="9" max="9" width="7.25" style="110" customWidth="1"/>
    <col min="10" max="10" width="10.625" style="110" customWidth="1"/>
    <col min="11" max="11" width="8.375" style="137" customWidth="1"/>
    <col min="12" max="12" width="8.875" style="137" customWidth="1"/>
    <col min="13" max="13" width="9.75" style="137" customWidth="1"/>
    <col min="14" max="14" width="9" style="137" customWidth="1"/>
    <col min="15" max="15" width="10.875" style="137" customWidth="1"/>
    <col min="16" max="16" width="12.875" style="110" customWidth="1"/>
    <col min="17" max="17" width="16.125" style="110" customWidth="1"/>
    <col min="18" max="18" width="11.625" style="137" customWidth="1"/>
    <col min="19" max="19" width="13.875" style="137" customWidth="1"/>
    <col min="20" max="20" width="11.875" style="136" customWidth="1"/>
    <col min="21" max="21" width="14.125" style="137" customWidth="1"/>
    <col min="22" max="22" width="13.125" style="137" customWidth="1"/>
    <col min="23" max="23" width="13.5" style="136" customWidth="1"/>
    <col min="24" max="24" width="13" style="137" customWidth="1"/>
    <col min="25" max="25" width="15" style="199" customWidth="1"/>
    <col min="26" max="26" width="48.625" style="108" customWidth="1"/>
    <col min="27" max="27" width="17.5" style="108" customWidth="1"/>
    <col min="28" max="28" width="8" style="108" customWidth="1"/>
    <col min="29" max="29" width="9.125" style="110" customWidth="1"/>
    <col min="30" max="30" width="8" style="534" customWidth="1"/>
    <col min="31" max="31" width="9.625" style="108" customWidth="1"/>
    <col min="32" max="32" width="11.625" style="137" customWidth="1"/>
    <col min="33" max="33" width="11.5" style="108" customWidth="1"/>
    <col min="34" max="34" width="13" style="108" customWidth="1"/>
    <col min="35" max="36" width="9" style="108"/>
    <col min="37" max="37" width="10" style="108" customWidth="1"/>
    <col min="38" max="16384" width="9" style="108"/>
  </cols>
  <sheetData>
    <row r="1" spans="1:34" s="131" customFormat="1" ht="54" x14ac:dyDescent="0.15">
      <c r="A1" s="111" t="s">
        <v>251</v>
      </c>
      <c r="B1" s="111" t="s">
        <v>943</v>
      </c>
      <c r="C1" s="111" t="s">
        <v>276</v>
      </c>
      <c r="D1" s="111" t="s">
        <v>0</v>
      </c>
      <c r="E1" s="111" t="s">
        <v>18</v>
      </c>
      <c r="F1" s="129" t="s">
        <v>1</v>
      </c>
      <c r="G1" s="129" t="s">
        <v>412</v>
      </c>
      <c r="H1" s="111" t="s">
        <v>3</v>
      </c>
      <c r="I1" s="111" t="s">
        <v>4</v>
      </c>
      <c r="J1" s="111" t="s">
        <v>5</v>
      </c>
      <c r="K1" s="130" t="s">
        <v>948</v>
      </c>
      <c r="L1" s="130" t="s">
        <v>910</v>
      </c>
      <c r="M1" s="130" t="s">
        <v>911</v>
      </c>
      <c r="N1" s="130" t="s">
        <v>912</v>
      </c>
      <c r="O1" s="130" t="s">
        <v>15</v>
      </c>
      <c r="P1" s="111" t="s">
        <v>9</v>
      </c>
      <c r="Q1" s="129" t="s">
        <v>10</v>
      </c>
      <c r="R1" s="130" t="s">
        <v>944</v>
      </c>
      <c r="S1" s="130" t="s">
        <v>947</v>
      </c>
      <c r="T1" s="111" t="s">
        <v>353</v>
      </c>
      <c r="U1" s="130" t="s">
        <v>946</v>
      </c>
      <c r="V1" s="130" t="s">
        <v>945</v>
      </c>
      <c r="W1" s="111" t="s">
        <v>913</v>
      </c>
      <c r="X1" s="130" t="s">
        <v>999</v>
      </c>
      <c r="Y1" s="196" t="s">
        <v>16</v>
      </c>
      <c r="Z1" s="111" t="s">
        <v>914</v>
      </c>
      <c r="AA1" s="111" t="s">
        <v>915</v>
      </c>
      <c r="AB1" s="111" t="s">
        <v>1046</v>
      </c>
      <c r="AC1" s="111" t="s">
        <v>1047</v>
      </c>
      <c r="AD1" s="533" t="s">
        <v>1045</v>
      </c>
      <c r="AE1" s="315" t="s">
        <v>1315</v>
      </c>
      <c r="AF1" s="332" t="s">
        <v>1324</v>
      </c>
    </row>
    <row r="2" spans="1:34" ht="24.95" customHeight="1" x14ac:dyDescent="0.15">
      <c r="A2" s="142" t="s">
        <v>246</v>
      </c>
      <c r="B2" s="316" t="s">
        <v>263</v>
      </c>
      <c r="C2" s="142" t="str">
        <f t="shared" ref="C2:C22" si="0">IF(W2="","存续","到期")</f>
        <v>到期</v>
      </c>
      <c r="D2" s="142" t="s">
        <v>1837</v>
      </c>
      <c r="E2" s="142" t="s">
        <v>137</v>
      </c>
      <c r="F2" s="48">
        <v>43445</v>
      </c>
      <c r="G2" s="48">
        <v>43489</v>
      </c>
      <c r="H2" s="142" t="s">
        <v>204</v>
      </c>
      <c r="I2" s="142" t="s">
        <v>241</v>
      </c>
      <c r="J2" s="46" t="s">
        <v>972</v>
      </c>
      <c r="K2" s="104">
        <v>3000</v>
      </c>
      <c r="L2" s="104">
        <v>4507</v>
      </c>
      <c r="M2" s="104">
        <v>4905</v>
      </c>
      <c r="N2" s="104">
        <v>183.33333333333334</v>
      </c>
      <c r="O2" s="104">
        <f>K2*N2</f>
        <v>550000</v>
      </c>
      <c r="P2" s="101" t="s">
        <v>209</v>
      </c>
      <c r="Q2" s="101" t="s">
        <v>916</v>
      </c>
      <c r="R2" s="104"/>
      <c r="S2" s="104"/>
      <c r="T2" s="48"/>
      <c r="U2" s="104">
        <v>4866.97</v>
      </c>
      <c r="V2" s="104">
        <f>(U2-L2)*K2*0.4</f>
        <v>431964.00000000029</v>
      </c>
      <c r="W2" s="48">
        <v>43489</v>
      </c>
      <c r="X2" s="104">
        <f>IF(I2="买入",V2-O2,V2+O2)</f>
        <v>-118035.99999999971</v>
      </c>
      <c r="Y2" s="197">
        <f t="shared" ref="Y2:Y8" si="1">K2*M2</f>
        <v>14715000</v>
      </c>
      <c r="Z2" s="142"/>
      <c r="AA2" s="142"/>
      <c r="AB2" s="202"/>
      <c r="AC2" s="316"/>
      <c r="AD2" s="322"/>
      <c r="AE2" s="313"/>
      <c r="AF2" s="105"/>
    </row>
    <row r="3" spans="1:34" ht="24.95" customHeight="1" x14ac:dyDescent="0.15">
      <c r="A3" s="142" t="s">
        <v>245</v>
      </c>
      <c r="B3" s="142" t="s">
        <v>263</v>
      </c>
      <c r="C3" s="142" t="str">
        <f t="shared" si="0"/>
        <v>到期</v>
      </c>
      <c r="D3" s="100" t="s">
        <v>1838</v>
      </c>
      <c r="E3" s="142" t="s">
        <v>137</v>
      </c>
      <c r="F3" s="48">
        <v>43452</v>
      </c>
      <c r="G3" s="48">
        <v>43514</v>
      </c>
      <c r="H3" s="48" t="s">
        <v>751</v>
      </c>
      <c r="I3" s="48" t="s">
        <v>21</v>
      </c>
      <c r="J3" s="142" t="s">
        <v>22</v>
      </c>
      <c r="K3" s="104">
        <v>1000</v>
      </c>
      <c r="L3" s="104">
        <v>6365</v>
      </c>
      <c r="M3" s="104">
        <f t="shared" ref="M3:M8" si="2">L3</f>
        <v>6365</v>
      </c>
      <c r="N3" s="104">
        <v>146.9</v>
      </c>
      <c r="O3" s="104">
        <f t="shared" ref="O3:O8" si="3">N3*K3</f>
        <v>146900</v>
      </c>
      <c r="P3" s="101" t="s">
        <v>210</v>
      </c>
      <c r="Q3" s="101" t="s">
        <v>301</v>
      </c>
      <c r="R3" s="104"/>
      <c r="S3" s="104"/>
      <c r="T3" s="48"/>
      <c r="U3" s="104">
        <v>6400</v>
      </c>
      <c r="V3" s="104">
        <f>-(U3-L3)*K3</f>
        <v>-35000</v>
      </c>
      <c r="W3" s="48">
        <v>43515</v>
      </c>
      <c r="X3" s="104">
        <f t="shared" ref="X3:X22" si="4">IF(I3="买入",V3-O3,V3+O3)</f>
        <v>111900</v>
      </c>
      <c r="Y3" s="197">
        <f t="shared" si="1"/>
        <v>6365000</v>
      </c>
      <c r="Z3" s="142"/>
      <c r="AA3" s="142"/>
      <c r="AB3" s="202"/>
      <c r="AC3" s="390">
        <v>0.11</v>
      </c>
      <c r="AD3" s="316"/>
      <c r="AE3" s="313"/>
      <c r="AF3" s="105"/>
    </row>
    <row r="4" spans="1:34" ht="24.95" customHeight="1" x14ac:dyDescent="0.15">
      <c r="A4" s="142" t="s">
        <v>245</v>
      </c>
      <c r="B4" s="142" t="s">
        <v>263</v>
      </c>
      <c r="C4" s="142" t="str">
        <f t="shared" si="0"/>
        <v>到期</v>
      </c>
      <c r="D4" s="100" t="s">
        <v>1838</v>
      </c>
      <c r="E4" s="142" t="s">
        <v>137</v>
      </c>
      <c r="F4" s="48">
        <v>43452</v>
      </c>
      <c r="G4" s="48">
        <v>43514</v>
      </c>
      <c r="H4" s="48" t="s">
        <v>751</v>
      </c>
      <c r="I4" s="48" t="s">
        <v>21</v>
      </c>
      <c r="J4" s="142" t="s">
        <v>25</v>
      </c>
      <c r="K4" s="104">
        <v>1000</v>
      </c>
      <c r="L4" s="104">
        <v>6365</v>
      </c>
      <c r="M4" s="104">
        <f t="shared" si="2"/>
        <v>6365</v>
      </c>
      <c r="N4" s="104">
        <v>146.9</v>
      </c>
      <c r="O4" s="104">
        <f t="shared" si="3"/>
        <v>146900</v>
      </c>
      <c r="P4" s="101" t="s">
        <v>210</v>
      </c>
      <c r="Q4" s="101" t="s">
        <v>301</v>
      </c>
      <c r="R4" s="104"/>
      <c r="S4" s="104"/>
      <c r="T4" s="48"/>
      <c r="U4" s="104">
        <v>6400</v>
      </c>
      <c r="V4" s="104">
        <v>0</v>
      </c>
      <c r="W4" s="48">
        <v>43515</v>
      </c>
      <c r="X4" s="104">
        <f t="shared" si="4"/>
        <v>146900</v>
      </c>
      <c r="Y4" s="197">
        <f t="shared" si="1"/>
        <v>6365000</v>
      </c>
      <c r="Z4" s="142"/>
      <c r="AA4" s="142"/>
      <c r="AB4" s="202"/>
      <c r="AC4" s="390">
        <v>0.11</v>
      </c>
      <c r="AD4" s="316"/>
      <c r="AE4" s="313"/>
      <c r="AF4" s="105"/>
    </row>
    <row r="5" spans="1:34" ht="24.95" customHeight="1" x14ac:dyDescent="0.15">
      <c r="A5" s="142" t="s">
        <v>247</v>
      </c>
      <c r="B5" s="142" t="s">
        <v>263</v>
      </c>
      <c r="C5" s="142" t="str">
        <f t="shared" si="0"/>
        <v>到期</v>
      </c>
      <c r="D5" s="127" t="s">
        <v>1839</v>
      </c>
      <c r="E5" s="142" t="s">
        <v>137</v>
      </c>
      <c r="F5" s="48">
        <v>43454</v>
      </c>
      <c r="G5" s="48">
        <v>43483</v>
      </c>
      <c r="H5" s="48" t="s">
        <v>753</v>
      </c>
      <c r="I5" s="48" t="s">
        <v>21</v>
      </c>
      <c r="J5" s="142" t="s">
        <v>22</v>
      </c>
      <c r="K5" s="104">
        <v>2000</v>
      </c>
      <c r="L5" s="104">
        <v>2332</v>
      </c>
      <c r="M5" s="104">
        <f t="shared" si="2"/>
        <v>2332</v>
      </c>
      <c r="N5" s="104">
        <v>29.15</v>
      </c>
      <c r="O5" s="104">
        <f t="shared" si="3"/>
        <v>58300</v>
      </c>
      <c r="P5" s="101" t="s">
        <v>211</v>
      </c>
      <c r="Q5" s="101" t="s">
        <v>273</v>
      </c>
      <c r="R5" s="104"/>
      <c r="S5" s="104"/>
      <c r="T5" s="48"/>
      <c r="U5" s="104">
        <v>2268</v>
      </c>
      <c r="V5" s="104">
        <v>0</v>
      </c>
      <c r="W5" s="48">
        <v>43483</v>
      </c>
      <c r="X5" s="104">
        <f t="shared" si="4"/>
        <v>58300</v>
      </c>
      <c r="Y5" s="197">
        <f t="shared" si="1"/>
        <v>4664000</v>
      </c>
      <c r="Z5" s="142"/>
      <c r="AA5" s="142"/>
      <c r="AB5" s="202"/>
      <c r="AC5" s="316"/>
      <c r="AD5" s="322"/>
      <c r="AE5" s="313"/>
      <c r="AF5" s="105"/>
      <c r="AG5" s="108" t="s">
        <v>1414</v>
      </c>
      <c r="AH5" s="108" t="s">
        <v>1415</v>
      </c>
    </row>
    <row r="6" spans="1:34" ht="24.95" customHeight="1" x14ac:dyDescent="0.15">
      <c r="A6" s="142" t="s">
        <v>247</v>
      </c>
      <c r="B6" s="142" t="s">
        <v>263</v>
      </c>
      <c r="C6" s="142" t="str">
        <f t="shared" si="0"/>
        <v>到期</v>
      </c>
      <c r="D6" s="127" t="s">
        <v>1839</v>
      </c>
      <c r="E6" s="142" t="s">
        <v>137</v>
      </c>
      <c r="F6" s="48">
        <v>43454</v>
      </c>
      <c r="G6" s="48">
        <v>43483</v>
      </c>
      <c r="H6" s="48" t="s">
        <v>753</v>
      </c>
      <c r="I6" s="48" t="s">
        <v>21</v>
      </c>
      <c r="J6" s="142" t="s">
        <v>25</v>
      </c>
      <c r="K6" s="104">
        <v>2000</v>
      </c>
      <c r="L6" s="104">
        <v>2332</v>
      </c>
      <c r="M6" s="104">
        <f t="shared" si="2"/>
        <v>2332</v>
      </c>
      <c r="N6" s="104">
        <v>29.15</v>
      </c>
      <c r="O6" s="104">
        <f t="shared" si="3"/>
        <v>58300</v>
      </c>
      <c r="P6" s="101" t="s">
        <v>661</v>
      </c>
      <c r="Q6" s="101" t="s">
        <v>273</v>
      </c>
      <c r="R6" s="104"/>
      <c r="S6" s="104"/>
      <c r="T6" s="48"/>
      <c r="U6" s="104">
        <v>2268</v>
      </c>
      <c r="V6" s="104">
        <f>(U6-L6)*K6</f>
        <v>-128000</v>
      </c>
      <c r="W6" s="48">
        <v>43483</v>
      </c>
      <c r="X6" s="104">
        <f t="shared" si="4"/>
        <v>-69700</v>
      </c>
      <c r="Y6" s="197">
        <f t="shared" si="1"/>
        <v>4664000</v>
      </c>
      <c r="Z6" s="142"/>
      <c r="AA6" s="142"/>
      <c r="AB6" s="202"/>
      <c r="AC6" s="316"/>
      <c r="AD6" s="322"/>
      <c r="AE6" s="313"/>
      <c r="AF6" s="105"/>
      <c r="AG6" s="108" t="s">
        <v>1414</v>
      </c>
      <c r="AH6" s="108" t="s">
        <v>1415</v>
      </c>
    </row>
    <row r="7" spans="1:34" ht="24.95" customHeight="1" x14ac:dyDescent="0.15">
      <c r="A7" s="142" t="s">
        <v>245</v>
      </c>
      <c r="B7" s="142" t="s">
        <v>263</v>
      </c>
      <c r="C7" s="142" t="str">
        <f t="shared" si="0"/>
        <v>到期</v>
      </c>
      <c r="D7" s="125" t="s">
        <v>1839</v>
      </c>
      <c r="E7" s="142" t="s">
        <v>137</v>
      </c>
      <c r="F7" s="48">
        <v>43455</v>
      </c>
      <c r="G7" s="48">
        <v>43486</v>
      </c>
      <c r="H7" s="48" t="s">
        <v>371</v>
      </c>
      <c r="I7" s="48" t="s">
        <v>21</v>
      </c>
      <c r="J7" s="142" t="s">
        <v>22</v>
      </c>
      <c r="K7" s="104">
        <v>1500</v>
      </c>
      <c r="L7" s="104">
        <v>6030</v>
      </c>
      <c r="M7" s="104">
        <f t="shared" si="2"/>
        <v>6030</v>
      </c>
      <c r="N7" s="104">
        <v>150.21</v>
      </c>
      <c r="O7" s="104">
        <f t="shared" si="3"/>
        <v>225315</v>
      </c>
      <c r="P7" s="101" t="s">
        <v>212</v>
      </c>
      <c r="Q7" s="101" t="str">
        <f t="shared" ref="Q7:Q22" si="5">P7&amp;"-L"</f>
        <v>JFHC181221-L</v>
      </c>
      <c r="R7" s="104"/>
      <c r="S7" s="104"/>
      <c r="T7" s="48"/>
      <c r="U7" s="104">
        <v>6420</v>
      </c>
      <c r="V7" s="104">
        <f>-(6420-L7)*K7</f>
        <v>-585000</v>
      </c>
      <c r="W7" s="48">
        <v>43486</v>
      </c>
      <c r="X7" s="104">
        <f t="shared" si="4"/>
        <v>-359685</v>
      </c>
      <c r="Y7" s="197">
        <f t="shared" si="1"/>
        <v>9045000</v>
      </c>
      <c r="Z7" s="142"/>
      <c r="AA7" s="142"/>
      <c r="AB7" s="202"/>
      <c r="AC7" s="390">
        <v>0.26</v>
      </c>
      <c r="AD7" s="316"/>
      <c r="AE7" s="313"/>
      <c r="AF7" s="105"/>
      <c r="AG7" s="108" t="s">
        <v>1416</v>
      </c>
      <c r="AH7" s="108" t="s">
        <v>1417</v>
      </c>
    </row>
    <row r="8" spans="1:34" ht="24.95" customHeight="1" x14ac:dyDescent="0.15">
      <c r="A8" s="142" t="s">
        <v>245</v>
      </c>
      <c r="B8" s="142" t="s">
        <v>263</v>
      </c>
      <c r="C8" s="142" t="str">
        <f t="shared" si="0"/>
        <v>到期</v>
      </c>
      <c r="D8" s="100" t="s">
        <v>1839</v>
      </c>
      <c r="E8" s="142" t="s">
        <v>137</v>
      </c>
      <c r="F8" s="48">
        <v>43455</v>
      </c>
      <c r="G8" s="48">
        <v>43486</v>
      </c>
      <c r="H8" s="48" t="s">
        <v>371</v>
      </c>
      <c r="I8" s="48" t="s">
        <v>21</v>
      </c>
      <c r="J8" s="142" t="s">
        <v>25</v>
      </c>
      <c r="K8" s="104">
        <v>1500</v>
      </c>
      <c r="L8" s="104">
        <v>6030</v>
      </c>
      <c r="M8" s="104">
        <f t="shared" si="2"/>
        <v>6030</v>
      </c>
      <c r="N8" s="104">
        <v>150.21</v>
      </c>
      <c r="O8" s="104">
        <f t="shared" si="3"/>
        <v>225315</v>
      </c>
      <c r="P8" s="101" t="s">
        <v>212</v>
      </c>
      <c r="Q8" s="101" t="str">
        <f t="shared" si="5"/>
        <v>JFHC181221-L</v>
      </c>
      <c r="R8" s="104"/>
      <c r="S8" s="104"/>
      <c r="T8" s="48"/>
      <c r="U8" s="104">
        <v>6420</v>
      </c>
      <c r="V8" s="104">
        <v>0</v>
      </c>
      <c r="W8" s="48">
        <v>43486</v>
      </c>
      <c r="X8" s="104">
        <f t="shared" si="4"/>
        <v>225315</v>
      </c>
      <c r="Y8" s="197">
        <f t="shared" si="1"/>
        <v>9045000</v>
      </c>
      <c r="Z8" s="142"/>
      <c r="AA8" s="142"/>
      <c r="AB8" s="202"/>
      <c r="AC8" s="390">
        <v>0.26</v>
      </c>
      <c r="AD8" s="316"/>
      <c r="AE8" s="313"/>
      <c r="AF8" s="105"/>
      <c r="AG8" s="108" t="s">
        <v>1416</v>
      </c>
      <c r="AH8" s="108" t="s">
        <v>1417</v>
      </c>
    </row>
    <row r="9" spans="1:34" ht="24.95" customHeight="1" x14ac:dyDescent="0.15">
      <c r="A9" s="142" t="s">
        <v>245</v>
      </c>
      <c r="B9" s="142" t="s">
        <v>264</v>
      </c>
      <c r="C9" s="142" t="str">
        <f t="shared" si="0"/>
        <v>到期</v>
      </c>
      <c r="D9" s="100" t="s">
        <v>266</v>
      </c>
      <c r="E9" s="142" t="s">
        <v>137</v>
      </c>
      <c r="F9" s="48">
        <v>43458</v>
      </c>
      <c r="G9" s="48">
        <v>43472</v>
      </c>
      <c r="H9" s="142" t="s">
        <v>234</v>
      </c>
      <c r="I9" s="142" t="s">
        <v>38</v>
      </c>
      <c r="J9" s="142" t="s">
        <v>22</v>
      </c>
      <c r="K9" s="104">
        <f t="shared" ref="K9:K16" si="6">ROUND(Y9/M9,0)</f>
        <v>27847</v>
      </c>
      <c r="L9" s="104">
        <v>4129.6499999999996</v>
      </c>
      <c r="M9" s="104">
        <v>3591</v>
      </c>
      <c r="N9" s="104">
        <f t="shared" ref="N9:N16" si="7">O9/K9</f>
        <v>0.71821022013143243</v>
      </c>
      <c r="O9" s="104">
        <v>20000</v>
      </c>
      <c r="P9" s="101" t="s">
        <v>455</v>
      </c>
      <c r="Q9" s="101" t="str">
        <f t="shared" si="5"/>
        <v>GTJA181224-AG-L</v>
      </c>
      <c r="R9" s="104"/>
      <c r="S9" s="104"/>
      <c r="T9" s="48"/>
      <c r="U9" s="104">
        <v>3778</v>
      </c>
      <c r="V9" s="104">
        <v>0</v>
      </c>
      <c r="W9" s="48">
        <v>43472</v>
      </c>
      <c r="X9" s="104">
        <f t="shared" si="4"/>
        <v>-20000</v>
      </c>
      <c r="Y9" s="197">
        <v>100000000</v>
      </c>
      <c r="Z9" s="142"/>
      <c r="AA9" s="142"/>
      <c r="AB9" s="202"/>
      <c r="AC9" s="316"/>
      <c r="AD9" s="322"/>
      <c r="AE9" s="313"/>
      <c r="AF9" s="105"/>
    </row>
    <row r="10" spans="1:34" ht="24.95" customHeight="1" x14ac:dyDescent="0.15">
      <c r="A10" s="142" t="s">
        <v>245</v>
      </c>
      <c r="B10" s="142" t="s">
        <v>264</v>
      </c>
      <c r="C10" s="142" t="str">
        <f t="shared" si="0"/>
        <v>到期</v>
      </c>
      <c r="D10" s="100" t="s">
        <v>266</v>
      </c>
      <c r="E10" s="142" t="s">
        <v>137</v>
      </c>
      <c r="F10" s="48">
        <v>43458</v>
      </c>
      <c r="G10" s="48">
        <v>43472</v>
      </c>
      <c r="H10" s="142" t="s">
        <v>234</v>
      </c>
      <c r="I10" s="142" t="s">
        <v>21</v>
      </c>
      <c r="J10" s="142" t="s">
        <v>22</v>
      </c>
      <c r="K10" s="104">
        <f t="shared" si="6"/>
        <v>27847</v>
      </c>
      <c r="L10" s="104">
        <v>4165.5600000000004</v>
      </c>
      <c r="M10" s="104">
        <v>3591</v>
      </c>
      <c r="N10" s="104">
        <f t="shared" si="7"/>
        <v>0.35910511006571622</v>
      </c>
      <c r="O10" s="104">
        <v>10000</v>
      </c>
      <c r="P10" s="101" t="s">
        <v>455</v>
      </c>
      <c r="Q10" s="101" t="str">
        <f t="shared" si="5"/>
        <v>GTJA181224-AG-L</v>
      </c>
      <c r="R10" s="104"/>
      <c r="S10" s="104"/>
      <c r="T10" s="48"/>
      <c r="U10" s="104">
        <v>3778</v>
      </c>
      <c r="V10" s="104">
        <v>0</v>
      </c>
      <c r="W10" s="48">
        <v>43472</v>
      </c>
      <c r="X10" s="104">
        <f t="shared" si="4"/>
        <v>10000</v>
      </c>
      <c r="Y10" s="197">
        <v>100000000</v>
      </c>
      <c r="Z10" s="142"/>
      <c r="AA10" s="142"/>
      <c r="AB10" s="202"/>
      <c r="AC10" s="316"/>
      <c r="AD10" s="322"/>
      <c r="AE10" s="313"/>
      <c r="AF10" s="105"/>
    </row>
    <row r="11" spans="1:34" ht="24.95" customHeight="1" x14ac:dyDescent="0.15">
      <c r="A11" s="142" t="s">
        <v>245</v>
      </c>
      <c r="B11" s="142" t="s">
        <v>264</v>
      </c>
      <c r="C11" s="142" t="str">
        <f t="shared" si="0"/>
        <v>到期</v>
      </c>
      <c r="D11" s="100" t="s">
        <v>266</v>
      </c>
      <c r="E11" s="142" t="s">
        <v>137</v>
      </c>
      <c r="F11" s="48">
        <v>43458</v>
      </c>
      <c r="G11" s="48">
        <v>43472</v>
      </c>
      <c r="H11" s="142" t="s">
        <v>233</v>
      </c>
      <c r="I11" s="142" t="s">
        <v>21</v>
      </c>
      <c r="J11" s="142" t="s">
        <v>22</v>
      </c>
      <c r="K11" s="104">
        <f t="shared" si="6"/>
        <v>350385</v>
      </c>
      <c r="L11" s="104">
        <v>328.21</v>
      </c>
      <c r="M11" s="104">
        <v>285.39999999999998</v>
      </c>
      <c r="N11" s="104">
        <f t="shared" si="7"/>
        <v>5.7080069066883572E-2</v>
      </c>
      <c r="O11" s="104">
        <v>20000</v>
      </c>
      <c r="P11" s="101" t="s">
        <v>453</v>
      </c>
      <c r="Q11" s="101" t="str">
        <f t="shared" si="5"/>
        <v>GTJA181224-AU-L</v>
      </c>
      <c r="R11" s="104"/>
      <c r="S11" s="104"/>
      <c r="T11" s="48"/>
      <c r="U11" s="104">
        <v>288.64999999999998</v>
      </c>
      <c r="V11" s="104">
        <v>0</v>
      </c>
      <c r="W11" s="48">
        <v>43472</v>
      </c>
      <c r="X11" s="104">
        <f t="shared" si="4"/>
        <v>20000</v>
      </c>
      <c r="Y11" s="197">
        <v>100000000</v>
      </c>
      <c r="Z11" s="142"/>
      <c r="AA11" s="142"/>
      <c r="AB11" s="202"/>
      <c r="AC11" s="316"/>
      <c r="AD11" s="322"/>
      <c r="AE11" s="313"/>
      <c r="AF11" s="105"/>
    </row>
    <row r="12" spans="1:34" ht="24.95" customHeight="1" x14ac:dyDescent="0.15">
      <c r="A12" s="142" t="s">
        <v>245</v>
      </c>
      <c r="B12" s="142" t="s">
        <v>264</v>
      </c>
      <c r="C12" s="142" t="str">
        <f t="shared" si="0"/>
        <v>到期</v>
      </c>
      <c r="D12" s="100" t="s">
        <v>266</v>
      </c>
      <c r="E12" s="142" t="s">
        <v>137</v>
      </c>
      <c r="F12" s="48">
        <v>43458</v>
      </c>
      <c r="G12" s="48">
        <v>43472</v>
      </c>
      <c r="H12" s="142" t="s">
        <v>233</v>
      </c>
      <c r="I12" s="142" t="s">
        <v>38</v>
      </c>
      <c r="J12" s="142" t="s">
        <v>22</v>
      </c>
      <c r="K12" s="104">
        <f t="shared" si="6"/>
        <v>350385</v>
      </c>
      <c r="L12" s="104">
        <v>331.06400000000002</v>
      </c>
      <c r="M12" s="104">
        <v>285.39999999999998</v>
      </c>
      <c r="N12" s="104">
        <f t="shared" si="7"/>
        <v>2.8540034533441786E-2</v>
      </c>
      <c r="O12" s="104">
        <v>10000</v>
      </c>
      <c r="P12" s="101" t="s">
        <v>454</v>
      </c>
      <c r="Q12" s="101" t="str">
        <f t="shared" si="5"/>
        <v>GTJA181224-AU-L</v>
      </c>
      <c r="R12" s="104"/>
      <c r="S12" s="104"/>
      <c r="T12" s="48"/>
      <c r="U12" s="104">
        <v>288.64999999999998</v>
      </c>
      <c r="V12" s="104">
        <v>0</v>
      </c>
      <c r="W12" s="48">
        <v>43472</v>
      </c>
      <c r="X12" s="104">
        <f t="shared" si="4"/>
        <v>-10000</v>
      </c>
      <c r="Y12" s="197">
        <v>100000000</v>
      </c>
      <c r="Z12" s="142"/>
      <c r="AA12" s="142"/>
      <c r="AB12" s="202"/>
      <c r="AC12" s="316"/>
      <c r="AD12" s="322"/>
      <c r="AE12" s="313"/>
      <c r="AF12" s="105"/>
    </row>
    <row r="13" spans="1:34" ht="24.95" customHeight="1" x14ac:dyDescent="0.15">
      <c r="A13" s="142" t="s">
        <v>245</v>
      </c>
      <c r="B13" s="142" t="s">
        <v>264</v>
      </c>
      <c r="C13" s="142" t="str">
        <f t="shared" si="0"/>
        <v>到期</v>
      </c>
      <c r="D13" s="100" t="s">
        <v>1840</v>
      </c>
      <c r="E13" s="142" t="s">
        <v>137</v>
      </c>
      <c r="F13" s="48">
        <v>43458</v>
      </c>
      <c r="G13" s="48">
        <v>43473</v>
      </c>
      <c r="H13" s="142" t="s">
        <v>234</v>
      </c>
      <c r="I13" s="142" t="s">
        <v>38</v>
      </c>
      <c r="J13" s="142" t="s">
        <v>22</v>
      </c>
      <c r="K13" s="104">
        <f t="shared" si="6"/>
        <v>27855</v>
      </c>
      <c r="L13" s="104">
        <v>4128.5</v>
      </c>
      <c r="M13" s="104">
        <v>3590</v>
      </c>
      <c r="N13" s="104">
        <f t="shared" si="7"/>
        <v>0.86160473882606359</v>
      </c>
      <c r="O13" s="104">
        <f>Y13*0.00024</f>
        <v>24000</v>
      </c>
      <c r="P13" s="101" t="s">
        <v>451</v>
      </c>
      <c r="Q13" s="101" t="str">
        <f t="shared" si="5"/>
        <v>LZJM181224-AG-L</v>
      </c>
      <c r="R13" s="104"/>
      <c r="S13" s="104"/>
      <c r="T13" s="48"/>
      <c r="U13" s="104">
        <v>3744</v>
      </c>
      <c r="V13" s="104">
        <v>0</v>
      </c>
      <c r="W13" s="48">
        <v>43473</v>
      </c>
      <c r="X13" s="104">
        <f t="shared" si="4"/>
        <v>-24000</v>
      </c>
      <c r="Y13" s="197">
        <v>100000000</v>
      </c>
      <c r="Z13" s="142"/>
      <c r="AA13" s="142"/>
      <c r="AB13" s="202"/>
      <c r="AC13" s="316"/>
      <c r="AD13" s="322"/>
      <c r="AE13" s="313"/>
      <c r="AF13" s="105"/>
    </row>
    <row r="14" spans="1:34" ht="24.95" customHeight="1" x14ac:dyDescent="0.15">
      <c r="A14" s="142" t="s">
        <v>245</v>
      </c>
      <c r="B14" s="142" t="s">
        <v>264</v>
      </c>
      <c r="C14" s="142" t="str">
        <f t="shared" si="0"/>
        <v>到期</v>
      </c>
      <c r="D14" s="100" t="s">
        <v>1840</v>
      </c>
      <c r="E14" s="142" t="s">
        <v>137</v>
      </c>
      <c r="F14" s="48">
        <v>43458</v>
      </c>
      <c r="G14" s="48">
        <v>43473</v>
      </c>
      <c r="H14" s="142" t="s">
        <v>234</v>
      </c>
      <c r="I14" s="142" t="s">
        <v>21</v>
      </c>
      <c r="J14" s="142" t="s">
        <v>22</v>
      </c>
      <c r="K14" s="104">
        <f t="shared" si="6"/>
        <v>27855</v>
      </c>
      <c r="L14" s="104">
        <v>4164.3999999999996</v>
      </c>
      <c r="M14" s="104">
        <v>3590</v>
      </c>
      <c r="N14" s="104">
        <f t="shared" si="7"/>
        <v>0.14360078980434393</v>
      </c>
      <c r="O14" s="104">
        <v>4000</v>
      </c>
      <c r="P14" s="101" t="s">
        <v>452</v>
      </c>
      <c r="Q14" s="101" t="str">
        <f t="shared" si="5"/>
        <v>LZJM181224-AG-L</v>
      </c>
      <c r="R14" s="104"/>
      <c r="S14" s="104"/>
      <c r="T14" s="48"/>
      <c r="U14" s="104">
        <v>3744</v>
      </c>
      <c r="V14" s="104">
        <v>0</v>
      </c>
      <c r="W14" s="48">
        <v>43473</v>
      </c>
      <c r="X14" s="104">
        <f t="shared" si="4"/>
        <v>4000</v>
      </c>
      <c r="Y14" s="197">
        <v>100000000</v>
      </c>
      <c r="Z14" s="142"/>
      <c r="AA14" s="142"/>
      <c r="AB14" s="202"/>
      <c r="AC14" s="316"/>
      <c r="AD14" s="322"/>
      <c r="AE14" s="313"/>
      <c r="AF14" s="105"/>
    </row>
    <row r="15" spans="1:34" ht="24.95" customHeight="1" x14ac:dyDescent="0.15">
      <c r="A15" s="142" t="s">
        <v>245</v>
      </c>
      <c r="B15" s="142" t="s">
        <v>264</v>
      </c>
      <c r="C15" s="142" t="str">
        <f t="shared" si="0"/>
        <v>到期</v>
      </c>
      <c r="D15" s="100" t="s">
        <v>1840</v>
      </c>
      <c r="E15" s="142" t="s">
        <v>137</v>
      </c>
      <c r="F15" s="48">
        <v>43458</v>
      </c>
      <c r="G15" s="48">
        <v>43473</v>
      </c>
      <c r="H15" s="142" t="s">
        <v>233</v>
      </c>
      <c r="I15" s="142" t="s">
        <v>21</v>
      </c>
      <c r="J15" s="142" t="s">
        <v>22</v>
      </c>
      <c r="K15" s="104">
        <f t="shared" si="6"/>
        <v>350447</v>
      </c>
      <c r="L15" s="104">
        <v>328.15</v>
      </c>
      <c r="M15" s="104">
        <v>285.35000000000002</v>
      </c>
      <c r="N15" s="104">
        <f t="shared" si="7"/>
        <v>6.8483964765000127E-2</v>
      </c>
      <c r="O15" s="104">
        <f>Y15*0.00024</f>
        <v>24000</v>
      </c>
      <c r="P15" s="101" t="s">
        <v>450</v>
      </c>
      <c r="Q15" s="101" t="str">
        <f t="shared" si="5"/>
        <v>LZJM181224-AU-L</v>
      </c>
      <c r="R15" s="104"/>
      <c r="S15" s="104"/>
      <c r="T15" s="48"/>
      <c r="U15" s="104">
        <v>287.25</v>
      </c>
      <c r="V15" s="104">
        <v>0</v>
      </c>
      <c r="W15" s="48">
        <v>43473</v>
      </c>
      <c r="X15" s="104">
        <f t="shared" si="4"/>
        <v>24000</v>
      </c>
      <c r="Y15" s="197">
        <v>100000000</v>
      </c>
      <c r="Z15" s="142"/>
      <c r="AA15" s="142"/>
      <c r="AB15" s="202"/>
      <c r="AC15" s="316"/>
      <c r="AD15" s="322"/>
      <c r="AE15" s="313"/>
      <c r="AF15" s="105"/>
    </row>
    <row r="16" spans="1:34" ht="24.95" customHeight="1" x14ac:dyDescent="0.15">
      <c r="A16" s="142" t="s">
        <v>245</v>
      </c>
      <c r="B16" s="142" t="s">
        <v>264</v>
      </c>
      <c r="C16" s="142" t="str">
        <f t="shared" si="0"/>
        <v>到期</v>
      </c>
      <c r="D16" s="100" t="s">
        <v>1840</v>
      </c>
      <c r="E16" s="142" t="s">
        <v>137</v>
      </c>
      <c r="F16" s="48">
        <v>43458</v>
      </c>
      <c r="G16" s="48">
        <v>43473</v>
      </c>
      <c r="H16" s="142" t="s">
        <v>233</v>
      </c>
      <c r="I16" s="142" t="s">
        <v>38</v>
      </c>
      <c r="J16" s="142" t="s">
        <v>22</v>
      </c>
      <c r="K16" s="104">
        <f t="shared" si="6"/>
        <v>350447</v>
      </c>
      <c r="L16" s="104">
        <v>331.01</v>
      </c>
      <c r="M16" s="104">
        <v>285.35000000000002</v>
      </c>
      <c r="N16" s="104">
        <f t="shared" si="7"/>
        <v>1.1413994127500021E-2</v>
      </c>
      <c r="O16" s="104">
        <v>4000</v>
      </c>
      <c r="P16" s="101" t="s">
        <v>450</v>
      </c>
      <c r="Q16" s="101" t="str">
        <f t="shared" si="5"/>
        <v>LZJM181224-AU-L</v>
      </c>
      <c r="R16" s="104"/>
      <c r="S16" s="104"/>
      <c r="T16" s="48"/>
      <c r="U16" s="104">
        <v>287.25</v>
      </c>
      <c r="V16" s="104">
        <v>0</v>
      </c>
      <c r="W16" s="48">
        <v>43473</v>
      </c>
      <c r="X16" s="104">
        <f t="shared" si="4"/>
        <v>-4000</v>
      </c>
      <c r="Y16" s="197">
        <v>100000000</v>
      </c>
      <c r="Z16" s="142"/>
      <c r="AA16" s="142"/>
      <c r="AB16" s="202"/>
      <c r="AC16" s="316"/>
      <c r="AD16" s="322"/>
      <c r="AE16" s="313"/>
      <c r="AF16" s="105"/>
    </row>
    <row r="17" spans="1:34" ht="24.95" customHeight="1" x14ac:dyDescent="0.15">
      <c r="A17" s="142" t="s">
        <v>247</v>
      </c>
      <c r="B17" s="120" t="s">
        <v>263</v>
      </c>
      <c r="C17" s="142" t="str">
        <f t="shared" si="0"/>
        <v>到期</v>
      </c>
      <c r="D17" s="127" t="s">
        <v>1839</v>
      </c>
      <c r="E17" s="142" t="s">
        <v>137</v>
      </c>
      <c r="F17" s="48">
        <v>43459</v>
      </c>
      <c r="G17" s="48">
        <v>43489</v>
      </c>
      <c r="H17" s="48" t="s">
        <v>267</v>
      </c>
      <c r="I17" s="48" t="s">
        <v>21</v>
      </c>
      <c r="J17" s="142" t="s">
        <v>22</v>
      </c>
      <c r="K17" s="104">
        <v>700</v>
      </c>
      <c r="L17" s="104">
        <v>14750</v>
      </c>
      <c r="M17" s="104">
        <f>L17</f>
        <v>14750</v>
      </c>
      <c r="N17" s="104">
        <v>250.75</v>
      </c>
      <c r="O17" s="104">
        <f>N17*K17</f>
        <v>175525</v>
      </c>
      <c r="P17" s="101" t="s">
        <v>218</v>
      </c>
      <c r="Q17" s="101" t="str">
        <f t="shared" si="5"/>
        <v>JFHC002-L</v>
      </c>
      <c r="R17" s="104"/>
      <c r="S17" s="104"/>
      <c r="T17" s="48"/>
      <c r="U17" s="104">
        <v>15185</v>
      </c>
      <c r="V17" s="104">
        <f>-(U17-L17)*K17</f>
        <v>-304500</v>
      </c>
      <c r="W17" s="48">
        <v>43489</v>
      </c>
      <c r="X17" s="104">
        <f t="shared" si="4"/>
        <v>-128975</v>
      </c>
      <c r="Y17" s="197">
        <f>K17*M17</f>
        <v>10325000</v>
      </c>
      <c r="Z17" s="142"/>
      <c r="AA17" s="142"/>
      <c r="AB17" s="202"/>
      <c r="AC17" s="316"/>
      <c r="AD17" s="322"/>
      <c r="AE17" s="313"/>
      <c r="AF17" s="105"/>
      <c r="AG17" s="108" t="s">
        <v>1421</v>
      </c>
      <c r="AH17" s="108" t="s">
        <v>1420</v>
      </c>
    </row>
    <row r="18" spans="1:34" ht="24.95" customHeight="1" x14ac:dyDescent="0.15">
      <c r="A18" s="142" t="s">
        <v>247</v>
      </c>
      <c r="B18" s="120" t="s">
        <v>263</v>
      </c>
      <c r="C18" s="142" t="str">
        <f t="shared" si="0"/>
        <v>到期</v>
      </c>
      <c r="D18" s="127" t="s">
        <v>1839</v>
      </c>
      <c r="E18" s="142" t="s">
        <v>137</v>
      </c>
      <c r="F18" s="48">
        <v>43459</v>
      </c>
      <c r="G18" s="48">
        <v>43489</v>
      </c>
      <c r="H18" s="48" t="s">
        <v>267</v>
      </c>
      <c r="I18" s="48" t="s">
        <v>21</v>
      </c>
      <c r="J18" s="142" t="s">
        <v>25</v>
      </c>
      <c r="K18" s="104">
        <v>700</v>
      </c>
      <c r="L18" s="104">
        <v>14750</v>
      </c>
      <c r="M18" s="104">
        <f>L18</f>
        <v>14750</v>
      </c>
      <c r="N18" s="104">
        <v>250.75</v>
      </c>
      <c r="O18" s="104">
        <f>N18*K18</f>
        <v>175525</v>
      </c>
      <c r="P18" s="101" t="s">
        <v>218</v>
      </c>
      <c r="Q18" s="101" t="str">
        <f t="shared" si="5"/>
        <v>JFHC002-L</v>
      </c>
      <c r="R18" s="104"/>
      <c r="S18" s="104"/>
      <c r="T18" s="48"/>
      <c r="U18" s="104">
        <v>15185</v>
      </c>
      <c r="V18" s="104">
        <v>0</v>
      </c>
      <c r="W18" s="48">
        <v>43489</v>
      </c>
      <c r="X18" s="104">
        <f t="shared" si="4"/>
        <v>175525</v>
      </c>
      <c r="Y18" s="197">
        <f>K18*M18</f>
        <v>10325000</v>
      </c>
      <c r="Z18" s="142"/>
      <c r="AA18" s="142"/>
      <c r="AB18" s="202"/>
      <c r="AC18" s="316"/>
      <c r="AD18" s="322"/>
      <c r="AE18" s="313"/>
      <c r="AF18" s="105"/>
      <c r="AG18" s="108" t="s">
        <v>1418</v>
      </c>
      <c r="AH18" s="108" t="s">
        <v>1419</v>
      </c>
    </row>
    <row r="19" spans="1:34" ht="24.95" customHeight="1" x14ac:dyDescent="0.15">
      <c r="A19" s="142" t="s">
        <v>245</v>
      </c>
      <c r="B19" s="120" t="s">
        <v>264</v>
      </c>
      <c r="C19" s="142" t="str">
        <f t="shared" si="0"/>
        <v>到期</v>
      </c>
      <c r="D19" s="125" t="s">
        <v>196</v>
      </c>
      <c r="E19" s="142" t="s">
        <v>137</v>
      </c>
      <c r="F19" s="48">
        <v>43460</v>
      </c>
      <c r="G19" s="48">
        <v>43474</v>
      </c>
      <c r="H19" s="142" t="s">
        <v>234</v>
      </c>
      <c r="I19" s="142" t="s">
        <v>38</v>
      </c>
      <c r="J19" s="142" t="s">
        <v>22</v>
      </c>
      <c r="K19" s="104">
        <f>ROUND(Y19/M19,0)</f>
        <v>55310</v>
      </c>
      <c r="L19" s="104">
        <v>4158.3999999999996</v>
      </c>
      <c r="M19" s="104">
        <v>3616</v>
      </c>
      <c r="N19" s="104">
        <f t="shared" ref="N19:N26" si="8">O19/K19</f>
        <v>1.0847947929849937</v>
      </c>
      <c r="O19" s="104">
        <v>60000</v>
      </c>
      <c r="P19" s="101" t="s">
        <v>198</v>
      </c>
      <c r="Q19" s="101" t="str">
        <f t="shared" si="5"/>
        <v>NHZB181226-AG-L</v>
      </c>
      <c r="R19" s="104"/>
      <c r="S19" s="104"/>
      <c r="T19" s="48"/>
      <c r="U19" s="104">
        <v>3743</v>
      </c>
      <c r="V19" s="104">
        <v>0</v>
      </c>
      <c r="W19" s="48">
        <v>43474</v>
      </c>
      <c r="X19" s="104">
        <f t="shared" si="4"/>
        <v>-60000</v>
      </c>
      <c r="Y19" s="197">
        <v>200000000</v>
      </c>
      <c r="Z19" s="142"/>
      <c r="AA19" s="142"/>
      <c r="AB19" s="202"/>
      <c r="AC19" s="316"/>
      <c r="AD19" s="322"/>
      <c r="AE19" s="313"/>
      <c r="AF19" s="105"/>
    </row>
    <row r="20" spans="1:34" ht="24.95" customHeight="1" x14ac:dyDescent="0.15">
      <c r="A20" s="142" t="s">
        <v>245</v>
      </c>
      <c r="B20" s="120" t="s">
        <v>264</v>
      </c>
      <c r="C20" s="142" t="str">
        <f t="shared" si="0"/>
        <v>到期</v>
      </c>
      <c r="D20" s="100" t="s">
        <v>196</v>
      </c>
      <c r="E20" s="142" t="s">
        <v>137</v>
      </c>
      <c r="F20" s="48">
        <v>43460</v>
      </c>
      <c r="G20" s="48">
        <v>43474</v>
      </c>
      <c r="H20" s="142" t="s">
        <v>234</v>
      </c>
      <c r="I20" s="142" t="s">
        <v>21</v>
      </c>
      <c r="J20" s="142" t="s">
        <v>22</v>
      </c>
      <c r="K20" s="104">
        <f>ROUND(Y20/M20,0)</f>
        <v>55310</v>
      </c>
      <c r="L20" s="104">
        <v>4194.5600000000004</v>
      </c>
      <c r="M20" s="104">
        <v>3616</v>
      </c>
      <c r="N20" s="104">
        <f t="shared" si="8"/>
        <v>0.3615982643283312</v>
      </c>
      <c r="O20" s="104">
        <v>20000</v>
      </c>
      <c r="P20" s="101" t="s">
        <v>198</v>
      </c>
      <c r="Q20" s="101" t="str">
        <f t="shared" si="5"/>
        <v>NHZB181226-AG-L</v>
      </c>
      <c r="R20" s="104"/>
      <c r="S20" s="104"/>
      <c r="T20" s="48"/>
      <c r="U20" s="104">
        <v>3743</v>
      </c>
      <c r="V20" s="104">
        <v>0</v>
      </c>
      <c r="W20" s="48">
        <v>43474</v>
      </c>
      <c r="X20" s="104">
        <f t="shared" si="4"/>
        <v>20000</v>
      </c>
      <c r="Y20" s="197">
        <v>200000000</v>
      </c>
      <c r="Z20" s="142"/>
      <c r="AA20" s="142"/>
      <c r="AB20" s="202"/>
      <c r="AC20" s="316"/>
      <c r="AD20" s="322"/>
      <c r="AE20" s="313"/>
      <c r="AF20" s="105"/>
    </row>
    <row r="21" spans="1:34" ht="24.95" customHeight="1" x14ac:dyDescent="0.15">
      <c r="A21" s="142" t="s">
        <v>245</v>
      </c>
      <c r="B21" s="120" t="s">
        <v>264</v>
      </c>
      <c r="C21" s="142" t="str">
        <f t="shared" si="0"/>
        <v>到期</v>
      </c>
      <c r="D21" s="100" t="s">
        <v>196</v>
      </c>
      <c r="E21" s="142" t="s">
        <v>137</v>
      </c>
      <c r="F21" s="48">
        <v>43460</v>
      </c>
      <c r="G21" s="48">
        <v>43474</v>
      </c>
      <c r="H21" s="298" t="s">
        <v>233</v>
      </c>
      <c r="I21" s="142" t="s">
        <v>21</v>
      </c>
      <c r="J21" s="142" t="s">
        <v>22</v>
      </c>
      <c r="K21" s="104">
        <f>ROUND(Y21/M21,0)</f>
        <v>695652</v>
      </c>
      <c r="L21" s="104">
        <v>330.625</v>
      </c>
      <c r="M21" s="104">
        <v>287.5</v>
      </c>
      <c r="N21" s="104">
        <f t="shared" si="8"/>
        <v>8.6250021562505386E-2</v>
      </c>
      <c r="O21" s="104">
        <v>60000</v>
      </c>
      <c r="P21" s="101" t="s">
        <v>197</v>
      </c>
      <c r="Q21" s="101" t="str">
        <f t="shared" si="5"/>
        <v>NHZB181226-AU-L</v>
      </c>
      <c r="R21" s="104"/>
      <c r="S21" s="104"/>
      <c r="T21" s="48"/>
      <c r="U21" s="104">
        <v>286.2</v>
      </c>
      <c r="V21" s="104">
        <v>0</v>
      </c>
      <c r="W21" s="48">
        <v>43474</v>
      </c>
      <c r="X21" s="104">
        <f t="shared" si="4"/>
        <v>60000</v>
      </c>
      <c r="Y21" s="197">
        <v>200000000</v>
      </c>
      <c r="Z21" s="142"/>
      <c r="AA21" s="142"/>
      <c r="AB21" s="202"/>
      <c r="AC21" s="316"/>
      <c r="AD21" s="322"/>
      <c r="AE21" s="313"/>
      <c r="AF21" s="105"/>
    </row>
    <row r="22" spans="1:34" ht="24.95" customHeight="1" x14ac:dyDescent="0.15">
      <c r="A22" s="120" t="s">
        <v>245</v>
      </c>
      <c r="B22" s="120" t="s">
        <v>295</v>
      </c>
      <c r="C22" s="142" t="str">
        <f t="shared" si="0"/>
        <v>到期</v>
      </c>
      <c r="D22" s="100" t="s">
        <v>196</v>
      </c>
      <c r="E22" s="142" t="s">
        <v>137</v>
      </c>
      <c r="F22" s="48">
        <v>43460</v>
      </c>
      <c r="G22" s="48">
        <v>43474</v>
      </c>
      <c r="H22" s="142" t="s">
        <v>233</v>
      </c>
      <c r="I22" s="142" t="s">
        <v>38</v>
      </c>
      <c r="J22" s="142" t="s">
        <v>22</v>
      </c>
      <c r="K22" s="104">
        <f>ROUND(Y22/M22,0)</f>
        <v>695652</v>
      </c>
      <c r="L22" s="104">
        <v>333.5</v>
      </c>
      <c r="M22" s="104">
        <v>287.5</v>
      </c>
      <c r="N22" s="104">
        <f t="shared" si="8"/>
        <v>2.8750007187501796E-2</v>
      </c>
      <c r="O22" s="104">
        <v>20000</v>
      </c>
      <c r="P22" s="101" t="s">
        <v>197</v>
      </c>
      <c r="Q22" s="101" t="str">
        <f t="shared" si="5"/>
        <v>NHZB181226-AU-L</v>
      </c>
      <c r="R22" s="104"/>
      <c r="S22" s="104"/>
      <c r="T22" s="48"/>
      <c r="U22" s="104">
        <v>286.2</v>
      </c>
      <c r="V22" s="104">
        <v>0</v>
      </c>
      <c r="W22" s="48">
        <v>43474</v>
      </c>
      <c r="X22" s="104">
        <f t="shared" si="4"/>
        <v>-20000</v>
      </c>
      <c r="Y22" s="197">
        <v>200000000</v>
      </c>
      <c r="Z22" s="142"/>
      <c r="AA22" s="142"/>
      <c r="AB22" s="202"/>
      <c r="AC22" s="316"/>
      <c r="AD22" s="322"/>
      <c r="AE22" s="313"/>
      <c r="AF22" s="105"/>
    </row>
    <row r="23" spans="1:34" ht="24.95" customHeight="1" x14ac:dyDescent="0.15">
      <c r="A23" s="120" t="s">
        <v>245</v>
      </c>
      <c r="B23" s="120" t="s">
        <v>295</v>
      </c>
      <c r="C23" s="142" t="str">
        <f>IF(T23="","存续","到期")</f>
        <v>到期</v>
      </c>
      <c r="D23" s="100" t="s">
        <v>266</v>
      </c>
      <c r="E23" s="142" t="s">
        <v>137</v>
      </c>
      <c r="F23" s="48">
        <v>43461</v>
      </c>
      <c r="G23" s="48">
        <v>43692</v>
      </c>
      <c r="H23" s="142" t="s">
        <v>752</v>
      </c>
      <c r="I23" s="142" t="s">
        <v>314</v>
      </c>
      <c r="J23" s="142" t="s">
        <v>22</v>
      </c>
      <c r="K23" s="104">
        <f>1930*5</f>
        <v>9650</v>
      </c>
      <c r="L23" s="104">
        <v>8260</v>
      </c>
      <c r="M23" s="104">
        <v>8260</v>
      </c>
      <c r="N23" s="104">
        <f t="shared" si="8"/>
        <v>455.36</v>
      </c>
      <c r="O23" s="104">
        <v>4394224</v>
      </c>
      <c r="P23" s="101" t="s">
        <v>456</v>
      </c>
      <c r="Q23" s="101" t="s">
        <v>315</v>
      </c>
      <c r="R23" s="104">
        <v>449.18</v>
      </c>
      <c r="S23" s="104">
        <f>-R23*K23</f>
        <v>-4334587</v>
      </c>
      <c r="T23" s="48">
        <v>43468</v>
      </c>
      <c r="U23" s="104"/>
      <c r="V23" s="104"/>
      <c r="W23" s="48"/>
      <c r="X23" s="104">
        <f>IF(I23="买入",S23-O23,O23+S23)</f>
        <v>59637</v>
      </c>
      <c r="Y23" s="197">
        <f>M23*K23</f>
        <v>79709000</v>
      </c>
      <c r="Z23" s="142"/>
      <c r="AA23" s="142"/>
      <c r="AB23" s="202"/>
      <c r="AC23" s="322">
        <v>0.18090999999999999</v>
      </c>
      <c r="AD23" s="316"/>
      <c r="AE23" s="313"/>
      <c r="AF23" s="105"/>
    </row>
    <row r="24" spans="1:34" ht="24.95" customHeight="1" x14ac:dyDescent="0.15">
      <c r="A24" s="120" t="s">
        <v>245</v>
      </c>
      <c r="B24" s="120" t="s">
        <v>295</v>
      </c>
      <c r="C24" s="142" t="str">
        <f>IF(T24="","存续","到期")</f>
        <v>到期</v>
      </c>
      <c r="D24" s="100" t="s">
        <v>266</v>
      </c>
      <c r="E24" s="142" t="s">
        <v>137</v>
      </c>
      <c r="F24" s="48">
        <v>43461</v>
      </c>
      <c r="G24" s="48">
        <v>43692</v>
      </c>
      <c r="H24" s="142" t="s">
        <v>752</v>
      </c>
      <c r="I24" s="142" t="s">
        <v>222</v>
      </c>
      <c r="J24" s="142" t="s">
        <v>25</v>
      </c>
      <c r="K24" s="104">
        <f>2130*5</f>
        <v>10650</v>
      </c>
      <c r="L24" s="104">
        <v>8260</v>
      </c>
      <c r="M24" s="104">
        <v>8260</v>
      </c>
      <c r="N24" s="104">
        <f t="shared" si="8"/>
        <v>455.36</v>
      </c>
      <c r="O24" s="104">
        <v>4849584</v>
      </c>
      <c r="P24" s="101" t="s">
        <v>456</v>
      </c>
      <c r="Q24" s="101" t="s">
        <v>315</v>
      </c>
      <c r="R24" s="104">
        <v>455.7</v>
      </c>
      <c r="S24" s="104">
        <f>-R24*K24</f>
        <v>-4853205</v>
      </c>
      <c r="T24" s="48">
        <v>43468</v>
      </c>
      <c r="U24" s="104"/>
      <c r="V24" s="104"/>
      <c r="W24" s="48"/>
      <c r="X24" s="104">
        <f>IF(I24="买入",S24-O24,O24+S24)</f>
        <v>-3621</v>
      </c>
      <c r="Y24" s="197">
        <f>M24*K24</f>
        <v>87969000</v>
      </c>
      <c r="Z24" s="142"/>
      <c r="AA24" s="142"/>
      <c r="AB24" s="202"/>
      <c r="AC24" s="322">
        <v>0.17963000000000001</v>
      </c>
      <c r="AD24" s="316"/>
      <c r="AE24" s="313"/>
      <c r="AF24" s="105"/>
    </row>
    <row r="25" spans="1:34" ht="24.95" customHeight="1" x14ac:dyDescent="0.15">
      <c r="A25" s="120" t="s">
        <v>245</v>
      </c>
      <c r="B25" s="142" t="s">
        <v>295</v>
      </c>
      <c r="C25" s="142" t="str">
        <f>IF(T25="","存续","到期")</f>
        <v>到期</v>
      </c>
      <c r="D25" s="100" t="s">
        <v>266</v>
      </c>
      <c r="E25" s="142" t="s">
        <v>137</v>
      </c>
      <c r="F25" s="48">
        <v>43461</v>
      </c>
      <c r="G25" s="48">
        <v>43490</v>
      </c>
      <c r="H25" s="142" t="s">
        <v>752</v>
      </c>
      <c r="I25" s="142" t="s">
        <v>316</v>
      </c>
      <c r="J25" s="142" t="s">
        <v>22</v>
      </c>
      <c r="K25" s="104">
        <f>720*5</f>
        <v>3600</v>
      </c>
      <c r="L25" s="104">
        <v>8260</v>
      </c>
      <c r="M25" s="104">
        <v>8260</v>
      </c>
      <c r="N25" s="104">
        <f t="shared" si="8"/>
        <v>164.57</v>
      </c>
      <c r="O25" s="104">
        <f>1184904/2</f>
        <v>592452</v>
      </c>
      <c r="P25" s="101" t="s">
        <v>456</v>
      </c>
      <c r="Q25" s="101" t="s">
        <v>315</v>
      </c>
      <c r="R25" s="104">
        <v>148.69999999999999</v>
      </c>
      <c r="S25" s="104">
        <f>R25*K25</f>
        <v>535320</v>
      </c>
      <c r="T25" s="48">
        <v>43468</v>
      </c>
      <c r="U25" s="104"/>
      <c r="V25" s="104"/>
      <c r="W25" s="48"/>
      <c r="X25" s="104">
        <f>IF(I25="买入",S25-O25,O25+S25)</f>
        <v>-57132</v>
      </c>
      <c r="Y25" s="197">
        <f>M25*K25</f>
        <v>29736000</v>
      </c>
      <c r="Z25" s="142"/>
      <c r="AA25" s="142"/>
      <c r="AB25" s="202"/>
      <c r="AC25" s="322">
        <v>0.17965</v>
      </c>
      <c r="AD25" s="316"/>
      <c r="AE25" s="313"/>
      <c r="AF25" s="105"/>
    </row>
    <row r="26" spans="1:34" ht="24.95" customHeight="1" x14ac:dyDescent="0.15">
      <c r="A26" s="120" t="s">
        <v>245</v>
      </c>
      <c r="B26" s="142" t="s">
        <v>295</v>
      </c>
      <c r="C26" s="142" t="str">
        <f>IF(T26="","存续","到期")</f>
        <v>到期</v>
      </c>
      <c r="D26" s="100" t="s">
        <v>266</v>
      </c>
      <c r="E26" s="142" t="s">
        <v>137</v>
      </c>
      <c r="F26" s="48">
        <v>43461</v>
      </c>
      <c r="G26" s="48">
        <v>43490</v>
      </c>
      <c r="H26" s="142" t="s">
        <v>752</v>
      </c>
      <c r="I26" s="142" t="s">
        <v>316</v>
      </c>
      <c r="J26" s="142" t="s">
        <v>25</v>
      </c>
      <c r="K26" s="104">
        <f>720*5</f>
        <v>3600</v>
      </c>
      <c r="L26" s="104">
        <v>8260</v>
      </c>
      <c r="M26" s="104">
        <v>8260</v>
      </c>
      <c r="N26" s="104">
        <f t="shared" si="8"/>
        <v>164.57</v>
      </c>
      <c r="O26" s="104">
        <f>1184904/2</f>
        <v>592452</v>
      </c>
      <c r="P26" s="101" t="s">
        <v>456</v>
      </c>
      <c r="Q26" s="101" t="str">
        <f t="shared" ref="Q26:Q34" si="9">P26&amp;"-L"</f>
        <v>GTJA181227-PP-L</v>
      </c>
      <c r="R26" s="104">
        <v>164.88</v>
      </c>
      <c r="S26" s="104">
        <f>R26*K26</f>
        <v>593568</v>
      </c>
      <c r="T26" s="48">
        <v>43468</v>
      </c>
      <c r="U26" s="104"/>
      <c r="V26" s="104"/>
      <c r="W26" s="48"/>
      <c r="X26" s="104">
        <f>IF(I26="买入",S26-O26,O26+S26)</f>
        <v>1116</v>
      </c>
      <c r="Y26" s="197">
        <f>M26*K26</f>
        <v>29736000</v>
      </c>
      <c r="Z26" s="142"/>
      <c r="AA26" s="142"/>
      <c r="AB26" s="202"/>
      <c r="AC26" s="322">
        <v>0.18692</v>
      </c>
      <c r="AD26" s="316"/>
      <c r="AE26" s="313"/>
      <c r="AF26" s="105"/>
    </row>
    <row r="27" spans="1:34" ht="24.95" customHeight="1" x14ac:dyDescent="0.15">
      <c r="A27" s="120" t="s">
        <v>244</v>
      </c>
      <c r="B27" s="142" t="s">
        <v>297</v>
      </c>
      <c r="C27" s="142" t="str">
        <f t="shared" ref="C27:C42" si="10">IF(W27="","存续","到期")</f>
        <v>到期</v>
      </c>
      <c r="D27" s="123" t="s">
        <v>1839</v>
      </c>
      <c r="E27" s="142" t="s">
        <v>137</v>
      </c>
      <c r="F27" s="48">
        <v>43462</v>
      </c>
      <c r="G27" s="48">
        <v>43493</v>
      </c>
      <c r="H27" s="48" t="s">
        <v>751</v>
      </c>
      <c r="I27" s="48" t="s">
        <v>21</v>
      </c>
      <c r="J27" s="142" t="s">
        <v>22</v>
      </c>
      <c r="K27" s="104">
        <v>1000</v>
      </c>
      <c r="L27" s="104">
        <v>6445</v>
      </c>
      <c r="M27" s="104">
        <f>L27</f>
        <v>6445</v>
      </c>
      <c r="N27" s="104">
        <v>111.11</v>
      </c>
      <c r="O27" s="104">
        <f t="shared" ref="O27:O64" si="11">N27*K27</f>
        <v>111110</v>
      </c>
      <c r="P27" s="101" t="s">
        <v>662</v>
      </c>
      <c r="Q27" s="101" t="str">
        <f t="shared" si="9"/>
        <v>JFHC011-L</v>
      </c>
      <c r="R27" s="104"/>
      <c r="S27" s="104"/>
      <c r="T27" s="48"/>
      <c r="U27" s="104">
        <v>6465</v>
      </c>
      <c r="V27" s="104">
        <f>(L27-U27)*K27</f>
        <v>-20000</v>
      </c>
      <c r="W27" s="48">
        <v>43493</v>
      </c>
      <c r="X27" s="104">
        <f t="shared" ref="X27:X42" si="12">IF(I27="买入",V27-O27,V27+O27)</f>
        <v>91110</v>
      </c>
      <c r="Y27" s="197">
        <f>K27*M27</f>
        <v>6445000</v>
      </c>
      <c r="Z27" s="142"/>
      <c r="AA27" s="142"/>
      <c r="AB27" s="202"/>
      <c r="AC27" s="322">
        <v>0.1555</v>
      </c>
      <c r="AD27" s="316"/>
      <c r="AE27" s="313"/>
      <c r="AF27" s="105"/>
      <c r="AG27" s="108" t="s">
        <v>1425</v>
      </c>
      <c r="AH27" s="108" t="s">
        <v>1424</v>
      </c>
    </row>
    <row r="28" spans="1:34" ht="24.95" customHeight="1" x14ac:dyDescent="0.15">
      <c r="A28" s="120" t="s">
        <v>244</v>
      </c>
      <c r="B28" s="142" t="s">
        <v>764</v>
      </c>
      <c r="C28" s="142" t="str">
        <f t="shared" si="10"/>
        <v>到期</v>
      </c>
      <c r="D28" s="123" t="s">
        <v>1839</v>
      </c>
      <c r="E28" s="142" t="s">
        <v>137</v>
      </c>
      <c r="F28" s="48">
        <v>43462</v>
      </c>
      <c r="G28" s="48">
        <v>43493</v>
      </c>
      <c r="H28" s="48" t="s">
        <v>751</v>
      </c>
      <c r="I28" s="48" t="s">
        <v>21</v>
      </c>
      <c r="J28" s="142" t="s">
        <v>25</v>
      </c>
      <c r="K28" s="104">
        <v>1000</v>
      </c>
      <c r="L28" s="104">
        <v>6445</v>
      </c>
      <c r="M28" s="104">
        <f>L28</f>
        <v>6445</v>
      </c>
      <c r="N28" s="104">
        <v>111.11</v>
      </c>
      <c r="O28" s="104">
        <f t="shared" si="11"/>
        <v>111110</v>
      </c>
      <c r="P28" s="101" t="s">
        <v>662</v>
      </c>
      <c r="Q28" s="101" t="str">
        <f t="shared" si="9"/>
        <v>JFHC011-L</v>
      </c>
      <c r="R28" s="104"/>
      <c r="S28" s="104"/>
      <c r="T28" s="48"/>
      <c r="U28" s="104">
        <v>6465</v>
      </c>
      <c r="V28" s="104">
        <v>0</v>
      </c>
      <c r="W28" s="48">
        <v>43493</v>
      </c>
      <c r="X28" s="104">
        <f t="shared" si="12"/>
        <v>111110</v>
      </c>
      <c r="Y28" s="197">
        <f>K28*M28</f>
        <v>6445000</v>
      </c>
      <c r="Z28" s="142"/>
      <c r="AA28" s="142"/>
      <c r="AB28" s="202"/>
      <c r="AC28" s="322">
        <v>0.1555</v>
      </c>
      <c r="AD28" s="316"/>
      <c r="AE28" s="313"/>
      <c r="AF28" s="105"/>
      <c r="AG28" s="108" t="s">
        <v>1422</v>
      </c>
      <c r="AH28" s="108" t="s">
        <v>1423</v>
      </c>
    </row>
    <row r="29" spans="1:34" ht="24.95" customHeight="1" x14ac:dyDescent="0.15">
      <c r="A29" s="120" t="s">
        <v>893</v>
      </c>
      <c r="B29" s="142" t="s">
        <v>764</v>
      </c>
      <c r="C29" s="120" t="str">
        <f t="shared" si="10"/>
        <v>到期</v>
      </c>
      <c r="D29" s="103" t="s">
        <v>1841</v>
      </c>
      <c r="E29" s="121" t="s">
        <v>298</v>
      </c>
      <c r="F29" s="48">
        <v>43467</v>
      </c>
      <c r="G29" s="48">
        <v>43495</v>
      </c>
      <c r="H29" s="48" t="s">
        <v>1013</v>
      </c>
      <c r="I29" s="48" t="s">
        <v>222</v>
      </c>
      <c r="J29" s="142" t="s">
        <v>56</v>
      </c>
      <c r="K29" s="104">
        <v>200</v>
      </c>
      <c r="L29" s="104">
        <v>50130</v>
      </c>
      <c r="M29" s="104">
        <v>47870</v>
      </c>
      <c r="N29" s="104">
        <f t="shared" ref="N29:N38" si="13">397.36/2</f>
        <v>198.68</v>
      </c>
      <c r="O29" s="104">
        <f t="shared" si="11"/>
        <v>39736</v>
      </c>
      <c r="P29" s="101" t="s">
        <v>235</v>
      </c>
      <c r="Q29" s="101" t="str">
        <f t="shared" si="9"/>
        <v>OTC-C00001-L</v>
      </c>
      <c r="R29" s="104"/>
      <c r="S29" s="104"/>
      <c r="T29" s="48"/>
      <c r="U29" s="104">
        <v>47700</v>
      </c>
      <c r="V29" s="104">
        <v>0</v>
      </c>
      <c r="W29" s="48">
        <f t="shared" ref="W29:W38" si="14">G29</f>
        <v>43495</v>
      </c>
      <c r="X29" s="104">
        <f t="shared" si="12"/>
        <v>39736</v>
      </c>
      <c r="Y29" s="197">
        <f t="shared" ref="Y29:Y56" si="15">K29*M29</f>
        <v>9574000</v>
      </c>
      <c r="Z29" s="143" t="str">
        <f t="shared" ref="Z29:Z45" si="16">D29&amp;H29&amp;"-"&amp;AA29</f>
        <v>江苏亨通高压海缆有限公司cu1903-买入第1期</v>
      </c>
      <c r="AA29" s="142" t="s">
        <v>742</v>
      </c>
      <c r="AB29" s="202"/>
      <c r="AC29" s="205">
        <v>0.152</v>
      </c>
      <c r="AD29" s="205">
        <v>0.152</v>
      </c>
      <c r="AE29" s="313"/>
      <c r="AF29" s="105"/>
    </row>
    <row r="30" spans="1:34" ht="24.95" customHeight="1" x14ac:dyDescent="0.15">
      <c r="A30" s="120" t="s">
        <v>893</v>
      </c>
      <c r="B30" s="142" t="s">
        <v>764</v>
      </c>
      <c r="C30" s="120" t="str">
        <f t="shared" si="10"/>
        <v>到期</v>
      </c>
      <c r="D30" s="103" t="s">
        <v>1841</v>
      </c>
      <c r="E30" s="121" t="s">
        <v>298</v>
      </c>
      <c r="F30" s="48">
        <v>43467</v>
      </c>
      <c r="G30" s="48">
        <v>43495</v>
      </c>
      <c r="H30" s="48" t="s">
        <v>1013</v>
      </c>
      <c r="I30" s="48" t="s">
        <v>222</v>
      </c>
      <c r="J30" s="142" t="s">
        <v>59</v>
      </c>
      <c r="K30" s="104">
        <v>200</v>
      </c>
      <c r="L30" s="104">
        <v>46300</v>
      </c>
      <c r="M30" s="104">
        <v>47870</v>
      </c>
      <c r="N30" s="104">
        <f t="shared" si="13"/>
        <v>198.68</v>
      </c>
      <c r="O30" s="104">
        <f t="shared" si="11"/>
        <v>39736</v>
      </c>
      <c r="P30" s="101" t="s">
        <v>235</v>
      </c>
      <c r="Q30" s="101" t="str">
        <f t="shared" si="9"/>
        <v>OTC-C00001-L</v>
      </c>
      <c r="R30" s="104"/>
      <c r="S30" s="104"/>
      <c r="T30" s="48"/>
      <c r="U30" s="104">
        <v>47700</v>
      </c>
      <c r="V30" s="104">
        <v>0</v>
      </c>
      <c r="W30" s="48">
        <f t="shared" si="14"/>
        <v>43495</v>
      </c>
      <c r="X30" s="104">
        <f t="shared" si="12"/>
        <v>39736</v>
      </c>
      <c r="Y30" s="197">
        <f t="shared" si="15"/>
        <v>9574000</v>
      </c>
      <c r="Z30" s="143" t="str">
        <f t="shared" si="16"/>
        <v>江苏亨通高压海缆有限公司cu1903-买入第1期</v>
      </c>
      <c r="AA30" s="142" t="s">
        <v>742</v>
      </c>
      <c r="AB30" s="202"/>
      <c r="AC30" s="205">
        <v>0.152</v>
      </c>
      <c r="AD30" s="205">
        <v>0.152</v>
      </c>
      <c r="AE30" s="313"/>
      <c r="AF30" s="105"/>
    </row>
    <row r="31" spans="1:34" ht="24.95" customHeight="1" x14ac:dyDescent="0.15">
      <c r="A31" s="120" t="s">
        <v>894</v>
      </c>
      <c r="B31" s="142" t="s">
        <v>297</v>
      </c>
      <c r="C31" s="120" t="str">
        <f t="shared" si="10"/>
        <v>到期</v>
      </c>
      <c r="D31" s="103" t="s">
        <v>1842</v>
      </c>
      <c r="E31" s="121" t="s">
        <v>298</v>
      </c>
      <c r="F31" s="48">
        <v>43467</v>
      </c>
      <c r="G31" s="48">
        <v>43495</v>
      </c>
      <c r="H31" s="48" t="s">
        <v>1013</v>
      </c>
      <c r="I31" s="48" t="s">
        <v>222</v>
      </c>
      <c r="J31" s="142" t="s">
        <v>56</v>
      </c>
      <c r="K31" s="104">
        <v>200</v>
      </c>
      <c r="L31" s="104">
        <v>50130</v>
      </c>
      <c r="M31" s="104">
        <v>47870</v>
      </c>
      <c r="N31" s="104">
        <f t="shared" si="13"/>
        <v>198.68</v>
      </c>
      <c r="O31" s="104">
        <f t="shared" si="11"/>
        <v>39736</v>
      </c>
      <c r="P31" s="101" t="s">
        <v>237</v>
      </c>
      <c r="Q31" s="101" t="str">
        <f t="shared" si="9"/>
        <v>OTC-C00002-L</v>
      </c>
      <c r="R31" s="104"/>
      <c r="S31" s="104"/>
      <c r="T31" s="48"/>
      <c r="U31" s="104">
        <v>47700</v>
      </c>
      <c r="V31" s="104">
        <v>0</v>
      </c>
      <c r="W31" s="48">
        <f t="shared" si="14"/>
        <v>43495</v>
      </c>
      <c r="X31" s="104">
        <f t="shared" si="12"/>
        <v>39736</v>
      </c>
      <c r="Y31" s="197">
        <f t="shared" si="15"/>
        <v>9574000</v>
      </c>
      <c r="Z31" s="143" t="str">
        <f t="shared" si="16"/>
        <v>亨通集团上海贸易有限公司cu1903-买入第1期</v>
      </c>
      <c r="AA31" s="142" t="s">
        <v>742</v>
      </c>
      <c r="AB31" s="202"/>
      <c r="AC31" s="205">
        <v>0.152</v>
      </c>
      <c r="AD31" s="205">
        <v>0.152</v>
      </c>
      <c r="AE31" s="313"/>
      <c r="AF31" s="105"/>
    </row>
    <row r="32" spans="1:34" ht="24.95" customHeight="1" x14ac:dyDescent="0.15">
      <c r="A32" s="142" t="s">
        <v>248</v>
      </c>
      <c r="B32" s="142" t="s">
        <v>764</v>
      </c>
      <c r="C32" s="120" t="str">
        <f t="shared" si="10"/>
        <v>到期</v>
      </c>
      <c r="D32" s="103" t="s">
        <v>1842</v>
      </c>
      <c r="E32" s="121" t="s">
        <v>298</v>
      </c>
      <c r="F32" s="48">
        <v>43467</v>
      </c>
      <c r="G32" s="48">
        <v>43495</v>
      </c>
      <c r="H32" s="48" t="s">
        <v>1013</v>
      </c>
      <c r="I32" s="48" t="s">
        <v>222</v>
      </c>
      <c r="J32" s="142" t="s">
        <v>59</v>
      </c>
      <c r="K32" s="104">
        <v>200</v>
      </c>
      <c r="L32" s="104">
        <v>46300</v>
      </c>
      <c r="M32" s="104">
        <v>47870</v>
      </c>
      <c r="N32" s="104">
        <f t="shared" si="13"/>
        <v>198.68</v>
      </c>
      <c r="O32" s="104">
        <f t="shared" si="11"/>
        <v>39736</v>
      </c>
      <c r="P32" s="101" t="s">
        <v>237</v>
      </c>
      <c r="Q32" s="101" t="str">
        <f t="shared" si="9"/>
        <v>OTC-C00002-L</v>
      </c>
      <c r="R32" s="104"/>
      <c r="S32" s="104"/>
      <c r="T32" s="48"/>
      <c r="U32" s="104">
        <v>47700</v>
      </c>
      <c r="V32" s="104">
        <v>0</v>
      </c>
      <c r="W32" s="48">
        <f t="shared" si="14"/>
        <v>43495</v>
      </c>
      <c r="X32" s="104">
        <f t="shared" si="12"/>
        <v>39736</v>
      </c>
      <c r="Y32" s="197">
        <f t="shared" si="15"/>
        <v>9574000</v>
      </c>
      <c r="Z32" s="143" t="str">
        <f t="shared" si="16"/>
        <v>亨通集团上海贸易有限公司cu1903-买入第1期</v>
      </c>
      <c r="AA32" s="142" t="s">
        <v>742</v>
      </c>
      <c r="AB32" s="202"/>
      <c r="AC32" s="205">
        <v>0.152</v>
      </c>
      <c r="AD32" s="205">
        <v>0.152</v>
      </c>
      <c r="AE32" s="313"/>
      <c r="AF32" s="105"/>
    </row>
    <row r="33" spans="1:34" ht="24.95" customHeight="1" x14ac:dyDescent="0.15">
      <c r="A33" s="142" t="s">
        <v>894</v>
      </c>
      <c r="B33" s="142" t="s">
        <v>764</v>
      </c>
      <c r="C33" s="120" t="str">
        <f t="shared" si="10"/>
        <v>到期</v>
      </c>
      <c r="D33" s="103" t="s">
        <v>1843</v>
      </c>
      <c r="E33" s="121" t="s">
        <v>298</v>
      </c>
      <c r="F33" s="48">
        <v>43467</v>
      </c>
      <c r="G33" s="48">
        <v>43495</v>
      </c>
      <c r="H33" s="48" t="s">
        <v>1013</v>
      </c>
      <c r="I33" s="48" t="s">
        <v>222</v>
      </c>
      <c r="J33" s="142" t="s">
        <v>56</v>
      </c>
      <c r="K33" s="104">
        <v>200</v>
      </c>
      <c r="L33" s="104">
        <v>50130</v>
      </c>
      <c r="M33" s="104">
        <v>47870</v>
      </c>
      <c r="N33" s="104">
        <f t="shared" si="13"/>
        <v>198.68</v>
      </c>
      <c r="O33" s="104">
        <f t="shared" si="11"/>
        <v>39736</v>
      </c>
      <c r="P33" s="101" t="s">
        <v>458</v>
      </c>
      <c r="Q33" s="101" t="str">
        <f t="shared" si="9"/>
        <v>OTC-C00003-L</v>
      </c>
      <c r="R33" s="104"/>
      <c r="S33" s="104"/>
      <c r="T33" s="48"/>
      <c r="U33" s="104">
        <v>47700</v>
      </c>
      <c r="V33" s="104">
        <v>0</v>
      </c>
      <c r="W33" s="48">
        <f t="shared" si="14"/>
        <v>43495</v>
      </c>
      <c r="X33" s="104">
        <f t="shared" si="12"/>
        <v>39736</v>
      </c>
      <c r="Y33" s="197">
        <f t="shared" si="15"/>
        <v>9574000</v>
      </c>
      <c r="Z33" s="143" t="str">
        <f t="shared" si="16"/>
        <v>江苏亨通线缆科技有限公司cu1903-买入第1期</v>
      </c>
      <c r="AA33" s="142" t="s">
        <v>742</v>
      </c>
      <c r="AB33" s="202"/>
      <c r="AC33" s="205">
        <v>0.152</v>
      </c>
      <c r="AD33" s="205">
        <v>0.152</v>
      </c>
      <c r="AE33" s="313"/>
      <c r="AF33" s="105"/>
    </row>
    <row r="34" spans="1:34" ht="24.95" customHeight="1" x14ac:dyDescent="0.15">
      <c r="A34" s="142" t="s">
        <v>248</v>
      </c>
      <c r="B34" s="142" t="s">
        <v>297</v>
      </c>
      <c r="C34" s="120" t="str">
        <f t="shared" si="10"/>
        <v>到期</v>
      </c>
      <c r="D34" s="103" t="s">
        <v>1843</v>
      </c>
      <c r="E34" s="121" t="s">
        <v>298</v>
      </c>
      <c r="F34" s="48">
        <v>43467</v>
      </c>
      <c r="G34" s="48">
        <v>43495</v>
      </c>
      <c r="H34" s="48" t="s">
        <v>1013</v>
      </c>
      <c r="I34" s="48" t="s">
        <v>222</v>
      </c>
      <c r="J34" s="142" t="s">
        <v>59</v>
      </c>
      <c r="K34" s="104">
        <v>200</v>
      </c>
      <c r="L34" s="104">
        <v>46300</v>
      </c>
      <c r="M34" s="104">
        <v>47870</v>
      </c>
      <c r="N34" s="104">
        <f t="shared" si="13"/>
        <v>198.68</v>
      </c>
      <c r="O34" s="104">
        <f t="shared" si="11"/>
        <v>39736</v>
      </c>
      <c r="P34" s="101" t="s">
        <v>459</v>
      </c>
      <c r="Q34" s="101" t="str">
        <f t="shared" si="9"/>
        <v>OTC-C00003-L</v>
      </c>
      <c r="R34" s="104"/>
      <c r="S34" s="104"/>
      <c r="T34" s="48"/>
      <c r="U34" s="104">
        <v>47700</v>
      </c>
      <c r="V34" s="104">
        <v>0</v>
      </c>
      <c r="W34" s="48">
        <f t="shared" si="14"/>
        <v>43495</v>
      </c>
      <c r="X34" s="104">
        <f t="shared" si="12"/>
        <v>39736</v>
      </c>
      <c r="Y34" s="197">
        <f t="shared" si="15"/>
        <v>9574000</v>
      </c>
      <c r="Z34" s="143" t="str">
        <f t="shared" si="16"/>
        <v>江苏亨通线缆科技有限公司cu1903-买入第1期</v>
      </c>
      <c r="AA34" s="142" t="s">
        <v>742</v>
      </c>
      <c r="AB34" s="202"/>
      <c r="AC34" s="205">
        <v>0.152</v>
      </c>
      <c r="AD34" s="205">
        <v>0.152</v>
      </c>
      <c r="AE34" s="313"/>
      <c r="AF34" s="105"/>
    </row>
    <row r="35" spans="1:34" ht="24.95" customHeight="1" x14ac:dyDescent="0.15">
      <c r="A35" s="142" t="s">
        <v>248</v>
      </c>
      <c r="B35" s="142" t="s">
        <v>297</v>
      </c>
      <c r="C35" s="120" t="str">
        <f t="shared" si="10"/>
        <v>到期</v>
      </c>
      <c r="D35" s="103" t="s">
        <v>1844</v>
      </c>
      <c r="E35" s="121" t="s">
        <v>298</v>
      </c>
      <c r="F35" s="48">
        <v>43467</v>
      </c>
      <c r="G35" s="48">
        <v>43495</v>
      </c>
      <c r="H35" s="48" t="s">
        <v>1013</v>
      </c>
      <c r="I35" s="48" t="s">
        <v>222</v>
      </c>
      <c r="J35" s="142" t="s">
        <v>56</v>
      </c>
      <c r="K35" s="104">
        <v>200</v>
      </c>
      <c r="L35" s="104">
        <v>50130</v>
      </c>
      <c r="M35" s="104">
        <v>47870</v>
      </c>
      <c r="N35" s="104">
        <f t="shared" si="13"/>
        <v>198.68</v>
      </c>
      <c r="O35" s="104">
        <f t="shared" si="11"/>
        <v>39736</v>
      </c>
      <c r="P35" s="101" t="s">
        <v>239</v>
      </c>
      <c r="Q35" s="101" t="s">
        <v>460</v>
      </c>
      <c r="R35" s="104"/>
      <c r="S35" s="104"/>
      <c r="T35" s="48"/>
      <c r="U35" s="104">
        <v>47700</v>
      </c>
      <c r="V35" s="104">
        <v>0</v>
      </c>
      <c r="W35" s="48">
        <f t="shared" si="14"/>
        <v>43495</v>
      </c>
      <c r="X35" s="104">
        <f t="shared" si="12"/>
        <v>39736</v>
      </c>
      <c r="Y35" s="197">
        <f t="shared" si="15"/>
        <v>9574000</v>
      </c>
      <c r="Z35" s="143" t="str">
        <f t="shared" si="16"/>
        <v>江苏亨通精工金属材料有限公司cu1903-买入第1期</v>
      </c>
      <c r="AA35" s="142" t="s">
        <v>742</v>
      </c>
      <c r="AB35" s="202"/>
      <c r="AC35" s="205">
        <v>0.152</v>
      </c>
      <c r="AD35" s="205">
        <v>0.152</v>
      </c>
      <c r="AE35" s="313"/>
      <c r="AF35" s="105"/>
    </row>
    <row r="36" spans="1:34" ht="24.95" customHeight="1" x14ac:dyDescent="0.15">
      <c r="A36" s="142" t="s">
        <v>894</v>
      </c>
      <c r="B36" s="142" t="s">
        <v>297</v>
      </c>
      <c r="C36" s="120" t="str">
        <f t="shared" si="10"/>
        <v>到期</v>
      </c>
      <c r="D36" s="103" t="s">
        <v>1844</v>
      </c>
      <c r="E36" s="121" t="s">
        <v>298</v>
      </c>
      <c r="F36" s="48">
        <v>43467</v>
      </c>
      <c r="G36" s="48">
        <v>43495</v>
      </c>
      <c r="H36" s="48" t="s">
        <v>1013</v>
      </c>
      <c r="I36" s="48" t="s">
        <v>222</v>
      </c>
      <c r="J36" s="142" t="s">
        <v>59</v>
      </c>
      <c r="K36" s="104">
        <v>200</v>
      </c>
      <c r="L36" s="104">
        <v>46300</v>
      </c>
      <c r="M36" s="104">
        <v>47870</v>
      </c>
      <c r="N36" s="104">
        <f t="shared" si="13"/>
        <v>198.68</v>
      </c>
      <c r="O36" s="104">
        <f t="shared" si="11"/>
        <v>39736</v>
      </c>
      <c r="P36" s="101" t="s">
        <v>239</v>
      </c>
      <c r="Q36" s="101" t="s">
        <v>285</v>
      </c>
      <c r="R36" s="104"/>
      <c r="S36" s="104"/>
      <c r="T36" s="48"/>
      <c r="U36" s="104">
        <v>47700</v>
      </c>
      <c r="V36" s="104">
        <v>0</v>
      </c>
      <c r="W36" s="48">
        <f t="shared" si="14"/>
        <v>43495</v>
      </c>
      <c r="X36" s="104">
        <f t="shared" si="12"/>
        <v>39736</v>
      </c>
      <c r="Y36" s="197">
        <f t="shared" si="15"/>
        <v>9574000</v>
      </c>
      <c r="Z36" s="143" t="str">
        <f t="shared" si="16"/>
        <v>江苏亨通精工金属材料有限公司cu1903-买入第1期</v>
      </c>
      <c r="AA36" s="142" t="s">
        <v>742</v>
      </c>
      <c r="AB36" s="202"/>
      <c r="AC36" s="205">
        <v>0.152</v>
      </c>
      <c r="AD36" s="205">
        <v>0.152</v>
      </c>
      <c r="AE36" s="313"/>
      <c r="AF36" s="105"/>
    </row>
    <row r="37" spans="1:34" ht="24.95" customHeight="1" x14ac:dyDescent="0.15">
      <c r="A37" s="142" t="s">
        <v>893</v>
      </c>
      <c r="B37" s="142" t="s">
        <v>764</v>
      </c>
      <c r="C37" s="120" t="str">
        <f t="shared" si="10"/>
        <v>到期</v>
      </c>
      <c r="D37" s="103" t="s">
        <v>1845</v>
      </c>
      <c r="E37" s="121" t="s">
        <v>298</v>
      </c>
      <c r="F37" s="48">
        <v>43467</v>
      </c>
      <c r="G37" s="48">
        <v>43495</v>
      </c>
      <c r="H37" s="48" t="s">
        <v>1013</v>
      </c>
      <c r="I37" s="48" t="s">
        <v>222</v>
      </c>
      <c r="J37" s="142" t="s">
        <v>56</v>
      </c>
      <c r="K37" s="104">
        <v>200</v>
      </c>
      <c r="L37" s="104">
        <v>50130</v>
      </c>
      <c r="M37" s="104">
        <v>47870</v>
      </c>
      <c r="N37" s="104">
        <f t="shared" si="13"/>
        <v>198.68</v>
      </c>
      <c r="O37" s="104">
        <f t="shared" si="11"/>
        <v>39736</v>
      </c>
      <c r="P37" s="101" t="s">
        <v>240</v>
      </c>
      <c r="Q37" s="101" t="s">
        <v>461</v>
      </c>
      <c r="R37" s="104"/>
      <c r="S37" s="104"/>
      <c r="T37" s="48"/>
      <c r="U37" s="104">
        <v>47700</v>
      </c>
      <c r="V37" s="104">
        <v>0</v>
      </c>
      <c r="W37" s="48">
        <f t="shared" si="14"/>
        <v>43495</v>
      </c>
      <c r="X37" s="104">
        <f t="shared" si="12"/>
        <v>39736</v>
      </c>
      <c r="Y37" s="197">
        <f t="shared" si="15"/>
        <v>9574000</v>
      </c>
      <c r="Z37" s="143" t="str">
        <f t="shared" si="16"/>
        <v>江苏亨通电力电缆有限公司cu1903-买入第1期</v>
      </c>
      <c r="AA37" s="142" t="s">
        <v>742</v>
      </c>
      <c r="AB37" s="202"/>
      <c r="AC37" s="205">
        <v>0.152</v>
      </c>
      <c r="AD37" s="205">
        <v>0.152</v>
      </c>
      <c r="AE37" s="313"/>
      <c r="AF37" s="105"/>
    </row>
    <row r="38" spans="1:34" ht="24.95" customHeight="1" x14ac:dyDescent="0.15">
      <c r="A38" s="142" t="s">
        <v>248</v>
      </c>
      <c r="B38" s="142" t="s">
        <v>764</v>
      </c>
      <c r="C38" s="120" t="str">
        <f t="shared" si="10"/>
        <v>到期</v>
      </c>
      <c r="D38" s="103" t="s">
        <v>1845</v>
      </c>
      <c r="E38" s="121" t="s">
        <v>298</v>
      </c>
      <c r="F38" s="48">
        <v>43467</v>
      </c>
      <c r="G38" s="48">
        <v>43495</v>
      </c>
      <c r="H38" s="48" t="s">
        <v>1013</v>
      </c>
      <c r="I38" s="48" t="s">
        <v>222</v>
      </c>
      <c r="J38" s="142" t="s">
        <v>59</v>
      </c>
      <c r="K38" s="104">
        <v>200</v>
      </c>
      <c r="L38" s="104">
        <v>46300</v>
      </c>
      <c r="M38" s="104">
        <v>47870</v>
      </c>
      <c r="N38" s="104">
        <f t="shared" si="13"/>
        <v>198.68</v>
      </c>
      <c r="O38" s="104">
        <f t="shared" si="11"/>
        <v>39736</v>
      </c>
      <c r="P38" s="101" t="s">
        <v>240</v>
      </c>
      <c r="Q38" s="101" t="s">
        <v>286</v>
      </c>
      <c r="R38" s="104"/>
      <c r="S38" s="104"/>
      <c r="T38" s="48"/>
      <c r="U38" s="104">
        <v>47700</v>
      </c>
      <c r="V38" s="104">
        <v>0</v>
      </c>
      <c r="W38" s="48">
        <f t="shared" si="14"/>
        <v>43495</v>
      </c>
      <c r="X38" s="104">
        <f t="shared" si="12"/>
        <v>39736</v>
      </c>
      <c r="Y38" s="197">
        <f t="shared" si="15"/>
        <v>9574000</v>
      </c>
      <c r="Z38" s="143" t="str">
        <f t="shared" si="16"/>
        <v>江苏亨通电力电缆有限公司cu1903-买入第1期</v>
      </c>
      <c r="AA38" s="142" t="s">
        <v>742</v>
      </c>
      <c r="AB38" s="202"/>
      <c r="AC38" s="205">
        <v>0.152</v>
      </c>
      <c r="AD38" s="205">
        <v>0.152</v>
      </c>
      <c r="AE38" s="313"/>
      <c r="AF38" s="105"/>
    </row>
    <row r="39" spans="1:34" ht="24.95" customHeight="1" x14ac:dyDescent="0.15">
      <c r="A39" s="142" t="s">
        <v>244</v>
      </c>
      <c r="B39" s="142" t="s">
        <v>297</v>
      </c>
      <c r="C39" s="142" t="str">
        <f t="shared" si="10"/>
        <v>到期</v>
      </c>
      <c r="D39" s="123" t="s">
        <v>1839</v>
      </c>
      <c r="E39" s="142" t="s">
        <v>137</v>
      </c>
      <c r="F39" s="48">
        <v>43467</v>
      </c>
      <c r="G39" s="48">
        <v>43497</v>
      </c>
      <c r="H39" s="143" t="s">
        <v>270</v>
      </c>
      <c r="I39" s="48" t="s">
        <v>21</v>
      </c>
      <c r="J39" s="142" t="s">
        <v>22</v>
      </c>
      <c r="K39" s="104">
        <v>30000</v>
      </c>
      <c r="L39" s="104">
        <v>372</v>
      </c>
      <c r="M39" s="104">
        <v>372</v>
      </c>
      <c r="N39" s="104">
        <v>16</v>
      </c>
      <c r="O39" s="104">
        <f t="shared" si="11"/>
        <v>480000</v>
      </c>
      <c r="P39" s="101" t="s">
        <v>236</v>
      </c>
      <c r="Q39" s="101" t="s">
        <v>303</v>
      </c>
      <c r="R39" s="104"/>
      <c r="S39" s="104"/>
      <c r="T39" s="48"/>
      <c r="U39" s="104">
        <v>423.2</v>
      </c>
      <c r="V39" s="104">
        <f>-(U39-L39)*K39</f>
        <v>-1535999.9999999998</v>
      </c>
      <c r="W39" s="48">
        <v>43497</v>
      </c>
      <c r="X39" s="104">
        <f t="shared" si="12"/>
        <v>-1055999.9999999998</v>
      </c>
      <c r="Y39" s="197">
        <f t="shared" si="15"/>
        <v>11160000</v>
      </c>
      <c r="Z39" s="143" t="str">
        <f t="shared" si="16"/>
        <v>济凡汇川私募证券投资基金sc1903-买入</v>
      </c>
      <c r="AA39" s="143" t="str">
        <f t="shared" ref="AA39:AA42" si="17">IF(I39="买入","卖出","买入")</f>
        <v>买入</v>
      </c>
      <c r="AB39" s="203"/>
      <c r="AC39" s="321">
        <v>0.36180000000000001</v>
      </c>
      <c r="AD39" s="319"/>
      <c r="AE39" s="314"/>
      <c r="AF39" s="105"/>
      <c r="AG39" s="108" t="s">
        <v>1428</v>
      </c>
      <c r="AH39" s="108" t="s">
        <v>1427</v>
      </c>
    </row>
    <row r="40" spans="1:34" ht="24.95" customHeight="1" x14ac:dyDescent="0.15">
      <c r="A40" s="142" t="s">
        <v>244</v>
      </c>
      <c r="B40" s="142" t="s">
        <v>764</v>
      </c>
      <c r="C40" s="142" t="str">
        <f t="shared" si="10"/>
        <v>到期</v>
      </c>
      <c r="D40" s="123" t="s">
        <v>1839</v>
      </c>
      <c r="E40" s="142" t="s">
        <v>137</v>
      </c>
      <c r="F40" s="48">
        <v>43467</v>
      </c>
      <c r="G40" s="48">
        <v>43497</v>
      </c>
      <c r="H40" s="143" t="s">
        <v>270</v>
      </c>
      <c r="I40" s="48" t="s">
        <v>21</v>
      </c>
      <c r="J40" s="142" t="s">
        <v>25</v>
      </c>
      <c r="K40" s="104">
        <v>30000</v>
      </c>
      <c r="L40" s="104">
        <v>372</v>
      </c>
      <c r="M40" s="104">
        <v>372</v>
      </c>
      <c r="N40" s="104">
        <v>16</v>
      </c>
      <c r="O40" s="104">
        <f t="shared" si="11"/>
        <v>480000</v>
      </c>
      <c r="P40" s="101" t="s">
        <v>236</v>
      </c>
      <c r="Q40" s="101" t="s">
        <v>303</v>
      </c>
      <c r="R40" s="104"/>
      <c r="S40" s="104"/>
      <c r="T40" s="48"/>
      <c r="U40" s="104">
        <v>423.2</v>
      </c>
      <c r="V40" s="104">
        <v>0</v>
      </c>
      <c r="W40" s="48">
        <v>43497</v>
      </c>
      <c r="X40" s="104">
        <f t="shared" si="12"/>
        <v>480000</v>
      </c>
      <c r="Y40" s="197">
        <f t="shared" si="15"/>
        <v>11160000</v>
      </c>
      <c r="Z40" s="143" t="str">
        <f t="shared" si="16"/>
        <v>济凡汇川私募证券投资基金sc1903-买入</v>
      </c>
      <c r="AA40" s="143" t="str">
        <f t="shared" si="17"/>
        <v>买入</v>
      </c>
      <c r="AB40" s="203"/>
      <c r="AC40" s="321">
        <v>0.36180000000000001</v>
      </c>
      <c r="AD40" s="319"/>
      <c r="AE40" s="314"/>
      <c r="AF40" s="105"/>
      <c r="AG40" s="108" t="s">
        <v>1426</v>
      </c>
      <c r="AH40" s="108" t="s">
        <v>1427</v>
      </c>
    </row>
    <row r="41" spans="1:34" ht="24.95" customHeight="1" x14ac:dyDescent="0.15">
      <c r="A41" s="142" t="s">
        <v>244</v>
      </c>
      <c r="B41" s="142" t="s">
        <v>295</v>
      </c>
      <c r="C41" s="142" t="str">
        <f t="shared" si="10"/>
        <v>到期</v>
      </c>
      <c r="D41" s="123" t="s">
        <v>1846</v>
      </c>
      <c r="E41" s="142" t="s">
        <v>137</v>
      </c>
      <c r="F41" s="48">
        <v>43469</v>
      </c>
      <c r="G41" s="48">
        <v>43511</v>
      </c>
      <c r="H41" s="143" t="s">
        <v>270</v>
      </c>
      <c r="I41" s="142" t="s">
        <v>241</v>
      </c>
      <c r="J41" s="142" t="s">
        <v>22</v>
      </c>
      <c r="K41" s="104">
        <v>2000</v>
      </c>
      <c r="L41" s="104">
        <v>415.6</v>
      </c>
      <c r="M41" s="104">
        <v>395.8</v>
      </c>
      <c r="N41" s="104">
        <v>12.67</v>
      </c>
      <c r="O41" s="104">
        <f t="shared" si="11"/>
        <v>25340</v>
      </c>
      <c r="P41" s="101" t="s">
        <v>260</v>
      </c>
      <c r="Q41" s="101" t="s">
        <v>615</v>
      </c>
      <c r="R41" s="104"/>
      <c r="S41" s="104"/>
      <c r="T41" s="48"/>
      <c r="U41" s="104">
        <v>444.3</v>
      </c>
      <c r="V41" s="104">
        <f>(U41-L41)*K41</f>
        <v>57399.999999999978</v>
      </c>
      <c r="W41" s="48">
        <v>43511</v>
      </c>
      <c r="X41" s="104">
        <f t="shared" si="12"/>
        <v>32059.999999999978</v>
      </c>
      <c r="Y41" s="197">
        <f t="shared" si="15"/>
        <v>791600</v>
      </c>
      <c r="Z41" s="143" t="str">
        <f t="shared" si="16"/>
        <v>华泰长城资本管理有限公司sc1903-卖出</v>
      </c>
      <c r="AA41" s="143" t="str">
        <f t="shared" si="17"/>
        <v>卖出</v>
      </c>
      <c r="AB41" s="203"/>
      <c r="AC41" s="321">
        <v>0.41</v>
      </c>
      <c r="AD41" s="319"/>
      <c r="AE41" s="314"/>
      <c r="AF41" s="105"/>
    </row>
    <row r="42" spans="1:34" ht="24.95" customHeight="1" x14ac:dyDescent="0.15">
      <c r="A42" s="142" t="s">
        <v>244</v>
      </c>
      <c r="B42" s="142" t="s">
        <v>295</v>
      </c>
      <c r="C42" s="142" t="str">
        <f t="shared" si="10"/>
        <v>到期</v>
      </c>
      <c r="D42" s="123" t="s">
        <v>1846</v>
      </c>
      <c r="E42" s="142" t="s">
        <v>137</v>
      </c>
      <c r="F42" s="48">
        <v>43469</v>
      </c>
      <c r="G42" s="48">
        <v>43511</v>
      </c>
      <c r="H42" s="143" t="s">
        <v>270</v>
      </c>
      <c r="I42" s="142" t="s">
        <v>241</v>
      </c>
      <c r="J42" s="142" t="s">
        <v>25</v>
      </c>
      <c r="K42" s="104">
        <v>2000</v>
      </c>
      <c r="L42" s="104">
        <v>376</v>
      </c>
      <c r="M42" s="104">
        <v>395.8</v>
      </c>
      <c r="N42" s="104">
        <v>11.87</v>
      </c>
      <c r="O42" s="104">
        <f t="shared" si="11"/>
        <v>23740</v>
      </c>
      <c r="P42" s="101" t="s">
        <v>431</v>
      </c>
      <c r="Q42" s="101" t="s">
        <v>615</v>
      </c>
      <c r="R42" s="104"/>
      <c r="S42" s="104"/>
      <c r="T42" s="48"/>
      <c r="U42" s="104">
        <v>444.3</v>
      </c>
      <c r="V42" s="104">
        <v>0</v>
      </c>
      <c r="W42" s="48">
        <v>43511</v>
      </c>
      <c r="X42" s="104">
        <f t="shared" si="12"/>
        <v>-23740</v>
      </c>
      <c r="Y42" s="197">
        <f t="shared" si="15"/>
        <v>791600</v>
      </c>
      <c r="Z42" s="143" t="str">
        <f t="shared" si="16"/>
        <v>华泰长城资本管理有限公司sc1903-卖出</v>
      </c>
      <c r="AA42" s="143" t="str">
        <f t="shared" si="17"/>
        <v>卖出</v>
      </c>
      <c r="AB42" s="203"/>
      <c r="AC42" s="321">
        <v>0.41</v>
      </c>
      <c r="AD42" s="319"/>
      <c r="AE42" s="314"/>
      <c r="AF42" s="105"/>
    </row>
    <row r="43" spans="1:34" ht="24.95" customHeight="1" x14ac:dyDescent="0.15">
      <c r="A43" s="142" t="s">
        <v>244</v>
      </c>
      <c r="B43" s="142" t="s">
        <v>295</v>
      </c>
      <c r="C43" s="142" t="str">
        <f>IF(T43="","存续","到期")</f>
        <v>到期</v>
      </c>
      <c r="D43" s="123" t="s">
        <v>1846</v>
      </c>
      <c r="E43" s="142" t="s">
        <v>137</v>
      </c>
      <c r="F43" s="48">
        <v>43473</v>
      </c>
      <c r="G43" s="48">
        <v>43518</v>
      </c>
      <c r="H43" s="143" t="s">
        <v>336</v>
      </c>
      <c r="I43" s="142" t="s">
        <v>241</v>
      </c>
      <c r="J43" s="142" t="s">
        <v>22</v>
      </c>
      <c r="K43" s="105">
        <v>5000</v>
      </c>
      <c r="L43" s="105">
        <v>301.61</v>
      </c>
      <c r="M43" s="105">
        <v>287.25</v>
      </c>
      <c r="N43" s="105">
        <v>0.49</v>
      </c>
      <c r="O43" s="105">
        <f t="shared" si="11"/>
        <v>2450</v>
      </c>
      <c r="P43" s="101" t="s">
        <v>430</v>
      </c>
      <c r="Q43" s="101" t="s">
        <v>313</v>
      </c>
      <c r="R43" s="104">
        <v>0.13</v>
      </c>
      <c r="S43" s="104">
        <f>R43*K43</f>
        <v>650</v>
      </c>
      <c r="T43" s="48">
        <v>43495</v>
      </c>
      <c r="U43" s="104"/>
      <c r="V43" s="104"/>
      <c r="W43" s="48"/>
      <c r="X43" s="104">
        <f>IF(I43="买入",S43-O43,O43+S43)</f>
        <v>-1800</v>
      </c>
      <c r="Y43" s="197">
        <f t="shared" si="15"/>
        <v>1436250</v>
      </c>
      <c r="Z43" s="143" t="str">
        <f t="shared" si="16"/>
        <v>华泰长城资本管理有限公司au1906-卖出</v>
      </c>
      <c r="AA43" s="143" t="str">
        <f>IF(I43="买入","卖出","买入")</f>
        <v>卖出</v>
      </c>
      <c r="AB43" s="203"/>
      <c r="AC43" s="321">
        <v>0.112</v>
      </c>
      <c r="AD43" s="319"/>
      <c r="AE43" s="314"/>
      <c r="AF43" s="105"/>
    </row>
    <row r="44" spans="1:34" ht="24.95" customHeight="1" x14ac:dyDescent="0.15">
      <c r="A44" s="142" t="s">
        <v>244</v>
      </c>
      <c r="B44" s="142" t="s">
        <v>295</v>
      </c>
      <c r="C44" s="142" t="str">
        <f>IF(T44="","存续","到期")</f>
        <v>到期</v>
      </c>
      <c r="D44" s="123" t="s">
        <v>1846</v>
      </c>
      <c r="E44" s="142" t="s">
        <v>137</v>
      </c>
      <c r="F44" s="48">
        <v>43473</v>
      </c>
      <c r="G44" s="48">
        <v>43518</v>
      </c>
      <c r="H44" s="143" t="s">
        <v>336</v>
      </c>
      <c r="I44" s="142" t="s">
        <v>241</v>
      </c>
      <c r="J44" s="142" t="s">
        <v>25</v>
      </c>
      <c r="K44" s="105">
        <v>5000</v>
      </c>
      <c r="L44" s="105">
        <v>272.89</v>
      </c>
      <c r="M44" s="105">
        <v>287.25</v>
      </c>
      <c r="N44" s="105">
        <v>0.4</v>
      </c>
      <c r="O44" s="105">
        <f t="shared" si="11"/>
        <v>2000</v>
      </c>
      <c r="P44" s="101" t="s">
        <v>429</v>
      </c>
      <c r="Q44" s="101" t="s">
        <v>567</v>
      </c>
      <c r="R44" s="104">
        <v>0.09</v>
      </c>
      <c r="S44" s="104">
        <f>R44*K44</f>
        <v>450</v>
      </c>
      <c r="T44" s="48">
        <v>43495</v>
      </c>
      <c r="U44" s="104"/>
      <c r="V44" s="104"/>
      <c r="W44" s="48"/>
      <c r="X44" s="104">
        <f>IF(I44="买入",S44-O44,O44+S44)</f>
        <v>-1550</v>
      </c>
      <c r="Y44" s="197">
        <f t="shared" si="15"/>
        <v>1436250</v>
      </c>
      <c r="Z44" s="143" t="str">
        <f t="shared" si="16"/>
        <v>华泰长城资本管理有限公司au1906-卖出</v>
      </c>
      <c r="AA44" s="143" t="str">
        <f>IF(I44="买入","卖出","买入")</f>
        <v>卖出</v>
      </c>
      <c r="AB44" s="203"/>
      <c r="AC44" s="321">
        <v>0.112</v>
      </c>
      <c r="AD44" s="319"/>
      <c r="AE44" s="314"/>
      <c r="AF44" s="105"/>
    </row>
    <row r="45" spans="1:34" ht="24.95" customHeight="1" x14ac:dyDescent="0.15">
      <c r="A45" s="142" t="s">
        <v>244</v>
      </c>
      <c r="B45" s="142" t="s">
        <v>764</v>
      </c>
      <c r="C45" s="142" t="str">
        <f>IF(T45="","存续","到期")</f>
        <v>到期</v>
      </c>
      <c r="D45" s="123" t="s">
        <v>1847</v>
      </c>
      <c r="E45" s="142" t="s">
        <v>298</v>
      </c>
      <c r="F45" s="48">
        <v>43473</v>
      </c>
      <c r="G45" s="48">
        <v>43507</v>
      </c>
      <c r="H45" s="143" t="s">
        <v>755</v>
      </c>
      <c r="I45" s="142" t="s">
        <v>241</v>
      </c>
      <c r="J45" s="142" t="s">
        <v>22</v>
      </c>
      <c r="K45" s="105">
        <v>10</v>
      </c>
      <c r="L45" s="105">
        <v>8595</v>
      </c>
      <c r="M45" s="105">
        <v>8595</v>
      </c>
      <c r="N45" s="105">
        <v>163.31</v>
      </c>
      <c r="O45" s="105">
        <f t="shared" si="11"/>
        <v>1633.1</v>
      </c>
      <c r="P45" s="101" t="s">
        <v>758</v>
      </c>
      <c r="Q45" s="101" t="s">
        <v>759</v>
      </c>
      <c r="R45" s="105">
        <v>170</v>
      </c>
      <c r="S45" s="104">
        <f>R45*K45</f>
        <v>1700</v>
      </c>
      <c r="T45" s="48" t="s">
        <v>328</v>
      </c>
      <c r="U45" s="113"/>
      <c r="V45" s="104"/>
      <c r="W45" s="48"/>
      <c r="X45" s="104">
        <f>IF(I45="买入",S45-O45,O45+S45)</f>
        <v>66.900000000000091</v>
      </c>
      <c r="Y45" s="197">
        <f t="shared" si="15"/>
        <v>85950</v>
      </c>
      <c r="Z45" s="143" t="str">
        <f t="shared" si="16"/>
        <v>句容新程塑料包装有限公司l1905-卖出</v>
      </c>
      <c r="AA45" s="143" t="str">
        <f>IF(I45="买入","卖出","买入")</f>
        <v>卖出</v>
      </c>
      <c r="AB45" s="203"/>
      <c r="AC45" s="321">
        <v>0.11799999999999999</v>
      </c>
      <c r="AD45" s="319"/>
      <c r="AE45" s="314"/>
      <c r="AF45" s="105"/>
    </row>
    <row r="46" spans="1:34" ht="24.95" customHeight="1" x14ac:dyDescent="0.15">
      <c r="A46" s="142" t="s">
        <v>244</v>
      </c>
      <c r="B46" s="142" t="s">
        <v>764</v>
      </c>
      <c r="C46" s="142" t="str">
        <f t="shared" ref="C46:C109" si="18">IF(W46="","存续","到期")</f>
        <v>到期</v>
      </c>
      <c r="D46" s="123" t="s">
        <v>1847</v>
      </c>
      <c r="E46" s="142" t="s">
        <v>298</v>
      </c>
      <c r="F46" s="48">
        <v>43473</v>
      </c>
      <c r="G46" s="48">
        <v>43563</v>
      </c>
      <c r="H46" s="143" t="s">
        <v>755</v>
      </c>
      <c r="I46" s="142" t="s">
        <v>241</v>
      </c>
      <c r="J46" s="142" t="s">
        <v>22</v>
      </c>
      <c r="K46" s="105">
        <v>10</v>
      </c>
      <c r="L46" s="105">
        <v>8595</v>
      </c>
      <c r="M46" s="105">
        <v>8595</v>
      </c>
      <c r="N46" s="105">
        <v>296.52999999999997</v>
      </c>
      <c r="O46" s="105">
        <f t="shared" si="11"/>
        <v>2965.2999999999997</v>
      </c>
      <c r="P46" s="101" t="s">
        <v>758</v>
      </c>
      <c r="Q46" s="101" t="s">
        <v>409</v>
      </c>
      <c r="R46" s="105"/>
      <c r="S46" s="105"/>
      <c r="T46" s="144"/>
      <c r="U46" s="105">
        <v>8610</v>
      </c>
      <c r="V46" s="104">
        <f>(U46-L46)*K46</f>
        <v>150</v>
      </c>
      <c r="W46" s="48">
        <f>G46</f>
        <v>43563</v>
      </c>
      <c r="X46" s="104">
        <f t="shared" ref="X46:X109" si="19">IF(I46="买入",V46-O46,V46+O46)</f>
        <v>-2815.2999999999997</v>
      </c>
      <c r="Y46" s="197">
        <f t="shared" si="15"/>
        <v>85950</v>
      </c>
      <c r="Z46" s="143" t="str">
        <f>D46&amp;H46&amp;"-"&amp;AA46</f>
        <v>句容新程塑料包装有限公司l1905-卖出</v>
      </c>
      <c r="AA46" s="143" t="str">
        <f>IF(I46="买入","卖出","买入")</f>
        <v>卖出</v>
      </c>
      <c r="AB46" s="203"/>
      <c r="AC46" s="321">
        <v>0.112</v>
      </c>
      <c r="AD46" s="319"/>
      <c r="AE46" s="314"/>
      <c r="AF46" s="105"/>
    </row>
    <row r="47" spans="1:34" ht="24.95" customHeight="1" x14ac:dyDescent="0.15">
      <c r="A47" s="142" t="s">
        <v>274</v>
      </c>
      <c r="B47" s="142" t="s">
        <v>764</v>
      </c>
      <c r="C47" s="142" t="str">
        <f t="shared" si="18"/>
        <v>到期</v>
      </c>
      <c r="D47" s="103" t="s">
        <v>1841</v>
      </c>
      <c r="E47" s="142" t="s">
        <v>298</v>
      </c>
      <c r="F47" s="48">
        <v>43473</v>
      </c>
      <c r="G47" s="48">
        <v>43507</v>
      </c>
      <c r="H47" s="48" t="s">
        <v>1013</v>
      </c>
      <c r="I47" s="48" t="s">
        <v>222</v>
      </c>
      <c r="J47" s="142" t="s">
        <v>56</v>
      </c>
      <c r="K47" s="104">
        <v>200</v>
      </c>
      <c r="L47" s="104">
        <v>49890</v>
      </c>
      <c r="M47" s="104">
        <v>47400</v>
      </c>
      <c r="N47" s="104">
        <f t="shared" ref="N47:N56" si="20">393.46/2</f>
        <v>196.73</v>
      </c>
      <c r="O47" s="104">
        <f t="shared" si="11"/>
        <v>39346</v>
      </c>
      <c r="P47" s="101" t="s">
        <v>462</v>
      </c>
      <c r="Q47" s="101" t="s">
        <v>385</v>
      </c>
      <c r="R47" s="104"/>
      <c r="S47" s="104"/>
      <c r="T47" s="48"/>
      <c r="U47" s="104">
        <v>48190</v>
      </c>
      <c r="V47" s="104">
        <v>0</v>
      </c>
      <c r="W47" s="48">
        <v>43507</v>
      </c>
      <c r="X47" s="104">
        <f t="shared" si="19"/>
        <v>39346</v>
      </c>
      <c r="Y47" s="197">
        <f t="shared" si="15"/>
        <v>9480000</v>
      </c>
      <c r="Z47" s="143" t="str">
        <f t="shared" ref="Z47:Z61" si="21">D47&amp;H47&amp;"-"&amp;AA47</f>
        <v>江苏亨通高压海缆有限公司cu1903-买入第2期</v>
      </c>
      <c r="AA47" s="142" t="s">
        <v>743</v>
      </c>
      <c r="AB47" s="202"/>
      <c r="AC47" s="321">
        <v>0.152</v>
      </c>
      <c r="AD47" s="205">
        <v>0.152</v>
      </c>
      <c r="AE47" s="313"/>
      <c r="AF47" s="105"/>
    </row>
    <row r="48" spans="1:34" ht="24.95" customHeight="1" x14ac:dyDescent="0.15">
      <c r="A48" s="142" t="s">
        <v>274</v>
      </c>
      <c r="B48" s="142" t="s">
        <v>764</v>
      </c>
      <c r="C48" s="142" t="str">
        <f t="shared" si="18"/>
        <v>到期</v>
      </c>
      <c r="D48" s="103" t="s">
        <v>1841</v>
      </c>
      <c r="E48" s="142" t="s">
        <v>298</v>
      </c>
      <c r="F48" s="48">
        <v>43473</v>
      </c>
      <c r="G48" s="48">
        <v>43507</v>
      </c>
      <c r="H48" s="48" t="s">
        <v>1013</v>
      </c>
      <c r="I48" s="48" t="s">
        <v>222</v>
      </c>
      <c r="J48" s="142" t="s">
        <v>59</v>
      </c>
      <c r="K48" s="104">
        <v>200</v>
      </c>
      <c r="L48" s="104">
        <v>46100</v>
      </c>
      <c r="M48" s="104">
        <v>47400</v>
      </c>
      <c r="N48" s="104">
        <f t="shared" si="20"/>
        <v>196.73</v>
      </c>
      <c r="O48" s="104">
        <f t="shared" si="11"/>
        <v>39346</v>
      </c>
      <c r="P48" s="101" t="s">
        <v>462</v>
      </c>
      <c r="Q48" s="101" t="s">
        <v>385</v>
      </c>
      <c r="R48" s="104"/>
      <c r="S48" s="104"/>
      <c r="T48" s="48"/>
      <c r="U48" s="104">
        <v>48190</v>
      </c>
      <c r="V48" s="104">
        <v>0</v>
      </c>
      <c r="W48" s="48">
        <v>43507</v>
      </c>
      <c r="X48" s="104">
        <f t="shared" si="19"/>
        <v>39346</v>
      </c>
      <c r="Y48" s="197">
        <f t="shared" si="15"/>
        <v>9480000</v>
      </c>
      <c r="Z48" s="143" t="str">
        <f t="shared" si="21"/>
        <v>江苏亨通高压海缆有限公司cu1903-买入第2期</v>
      </c>
      <c r="AA48" s="142" t="s">
        <v>743</v>
      </c>
      <c r="AB48" s="202"/>
      <c r="AC48" s="321">
        <v>0.152</v>
      </c>
      <c r="AD48" s="205">
        <v>0.152</v>
      </c>
      <c r="AE48" s="313"/>
      <c r="AF48" s="105"/>
    </row>
    <row r="49" spans="1:34" ht="24.95" customHeight="1" x14ac:dyDescent="0.15">
      <c r="A49" s="142" t="s">
        <v>274</v>
      </c>
      <c r="B49" s="142" t="s">
        <v>764</v>
      </c>
      <c r="C49" s="142" t="str">
        <f t="shared" si="18"/>
        <v>到期</v>
      </c>
      <c r="D49" s="103" t="s">
        <v>1842</v>
      </c>
      <c r="E49" s="142" t="s">
        <v>298</v>
      </c>
      <c r="F49" s="48">
        <v>43473</v>
      </c>
      <c r="G49" s="48">
        <v>43507</v>
      </c>
      <c r="H49" s="48" t="s">
        <v>1013</v>
      </c>
      <c r="I49" s="48" t="s">
        <v>222</v>
      </c>
      <c r="J49" s="142" t="s">
        <v>56</v>
      </c>
      <c r="K49" s="104">
        <v>200</v>
      </c>
      <c r="L49" s="104">
        <v>49890</v>
      </c>
      <c r="M49" s="104">
        <v>47400</v>
      </c>
      <c r="N49" s="104">
        <f t="shared" si="20"/>
        <v>196.73</v>
      </c>
      <c r="O49" s="104">
        <f t="shared" si="11"/>
        <v>39346</v>
      </c>
      <c r="P49" s="101" t="s">
        <v>384</v>
      </c>
      <c r="Q49" s="101" t="s">
        <v>386</v>
      </c>
      <c r="R49" s="104"/>
      <c r="S49" s="104"/>
      <c r="T49" s="48"/>
      <c r="U49" s="104">
        <v>48190</v>
      </c>
      <c r="V49" s="104">
        <v>0</v>
      </c>
      <c r="W49" s="48">
        <v>43507</v>
      </c>
      <c r="X49" s="104">
        <f t="shared" si="19"/>
        <v>39346</v>
      </c>
      <c r="Y49" s="197">
        <f t="shared" si="15"/>
        <v>9480000</v>
      </c>
      <c r="Z49" s="143" t="str">
        <f t="shared" si="21"/>
        <v>亨通集团上海贸易有限公司cu1903-买入第2期</v>
      </c>
      <c r="AA49" s="142" t="s">
        <v>743</v>
      </c>
      <c r="AB49" s="202"/>
      <c r="AC49" s="321">
        <v>0.152</v>
      </c>
      <c r="AD49" s="205">
        <v>0.152</v>
      </c>
      <c r="AE49" s="313"/>
      <c r="AF49" s="105"/>
    </row>
    <row r="50" spans="1:34" ht="24.95" customHeight="1" x14ac:dyDescent="0.15">
      <c r="A50" s="142" t="s">
        <v>274</v>
      </c>
      <c r="B50" s="142" t="s">
        <v>764</v>
      </c>
      <c r="C50" s="142" t="str">
        <f t="shared" si="18"/>
        <v>到期</v>
      </c>
      <c r="D50" s="103" t="s">
        <v>1842</v>
      </c>
      <c r="E50" s="142" t="s">
        <v>298</v>
      </c>
      <c r="F50" s="48">
        <v>43473</v>
      </c>
      <c r="G50" s="48">
        <v>43507</v>
      </c>
      <c r="H50" s="48" t="s">
        <v>1013</v>
      </c>
      <c r="I50" s="48" t="s">
        <v>222</v>
      </c>
      <c r="J50" s="142" t="s">
        <v>59</v>
      </c>
      <c r="K50" s="104">
        <v>200</v>
      </c>
      <c r="L50" s="104">
        <v>46100</v>
      </c>
      <c r="M50" s="104">
        <v>47400</v>
      </c>
      <c r="N50" s="104">
        <f t="shared" si="20"/>
        <v>196.73</v>
      </c>
      <c r="O50" s="104">
        <f t="shared" si="11"/>
        <v>39346</v>
      </c>
      <c r="P50" s="101" t="s">
        <v>384</v>
      </c>
      <c r="Q50" s="101" t="s">
        <v>386</v>
      </c>
      <c r="R50" s="104"/>
      <c r="S50" s="104"/>
      <c r="T50" s="48"/>
      <c r="U50" s="104">
        <v>48190</v>
      </c>
      <c r="V50" s="104">
        <v>0</v>
      </c>
      <c r="W50" s="48">
        <v>43507</v>
      </c>
      <c r="X50" s="104">
        <f t="shared" si="19"/>
        <v>39346</v>
      </c>
      <c r="Y50" s="197">
        <f t="shared" si="15"/>
        <v>9480000</v>
      </c>
      <c r="Z50" s="143" t="str">
        <f t="shared" si="21"/>
        <v>亨通集团上海贸易有限公司cu1903-买入第2期</v>
      </c>
      <c r="AA50" s="142" t="s">
        <v>743</v>
      </c>
      <c r="AB50" s="202"/>
      <c r="AC50" s="321">
        <v>0.152</v>
      </c>
      <c r="AD50" s="205">
        <v>0.152</v>
      </c>
      <c r="AE50" s="313"/>
      <c r="AF50" s="105"/>
    </row>
    <row r="51" spans="1:34" ht="24.95" customHeight="1" x14ac:dyDescent="0.15">
      <c r="A51" s="142" t="s">
        <v>274</v>
      </c>
      <c r="B51" s="142" t="s">
        <v>764</v>
      </c>
      <c r="C51" s="142" t="str">
        <f t="shared" si="18"/>
        <v>到期</v>
      </c>
      <c r="D51" s="103" t="s">
        <v>1843</v>
      </c>
      <c r="E51" s="142" t="s">
        <v>298</v>
      </c>
      <c r="F51" s="48">
        <v>43473</v>
      </c>
      <c r="G51" s="48">
        <v>43507</v>
      </c>
      <c r="H51" s="48" t="s">
        <v>1013</v>
      </c>
      <c r="I51" s="48" t="s">
        <v>222</v>
      </c>
      <c r="J51" s="142" t="s">
        <v>56</v>
      </c>
      <c r="K51" s="104">
        <v>200</v>
      </c>
      <c r="L51" s="104">
        <v>49890</v>
      </c>
      <c r="M51" s="104">
        <v>47400</v>
      </c>
      <c r="N51" s="104">
        <f t="shared" si="20"/>
        <v>196.73</v>
      </c>
      <c r="O51" s="104">
        <f t="shared" si="11"/>
        <v>39346</v>
      </c>
      <c r="P51" s="101" t="s">
        <v>463</v>
      </c>
      <c r="Q51" s="101" t="s">
        <v>387</v>
      </c>
      <c r="R51" s="104"/>
      <c r="S51" s="104"/>
      <c r="T51" s="48"/>
      <c r="U51" s="104">
        <v>48190</v>
      </c>
      <c r="V51" s="104">
        <v>0</v>
      </c>
      <c r="W51" s="48">
        <v>43507</v>
      </c>
      <c r="X51" s="104">
        <f t="shared" si="19"/>
        <v>39346</v>
      </c>
      <c r="Y51" s="197">
        <f t="shared" si="15"/>
        <v>9480000</v>
      </c>
      <c r="Z51" s="143" t="str">
        <f t="shared" si="21"/>
        <v>江苏亨通线缆科技有限公司cu1903-买入第2期</v>
      </c>
      <c r="AA51" s="142" t="s">
        <v>743</v>
      </c>
      <c r="AB51" s="202"/>
      <c r="AC51" s="321">
        <v>0.152</v>
      </c>
      <c r="AD51" s="205">
        <v>0.152</v>
      </c>
      <c r="AE51" s="313"/>
      <c r="AF51" s="105"/>
    </row>
    <row r="52" spans="1:34" ht="24.95" customHeight="1" x14ac:dyDescent="0.15">
      <c r="A52" s="142" t="s">
        <v>274</v>
      </c>
      <c r="B52" s="142" t="s">
        <v>764</v>
      </c>
      <c r="C52" s="142" t="str">
        <f t="shared" si="18"/>
        <v>到期</v>
      </c>
      <c r="D52" s="103" t="s">
        <v>1843</v>
      </c>
      <c r="E52" s="142" t="s">
        <v>298</v>
      </c>
      <c r="F52" s="48">
        <v>43473</v>
      </c>
      <c r="G52" s="48">
        <v>43507</v>
      </c>
      <c r="H52" s="48" t="s">
        <v>1013</v>
      </c>
      <c r="I52" s="48" t="s">
        <v>222</v>
      </c>
      <c r="J52" s="142" t="s">
        <v>59</v>
      </c>
      <c r="K52" s="104">
        <v>200</v>
      </c>
      <c r="L52" s="104">
        <v>46100</v>
      </c>
      <c r="M52" s="104">
        <v>47400</v>
      </c>
      <c r="N52" s="104">
        <f t="shared" si="20"/>
        <v>196.73</v>
      </c>
      <c r="O52" s="104">
        <f t="shared" si="11"/>
        <v>39346</v>
      </c>
      <c r="P52" s="101" t="s">
        <v>261</v>
      </c>
      <c r="Q52" s="101" t="s">
        <v>387</v>
      </c>
      <c r="R52" s="104"/>
      <c r="S52" s="104"/>
      <c r="T52" s="48"/>
      <c r="U52" s="104">
        <v>48190</v>
      </c>
      <c r="V52" s="104">
        <v>0</v>
      </c>
      <c r="W52" s="48">
        <v>43507</v>
      </c>
      <c r="X52" s="104">
        <f t="shared" si="19"/>
        <v>39346</v>
      </c>
      <c r="Y52" s="197">
        <f t="shared" si="15"/>
        <v>9480000</v>
      </c>
      <c r="Z52" s="143" t="str">
        <f t="shared" si="21"/>
        <v>江苏亨通线缆科技有限公司cu1903-买入第2期</v>
      </c>
      <c r="AA52" s="142" t="s">
        <v>743</v>
      </c>
      <c r="AB52" s="202"/>
      <c r="AC52" s="321">
        <v>0.152</v>
      </c>
      <c r="AD52" s="205">
        <v>0.152</v>
      </c>
      <c r="AE52" s="313"/>
      <c r="AF52" s="105"/>
    </row>
    <row r="53" spans="1:34" ht="24.95" customHeight="1" x14ac:dyDescent="0.15">
      <c r="A53" s="142" t="s">
        <v>274</v>
      </c>
      <c r="B53" s="142" t="s">
        <v>764</v>
      </c>
      <c r="C53" s="142" t="str">
        <f t="shared" si="18"/>
        <v>到期</v>
      </c>
      <c r="D53" s="103" t="s">
        <v>1844</v>
      </c>
      <c r="E53" s="142" t="s">
        <v>298</v>
      </c>
      <c r="F53" s="48">
        <v>43473</v>
      </c>
      <c r="G53" s="48">
        <v>43507</v>
      </c>
      <c r="H53" s="48" t="s">
        <v>1013</v>
      </c>
      <c r="I53" s="48" t="s">
        <v>222</v>
      </c>
      <c r="J53" s="142" t="s">
        <v>56</v>
      </c>
      <c r="K53" s="104">
        <v>200</v>
      </c>
      <c r="L53" s="104">
        <v>49890</v>
      </c>
      <c r="M53" s="104">
        <v>47400</v>
      </c>
      <c r="N53" s="104">
        <f t="shared" si="20"/>
        <v>196.73</v>
      </c>
      <c r="O53" s="104">
        <f t="shared" si="11"/>
        <v>39346</v>
      </c>
      <c r="P53" s="101" t="s">
        <v>464</v>
      </c>
      <c r="Q53" s="101" t="s">
        <v>388</v>
      </c>
      <c r="R53" s="104"/>
      <c r="S53" s="104"/>
      <c r="T53" s="48"/>
      <c r="U53" s="104">
        <v>48190</v>
      </c>
      <c r="V53" s="104">
        <v>0</v>
      </c>
      <c r="W53" s="48">
        <v>43507</v>
      </c>
      <c r="X53" s="104">
        <f t="shared" si="19"/>
        <v>39346</v>
      </c>
      <c r="Y53" s="197">
        <f t="shared" si="15"/>
        <v>9480000</v>
      </c>
      <c r="Z53" s="143" t="str">
        <f t="shared" si="21"/>
        <v>江苏亨通精工金属材料有限公司cu1903-买入第2期</v>
      </c>
      <c r="AA53" s="142" t="s">
        <v>743</v>
      </c>
      <c r="AB53" s="202"/>
      <c r="AC53" s="321">
        <v>0.152</v>
      </c>
      <c r="AD53" s="205">
        <v>0.152</v>
      </c>
      <c r="AE53" s="313"/>
      <c r="AF53" s="105"/>
    </row>
    <row r="54" spans="1:34" ht="24.95" customHeight="1" x14ac:dyDescent="0.15">
      <c r="A54" s="142" t="s">
        <v>274</v>
      </c>
      <c r="B54" s="142" t="s">
        <v>764</v>
      </c>
      <c r="C54" s="142" t="str">
        <f t="shared" si="18"/>
        <v>到期</v>
      </c>
      <c r="D54" s="103" t="s">
        <v>1844</v>
      </c>
      <c r="E54" s="142" t="s">
        <v>298</v>
      </c>
      <c r="F54" s="48">
        <v>43473</v>
      </c>
      <c r="G54" s="48">
        <v>43507</v>
      </c>
      <c r="H54" s="48" t="s">
        <v>1013</v>
      </c>
      <c r="I54" s="48" t="s">
        <v>222</v>
      </c>
      <c r="J54" s="142" t="s">
        <v>59</v>
      </c>
      <c r="K54" s="104">
        <v>200</v>
      </c>
      <c r="L54" s="104">
        <v>46100</v>
      </c>
      <c r="M54" s="104">
        <v>47400</v>
      </c>
      <c r="N54" s="104">
        <f t="shared" si="20"/>
        <v>196.73</v>
      </c>
      <c r="O54" s="104">
        <f t="shared" si="11"/>
        <v>39346</v>
      </c>
      <c r="P54" s="101" t="s">
        <v>464</v>
      </c>
      <c r="Q54" s="101" t="s">
        <v>388</v>
      </c>
      <c r="R54" s="104"/>
      <c r="S54" s="104"/>
      <c r="T54" s="48"/>
      <c r="U54" s="104">
        <v>48190</v>
      </c>
      <c r="V54" s="104">
        <v>0</v>
      </c>
      <c r="W54" s="48">
        <v>43507</v>
      </c>
      <c r="X54" s="104">
        <f t="shared" si="19"/>
        <v>39346</v>
      </c>
      <c r="Y54" s="197">
        <f t="shared" si="15"/>
        <v>9480000</v>
      </c>
      <c r="Z54" s="143" t="str">
        <f t="shared" si="21"/>
        <v>江苏亨通精工金属材料有限公司cu1903-买入第2期</v>
      </c>
      <c r="AA54" s="142" t="s">
        <v>743</v>
      </c>
      <c r="AB54" s="202"/>
      <c r="AC54" s="321">
        <v>0.152</v>
      </c>
      <c r="AD54" s="205">
        <v>0.152</v>
      </c>
      <c r="AE54" s="313"/>
      <c r="AF54" s="105"/>
    </row>
    <row r="55" spans="1:34" ht="24.95" customHeight="1" x14ac:dyDescent="0.15">
      <c r="A55" s="142" t="s">
        <v>274</v>
      </c>
      <c r="B55" s="142" t="s">
        <v>764</v>
      </c>
      <c r="C55" s="142" t="str">
        <f t="shared" si="18"/>
        <v>到期</v>
      </c>
      <c r="D55" s="103" t="s">
        <v>1845</v>
      </c>
      <c r="E55" s="142" t="s">
        <v>298</v>
      </c>
      <c r="F55" s="48">
        <v>43473</v>
      </c>
      <c r="G55" s="48">
        <v>43507</v>
      </c>
      <c r="H55" s="48" t="s">
        <v>1013</v>
      </c>
      <c r="I55" s="48" t="s">
        <v>222</v>
      </c>
      <c r="J55" s="142" t="s">
        <v>56</v>
      </c>
      <c r="K55" s="104">
        <v>200</v>
      </c>
      <c r="L55" s="104">
        <v>49890</v>
      </c>
      <c r="M55" s="104">
        <v>47400</v>
      </c>
      <c r="N55" s="104">
        <f t="shared" si="20"/>
        <v>196.73</v>
      </c>
      <c r="O55" s="104">
        <f t="shared" si="11"/>
        <v>39346</v>
      </c>
      <c r="P55" s="101" t="s">
        <v>465</v>
      </c>
      <c r="Q55" s="101" t="s">
        <v>389</v>
      </c>
      <c r="R55" s="104"/>
      <c r="S55" s="104"/>
      <c r="T55" s="48"/>
      <c r="U55" s="104">
        <v>48190</v>
      </c>
      <c r="V55" s="104">
        <v>0</v>
      </c>
      <c r="W55" s="48">
        <v>43507</v>
      </c>
      <c r="X55" s="104">
        <f t="shared" si="19"/>
        <v>39346</v>
      </c>
      <c r="Y55" s="197">
        <f t="shared" si="15"/>
        <v>9480000</v>
      </c>
      <c r="Z55" s="143" t="str">
        <f t="shared" si="21"/>
        <v>江苏亨通电力电缆有限公司cu1903-买入第2期</v>
      </c>
      <c r="AA55" s="142" t="s">
        <v>743</v>
      </c>
      <c r="AB55" s="202"/>
      <c r="AC55" s="321">
        <v>0.152</v>
      </c>
      <c r="AD55" s="205">
        <v>0.152</v>
      </c>
      <c r="AE55" s="313"/>
      <c r="AF55" s="105"/>
    </row>
    <row r="56" spans="1:34" ht="24.95" customHeight="1" x14ac:dyDescent="0.15">
      <c r="A56" s="142" t="s">
        <v>274</v>
      </c>
      <c r="B56" s="142" t="s">
        <v>764</v>
      </c>
      <c r="C56" s="142" t="str">
        <f t="shared" si="18"/>
        <v>到期</v>
      </c>
      <c r="D56" s="103" t="s">
        <v>1845</v>
      </c>
      <c r="E56" s="142" t="s">
        <v>298</v>
      </c>
      <c r="F56" s="48">
        <v>43473</v>
      </c>
      <c r="G56" s="48">
        <v>43507</v>
      </c>
      <c r="H56" s="48" t="s">
        <v>1013</v>
      </c>
      <c r="I56" s="48" t="s">
        <v>222</v>
      </c>
      <c r="J56" s="142" t="s">
        <v>59</v>
      </c>
      <c r="K56" s="104">
        <v>200</v>
      </c>
      <c r="L56" s="104">
        <v>46100</v>
      </c>
      <c r="M56" s="104">
        <v>47400</v>
      </c>
      <c r="N56" s="104">
        <f t="shared" si="20"/>
        <v>196.73</v>
      </c>
      <c r="O56" s="104">
        <f t="shared" si="11"/>
        <v>39346</v>
      </c>
      <c r="P56" s="101" t="s">
        <v>465</v>
      </c>
      <c r="Q56" s="101" t="s">
        <v>389</v>
      </c>
      <c r="R56" s="104"/>
      <c r="S56" s="104"/>
      <c r="T56" s="48"/>
      <c r="U56" s="104">
        <v>48190</v>
      </c>
      <c r="V56" s="104">
        <v>0</v>
      </c>
      <c r="W56" s="48">
        <v>43507</v>
      </c>
      <c r="X56" s="104">
        <f t="shared" si="19"/>
        <v>39346</v>
      </c>
      <c r="Y56" s="197">
        <f t="shared" si="15"/>
        <v>9480000</v>
      </c>
      <c r="Z56" s="143" t="str">
        <f t="shared" si="21"/>
        <v>江苏亨通电力电缆有限公司cu1903-买入第2期</v>
      </c>
      <c r="AA56" s="142" t="s">
        <v>743</v>
      </c>
      <c r="AB56" s="202"/>
      <c r="AC56" s="321">
        <v>0.152</v>
      </c>
      <c r="AD56" s="205">
        <v>0.152</v>
      </c>
      <c r="AE56" s="313"/>
      <c r="AF56" s="105"/>
    </row>
    <row r="57" spans="1:34" ht="24.95" customHeight="1" x14ac:dyDescent="0.15">
      <c r="A57" s="142" t="s">
        <v>244</v>
      </c>
      <c r="B57" s="142" t="s">
        <v>764</v>
      </c>
      <c r="C57" s="142" t="str">
        <f t="shared" si="18"/>
        <v>到期</v>
      </c>
      <c r="D57" s="123" t="s">
        <v>1839</v>
      </c>
      <c r="E57" s="142" t="s">
        <v>137</v>
      </c>
      <c r="F57" s="48">
        <v>43474</v>
      </c>
      <c r="G57" s="48">
        <v>43497</v>
      </c>
      <c r="H57" s="48" t="s">
        <v>747</v>
      </c>
      <c r="I57" s="48" t="s">
        <v>21</v>
      </c>
      <c r="J57" s="142" t="s">
        <v>22</v>
      </c>
      <c r="K57" s="104">
        <v>4000</v>
      </c>
      <c r="L57" s="104">
        <v>2500</v>
      </c>
      <c r="M57" s="104">
        <v>2500</v>
      </c>
      <c r="N57" s="104">
        <v>68.75</v>
      </c>
      <c r="O57" s="104">
        <f t="shared" si="11"/>
        <v>275000</v>
      </c>
      <c r="P57" s="101" t="s">
        <v>663</v>
      </c>
      <c r="Q57" s="101" t="s">
        <v>664</v>
      </c>
      <c r="R57" s="104"/>
      <c r="S57" s="104"/>
      <c r="T57" s="48"/>
      <c r="U57" s="104">
        <v>2534</v>
      </c>
      <c r="V57" s="104">
        <f>(L57-U57)*K57</f>
        <v>-136000</v>
      </c>
      <c r="W57" s="48">
        <v>43497</v>
      </c>
      <c r="X57" s="104">
        <f t="shared" si="19"/>
        <v>139000</v>
      </c>
      <c r="Y57" s="197">
        <f>K57*M57</f>
        <v>10000000</v>
      </c>
      <c r="Z57" s="143" t="str">
        <f t="shared" si="21"/>
        <v>济凡汇川私募证券投资基金MA905-买入</v>
      </c>
      <c r="AA57" s="142" t="str">
        <f>IF(I57="买入","卖出","买入")</f>
        <v>买入</v>
      </c>
      <c r="AB57" s="202"/>
      <c r="AC57" s="321">
        <v>0.26800000000000002</v>
      </c>
      <c r="AD57" s="316"/>
      <c r="AE57" s="313"/>
      <c r="AF57" s="105"/>
      <c r="AG57" s="108" t="s">
        <v>1431</v>
      </c>
      <c r="AH57" s="108" t="s">
        <v>1430</v>
      </c>
    </row>
    <row r="58" spans="1:34" ht="24.95" customHeight="1" x14ac:dyDescent="0.15">
      <c r="A58" s="142" t="s">
        <v>244</v>
      </c>
      <c r="B58" s="142" t="s">
        <v>764</v>
      </c>
      <c r="C58" s="142" t="str">
        <f t="shared" si="18"/>
        <v>到期</v>
      </c>
      <c r="D58" s="123" t="s">
        <v>1839</v>
      </c>
      <c r="E58" s="142" t="s">
        <v>137</v>
      </c>
      <c r="F58" s="48">
        <v>43474</v>
      </c>
      <c r="G58" s="48">
        <v>43497</v>
      </c>
      <c r="H58" s="48" t="s">
        <v>747</v>
      </c>
      <c r="I58" s="48" t="s">
        <v>21</v>
      </c>
      <c r="J58" s="142" t="s">
        <v>25</v>
      </c>
      <c r="K58" s="104">
        <v>4000</v>
      </c>
      <c r="L58" s="104">
        <v>2500</v>
      </c>
      <c r="M58" s="104">
        <v>2500</v>
      </c>
      <c r="N58" s="104">
        <v>68.75</v>
      </c>
      <c r="O58" s="104">
        <f t="shared" si="11"/>
        <v>275000</v>
      </c>
      <c r="P58" s="101" t="s">
        <v>663</v>
      </c>
      <c r="Q58" s="101" t="s">
        <v>665</v>
      </c>
      <c r="R58" s="104"/>
      <c r="S58" s="104"/>
      <c r="T58" s="48"/>
      <c r="U58" s="104">
        <v>2534</v>
      </c>
      <c r="V58" s="104">
        <v>0</v>
      </c>
      <c r="W58" s="48">
        <v>43497</v>
      </c>
      <c r="X58" s="104">
        <f t="shared" si="19"/>
        <v>275000</v>
      </c>
      <c r="Y58" s="197">
        <f>K58*M58</f>
        <v>10000000</v>
      </c>
      <c r="Z58" s="143" t="str">
        <f t="shared" si="21"/>
        <v>济凡汇川私募证券投资基金MA905-买入</v>
      </c>
      <c r="AA58" s="142" t="str">
        <f t="shared" ref="AA58:AA62" si="22">IF(I58="买入","卖出","买入")</f>
        <v>买入</v>
      </c>
      <c r="AB58" s="202"/>
      <c r="AC58" s="321">
        <v>0.26800000000000002</v>
      </c>
      <c r="AD58" s="316"/>
      <c r="AE58" s="313"/>
      <c r="AF58" s="105"/>
      <c r="AG58" s="108" t="s">
        <v>1429</v>
      </c>
      <c r="AH58" s="108" t="s">
        <v>1430</v>
      </c>
    </row>
    <row r="59" spans="1:34" ht="24.95" customHeight="1" x14ac:dyDescent="0.15">
      <c r="A59" s="142" t="s">
        <v>244</v>
      </c>
      <c r="B59" s="142" t="s">
        <v>295</v>
      </c>
      <c r="C59" s="142" t="str">
        <f t="shared" si="18"/>
        <v>到期</v>
      </c>
      <c r="D59" s="123" t="s">
        <v>1846</v>
      </c>
      <c r="E59" s="142" t="s">
        <v>137</v>
      </c>
      <c r="F59" s="48">
        <v>43474</v>
      </c>
      <c r="G59" s="48">
        <v>43497</v>
      </c>
      <c r="H59" s="48" t="s">
        <v>747</v>
      </c>
      <c r="I59" s="142" t="s">
        <v>241</v>
      </c>
      <c r="J59" s="142" t="s">
        <v>22</v>
      </c>
      <c r="K59" s="104">
        <v>4000</v>
      </c>
      <c r="L59" s="104">
        <v>2536.7399999999998</v>
      </c>
      <c r="M59" s="104">
        <v>2487</v>
      </c>
      <c r="N59" s="104">
        <v>41.49</v>
      </c>
      <c r="O59" s="104">
        <f t="shared" si="11"/>
        <v>165960</v>
      </c>
      <c r="P59" s="101" t="s">
        <v>262</v>
      </c>
      <c r="Q59" s="101" t="s">
        <v>304</v>
      </c>
      <c r="R59" s="104"/>
      <c r="S59" s="104"/>
      <c r="T59" s="48"/>
      <c r="U59" s="104">
        <v>2534</v>
      </c>
      <c r="V59" s="104">
        <v>0</v>
      </c>
      <c r="W59" s="48">
        <v>43497</v>
      </c>
      <c r="X59" s="104">
        <f t="shared" si="19"/>
        <v>-165960</v>
      </c>
      <c r="Y59" s="197">
        <f t="shared" ref="Y59:Y78" si="23">M59*K59</f>
        <v>9948000</v>
      </c>
      <c r="Z59" s="143" t="str">
        <f t="shared" si="21"/>
        <v>华泰长城资本管理有限公司MA905-卖出</v>
      </c>
      <c r="AA59" s="142" t="str">
        <f t="shared" si="22"/>
        <v>卖出</v>
      </c>
      <c r="AB59" s="202"/>
      <c r="AC59" s="321">
        <v>0.251</v>
      </c>
      <c r="AD59" s="316"/>
      <c r="AE59" s="313"/>
      <c r="AF59" s="105"/>
    </row>
    <row r="60" spans="1:34" ht="24.95" customHeight="1" x14ac:dyDescent="0.15">
      <c r="A60" s="142" t="s">
        <v>244</v>
      </c>
      <c r="B60" s="142" t="s">
        <v>295</v>
      </c>
      <c r="C60" s="142" t="str">
        <f t="shared" si="18"/>
        <v>到期</v>
      </c>
      <c r="D60" s="123" t="s">
        <v>1846</v>
      </c>
      <c r="E60" s="142" t="s">
        <v>137</v>
      </c>
      <c r="F60" s="48">
        <v>43474</v>
      </c>
      <c r="G60" s="48">
        <v>43497</v>
      </c>
      <c r="H60" s="48" t="s">
        <v>747</v>
      </c>
      <c r="I60" s="142" t="s">
        <v>241</v>
      </c>
      <c r="J60" s="142" t="s">
        <v>25</v>
      </c>
      <c r="K60" s="104">
        <v>4000</v>
      </c>
      <c r="L60" s="104">
        <v>2437.2600000000002</v>
      </c>
      <c r="M60" s="104">
        <v>2487</v>
      </c>
      <c r="N60" s="104">
        <v>40.53</v>
      </c>
      <c r="O60" s="104">
        <f t="shared" si="11"/>
        <v>162120</v>
      </c>
      <c r="P60" s="101" t="s">
        <v>428</v>
      </c>
      <c r="Q60" s="101" t="s">
        <v>304</v>
      </c>
      <c r="R60" s="104"/>
      <c r="S60" s="104"/>
      <c r="T60" s="48"/>
      <c r="U60" s="104">
        <v>2534</v>
      </c>
      <c r="V60" s="104">
        <v>0</v>
      </c>
      <c r="W60" s="48">
        <v>43497</v>
      </c>
      <c r="X60" s="104">
        <f t="shared" si="19"/>
        <v>-162120</v>
      </c>
      <c r="Y60" s="197">
        <f t="shared" si="23"/>
        <v>9948000</v>
      </c>
      <c r="Z60" s="143" t="str">
        <f t="shared" si="21"/>
        <v>华泰长城资本管理有限公司MA905-卖出</v>
      </c>
      <c r="AA60" s="142" t="str">
        <f>IF(I60="买入","卖出","买入")</f>
        <v>卖出</v>
      </c>
      <c r="AB60" s="202"/>
      <c r="AC60" s="321">
        <v>0.23300000000000001</v>
      </c>
      <c r="AD60" s="316"/>
      <c r="AE60" s="313"/>
      <c r="AF60" s="105"/>
    </row>
    <row r="61" spans="1:34" ht="24.95" customHeight="1" x14ac:dyDescent="0.15">
      <c r="A61" s="142" t="s">
        <v>244</v>
      </c>
      <c r="B61" s="142" t="s">
        <v>295</v>
      </c>
      <c r="C61" s="142" t="str">
        <f t="shared" si="18"/>
        <v>到期</v>
      </c>
      <c r="D61" s="123" t="s">
        <v>1846</v>
      </c>
      <c r="E61" s="142" t="s">
        <v>137</v>
      </c>
      <c r="F61" s="48">
        <v>43474</v>
      </c>
      <c r="G61" s="48">
        <v>43507</v>
      </c>
      <c r="H61" s="143" t="s">
        <v>755</v>
      </c>
      <c r="I61" s="142" t="s">
        <v>241</v>
      </c>
      <c r="J61" s="142" t="s">
        <v>25</v>
      </c>
      <c r="K61" s="104">
        <v>10</v>
      </c>
      <c r="L61" s="105">
        <v>8595</v>
      </c>
      <c r="M61" s="104">
        <v>8630</v>
      </c>
      <c r="N61" s="104">
        <v>101.43</v>
      </c>
      <c r="O61" s="104">
        <f t="shared" si="11"/>
        <v>1014.3000000000001</v>
      </c>
      <c r="P61" s="101" t="s">
        <v>433</v>
      </c>
      <c r="Q61" s="101" t="s">
        <v>400</v>
      </c>
      <c r="R61" s="104"/>
      <c r="S61" s="104"/>
      <c r="T61" s="48"/>
      <c r="U61" s="104">
        <v>8585</v>
      </c>
      <c r="V61" s="104">
        <f>(L61-U61)*K61</f>
        <v>100</v>
      </c>
      <c r="W61" s="102">
        <v>43507</v>
      </c>
      <c r="X61" s="104">
        <f t="shared" si="19"/>
        <v>-914.30000000000007</v>
      </c>
      <c r="Y61" s="197">
        <f t="shared" si="23"/>
        <v>86300</v>
      </c>
      <c r="Z61" s="143" t="str">
        <f t="shared" si="21"/>
        <v>华泰长城资本管理有限公司l1905-卖出</v>
      </c>
      <c r="AA61" s="142" t="str">
        <f t="shared" si="22"/>
        <v>卖出</v>
      </c>
      <c r="AB61" s="202"/>
      <c r="AC61" s="321">
        <v>0.13200000000000001</v>
      </c>
      <c r="AD61" s="316"/>
      <c r="AE61" s="313"/>
      <c r="AF61" s="105"/>
    </row>
    <row r="62" spans="1:34" ht="24.95" customHeight="1" x14ac:dyDescent="0.15">
      <c r="A62" s="142" t="s">
        <v>244</v>
      </c>
      <c r="B62" s="142" t="s">
        <v>295</v>
      </c>
      <c r="C62" s="142" t="str">
        <f t="shared" si="18"/>
        <v>到期</v>
      </c>
      <c r="D62" s="123" t="s">
        <v>1846</v>
      </c>
      <c r="E62" s="142" t="s">
        <v>137</v>
      </c>
      <c r="F62" s="48">
        <v>43474</v>
      </c>
      <c r="G62" s="48">
        <v>43563</v>
      </c>
      <c r="H62" s="143" t="s">
        <v>755</v>
      </c>
      <c r="I62" s="142" t="s">
        <v>241</v>
      </c>
      <c r="J62" s="142" t="s">
        <v>25</v>
      </c>
      <c r="K62" s="104">
        <v>10</v>
      </c>
      <c r="L62" s="105">
        <v>8595</v>
      </c>
      <c r="M62" s="104">
        <v>8630</v>
      </c>
      <c r="N62" s="104">
        <v>184.78</v>
      </c>
      <c r="O62" s="104">
        <f t="shared" si="11"/>
        <v>1847.8</v>
      </c>
      <c r="P62" s="101" t="s">
        <v>432</v>
      </c>
      <c r="Q62" s="101" t="s">
        <v>636</v>
      </c>
      <c r="R62" s="104"/>
      <c r="S62" s="104"/>
      <c r="T62" s="48"/>
      <c r="U62" s="104">
        <v>8610</v>
      </c>
      <c r="V62" s="104">
        <v>0</v>
      </c>
      <c r="W62" s="48">
        <f>G62</f>
        <v>43563</v>
      </c>
      <c r="X62" s="104">
        <f t="shared" si="19"/>
        <v>-1847.8</v>
      </c>
      <c r="Y62" s="197">
        <f t="shared" si="23"/>
        <v>86300</v>
      </c>
      <c r="Z62" s="143" t="str">
        <f>D62&amp;H62&amp;"-"&amp;AA62</f>
        <v>华泰长城资本管理有限公司l1905-卖出</v>
      </c>
      <c r="AA62" s="142" t="str">
        <f t="shared" si="22"/>
        <v>卖出</v>
      </c>
      <c r="AB62" s="202"/>
      <c r="AC62" s="321">
        <v>0.124</v>
      </c>
      <c r="AD62" s="316"/>
      <c r="AE62" s="313"/>
      <c r="AF62" s="105"/>
    </row>
    <row r="63" spans="1:34" ht="24.95" customHeight="1" x14ac:dyDescent="0.15">
      <c r="A63" s="142" t="s">
        <v>247</v>
      </c>
      <c r="B63" s="142" t="s">
        <v>295</v>
      </c>
      <c r="C63" s="142" t="str">
        <f t="shared" si="18"/>
        <v>到期</v>
      </c>
      <c r="D63" s="127" t="s">
        <v>196</v>
      </c>
      <c r="E63" s="142" t="s">
        <v>137</v>
      </c>
      <c r="F63" s="48">
        <v>43476</v>
      </c>
      <c r="G63" s="48">
        <v>43514</v>
      </c>
      <c r="H63" s="143" t="s">
        <v>750</v>
      </c>
      <c r="I63" s="142" t="s">
        <v>222</v>
      </c>
      <c r="J63" s="142" t="s">
        <v>22</v>
      </c>
      <c r="K63" s="105">
        <v>3000</v>
      </c>
      <c r="L63" s="105">
        <v>561</v>
      </c>
      <c r="M63" s="104">
        <v>561</v>
      </c>
      <c r="N63" s="105">
        <v>10.94</v>
      </c>
      <c r="O63" s="104">
        <f t="shared" si="11"/>
        <v>32820</v>
      </c>
      <c r="P63" s="101" t="s">
        <v>469</v>
      </c>
      <c r="Q63" s="101" t="s">
        <v>470</v>
      </c>
      <c r="R63" s="105"/>
      <c r="S63" s="105"/>
      <c r="T63" s="144"/>
      <c r="U63" s="105">
        <v>583.79999999999995</v>
      </c>
      <c r="V63" s="104">
        <f>-(U63-L63)*K63</f>
        <v>-68399.999999999869</v>
      </c>
      <c r="W63" s="48">
        <v>43514</v>
      </c>
      <c r="X63" s="104">
        <f t="shared" si="19"/>
        <v>-35579.999999999869</v>
      </c>
      <c r="Y63" s="197">
        <f t="shared" si="23"/>
        <v>1683000</v>
      </c>
      <c r="Z63" s="143"/>
      <c r="AA63" s="143"/>
      <c r="AB63" s="203"/>
      <c r="AC63" s="321"/>
      <c r="AD63" s="321"/>
      <c r="AE63" s="314"/>
      <c r="AF63" s="105"/>
    </row>
    <row r="64" spans="1:34" ht="24.95" customHeight="1" x14ac:dyDescent="0.15">
      <c r="A64" s="142" t="s">
        <v>247</v>
      </c>
      <c r="B64" s="142" t="s">
        <v>295</v>
      </c>
      <c r="C64" s="142" t="str">
        <f t="shared" si="18"/>
        <v>到期</v>
      </c>
      <c r="D64" s="127" t="s">
        <v>196</v>
      </c>
      <c r="E64" s="142" t="s">
        <v>137</v>
      </c>
      <c r="F64" s="48">
        <v>43476</v>
      </c>
      <c r="G64" s="48">
        <v>43514</v>
      </c>
      <c r="H64" s="143" t="s">
        <v>750</v>
      </c>
      <c r="I64" s="142" t="s">
        <v>222</v>
      </c>
      <c r="J64" s="142" t="s">
        <v>25</v>
      </c>
      <c r="K64" s="105">
        <v>3000</v>
      </c>
      <c r="L64" s="105">
        <v>561</v>
      </c>
      <c r="M64" s="104">
        <v>561</v>
      </c>
      <c r="N64" s="105">
        <v>10.94</v>
      </c>
      <c r="O64" s="104">
        <f t="shared" si="11"/>
        <v>32820</v>
      </c>
      <c r="P64" s="101" t="s">
        <v>469</v>
      </c>
      <c r="Q64" s="101" t="s">
        <v>470</v>
      </c>
      <c r="R64" s="105"/>
      <c r="S64" s="105"/>
      <c r="T64" s="144"/>
      <c r="U64" s="105">
        <v>583.79999999999995</v>
      </c>
      <c r="V64" s="104">
        <v>0</v>
      </c>
      <c r="W64" s="48">
        <v>43514</v>
      </c>
      <c r="X64" s="104">
        <f t="shared" si="19"/>
        <v>32820</v>
      </c>
      <c r="Y64" s="197">
        <f t="shared" si="23"/>
        <v>1683000</v>
      </c>
      <c r="Z64" s="143"/>
      <c r="AA64" s="143"/>
      <c r="AB64" s="203"/>
      <c r="AC64" s="321"/>
      <c r="AD64" s="321"/>
      <c r="AE64" s="314"/>
      <c r="AF64" s="105"/>
    </row>
    <row r="65" spans="1:32" ht="24.95" customHeight="1" x14ac:dyDescent="0.15">
      <c r="A65" s="142" t="s">
        <v>265</v>
      </c>
      <c r="B65" s="142" t="s">
        <v>295</v>
      </c>
      <c r="C65" s="142" t="str">
        <f t="shared" si="18"/>
        <v>到期</v>
      </c>
      <c r="D65" s="123" t="s">
        <v>266</v>
      </c>
      <c r="E65" s="142" t="s">
        <v>137</v>
      </c>
      <c r="F65" s="48">
        <v>43476</v>
      </c>
      <c r="G65" s="48">
        <v>43493</v>
      </c>
      <c r="H65" s="48" t="s">
        <v>751</v>
      </c>
      <c r="I65" s="143" t="s">
        <v>38</v>
      </c>
      <c r="J65" s="143" t="s">
        <v>56</v>
      </c>
      <c r="K65" s="105">
        <v>1000</v>
      </c>
      <c r="L65" s="105">
        <v>6445</v>
      </c>
      <c r="M65" s="104">
        <v>6360</v>
      </c>
      <c r="N65" s="105">
        <v>42.82</v>
      </c>
      <c r="O65" s="104">
        <v>42820</v>
      </c>
      <c r="P65" s="101" t="s">
        <v>666</v>
      </c>
      <c r="Q65" s="101" t="s">
        <v>282</v>
      </c>
      <c r="R65" s="104"/>
      <c r="S65" s="104"/>
      <c r="T65" s="48"/>
      <c r="U65" s="105">
        <v>6465</v>
      </c>
      <c r="V65" s="104">
        <f>(U65-L65)*K65</f>
        <v>20000</v>
      </c>
      <c r="W65" s="48">
        <v>43493</v>
      </c>
      <c r="X65" s="104">
        <f t="shared" si="19"/>
        <v>-22820</v>
      </c>
      <c r="Y65" s="197">
        <f t="shared" si="23"/>
        <v>6360000</v>
      </c>
      <c r="Z65" s="143"/>
      <c r="AA65" s="143"/>
      <c r="AB65" s="203"/>
      <c r="AC65" s="321">
        <v>0.13</v>
      </c>
      <c r="AD65" s="319"/>
      <c r="AE65" s="314"/>
      <c r="AF65" s="105"/>
    </row>
    <row r="66" spans="1:32" ht="24.95" customHeight="1" x14ac:dyDescent="0.15">
      <c r="A66" s="142" t="s">
        <v>265</v>
      </c>
      <c r="B66" s="142" t="s">
        <v>295</v>
      </c>
      <c r="C66" s="142" t="str">
        <f t="shared" si="18"/>
        <v>到期</v>
      </c>
      <c r="D66" s="123" t="s">
        <v>266</v>
      </c>
      <c r="E66" s="142" t="s">
        <v>137</v>
      </c>
      <c r="F66" s="48">
        <v>43476</v>
      </c>
      <c r="G66" s="48">
        <v>43493</v>
      </c>
      <c r="H66" s="48" t="s">
        <v>751</v>
      </c>
      <c r="I66" s="143" t="s">
        <v>38</v>
      </c>
      <c r="J66" s="143" t="s">
        <v>59</v>
      </c>
      <c r="K66" s="105">
        <v>1000</v>
      </c>
      <c r="L66" s="105">
        <v>6445</v>
      </c>
      <c r="M66" s="104">
        <v>6360</v>
      </c>
      <c r="N66" s="105">
        <v>127.66</v>
      </c>
      <c r="O66" s="104">
        <v>127660</v>
      </c>
      <c r="P66" s="101" t="s">
        <v>300</v>
      </c>
      <c r="Q66" s="101" t="s">
        <v>282</v>
      </c>
      <c r="R66" s="104"/>
      <c r="S66" s="104"/>
      <c r="T66" s="48"/>
      <c r="U66" s="105">
        <v>6465</v>
      </c>
      <c r="V66" s="104">
        <v>0</v>
      </c>
      <c r="W66" s="48">
        <v>43493</v>
      </c>
      <c r="X66" s="104">
        <f t="shared" si="19"/>
        <v>-127660</v>
      </c>
      <c r="Y66" s="197">
        <f t="shared" si="23"/>
        <v>6360000</v>
      </c>
      <c r="Z66" s="143"/>
      <c r="AA66" s="143"/>
      <c r="AB66" s="203"/>
      <c r="AC66" s="321">
        <v>0.13</v>
      </c>
      <c r="AD66" s="319"/>
      <c r="AE66" s="314"/>
      <c r="AF66" s="105"/>
    </row>
    <row r="67" spans="1:32" ht="24.95" customHeight="1" x14ac:dyDescent="0.15">
      <c r="A67" s="142" t="s">
        <v>265</v>
      </c>
      <c r="B67" s="142" t="s">
        <v>295</v>
      </c>
      <c r="C67" s="142" t="str">
        <f t="shared" si="18"/>
        <v>到期</v>
      </c>
      <c r="D67" s="123" t="s">
        <v>266</v>
      </c>
      <c r="E67" s="142" t="s">
        <v>137</v>
      </c>
      <c r="F67" s="48">
        <v>43476</v>
      </c>
      <c r="G67" s="48">
        <v>43511</v>
      </c>
      <c r="H67" s="143" t="s">
        <v>270</v>
      </c>
      <c r="I67" s="143" t="s">
        <v>38</v>
      </c>
      <c r="J67" s="143" t="s">
        <v>59</v>
      </c>
      <c r="K67" s="105">
        <v>6000</v>
      </c>
      <c r="L67" s="105">
        <v>382.6</v>
      </c>
      <c r="M67" s="104">
        <v>425.1</v>
      </c>
      <c r="N67" s="105">
        <v>3.61</v>
      </c>
      <c r="O67" s="104">
        <v>21660</v>
      </c>
      <c r="P67" s="101" t="s">
        <v>667</v>
      </c>
      <c r="Q67" s="101" t="s">
        <v>817</v>
      </c>
      <c r="R67" s="105"/>
      <c r="S67" s="105"/>
      <c r="T67" s="144"/>
      <c r="U67" s="105">
        <v>444.3</v>
      </c>
      <c r="V67" s="104">
        <v>0</v>
      </c>
      <c r="W67" s="48">
        <v>43511</v>
      </c>
      <c r="X67" s="104">
        <f t="shared" si="19"/>
        <v>-21660</v>
      </c>
      <c r="Y67" s="197">
        <f t="shared" si="23"/>
        <v>2550600</v>
      </c>
      <c r="Z67" s="143"/>
      <c r="AA67" s="143"/>
      <c r="AB67" s="203"/>
      <c r="AC67" s="321">
        <v>0.41</v>
      </c>
      <c r="AD67" s="319"/>
      <c r="AE67" s="314"/>
      <c r="AF67" s="105"/>
    </row>
    <row r="68" spans="1:32" ht="24.95" customHeight="1" x14ac:dyDescent="0.15">
      <c r="A68" s="142" t="s">
        <v>296</v>
      </c>
      <c r="B68" s="142" t="s">
        <v>764</v>
      </c>
      <c r="C68" s="142" t="str">
        <f t="shared" si="18"/>
        <v>到期</v>
      </c>
      <c r="D68" s="127" t="s">
        <v>1848</v>
      </c>
      <c r="E68" s="142" t="s">
        <v>137</v>
      </c>
      <c r="F68" s="48">
        <v>43479</v>
      </c>
      <c r="G68" s="48">
        <v>43521</v>
      </c>
      <c r="H68" s="143" t="s">
        <v>267</v>
      </c>
      <c r="I68" s="143" t="s">
        <v>222</v>
      </c>
      <c r="J68" s="143" t="s">
        <v>56</v>
      </c>
      <c r="K68" s="105">
        <v>1000</v>
      </c>
      <c r="L68" s="105">
        <v>15600</v>
      </c>
      <c r="M68" s="105">
        <v>15155</v>
      </c>
      <c r="N68" s="105">
        <v>89.41</v>
      </c>
      <c r="O68" s="105">
        <v>89410</v>
      </c>
      <c r="P68" s="101" t="s">
        <v>471</v>
      </c>
      <c r="Q68" s="101" t="s">
        <v>311</v>
      </c>
      <c r="R68" s="105"/>
      <c r="S68" s="105"/>
      <c r="T68" s="144"/>
      <c r="U68" s="105">
        <v>15360</v>
      </c>
      <c r="V68" s="104">
        <v>0</v>
      </c>
      <c r="W68" s="48">
        <v>43521</v>
      </c>
      <c r="X68" s="104">
        <f t="shared" si="19"/>
        <v>89410</v>
      </c>
      <c r="Y68" s="197">
        <f t="shared" si="23"/>
        <v>15155000</v>
      </c>
      <c r="Z68" s="143"/>
      <c r="AA68" s="143" t="str">
        <f>IF(I68="买入","卖出","买入")</f>
        <v>买入</v>
      </c>
      <c r="AB68" s="203"/>
      <c r="AC68" s="321"/>
      <c r="AD68" s="321"/>
      <c r="AE68" s="314"/>
      <c r="AF68" s="105"/>
    </row>
    <row r="69" spans="1:32" ht="24.95" customHeight="1" x14ac:dyDescent="0.15">
      <c r="A69" s="142" t="s">
        <v>274</v>
      </c>
      <c r="B69" s="142" t="s">
        <v>764</v>
      </c>
      <c r="C69" s="142" t="str">
        <f t="shared" si="18"/>
        <v>到期</v>
      </c>
      <c r="D69" s="126" t="s">
        <v>1841</v>
      </c>
      <c r="E69" s="142" t="s">
        <v>298</v>
      </c>
      <c r="F69" s="48">
        <v>43480</v>
      </c>
      <c r="G69" s="48">
        <v>43508</v>
      </c>
      <c r="H69" s="48" t="s">
        <v>1014</v>
      </c>
      <c r="I69" s="48" t="s">
        <v>222</v>
      </c>
      <c r="J69" s="142" t="s">
        <v>56</v>
      </c>
      <c r="K69" s="104">
        <v>200</v>
      </c>
      <c r="L69" s="104">
        <v>49560</v>
      </c>
      <c r="M69" s="105">
        <v>46960</v>
      </c>
      <c r="N69" s="104">
        <f t="shared" ref="N69:N78" si="24">389.81/2</f>
        <v>194.905</v>
      </c>
      <c r="O69" s="104">
        <f t="shared" ref="O69:O83" si="25">N69*K69</f>
        <v>38981</v>
      </c>
      <c r="P69" s="101" t="s">
        <v>472</v>
      </c>
      <c r="Q69" s="101" t="s">
        <v>473</v>
      </c>
      <c r="R69" s="105"/>
      <c r="S69" s="105"/>
      <c r="T69" s="144"/>
      <c r="U69" s="105">
        <v>48260</v>
      </c>
      <c r="V69" s="105">
        <v>0</v>
      </c>
      <c r="W69" s="48">
        <v>43508</v>
      </c>
      <c r="X69" s="104">
        <f t="shared" si="19"/>
        <v>38981</v>
      </c>
      <c r="Y69" s="197">
        <f t="shared" si="23"/>
        <v>9392000</v>
      </c>
      <c r="Z69" s="143"/>
      <c r="AA69" s="142" t="s">
        <v>744</v>
      </c>
      <c r="AB69" s="202"/>
      <c r="AC69" s="321">
        <v>0.152</v>
      </c>
      <c r="AD69" s="205">
        <v>0.152</v>
      </c>
      <c r="AE69" s="313"/>
      <c r="AF69" s="104"/>
    </row>
    <row r="70" spans="1:32" ht="24.95" customHeight="1" x14ac:dyDescent="0.15">
      <c r="A70" s="142" t="s">
        <v>274</v>
      </c>
      <c r="B70" s="142" t="s">
        <v>764</v>
      </c>
      <c r="C70" s="142" t="str">
        <f t="shared" si="18"/>
        <v>到期</v>
      </c>
      <c r="D70" s="103" t="s">
        <v>1841</v>
      </c>
      <c r="E70" s="142" t="s">
        <v>298</v>
      </c>
      <c r="F70" s="48">
        <v>43480</v>
      </c>
      <c r="G70" s="48">
        <v>43508</v>
      </c>
      <c r="H70" s="48" t="s">
        <v>1014</v>
      </c>
      <c r="I70" s="48" t="s">
        <v>222</v>
      </c>
      <c r="J70" s="142" t="s">
        <v>59</v>
      </c>
      <c r="K70" s="104">
        <v>200</v>
      </c>
      <c r="L70" s="104">
        <v>45800</v>
      </c>
      <c r="M70" s="105">
        <v>46960</v>
      </c>
      <c r="N70" s="104">
        <f t="shared" si="24"/>
        <v>194.905</v>
      </c>
      <c r="O70" s="104">
        <f t="shared" si="25"/>
        <v>38981</v>
      </c>
      <c r="P70" s="101" t="s">
        <v>472</v>
      </c>
      <c r="Q70" s="101" t="s">
        <v>473</v>
      </c>
      <c r="R70" s="105"/>
      <c r="S70" s="105"/>
      <c r="T70" s="144"/>
      <c r="U70" s="105">
        <v>48260</v>
      </c>
      <c r="V70" s="105">
        <v>0</v>
      </c>
      <c r="W70" s="48">
        <v>43508</v>
      </c>
      <c r="X70" s="104">
        <f t="shared" si="19"/>
        <v>38981</v>
      </c>
      <c r="Y70" s="197">
        <f t="shared" si="23"/>
        <v>9392000</v>
      </c>
      <c r="Z70" s="143"/>
      <c r="AA70" s="142" t="s">
        <v>744</v>
      </c>
      <c r="AB70" s="202"/>
      <c r="AC70" s="321">
        <v>0.152</v>
      </c>
      <c r="AD70" s="205">
        <v>0.152</v>
      </c>
      <c r="AE70" s="313"/>
      <c r="AF70" s="104"/>
    </row>
    <row r="71" spans="1:32" ht="24.95" customHeight="1" x14ac:dyDescent="0.15">
      <c r="A71" s="142" t="s">
        <v>274</v>
      </c>
      <c r="B71" s="142" t="s">
        <v>764</v>
      </c>
      <c r="C71" s="142" t="str">
        <f t="shared" si="18"/>
        <v>到期</v>
      </c>
      <c r="D71" s="103" t="s">
        <v>1842</v>
      </c>
      <c r="E71" s="142" t="s">
        <v>298</v>
      </c>
      <c r="F71" s="48">
        <v>43480</v>
      </c>
      <c r="G71" s="48">
        <v>43508</v>
      </c>
      <c r="H71" s="48" t="s">
        <v>1014</v>
      </c>
      <c r="I71" s="48" t="s">
        <v>222</v>
      </c>
      <c r="J71" s="142" t="s">
        <v>56</v>
      </c>
      <c r="K71" s="104">
        <v>200</v>
      </c>
      <c r="L71" s="104">
        <v>49560</v>
      </c>
      <c r="M71" s="105">
        <v>46960</v>
      </c>
      <c r="N71" s="104">
        <f t="shared" si="24"/>
        <v>194.905</v>
      </c>
      <c r="O71" s="104">
        <f t="shared" si="25"/>
        <v>38981</v>
      </c>
      <c r="P71" s="101" t="s">
        <v>474</v>
      </c>
      <c r="Q71" s="101" t="s">
        <v>475</v>
      </c>
      <c r="R71" s="105"/>
      <c r="S71" s="105"/>
      <c r="T71" s="144"/>
      <c r="U71" s="105">
        <v>48260</v>
      </c>
      <c r="V71" s="105">
        <v>0</v>
      </c>
      <c r="W71" s="48">
        <v>43508</v>
      </c>
      <c r="X71" s="104">
        <f t="shared" si="19"/>
        <v>38981</v>
      </c>
      <c r="Y71" s="197">
        <f t="shared" si="23"/>
        <v>9392000</v>
      </c>
      <c r="Z71" s="143"/>
      <c r="AA71" s="142" t="s">
        <v>744</v>
      </c>
      <c r="AB71" s="202"/>
      <c r="AC71" s="321">
        <v>0.152</v>
      </c>
      <c r="AD71" s="205">
        <v>0.152</v>
      </c>
      <c r="AE71" s="313"/>
      <c r="AF71" s="104"/>
    </row>
    <row r="72" spans="1:32" ht="24.95" customHeight="1" x14ac:dyDescent="0.15">
      <c r="A72" s="142" t="s">
        <v>274</v>
      </c>
      <c r="B72" s="120" t="s">
        <v>764</v>
      </c>
      <c r="C72" s="142" t="str">
        <f t="shared" si="18"/>
        <v>到期</v>
      </c>
      <c r="D72" s="103" t="s">
        <v>1842</v>
      </c>
      <c r="E72" s="142" t="s">
        <v>298</v>
      </c>
      <c r="F72" s="48">
        <v>43480</v>
      </c>
      <c r="G72" s="48">
        <v>43508</v>
      </c>
      <c r="H72" s="48" t="s">
        <v>1014</v>
      </c>
      <c r="I72" s="48" t="s">
        <v>222</v>
      </c>
      <c r="J72" s="142" t="s">
        <v>59</v>
      </c>
      <c r="K72" s="104">
        <v>200</v>
      </c>
      <c r="L72" s="104">
        <v>45800</v>
      </c>
      <c r="M72" s="105">
        <v>46960</v>
      </c>
      <c r="N72" s="104">
        <f t="shared" si="24"/>
        <v>194.905</v>
      </c>
      <c r="O72" s="104">
        <f t="shared" si="25"/>
        <v>38981</v>
      </c>
      <c r="P72" s="101" t="s">
        <v>474</v>
      </c>
      <c r="Q72" s="101" t="s">
        <v>475</v>
      </c>
      <c r="R72" s="105"/>
      <c r="S72" s="105"/>
      <c r="T72" s="144"/>
      <c r="U72" s="105">
        <v>48260</v>
      </c>
      <c r="V72" s="105">
        <v>0</v>
      </c>
      <c r="W72" s="48">
        <v>43508</v>
      </c>
      <c r="X72" s="104">
        <f t="shared" si="19"/>
        <v>38981</v>
      </c>
      <c r="Y72" s="197">
        <f t="shared" si="23"/>
        <v>9392000</v>
      </c>
      <c r="Z72" s="143"/>
      <c r="AA72" s="142" t="s">
        <v>744</v>
      </c>
      <c r="AB72" s="202"/>
      <c r="AC72" s="321">
        <v>0.152</v>
      </c>
      <c r="AD72" s="205">
        <v>0.152</v>
      </c>
      <c r="AE72" s="313"/>
      <c r="AF72" s="104"/>
    </row>
    <row r="73" spans="1:32" ht="24.95" customHeight="1" x14ac:dyDescent="0.15">
      <c r="A73" s="142" t="s">
        <v>274</v>
      </c>
      <c r="B73" s="120" t="s">
        <v>297</v>
      </c>
      <c r="C73" s="142" t="str">
        <f t="shared" si="18"/>
        <v>到期</v>
      </c>
      <c r="D73" s="103" t="s">
        <v>1843</v>
      </c>
      <c r="E73" s="142" t="s">
        <v>298</v>
      </c>
      <c r="F73" s="48">
        <v>43480</v>
      </c>
      <c r="G73" s="48">
        <v>43508</v>
      </c>
      <c r="H73" s="48" t="s">
        <v>1014</v>
      </c>
      <c r="I73" s="48" t="s">
        <v>222</v>
      </c>
      <c r="J73" s="142" t="s">
        <v>56</v>
      </c>
      <c r="K73" s="104">
        <v>200</v>
      </c>
      <c r="L73" s="104">
        <v>49560</v>
      </c>
      <c r="M73" s="105">
        <v>46960</v>
      </c>
      <c r="N73" s="104">
        <f t="shared" si="24"/>
        <v>194.905</v>
      </c>
      <c r="O73" s="104">
        <f t="shared" si="25"/>
        <v>38981</v>
      </c>
      <c r="P73" s="101" t="s">
        <v>476</v>
      </c>
      <c r="Q73" s="101" t="s">
        <v>477</v>
      </c>
      <c r="R73" s="105"/>
      <c r="S73" s="105"/>
      <c r="T73" s="144"/>
      <c r="U73" s="105">
        <v>48260</v>
      </c>
      <c r="V73" s="105">
        <v>0</v>
      </c>
      <c r="W73" s="48">
        <v>43508</v>
      </c>
      <c r="X73" s="104">
        <f t="shared" si="19"/>
        <v>38981</v>
      </c>
      <c r="Y73" s="197">
        <f t="shared" si="23"/>
        <v>9392000</v>
      </c>
      <c r="Z73" s="143"/>
      <c r="AA73" s="142" t="s">
        <v>744</v>
      </c>
      <c r="AB73" s="202"/>
      <c r="AC73" s="321">
        <v>0.152</v>
      </c>
      <c r="AD73" s="205">
        <v>0.152</v>
      </c>
      <c r="AE73" s="313"/>
      <c r="AF73" s="104"/>
    </row>
    <row r="74" spans="1:32" ht="24.95" customHeight="1" x14ac:dyDescent="0.15">
      <c r="A74" s="142" t="s">
        <v>274</v>
      </c>
      <c r="B74" s="142" t="s">
        <v>764</v>
      </c>
      <c r="C74" s="142" t="str">
        <f t="shared" si="18"/>
        <v>到期</v>
      </c>
      <c r="D74" s="103" t="s">
        <v>1843</v>
      </c>
      <c r="E74" s="142" t="s">
        <v>298</v>
      </c>
      <c r="F74" s="48">
        <v>43480</v>
      </c>
      <c r="G74" s="48">
        <v>43508</v>
      </c>
      <c r="H74" s="48" t="s">
        <v>1014</v>
      </c>
      <c r="I74" s="48" t="s">
        <v>222</v>
      </c>
      <c r="J74" s="142" t="s">
        <v>59</v>
      </c>
      <c r="K74" s="104">
        <v>200</v>
      </c>
      <c r="L74" s="104">
        <v>45800</v>
      </c>
      <c r="M74" s="105">
        <v>46960</v>
      </c>
      <c r="N74" s="104">
        <f t="shared" si="24"/>
        <v>194.905</v>
      </c>
      <c r="O74" s="104">
        <f t="shared" si="25"/>
        <v>38981</v>
      </c>
      <c r="P74" s="101" t="s">
        <v>476</v>
      </c>
      <c r="Q74" s="101" t="s">
        <v>477</v>
      </c>
      <c r="R74" s="105"/>
      <c r="S74" s="105"/>
      <c r="T74" s="144"/>
      <c r="U74" s="105">
        <v>48260</v>
      </c>
      <c r="V74" s="105">
        <v>0</v>
      </c>
      <c r="W74" s="48">
        <v>43508</v>
      </c>
      <c r="X74" s="104">
        <f t="shared" si="19"/>
        <v>38981</v>
      </c>
      <c r="Y74" s="197">
        <f t="shared" si="23"/>
        <v>9392000</v>
      </c>
      <c r="Z74" s="143"/>
      <c r="AA74" s="142" t="s">
        <v>744</v>
      </c>
      <c r="AB74" s="202"/>
      <c r="AC74" s="321">
        <v>0.152</v>
      </c>
      <c r="AD74" s="205">
        <v>0.152</v>
      </c>
      <c r="AE74" s="313"/>
      <c r="AF74" s="104"/>
    </row>
    <row r="75" spans="1:32" ht="24.95" customHeight="1" x14ac:dyDescent="0.15">
      <c r="A75" s="142" t="s">
        <v>274</v>
      </c>
      <c r="B75" s="142" t="s">
        <v>297</v>
      </c>
      <c r="C75" s="142" t="str">
        <f t="shared" si="18"/>
        <v>到期</v>
      </c>
      <c r="D75" s="103" t="s">
        <v>1844</v>
      </c>
      <c r="E75" s="142" t="s">
        <v>298</v>
      </c>
      <c r="F75" s="48">
        <v>43480</v>
      </c>
      <c r="G75" s="48">
        <v>43508</v>
      </c>
      <c r="H75" s="48" t="s">
        <v>1014</v>
      </c>
      <c r="I75" s="48" t="s">
        <v>222</v>
      </c>
      <c r="J75" s="142" t="s">
        <v>56</v>
      </c>
      <c r="K75" s="104">
        <v>200</v>
      </c>
      <c r="L75" s="104">
        <v>49560</v>
      </c>
      <c r="M75" s="105">
        <v>46960</v>
      </c>
      <c r="N75" s="104">
        <f t="shared" si="24"/>
        <v>194.905</v>
      </c>
      <c r="O75" s="104">
        <f t="shared" si="25"/>
        <v>38981</v>
      </c>
      <c r="P75" s="101" t="s">
        <v>478</v>
      </c>
      <c r="Q75" s="101" t="s">
        <v>479</v>
      </c>
      <c r="R75" s="105"/>
      <c r="S75" s="105"/>
      <c r="T75" s="144"/>
      <c r="U75" s="105">
        <v>48260</v>
      </c>
      <c r="V75" s="105">
        <v>0</v>
      </c>
      <c r="W75" s="48">
        <v>43508</v>
      </c>
      <c r="X75" s="104">
        <f t="shared" si="19"/>
        <v>38981</v>
      </c>
      <c r="Y75" s="197">
        <f t="shared" si="23"/>
        <v>9392000</v>
      </c>
      <c r="Z75" s="143"/>
      <c r="AA75" s="142" t="s">
        <v>744</v>
      </c>
      <c r="AB75" s="202"/>
      <c r="AC75" s="321">
        <v>0.152</v>
      </c>
      <c r="AD75" s="205">
        <v>0.152</v>
      </c>
      <c r="AE75" s="313"/>
      <c r="AF75" s="104"/>
    </row>
    <row r="76" spans="1:32" ht="24.95" customHeight="1" x14ac:dyDescent="0.15">
      <c r="A76" s="142" t="s">
        <v>274</v>
      </c>
      <c r="B76" s="142" t="s">
        <v>297</v>
      </c>
      <c r="C76" s="142" t="str">
        <f t="shared" si="18"/>
        <v>到期</v>
      </c>
      <c r="D76" s="103" t="s">
        <v>1844</v>
      </c>
      <c r="E76" s="142" t="s">
        <v>298</v>
      </c>
      <c r="F76" s="48">
        <v>43480</v>
      </c>
      <c r="G76" s="48">
        <v>43508</v>
      </c>
      <c r="H76" s="48" t="s">
        <v>1014</v>
      </c>
      <c r="I76" s="48" t="s">
        <v>222</v>
      </c>
      <c r="J76" s="142" t="s">
        <v>59</v>
      </c>
      <c r="K76" s="104">
        <v>200</v>
      </c>
      <c r="L76" s="104">
        <v>45800</v>
      </c>
      <c r="M76" s="105">
        <v>46960</v>
      </c>
      <c r="N76" s="104">
        <f t="shared" si="24"/>
        <v>194.905</v>
      </c>
      <c r="O76" s="104">
        <f t="shared" si="25"/>
        <v>38981</v>
      </c>
      <c r="P76" s="101" t="s">
        <v>478</v>
      </c>
      <c r="Q76" s="101" t="s">
        <v>479</v>
      </c>
      <c r="R76" s="105"/>
      <c r="S76" s="105"/>
      <c r="T76" s="144"/>
      <c r="U76" s="105">
        <v>48260</v>
      </c>
      <c r="V76" s="105">
        <v>0</v>
      </c>
      <c r="W76" s="48">
        <v>43508</v>
      </c>
      <c r="X76" s="104">
        <f t="shared" si="19"/>
        <v>38981</v>
      </c>
      <c r="Y76" s="197">
        <f t="shared" si="23"/>
        <v>9392000</v>
      </c>
      <c r="Z76" s="143"/>
      <c r="AA76" s="142" t="s">
        <v>744</v>
      </c>
      <c r="AB76" s="202"/>
      <c r="AC76" s="321">
        <v>0.152</v>
      </c>
      <c r="AD76" s="205">
        <v>0.152</v>
      </c>
      <c r="AE76" s="313"/>
      <c r="AF76" s="104"/>
    </row>
    <row r="77" spans="1:32" ht="24.95" customHeight="1" x14ac:dyDescent="0.15">
      <c r="A77" s="142" t="s">
        <v>274</v>
      </c>
      <c r="B77" s="142" t="s">
        <v>297</v>
      </c>
      <c r="C77" s="142" t="str">
        <f t="shared" si="18"/>
        <v>到期</v>
      </c>
      <c r="D77" s="103" t="s">
        <v>1845</v>
      </c>
      <c r="E77" s="142" t="s">
        <v>298</v>
      </c>
      <c r="F77" s="48">
        <v>43480</v>
      </c>
      <c r="G77" s="48">
        <v>43508</v>
      </c>
      <c r="H77" s="48" t="s">
        <v>1014</v>
      </c>
      <c r="I77" s="48" t="s">
        <v>222</v>
      </c>
      <c r="J77" s="142" t="s">
        <v>56</v>
      </c>
      <c r="K77" s="104">
        <v>200</v>
      </c>
      <c r="L77" s="104">
        <v>49560</v>
      </c>
      <c r="M77" s="105">
        <v>46960</v>
      </c>
      <c r="N77" s="104">
        <f t="shared" si="24"/>
        <v>194.905</v>
      </c>
      <c r="O77" s="104">
        <f t="shared" si="25"/>
        <v>38981</v>
      </c>
      <c r="P77" s="101" t="s">
        <v>268</v>
      </c>
      <c r="Q77" s="101" t="s">
        <v>480</v>
      </c>
      <c r="R77" s="105"/>
      <c r="S77" s="105"/>
      <c r="T77" s="144"/>
      <c r="U77" s="105">
        <v>48260</v>
      </c>
      <c r="V77" s="105">
        <v>0</v>
      </c>
      <c r="W77" s="48">
        <v>43508</v>
      </c>
      <c r="X77" s="104">
        <f t="shared" si="19"/>
        <v>38981</v>
      </c>
      <c r="Y77" s="197">
        <f t="shared" si="23"/>
        <v>9392000</v>
      </c>
      <c r="Z77" s="143"/>
      <c r="AA77" s="142" t="s">
        <v>744</v>
      </c>
      <c r="AB77" s="202"/>
      <c r="AC77" s="321">
        <v>0.152</v>
      </c>
      <c r="AD77" s="205">
        <v>0.152</v>
      </c>
      <c r="AE77" s="313"/>
      <c r="AF77" s="104"/>
    </row>
    <row r="78" spans="1:32" ht="24.95" customHeight="1" x14ac:dyDescent="0.15">
      <c r="A78" s="142" t="s">
        <v>274</v>
      </c>
      <c r="B78" s="142" t="s">
        <v>764</v>
      </c>
      <c r="C78" s="142" t="str">
        <f t="shared" si="18"/>
        <v>到期</v>
      </c>
      <c r="D78" s="103" t="s">
        <v>1845</v>
      </c>
      <c r="E78" s="142" t="s">
        <v>298</v>
      </c>
      <c r="F78" s="48">
        <v>43480</v>
      </c>
      <c r="G78" s="48">
        <v>43508</v>
      </c>
      <c r="H78" s="48" t="s">
        <v>1014</v>
      </c>
      <c r="I78" s="48" t="s">
        <v>222</v>
      </c>
      <c r="J78" s="142" t="s">
        <v>59</v>
      </c>
      <c r="K78" s="104">
        <v>200</v>
      </c>
      <c r="L78" s="104">
        <v>45800</v>
      </c>
      <c r="M78" s="105">
        <v>46960</v>
      </c>
      <c r="N78" s="104">
        <f t="shared" si="24"/>
        <v>194.905</v>
      </c>
      <c r="O78" s="104">
        <f t="shared" si="25"/>
        <v>38981</v>
      </c>
      <c r="P78" s="101" t="s">
        <v>481</v>
      </c>
      <c r="Q78" s="101" t="s">
        <v>480</v>
      </c>
      <c r="R78" s="105"/>
      <c r="S78" s="105"/>
      <c r="T78" s="144"/>
      <c r="U78" s="105">
        <v>48260</v>
      </c>
      <c r="V78" s="105">
        <v>0</v>
      </c>
      <c r="W78" s="48">
        <v>43508</v>
      </c>
      <c r="X78" s="104">
        <f t="shared" si="19"/>
        <v>38981</v>
      </c>
      <c r="Y78" s="197">
        <f t="shared" si="23"/>
        <v>9392000</v>
      </c>
      <c r="Z78" s="143"/>
      <c r="AA78" s="142" t="s">
        <v>744</v>
      </c>
      <c r="AB78" s="202"/>
      <c r="AC78" s="321">
        <v>0.152</v>
      </c>
      <c r="AD78" s="205">
        <v>0.152</v>
      </c>
      <c r="AE78" s="313"/>
      <c r="AF78" s="104"/>
    </row>
    <row r="79" spans="1:32" ht="24.95" customHeight="1" x14ac:dyDescent="0.15">
      <c r="A79" s="142" t="s">
        <v>244</v>
      </c>
      <c r="B79" s="142" t="s">
        <v>295</v>
      </c>
      <c r="C79" s="142" t="str">
        <f t="shared" si="18"/>
        <v>到期</v>
      </c>
      <c r="D79" s="123" t="s">
        <v>266</v>
      </c>
      <c r="E79" s="142" t="s">
        <v>137</v>
      </c>
      <c r="F79" s="144">
        <v>43480</v>
      </c>
      <c r="G79" s="48">
        <v>43525</v>
      </c>
      <c r="H79" s="143" t="s">
        <v>321</v>
      </c>
      <c r="I79" s="142" t="s">
        <v>241</v>
      </c>
      <c r="J79" s="142" t="s">
        <v>56</v>
      </c>
      <c r="K79" s="104">
        <v>500</v>
      </c>
      <c r="L79" s="105">
        <v>1901</v>
      </c>
      <c r="M79" s="104">
        <v>1811</v>
      </c>
      <c r="N79" s="104">
        <v>2.2599999999999998</v>
      </c>
      <c r="O79" s="104">
        <f t="shared" si="25"/>
        <v>1130</v>
      </c>
      <c r="P79" s="101" t="s">
        <v>668</v>
      </c>
      <c r="Q79" s="101" t="s">
        <v>669</v>
      </c>
      <c r="R79" s="104"/>
      <c r="S79" s="104"/>
      <c r="T79" s="48"/>
      <c r="U79" s="104">
        <v>1820</v>
      </c>
      <c r="V79" s="104">
        <v>0</v>
      </c>
      <c r="W79" s="48">
        <f>G79</f>
        <v>43525</v>
      </c>
      <c r="X79" s="104">
        <f t="shared" si="19"/>
        <v>-1130</v>
      </c>
      <c r="Y79" s="197">
        <f>M79*K79</f>
        <v>905500</v>
      </c>
      <c r="Z79" s="143"/>
      <c r="AA79" s="143" t="str">
        <f>IF(I79="买入","卖出","买入")</f>
        <v>卖出</v>
      </c>
      <c r="AB79" s="203"/>
      <c r="AC79" s="321">
        <v>0.10199999999999999</v>
      </c>
      <c r="AD79" s="319"/>
      <c r="AE79" s="314"/>
      <c r="AF79" s="105"/>
    </row>
    <row r="80" spans="1:32" ht="24.95" customHeight="1" x14ac:dyDescent="0.15">
      <c r="A80" s="142" t="s">
        <v>244</v>
      </c>
      <c r="B80" s="142" t="s">
        <v>295</v>
      </c>
      <c r="C80" s="142" t="str">
        <f t="shared" si="18"/>
        <v>到期</v>
      </c>
      <c r="D80" s="123" t="s">
        <v>266</v>
      </c>
      <c r="E80" s="142" t="s">
        <v>137</v>
      </c>
      <c r="F80" s="144">
        <v>43480</v>
      </c>
      <c r="G80" s="48">
        <v>43525</v>
      </c>
      <c r="H80" s="143" t="s">
        <v>321</v>
      </c>
      <c r="I80" s="142" t="s">
        <v>241</v>
      </c>
      <c r="J80" s="142" t="s">
        <v>59</v>
      </c>
      <c r="K80" s="104">
        <v>500</v>
      </c>
      <c r="L80" s="105">
        <v>1720</v>
      </c>
      <c r="M80" s="104">
        <v>1811</v>
      </c>
      <c r="N80" s="104">
        <v>2.27</v>
      </c>
      <c r="O80" s="104">
        <f t="shared" si="25"/>
        <v>1135</v>
      </c>
      <c r="P80" s="101" t="s">
        <v>668</v>
      </c>
      <c r="Q80" s="101" t="s">
        <v>669</v>
      </c>
      <c r="R80" s="104"/>
      <c r="S80" s="104"/>
      <c r="T80" s="48"/>
      <c r="U80" s="104">
        <v>1820</v>
      </c>
      <c r="V80" s="104">
        <v>0</v>
      </c>
      <c r="W80" s="48">
        <f>G80</f>
        <v>43525</v>
      </c>
      <c r="X80" s="104">
        <f t="shared" si="19"/>
        <v>-1135</v>
      </c>
      <c r="Y80" s="197">
        <f>M80*K80</f>
        <v>905500</v>
      </c>
      <c r="Z80" s="143"/>
      <c r="AA80" s="143" t="str">
        <f>IF(I80="买入","卖出","买入")</f>
        <v>卖出</v>
      </c>
      <c r="AB80" s="203"/>
      <c r="AC80" s="321">
        <v>0.1072</v>
      </c>
      <c r="AD80" s="319"/>
      <c r="AE80" s="314"/>
      <c r="AF80" s="105"/>
    </row>
    <row r="81" spans="1:32" ht="24.95" customHeight="1" x14ac:dyDescent="0.15">
      <c r="A81" s="142" t="s">
        <v>294</v>
      </c>
      <c r="B81" s="142"/>
      <c r="C81" s="142" t="str">
        <f t="shared" si="18"/>
        <v>到期</v>
      </c>
      <c r="D81" s="142" t="s">
        <v>1837</v>
      </c>
      <c r="E81" s="142" t="s">
        <v>137</v>
      </c>
      <c r="F81" s="48">
        <v>43480</v>
      </c>
      <c r="G81" s="48">
        <v>43511</v>
      </c>
      <c r="H81" s="142" t="s">
        <v>269</v>
      </c>
      <c r="I81" s="142" t="s">
        <v>38</v>
      </c>
      <c r="J81" s="46" t="s">
        <v>973</v>
      </c>
      <c r="K81" s="104">
        <v>1000</v>
      </c>
      <c r="L81" s="104">
        <v>11162</v>
      </c>
      <c r="M81" s="104">
        <v>10696.224</v>
      </c>
      <c r="N81" s="104">
        <v>465</v>
      </c>
      <c r="O81" s="104">
        <f t="shared" si="25"/>
        <v>465000</v>
      </c>
      <c r="P81" s="101" t="s">
        <v>908</v>
      </c>
      <c r="Q81" s="101" t="s">
        <v>909</v>
      </c>
      <c r="R81" s="104"/>
      <c r="S81" s="104"/>
      <c r="T81" s="48"/>
      <c r="U81" s="104">
        <v>10712</v>
      </c>
      <c r="V81" s="104">
        <f>(L81-U81)*K81</f>
        <v>450000</v>
      </c>
      <c r="W81" s="48">
        <v>43511</v>
      </c>
      <c r="X81" s="104">
        <f t="shared" si="19"/>
        <v>-15000</v>
      </c>
      <c r="Y81" s="197">
        <f>M81*K81</f>
        <v>10696224</v>
      </c>
      <c r="Z81" s="143"/>
      <c r="AA81" s="143"/>
      <c r="AB81" s="203"/>
      <c r="AC81" s="321"/>
      <c r="AD81" s="321"/>
      <c r="AE81" s="314"/>
      <c r="AF81" s="105"/>
    </row>
    <row r="82" spans="1:32" ht="24.95" customHeight="1" x14ac:dyDescent="0.15">
      <c r="A82" s="142" t="s">
        <v>247</v>
      </c>
      <c r="B82" s="142" t="s">
        <v>764</v>
      </c>
      <c r="C82" s="142" t="str">
        <f t="shared" si="18"/>
        <v>到期</v>
      </c>
      <c r="D82" s="127" t="s">
        <v>1838</v>
      </c>
      <c r="E82" s="142" t="s">
        <v>137</v>
      </c>
      <c r="F82" s="48">
        <v>43482</v>
      </c>
      <c r="G82" s="48">
        <v>43496</v>
      </c>
      <c r="H82" s="143" t="s">
        <v>818</v>
      </c>
      <c r="I82" s="143" t="s">
        <v>222</v>
      </c>
      <c r="J82" s="142" t="s">
        <v>22</v>
      </c>
      <c r="K82" s="105">
        <v>1000</v>
      </c>
      <c r="L82" s="105">
        <v>3557</v>
      </c>
      <c r="M82" s="105">
        <v>3557</v>
      </c>
      <c r="N82" s="105">
        <v>57.27</v>
      </c>
      <c r="O82" s="105">
        <f t="shared" si="25"/>
        <v>57270</v>
      </c>
      <c r="P82" s="101" t="s">
        <v>482</v>
      </c>
      <c r="Q82" s="101" t="s">
        <v>819</v>
      </c>
      <c r="R82" s="105"/>
      <c r="S82" s="105"/>
      <c r="T82" s="144"/>
      <c r="U82" s="104">
        <v>3707</v>
      </c>
      <c r="V82" s="104">
        <f>-(U82-L82)*K82</f>
        <v>-150000</v>
      </c>
      <c r="W82" s="48">
        <v>43496</v>
      </c>
      <c r="X82" s="104">
        <f t="shared" si="19"/>
        <v>-92730</v>
      </c>
      <c r="Y82" s="197">
        <f>M82*K82</f>
        <v>3557000</v>
      </c>
      <c r="Z82" s="143"/>
      <c r="AA82" s="143"/>
      <c r="AB82" s="203"/>
      <c r="AC82" s="321"/>
      <c r="AD82" s="321"/>
      <c r="AE82" s="314"/>
      <c r="AF82" s="105"/>
    </row>
    <row r="83" spans="1:32" ht="24.95" customHeight="1" x14ac:dyDescent="0.15">
      <c r="A83" s="142" t="s">
        <v>247</v>
      </c>
      <c r="B83" s="142" t="s">
        <v>297</v>
      </c>
      <c r="C83" s="142" t="str">
        <f t="shared" si="18"/>
        <v>到期</v>
      </c>
      <c r="D83" s="127" t="s">
        <v>1838</v>
      </c>
      <c r="E83" s="142" t="s">
        <v>137</v>
      </c>
      <c r="F83" s="48">
        <v>43482</v>
      </c>
      <c r="G83" s="48">
        <v>43496</v>
      </c>
      <c r="H83" s="143" t="s">
        <v>818</v>
      </c>
      <c r="I83" s="143" t="s">
        <v>222</v>
      </c>
      <c r="J83" s="142" t="s">
        <v>25</v>
      </c>
      <c r="K83" s="105">
        <v>1000</v>
      </c>
      <c r="L83" s="105">
        <v>3557</v>
      </c>
      <c r="M83" s="105">
        <v>3557</v>
      </c>
      <c r="N83" s="105">
        <v>57.27</v>
      </c>
      <c r="O83" s="105">
        <f t="shared" si="25"/>
        <v>57270</v>
      </c>
      <c r="P83" s="101" t="s">
        <v>482</v>
      </c>
      <c r="Q83" s="101" t="s">
        <v>819</v>
      </c>
      <c r="R83" s="105"/>
      <c r="S83" s="105"/>
      <c r="T83" s="144"/>
      <c r="U83" s="104">
        <v>3707</v>
      </c>
      <c r="V83" s="104">
        <v>0</v>
      </c>
      <c r="W83" s="48">
        <v>43496</v>
      </c>
      <c r="X83" s="104">
        <f t="shared" si="19"/>
        <v>57270</v>
      </c>
      <c r="Y83" s="197">
        <f>M83*K83</f>
        <v>3557000</v>
      </c>
      <c r="Z83" s="143"/>
      <c r="AA83" s="143"/>
      <c r="AB83" s="203"/>
      <c r="AC83" s="321"/>
      <c r="AD83" s="321"/>
      <c r="AE83" s="314"/>
      <c r="AF83" s="105"/>
    </row>
    <row r="84" spans="1:32" ht="24.95" customHeight="1" x14ac:dyDescent="0.15">
      <c r="A84" s="142" t="s">
        <v>244</v>
      </c>
      <c r="B84" s="142" t="s">
        <v>297</v>
      </c>
      <c r="C84" s="142" t="str">
        <f t="shared" si="18"/>
        <v>到期</v>
      </c>
      <c r="D84" s="123" t="s">
        <v>1838</v>
      </c>
      <c r="E84" s="142" t="s">
        <v>137</v>
      </c>
      <c r="F84" s="144">
        <v>43482</v>
      </c>
      <c r="G84" s="144">
        <v>43496</v>
      </c>
      <c r="H84" s="143" t="s">
        <v>270</v>
      </c>
      <c r="I84" s="143" t="s">
        <v>21</v>
      </c>
      <c r="J84" s="143" t="s">
        <v>22</v>
      </c>
      <c r="K84" s="105">
        <v>10000</v>
      </c>
      <c r="L84" s="105">
        <v>424</v>
      </c>
      <c r="M84" s="105">
        <v>424</v>
      </c>
      <c r="N84" s="105">
        <v>11.92</v>
      </c>
      <c r="O84" s="105">
        <v>119200</v>
      </c>
      <c r="P84" s="101" t="s">
        <v>483</v>
      </c>
      <c r="Q84" s="101" t="s">
        <v>820</v>
      </c>
      <c r="R84" s="105"/>
      <c r="S84" s="105"/>
      <c r="T84" s="144"/>
      <c r="U84" s="104">
        <v>431.6</v>
      </c>
      <c r="V84" s="105">
        <f>-(U84-L84)*K84</f>
        <v>-76000.000000000233</v>
      </c>
      <c r="W84" s="48">
        <v>43496</v>
      </c>
      <c r="X84" s="104">
        <f t="shared" si="19"/>
        <v>43199.999999999767</v>
      </c>
      <c r="Y84" s="198">
        <v>4240000</v>
      </c>
      <c r="Z84" s="143"/>
      <c r="AA84" s="143"/>
      <c r="AB84" s="203"/>
      <c r="AC84" s="321">
        <v>0.34899999999999998</v>
      </c>
      <c r="AD84" s="319"/>
      <c r="AE84" s="314"/>
      <c r="AF84" s="105"/>
    </row>
    <row r="85" spans="1:32" ht="24.95" customHeight="1" x14ac:dyDescent="0.15">
      <c r="A85" s="142" t="s">
        <v>244</v>
      </c>
      <c r="B85" s="142" t="s">
        <v>297</v>
      </c>
      <c r="C85" s="142" t="str">
        <f t="shared" si="18"/>
        <v>到期</v>
      </c>
      <c r="D85" s="123" t="s">
        <v>1838</v>
      </c>
      <c r="E85" s="142" t="s">
        <v>137</v>
      </c>
      <c r="F85" s="144">
        <v>43482</v>
      </c>
      <c r="G85" s="144">
        <v>43496</v>
      </c>
      <c r="H85" s="143" t="s">
        <v>270</v>
      </c>
      <c r="I85" s="143" t="s">
        <v>21</v>
      </c>
      <c r="J85" s="143" t="s">
        <v>25</v>
      </c>
      <c r="K85" s="105">
        <v>10000</v>
      </c>
      <c r="L85" s="105">
        <v>424</v>
      </c>
      <c r="M85" s="105">
        <v>424</v>
      </c>
      <c r="N85" s="105">
        <v>11.92</v>
      </c>
      <c r="O85" s="105">
        <v>119200</v>
      </c>
      <c r="P85" s="101" t="s">
        <v>483</v>
      </c>
      <c r="Q85" s="101" t="s">
        <v>821</v>
      </c>
      <c r="R85" s="105"/>
      <c r="S85" s="105"/>
      <c r="T85" s="144"/>
      <c r="U85" s="104">
        <v>431.6</v>
      </c>
      <c r="V85" s="104">
        <v>0</v>
      </c>
      <c r="W85" s="48">
        <v>43496</v>
      </c>
      <c r="X85" s="104">
        <f t="shared" si="19"/>
        <v>119200</v>
      </c>
      <c r="Y85" s="198">
        <v>4240000</v>
      </c>
      <c r="Z85" s="143"/>
      <c r="AA85" s="143"/>
      <c r="AB85" s="203"/>
      <c r="AC85" s="321">
        <v>0.34899999999999998</v>
      </c>
      <c r="AD85" s="319"/>
      <c r="AE85" s="314"/>
      <c r="AF85" s="105"/>
    </row>
    <row r="86" spans="1:32" ht="24.95" customHeight="1" x14ac:dyDescent="0.15">
      <c r="A86" s="142" t="s">
        <v>244</v>
      </c>
      <c r="B86" s="142" t="s">
        <v>295</v>
      </c>
      <c r="C86" s="142" t="str">
        <f t="shared" si="18"/>
        <v>到期</v>
      </c>
      <c r="D86" s="123" t="s">
        <v>266</v>
      </c>
      <c r="E86" s="142" t="s">
        <v>137</v>
      </c>
      <c r="F86" s="144">
        <v>43482</v>
      </c>
      <c r="G86" s="144">
        <v>43525</v>
      </c>
      <c r="H86" s="142" t="s">
        <v>204</v>
      </c>
      <c r="I86" s="143" t="s">
        <v>38</v>
      </c>
      <c r="J86" s="142" t="s">
        <v>56</v>
      </c>
      <c r="K86" s="105">
        <v>1000</v>
      </c>
      <c r="L86" s="105">
        <v>5145</v>
      </c>
      <c r="M86" s="105">
        <v>4900</v>
      </c>
      <c r="N86" s="105">
        <v>17.149999999999999</v>
      </c>
      <c r="O86" s="105">
        <v>17150</v>
      </c>
      <c r="P86" s="101" t="s">
        <v>670</v>
      </c>
      <c r="Q86" s="101" t="s">
        <v>815</v>
      </c>
      <c r="R86" s="105"/>
      <c r="S86" s="105"/>
      <c r="T86" s="144"/>
      <c r="U86" s="104">
        <v>5191</v>
      </c>
      <c r="V86" s="104">
        <f>(U86-L86)*K86</f>
        <v>46000</v>
      </c>
      <c r="W86" s="48">
        <f>G86</f>
        <v>43525</v>
      </c>
      <c r="X86" s="104">
        <f t="shared" si="19"/>
        <v>28850</v>
      </c>
      <c r="Y86" s="198">
        <v>4900000</v>
      </c>
      <c r="Z86" s="143"/>
      <c r="AA86" s="143" t="str">
        <f>IF(I86="买入","卖出","买入")</f>
        <v>卖出</v>
      </c>
      <c r="AB86" s="203"/>
      <c r="AC86" s="321">
        <v>0.1416</v>
      </c>
      <c r="AD86" s="319"/>
      <c r="AE86" s="314"/>
      <c r="AF86" s="105"/>
    </row>
    <row r="87" spans="1:32" ht="24.95" customHeight="1" x14ac:dyDescent="0.15">
      <c r="A87" s="142" t="s">
        <v>244</v>
      </c>
      <c r="B87" s="142" t="s">
        <v>295</v>
      </c>
      <c r="C87" s="142" t="str">
        <f t="shared" si="18"/>
        <v>到期</v>
      </c>
      <c r="D87" s="123" t="s">
        <v>266</v>
      </c>
      <c r="E87" s="142" t="s">
        <v>137</v>
      </c>
      <c r="F87" s="144">
        <v>43482</v>
      </c>
      <c r="G87" s="144">
        <v>43525</v>
      </c>
      <c r="H87" s="142" t="s">
        <v>204</v>
      </c>
      <c r="I87" s="143" t="s">
        <v>38</v>
      </c>
      <c r="J87" s="142" t="s">
        <v>59</v>
      </c>
      <c r="K87" s="105">
        <v>1000</v>
      </c>
      <c r="L87" s="105">
        <v>4655</v>
      </c>
      <c r="M87" s="105">
        <v>4900</v>
      </c>
      <c r="N87" s="105">
        <v>14.7</v>
      </c>
      <c r="O87" s="105">
        <v>14700</v>
      </c>
      <c r="P87" s="101" t="s">
        <v>671</v>
      </c>
      <c r="Q87" s="101" t="s">
        <v>815</v>
      </c>
      <c r="R87" s="105"/>
      <c r="S87" s="105"/>
      <c r="T87" s="144"/>
      <c r="U87" s="104">
        <v>5191</v>
      </c>
      <c r="V87" s="104">
        <v>0</v>
      </c>
      <c r="W87" s="48">
        <f>G87</f>
        <v>43525</v>
      </c>
      <c r="X87" s="104">
        <f t="shared" si="19"/>
        <v>-14700</v>
      </c>
      <c r="Y87" s="198">
        <v>4900000</v>
      </c>
      <c r="Z87" s="143"/>
      <c r="AA87" s="143" t="str">
        <f>IF(I87="买入","卖出","买入")</f>
        <v>卖出</v>
      </c>
      <c r="AB87" s="203"/>
      <c r="AC87" s="321">
        <v>0.1416</v>
      </c>
      <c r="AD87" s="319"/>
      <c r="AE87" s="314"/>
      <c r="AF87" s="105"/>
    </row>
    <row r="88" spans="1:32" ht="24.95" customHeight="1" x14ac:dyDescent="0.15">
      <c r="A88" s="142" t="s">
        <v>244</v>
      </c>
      <c r="B88" s="142" t="s">
        <v>295</v>
      </c>
      <c r="C88" s="142" t="str">
        <f t="shared" si="18"/>
        <v>到期</v>
      </c>
      <c r="D88" s="123" t="s">
        <v>1846</v>
      </c>
      <c r="E88" s="142" t="s">
        <v>137</v>
      </c>
      <c r="F88" s="144">
        <v>43482</v>
      </c>
      <c r="G88" s="144">
        <v>43496</v>
      </c>
      <c r="H88" s="143" t="s">
        <v>270</v>
      </c>
      <c r="I88" s="143" t="s">
        <v>38</v>
      </c>
      <c r="J88" s="143" t="s">
        <v>22</v>
      </c>
      <c r="K88" s="105">
        <v>40000</v>
      </c>
      <c r="L88" s="105">
        <v>446.25</v>
      </c>
      <c r="M88" s="105">
        <v>425</v>
      </c>
      <c r="N88" s="105">
        <v>3.02</v>
      </c>
      <c r="O88" s="105">
        <v>120800</v>
      </c>
      <c r="P88" s="101" t="s">
        <v>271</v>
      </c>
      <c r="Q88" s="101" t="s">
        <v>822</v>
      </c>
      <c r="R88" s="105"/>
      <c r="S88" s="105"/>
      <c r="T88" s="144"/>
      <c r="U88" s="104">
        <v>431.6</v>
      </c>
      <c r="V88" s="104">
        <v>0</v>
      </c>
      <c r="W88" s="144">
        <v>43496</v>
      </c>
      <c r="X88" s="104">
        <f t="shared" si="19"/>
        <v>-120800</v>
      </c>
      <c r="Y88" s="198">
        <v>17000000</v>
      </c>
      <c r="Z88" s="143"/>
      <c r="AA88" s="143"/>
      <c r="AB88" s="203"/>
      <c r="AC88" s="321">
        <v>0.29399999999999998</v>
      </c>
      <c r="AD88" s="319"/>
      <c r="AE88" s="314"/>
      <c r="AF88" s="105"/>
    </row>
    <row r="89" spans="1:32" ht="24.95" customHeight="1" x14ac:dyDescent="0.15">
      <c r="A89" s="142" t="s">
        <v>244</v>
      </c>
      <c r="B89" s="142" t="s">
        <v>295</v>
      </c>
      <c r="C89" s="142" t="str">
        <f t="shared" si="18"/>
        <v>到期</v>
      </c>
      <c r="D89" s="123" t="s">
        <v>1846</v>
      </c>
      <c r="E89" s="142" t="s">
        <v>137</v>
      </c>
      <c r="F89" s="144">
        <v>43482</v>
      </c>
      <c r="G89" s="144">
        <v>43496</v>
      </c>
      <c r="H89" s="143" t="s">
        <v>270</v>
      </c>
      <c r="I89" s="143" t="s">
        <v>38</v>
      </c>
      <c r="J89" s="143" t="s">
        <v>25</v>
      </c>
      <c r="K89" s="105">
        <v>40000</v>
      </c>
      <c r="L89" s="105">
        <v>408</v>
      </c>
      <c r="M89" s="105">
        <v>425</v>
      </c>
      <c r="N89" s="105">
        <v>3.57</v>
      </c>
      <c r="O89" s="105">
        <v>142800</v>
      </c>
      <c r="P89" s="101" t="s">
        <v>434</v>
      </c>
      <c r="Q89" s="101" t="s">
        <v>291</v>
      </c>
      <c r="R89" s="105"/>
      <c r="S89" s="105"/>
      <c r="T89" s="144"/>
      <c r="U89" s="104">
        <v>431.6</v>
      </c>
      <c r="V89" s="104">
        <v>0</v>
      </c>
      <c r="W89" s="144">
        <v>43496</v>
      </c>
      <c r="X89" s="104">
        <f t="shared" si="19"/>
        <v>-142800</v>
      </c>
      <c r="Y89" s="198">
        <v>17000000</v>
      </c>
      <c r="Z89" s="143"/>
      <c r="AA89" s="143"/>
      <c r="AB89" s="203"/>
      <c r="AC89" s="321">
        <v>0.29399999999999998</v>
      </c>
      <c r="AD89" s="319"/>
      <c r="AE89" s="314"/>
      <c r="AF89" s="105"/>
    </row>
    <row r="90" spans="1:32" ht="24.95" customHeight="1" x14ac:dyDescent="0.15">
      <c r="A90" s="142" t="s">
        <v>247</v>
      </c>
      <c r="B90" s="142" t="s">
        <v>295</v>
      </c>
      <c r="C90" s="142" t="str">
        <f t="shared" si="18"/>
        <v>到期</v>
      </c>
      <c r="D90" s="127" t="s">
        <v>1849</v>
      </c>
      <c r="E90" s="142" t="s">
        <v>137</v>
      </c>
      <c r="F90" s="144">
        <v>43483</v>
      </c>
      <c r="G90" s="48">
        <v>43496</v>
      </c>
      <c r="H90" s="143" t="s">
        <v>818</v>
      </c>
      <c r="I90" s="143" t="s">
        <v>241</v>
      </c>
      <c r="J90" s="142" t="s">
        <v>22</v>
      </c>
      <c r="K90" s="105">
        <v>1000</v>
      </c>
      <c r="L90" s="105">
        <v>3557</v>
      </c>
      <c r="M90" s="105">
        <v>3616</v>
      </c>
      <c r="N90" s="105">
        <v>90</v>
      </c>
      <c r="O90" s="105">
        <f t="shared" ref="O90:O98" si="26">N90*K90</f>
        <v>90000</v>
      </c>
      <c r="P90" s="101" t="s">
        <v>484</v>
      </c>
      <c r="Q90" s="101" t="s">
        <v>485</v>
      </c>
      <c r="R90" s="104"/>
      <c r="S90" s="104"/>
      <c r="T90" s="48"/>
      <c r="U90" s="104">
        <v>3707</v>
      </c>
      <c r="V90" s="104">
        <f>(U90-L90)*K90</f>
        <v>150000</v>
      </c>
      <c r="W90" s="48">
        <v>43496</v>
      </c>
      <c r="X90" s="104">
        <f t="shared" si="19"/>
        <v>60000</v>
      </c>
      <c r="Y90" s="197">
        <f t="shared" ref="Y90:Y147" si="27">M90*K90</f>
        <v>3616000</v>
      </c>
      <c r="Z90" s="143"/>
      <c r="AA90" s="143"/>
      <c r="AB90" s="203"/>
      <c r="AC90" s="321"/>
      <c r="AD90" s="321"/>
      <c r="AE90" s="314"/>
      <c r="AF90" s="105"/>
    </row>
    <row r="91" spans="1:32" ht="24.95" customHeight="1" x14ac:dyDescent="0.15">
      <c r="A91" s="142" t="s">
        <v>247</v>
      </c>
      <c r="B91" s="142" t="s">
        <v>295</v>
      </c>
      <c r="C91" s="142" t="str">
        <f t="shared" si="18"/>
        <v>到期</v>
      </c>
      <c r="D91" s="127" t="s">
        <v>1849</v>
      </c>
      <c r="E91" s="142" t="s">
        <v>137</v>
      </c>
      <c r="F91" s="144">
        <v>43483</v>
      </c>
      <c r="G91" s="48">
        <v>43496</v>
      </c>
      <c r="H91" s="143" t="s">
        <v>816</v>
      </c>
      <c r="I91" s="143" t="s">
        <v>241</v>
      </c>
      <c r="J91" s="142" t="s">
        <v>25</v>
      </c>
      <c r="K91" s="105">
        <v>1000</v>
      </c>
      <c r="L91" s="105">
        <v>3557</v>
      </c>
      <c r="M91" s="105">
        <v>3616</v>
      </c>
      <c r="N91" s="105">
        <v>31</v>
      </c>
      <c r="O91" s="105">
        <f t="shared" si="26"/>
        <v>31000</v>
      </c>
      <c r="P91" s="101" t="s">
        <v>486</v>
      </c>
      <c r="Q91" s="101" t="s">
        <v>487</v>
      </c>
      <c r="R91" s="104"/>
      <c r="S91" s="104"/>
      <c r="T91" s="48"/>
      <c r="U91" s="104">
        <v>3707</v>
      </c>
      <c r="V91" s="104">
        <v>0</v>
      </c>
      <c r="W91" s="48">
        <v>43496</v>
      </c>
      <c r="X91" s="104">
        <f t="shared" si="19"/>
        <v>-31000</v>
      </c>
      <c r="Y91" s="197">
        <f t="shared" si="27"/>
        <v>3616000</v>
      </c>
      <c r="Z91" s="143"/>
      <c r="AA91" s="143"/>
      <c r="AB91" s="203"/>
      <c r="AC91" s="321"/>
      <c r="AD91" s="321"/>
      <c r="AE91" s="314"/>
      <c r="AF91" s="105"/>
    </row>
    <row r="92" spans="1:32" ht="24.95" customHeight="1" x14ac:dyDescent="0.15">
      <c r="A92" s="142" t="s">
        <v>265</v>
      </c>
      <c r="B92" s="142" t="s">
        <v>295</v>
      </c>
      <c r="C92" s="142" t="str">
        <f t="shared" si="18"/>
        <v>到期</v>
      </c>
      <c r="D92" s="123" t="s">
        <v>266</v>
      </c>
      <c r="E92" s="142" t="s">
        <v>137</v>
      </c>
      <c r="F92" s="144">
        <v>43483</v>
      </c>
      <c r="G92" s="144">
        <v>43525</v>
      </c>
      <c r="H92" s="143" t="s">
        <v>823</v>
      </c>
      <c r="I92" s="143" t="s">
        <v>38</v>
      </c>
      <c r="J92" s="142" t="s">
        <v>56</v>
      </c>
      <c r="K92" s="105">
        <v>1500</v>
      </c>
      <c r="L92" s="105">
        <v>3267</v>
      </c>
      <c r="M92" s="105">
        <v>2970</v>
      </c>
      <c r="N92" s="105">
        <v>13.91</v>
      </c>
      <c r="O92" s="105">
        <f t="shared" si="26"/>
        <v>20865</v>
      </c>
      <c r="P92" s="101" t="s">
        <v>672</v>
      </c>
      <c r="Q92" s="101" t="s">
        <v>673</v>
      </c>
      <c r="R92" s="105"/>
      <c r="S92" s="105"/>
      <c r="T92" s="144"/>
      <c r="U92" s="105">
        <v>3436</v>
      </c>
      <c r="V92" s="105">
        <f>(3436-L92)*K92</f>
        <v>253500</v>
      </c>
      <c r="W92" s="48">
        <f>G92</f>
        <v>43525</v>
      </c>
      <c r="X92" s="104">
        <f t="shared" si="19"/>
        <v>232635</v>
      </c>
      <c r="Y92" s="197">
        <f t="shared" si="27"/>
        <v>4455000</v>
      </c>
      <c r="Z92" s="143"/>
      <c r="AA92" s="143" t="str">
        <f>IF(I92="买入","卖出","买入")</f>
        <v>卖出</v>
      </c>
      <c r="AB92" s="203"/>
      <c r="AC92" s="321">
        <v>0.249</v>
      </c>
      <c r="AD92" s="319"/>
      <c r="AE92" s="314"/>
      <c r="AF92" s="105"/>
    </row>
    <row r="93" spans="1:32" ht="24.95" customHeight="1" x14ac:dyDescent="0.15">
      <c r="A93" s="142" t="s">
        <v>265</v>
      </c>
      <c r="B93" s="142" t="s">
        <v>295</v>
      </c>
      <c r="C93" s="142" t="str">
        <f t="shared" si="18"/>
        <v>到期</v>
      </c>
      <c r="D93" s="123" t="s">
        <v>266</v>
      </c>
      <c r="E93" s="142" t="s">
        <v>137</v>
      </c>
      <c r="F93" s="144">
        <v>43483</v>
      </c>
      <c r="G93" s="144">
        <v>43525</v>
      </c>
      <c r="H93" s="143" t="s">
        <v>823</v>
      </c>
      <c r="I93" s="143" t="s">
        <v>38</v>
      </c>
      <c r="J93" s="142" t="s">
        <v>59</v>
      </c>
      <c r="K93" s="105">
        <v>1500</v>
      </c>
      <c r="L93" s="109">
        <v>2703</v>
      </c>
      <c r="M93" s="105">
        <v>2970</v>
      </c>
      <c r="N93" s="109">
        <v>12.84</v>
      </c>
      <c r="O93" s="105">
        <f t="shared" si="26"/>
        <v>19260</v>
      </c>
      <c r="P93" s="101" t="s">
        <v>672</v>
      </c>
      <c r="Q93" s="101" t="s">
        <v>674</v>
      </c>
      <c r="R93" s="105"/>
      <c r="S93" s="105"/>
      <c r="T93" s="144"/>
      <c r="U93" s="105">
        <v>3436</v>
      </c>
      <c r="V93" s="105">
        <v>0</v>
      </c>
      <c r="W93" s="48">
        <f>G93</f>
        <v>43525</v>
      </c>
      <c r="X93" s="104">
        <f t="shared" si="19"/>
        <v>-19260</v>
      </c>
      <c r="Y93" s="197">
        <f t="shared" si="27"/>
        <v>4455000</v>
      </c>
      <c r="Z93" s="143"/>
      <c r="AA93" s="143" t="str">
        <f>IF(I93="买入","卖出","买入")</f>
        <v>卖出</v>
      </c>
      <c r="AB93" s="203"/>
      <c r="AC93" s="321">
        <v>0.249</v>
      </c>
      <c r="AD93" s="319"/>
      <c r="AE93" s="314"/>
      <c r="AF93" s="105"/>
    </row>
    <row r="94" spans="1:32" ht="24.95" customHeight="1" x14ac:dyDescent="0.15">
      <c r="A94" s="142" t="s">
        <v>247</v>
      </c>
      <c r="B94" s="142" t="s">
        <v>295</v>
      </c>
      <c r="C94" s="142" t="str">
        <f t="shared" si="18"/>
        <v>到期</v>
      </c>
      <c r="D94" s="127" t="s">
        <v>1850</v>
      </c>
      <c r="E94" s="142" t="s">
        <v>137</v>
      </c>
      <c r="F94" s="144">
        <v>43483</v>
      </c>
      <c r="G94" s="144">
        <v>43514</v>
      </c>
      <c r="H94" s="143" t="s">
        <v>750</v>
      </c>
      <c r="I94" s="143" t="s">
        <v>241</v>
      </c>
      <c r="J94" s="142" t="s">
        <v>22</v>
      </c>
      <c r="K94" s="105">
        <v>3000</v>
      </c>
      <c r="L94" s="105">
        <v>561</v>
      </c>
      <c r="M94" s="105">
        <v>594.20000000000005</v>
      </c>
      <c r="N94" s="105">
        <v>33.200000000000003</v>
      </c>
      <c r="O94" s="105">
        <f t="shared" si="26"/>
        <v>99600.000000000015</v>
      </c>
      <c r="P94" s="101" t="s">
        <v>272</v>
      </c>
      <c r="Q94" s="101" t="s">
        <v>809</v>
      </c>
      <c r="R94" s="105"/>
      <c r="S94" s="105"/>
      <c r="T94" s="144"/>
      <c r="U94" s="105">
        <v>583.79999999999995</v>
      </c>
      <c r="V94" s="105">
        <f>-V63</f>
        <v>68399.999999999869</v>
      </c>
      <c r="W94" s="48">
        <v>43514</v>
      </c>
      <c r="X94" s="104">
        <f t="shared" si="19"/>
        <v>-31200.000000000146</v>
      </c>
      <c r="Y94" s="197">
        <f t="shared" si="27"/>
        <v>1782600.0000000002</v>
      </c>
      <c r="Z94" s="143"/>
      <c r="AA94" s="143"/>
      <c r="AB94" s="203"/>
      <c r="AC94" s="321"/>
      <c r="AD94" s="321"/>
      <c r="AE94" s="314"/>
      <c r="AF94" s="105"/>
    </row>
    <row r="95" spans="1:32" ht="24.95" customHeight="1" x14ac:dyDescent="0.15">
      <c r="A95" s="142" t="s">
        <v>247</v>
      </c>
      <c r="B95" s="142" t="s">
        <v>295</v>
      </c>
      <c r="C95" s="142" t="str">
        <f t="shared" si="18"/>
        <v>到期</v>
      </c>
      <c r="D95" s="127" t="s">
        <v>1850</v>
      </c>
      <c r="E95" s="142" t="s">
        <v>137</v>
      </c>
      <c r="F95" s="144">
        <v>43483</v>
      </c>
      <c r="G95" s="144">
        <v>43514</v>
      </c>
      <c r="H95" s="143" t="s">
        <v>750</v>
      </c>
      <c r="I95" s="143" t="s">
        <v>241</v>
      </c>
      <c r="J95" s="142" t="s">
        <v>25</v>
      </c>
      <c r="K95" s="105">
        <v>3000</v>
      </c>
      <c r="L95" s="105">
        <v>561</v>
      </c>
      <c r="M95" s="105">
        <v>594.20000000000005</v>
      </c>
      <c r="N95" s="105">
        <v>0.57999999999999996</v>
      </c>
      <c r="O95" s="105">
        <f t="shared" si="26"/>
        <v>1739.9999999999998</v>
      </c>
      <c r="P95" s="101" t="s">
        <v>761</v>
      </c>
      <c r="Q95" s="101" t="s">
        <v>809</v>
      </c>
      <c r="R95" s="105"/>
      <c r="S95" s="105"/>
      <c r="T95" s="144"/>
      <c r="U95" s="105">
        <v>583.79999999999995</v>
      </c>
      <c r="V95" s="105">
        <v>0</v>
      </c>
      <c r="W95" s="48">
        <v>43514</v>
      </c>
      <c r="X95" s="104">
        <f t="shared" si="19"/>
        <v>-1739.9999999999998</v>
      </c>
      <c r="Y95" s="197">
        <f t="shared" si="27"/>
        <v>1782600.0000000002</v>
      </c>
      <c r="Z95" s="143"/>
      <c r="AA95" s="143"/>
      <c r="AB95" s="203"/>
      <c r="AC95" s="321"/>
      <c r="AD95" s="321"/>
      <c r="AE95" s="314"/>
      <c r="AF95" s="105"/>
    </row>
    <row r="96" spans="1:32" ht="24.95" customHeight="1" x14ac:dyDescent="0.15">
      <c r="A96" s="142" t="s">
        <v>265</v>
      </c>
      <c r="B96" s="142" t="s">
        <v>295</v>
      </c>
      <c r="C96" s="142" t="str">
        <f t="shared" si="18"/>
        <v>到期</v>
      </c>
      <c r="D96" s="123" t="s">
        <v>266</v>
      </c>
      <c r="E96" s="142" t="s">
        <v>137</v>
      </c>
      <c r="F96" s="144">
        <v>43486</v>
      </c>
      <c r="G96" s="144">
        <v>43525</v>
      </c>
      <c r="H96" s="142" t="s">
        <v>204</v>
      </c>
      <c r="I96" s="143" t="s">
        <v>38</v>
      </c>
      <c r="J96" s="142" t="s">
        <v>59</v>
      </c>
      <c r="K96" s="105">
        <v>1500</v>
      </c>
      <c r="L96" s="105">
        <v>4914.99</v>
      </c>
      <c r="M96" s="105">
        <v>5067</v>
      </c>
      <c r="N96" s="105">
        <v>27.87</v>
      </c>
      <c r="O96" s="105">
        <f t="shared" si="26"/>
        <v>41805</v>
      </c>
      <c r="P96" s="101" t="s">
        <v>675</v>
      </c>
      <c r="Q96" s="101" t="s">
        <v>676</v>
      </c>
      <c r="R96" s="105"/>
      <c r="S96" s="105"/>
      <c r="T96" s="144"/>
      <c r="U96" s="104">
        <v>5191</v>
      </c>
      <c r="V96" s="105">
        <v>0</v>
      </c>
      <c r="W96" s="48">
        <f>G96</f>
        <v>43525</v>
      </c>
      <c r="X96" s="104">
        <f t="shared" si="19"/>
        <v>-41805</v>
      </c>
      <c r="Y96" s="197">
        <f t="shared" si="27"/>
        <v>7600500</v>
      </c>
      <c r="Z96" s="143"/>
      <c r="AA96" s="143" t="str">
        <f>IF(I96="买入","卖出","买入")</f>
        <v>卖出</v>
      </c>
      <c r="AB96" s="203"/>
      <c r="AC96" s="321">
        <v>0.13300000000000001</v>
      </c>
      <c r="AD96" s="319"/>
      <c r="AE96" s="314"/>
      <c r="AF96" s="105"/>
    </row>
    <row r="97" spans="1:32" ht="24.95" customHeight="1" x14ac:dyDescent="0.15">
      <c r="A97" s="142" t="s">
        <v>265</v>
      </c>
      <c r="B97" s="142" t="s">
        <v>295</v>
      </c>
      <c r="C97" s="142" t="str">
        <f t="shared" si="18"/>
        <v>到期</v>
      </c>
      <c r="D97" s="123" t="s">
        <v>266</v>
      </c>
      <c r="E97" s="142" t="s">
        <v>137</v>
      </c>
      <c r="F97" s="144">
        <v>43486</v>
      </c>
      <c r="G97" s="144">
        <v>43525</v>
      </c>
      <c r="H97" s="143" t="s">
        <v>823</v>
      </c>
      <c r="I97" s="143" t="s">
        <v>38</v>
      </c>
      <c r="J97" s="142" t="s">
        <v>59</v>
      </c>
      <c r="K97" s="105">
        <v>1300</v>
      </c>
      <c r="L97" s="109">
        <v>2941</v>
      </c>
      <c r="M97" s="105">
        <v>3096</v>
      </c>
      <c r="N97" s="105">
        <v>36.53</v>
      </c>
      <c r="O97" s="105">
        <f t="shared" si="26"/>
        <v>47489</v>
      </c>
      <c r="P97" s="101" t="s">
        <v>677</v>
      </c>
      <c r="Q97" s="101" t="s">
        <v>678</v>
      </c>
      <c r="R97" s="105"/>
      <c r="S97" s="105"/>
      <c r="T97" s="144"/>
      <c r="U97" s="105">
        <v>3436</v>
      </c>
      <c r="V97" s="105">
        <v>0</v>
      </c>
      <c r="W97" s="48">
        <f>G97</f>
        <v>43525</v>
      </c>
      <c r="X97" s="104">
        <f t="shared" si="19"/>
        <v>-47489</v>
      </c>
      <c r="Y97" s="197">
        <f t="shared" si="27"/>
        <v>4024800</v>
      </c>
      <c r="Z97" s="143"/>
      <c r="AA97" s="143" t="str">
        <f>IF(I97="买入","卖出","买入")</f>
        <v>卖出</v>
      </c>
      <c r="AB97" s="203"/>
      <c r="AC97" s="321">
        <v>0.251</v>
      </c>
      <c r="AD97" s="319"/>
      <c r="AE97" s="314"/>
      <c r="AF97" s="105"/>
    </row>
    <row r="98" spans="1:32" ht="24.95" customHeight="1" x14ac:dyDescent="0.15">
      <c r="A98" s="142" t="s">
        <v>265</v>
      </c>
      <c r="B98" s="142" t="s">
        <v>295</v>
      </c>
      <c r="C98" s="142" t="str">
        <f t="shared" si="18"/>
        <v>到期</v>
      </c>
      <c r="D98" s="123" t="s">
        <v>266</v>
      </c>
      <c r="E98" s="142" t="s">
        <v>137</v>
      </c>
      <c r="F98" s="144">
        <v>43486</v>
      </c>
      <c r="G98" s="144">
        <v>43497</v>
      </c>
      <c r="H98" s="48" t="s">
        <v>747</v>
      </c>
      <c r="I98" s="143" t="s">
        <v>38</v>
      </c>
      <c r="J98" s="142" t="s">
        <v>59</v>
      </c>
      <c r="K98" s="106">
        <v>5000</v>
      </c>
      <c r="L98" s="106">
        <v>2498</v>
      </c>
      <c r="M98" s="105">
        <v>2549</v>
      </c>
      <c r="N98" s="106">
        <v>23.7</v>
      </c>
      <c r="O98" s="105">
        <f t="shared" si="26"/>
        <v>118500</v>
      </c>
      <c r="P98" s="101" t="s">
        <v>679</v>
      </c>
      <c r="Q98" s="101" t="s">
        <v>305</v>
      </c>
      <c r="R98" s="105"/>
      <c r="S98" s="105"/>
      <c r="T98" s="144"/>
      <c r="U98" s="105">
        <v>2534</v>
      </c>
      <c r="V98" s="105">
        <v>0</v>
      </c>
      <c r="W98" s="144">
        <v>43497</v>
      </c>
      <c r="X98" s="104">
        <f t="shared" si="19"/>
        <v>-118500</v>
      </c>
      <c r="Y98" s="197">
        <f t="shared" si="27"/>
        <v>12745000</v>
      </c>
      <c r="Z98" s="143"/>
      <c r="AA98" s="143"/>
      <c r="AB98" s="203"/>
      <c r="AC98" s="321">
        <v>0.23200000000000001</v>
      </c>
      <c r="AD98" s="319"/>
      <c r="AE98" s="314"/>
      <c r="AF98" s="105"/>
    </row>
    <row r="99" spans="1:32" ht="24.95" customHeight="1" x14ac:dyDescent="0.15">
      <c r="A99" s="142" t="s">
        <v>265</v>
      </c>
      <c r="B99" s="142" t="s">
        <v>295</v>
      </c>
      <c r="C99" s="142" t="str">
        <f t="shared" si="18"/>
        <v>到期</v>
      </c>
      <c r="D99" s="123" t="s">
        <v>266</v>
      </c>
      <c r="E99" s="142" t="s">
        <v>137</v>
      </c>
      <c r="F99" s="144">
        <v>43487</v>
      </c>
      <c r="G99" s="144">
        <v>43525</v>
      </c>
      <c r="H99" s="48" t="s">
        <v>371</v>
      </c>
      <c r="I99" s="143" t="s">
        <v>241</v>
      </c>
      <c r="J99" s="142" t="s">
        <v>56</v>
      </c>
      <c r="K99" s="105">
        <v>1000</v>
      </c>
      <c r="L99" s="105">
        <v>7084</v>
      </c>
      <c r="M99" s="105">
        <v>6440</v>
      </c>
      <c r="N99" s="105">
        <v>6.4</v>
      </c>
      <c r="O99" s="105">
        <v>6400</v>
      </c>
      <c r="P99" s="101" t="s">
        <v>680</v>
      </c>
      <c r="Q99" s="101" t="s">
        <v>681</v>
      </c>
      <c r="R99" s="105"/>
      <c r="S99" s="105"/>
      <c r="T99" s="144"/>
      <c r="U99" s="105">
        <v>6590</v>
      </c>
      <c r="V99" s="105">
        <v>0</v>
      </c>
      <c r="W99" s="48">
        <f>G99</f>
        <v>43525</v>
      </c>
      <c r="X99" s="104">
        <f t="shared" si="19"/>
        <v>-6400</v>
      </c>
      <c r="Y99" s="197">
        <f t="shared" si="27"/>
        <v>6440000</v>
      </c>
      <c r="Z99" s="143"/>
      <c r="AA99" s="143" t="str">
        <f>IF(I99="买入","卖出","买入")</f>
        <v>卖出</v>
      </c>
      <c r="AB99" s="203"/>
      <c r="AC99" s="321">
        <v>0.18</v>
      </c>
      <c r="AD99" s="319"/>
      <c r="AE99" s="314"/>
      <c r="AF99" s="105"/>
    </row>
    <row r="100" spans="1:32" ht="24.95" customHeight="1" x14ac:dyDescent="0.15">
      <c r="A100" s="142" t="s">
        <v>265</v>
      </c>
      <c r="B100" s="142" t="s">
        <v>295</v>
      </c>
      <c r="C100" s="142" t="str">
        <f t="shared" si="18"/>
        <v>到期</v>
      </c>
      <c r="D100" s="123" t="s">
        <v>266</v>
      </c>
      <c r="E100" s="142" t="s">
        <v>137</v>
      </c>
      <c r="F100" s="144">
        <v>43487</v>
      </c>
      <c r="G100" s="144">
        <v>43525</v>
      </c>
      <c r="H100" s="48" t="s">
        <v>371</v>
      </c>
      <c r="I100" s="143" t="s">
        <v>241</v>
      </c>
      <c r="J100" s="142" t="s">
        <v>59</v>
      </c>
      <c r="K100" s="105">
        <v>1000</v>
      </c>
      <c r="L100" s="105">
        <v>5925</v>
      </c>
      <c r="M100" s="105">
        <v>6440</v>
      </c>
      <c r="N100" s="105">
        <v>9.6999999999999993</v>
      </c>
      <c r="O100" s="105">
        <v>9700</v>
      </c>
      <c r="P100" s="101" t="s">
        <v>680</v>
      </c>
      <c r="Q100" s="101" t="s">
        <v>681</v>
      </c>
      <c r="R100" s="105"/>
      <c r="S100" s="105"/>
      <c r="T100" s="144"/>
      <c r="U100" s="105">
        <v>6590</v>
      </c>
      <c r="V100" s="105">
        <v>0</v>
      </c>
      <c r="W100" s="48">
        <f>G100</f>
        <v>43525</v>
      </c>
      <c r="X100" s="104">
        <f t="shared" si="19"/>
        <v>-9700</v>
      </c>
      <c r="Y100" s="197">
        <f t="shared" si="27"/>
        <v>6440000</v>
      </c>
      <c r="Z100" s="143"/>
      <c r="AA100" s="143" t="str">
        <f>IF(I100="买入","卖出","买入")</f>
        <v>卖出</v>
      </c>
      <c r="AB100" s="203"/>
      <c r="AC100" s="321">
        <v>0.18</v>
      </c>
      <c r="AD100" s="319"/>
      <c r="AE100" s="314"/>
      <c r="AF100" s="105"/>
    </row>
    <row r="101" spans="1:32" ht="24.95" customHeight="1" x14ac:dyDescent="0.15">
      <c r="A101" s="142" t="s">
        <v>274</v>
      </c>
      <c r="B101" s="120" t="s">
        <v>764</v>
      </c>
      <c r="C101" s="142" t="str">
        <f t="shared" si="18"/>
        <v>到期</v>
      </c>
      <c r="D101" s="103" t="s">
        <v>1841</v>
      </c>
      <c r="E101" s="142" t="s">
        <v>298</v>
      </c>
      <c r="F101" s="48">
        <v>43487</v>
      </c>
      <c r="G101" s="48">
        <v>43515</v>
      </c>
      <c r="H101" s="48" t="s">
        <v>1014</v>
      </c>
      <c r="I101" s="48" t="s">
        <v>275</v>
      </c>
      <c r="J101" s="142" t="s">
        <v>56</v>
      </c>
      <c r="K101" s="104">
        <v>200</v>
      </c>
      <c r="L101" s="104">
        <v>50200</v>
      </c>
      <c r="M101" s="105">
        <v>47560</v>
      </c>
      <c r="N101" s="104">
        <f t="shared" ref="N101:N110" si="28">394.79/2</f>
        <v>197.39500000000001</v>
      </c>
      <c r="O101" s="104">
        <f t="shared" ref="O101:O164" si="29">N101*K101</f>
        <v>39479</v>
      </c>
      <c r="P101" s="101" t="s">
        <v>488</v>
      </c>
      <c r="Q101" s="101" t="s">
        <v>489</v>
      </c>
      <c r="R101" s="105"/>
      <c r="S101" s="105"/>
      <c r="T101" s="144"/>
      <c r="U101" s="105">
        <v>49360</v>
      </c>
      <c r="V101" s="105">
        <v>0</v>
      </c>
      <c r="W101" s="48">
        <v>43515</v>
      </c>
      <c r="X101" s="104">
        <f t="shared" si="19"/>
        <v>39479</v>
      </c>
      <c r="Y101" s="197">
        <f t="shared" si="27"/>
        <v>9512000</v>
      </c>
      <c r="Z101" s="143"/>
      <c r="AA101" s="142" t="s">
        <v>745</v>
      </c>
      <c r="AB101" s="202"/>
      <c r="AC101" s="321">
        <v>0.152</v>
      </c>
      <c r="AD101" s="205">
        <v>0.152</v>
      </c>
      <c r="AE101" s="313"/>
      <c r="AF101" s="105"/>
    </row>
    <row r="102" spans="1:32" ht="24.95" customHeight="1" x14ac:dyDescent="0.15">
      <c r="A102" s="142" t="s">
        <v>274</v>
      </c>
      <c r="B102" s="120" t="s">
        <v>297</v>
      </c>
      <c r="C102" s="142" t="str">
        <f t="shared" si="18"/>
        <v>到期</v>
      </c>
      <c r="D102" s="103" t="s">
        <v>1841</v>
      </c>
      <c r="E102" s="142" t="s">
        <v>298</v>
      </c>
      <c r="F102" s="48">
        <v>43487</v>
      </c>
      <c r="G102" s="48">
        <v>43515</v>
      </c>
      <c r="H102" s="48" t="s">
        <v>1014</v>
      </c>
      <c r="I102" s="48" t="s">
        <v>222</v>
      </c>
      <c r="J102" s="142" t="s">
        <v>59</v>
      </c>
      <c r="K102" s="104">
        <v>200</v>
      </c>
      <c r="L102" s="104">
        <v>46400</v>
      </c>
      <c r="M102" s="105">
        <v>47560</v>
      </c>
      <c r="N102" s="104">
        <f t="shared" si="28"/>
        <v>197.39500000000001</v>
      </c>
      <c r="O102" s="104">
        <f t="shared" si="29"/>
        <v>39479</v>
      </c>
      <c r="P102" s="101" t="s">
        <v>488</v>
      </c>
      <c r="Q102" s="101" t="s">
        <v>489</v>
      </c>
      <c r="R102" s="105"/>
      <c r="S102" s="105"/>
      <c r="T102" s="144"/>
      <c r="U102" s="105">
        <v>49360</v>
      </c>
      <c r="V102" s="105">
        <v>0</v>
      </c>
      <c r="W102" s="48">
        <v>43515</v>
      </c>
      <c r="X102" s="104">
        <f t="shared" si="19"/>
        <v>39479</v>
      </c>
      <c r="Y102" s="197">
        <f t="shared" si="27"/>
        <v>9512000</v>
      </c>
      <c r="Z102" s="143"/>
      <c r="AA102" s="142" t="s">
        <v>745</v>
      </c>
      <c r="AB102" s="202"/>
      <c r="AC102" s="321">
        <v>0.152</v>
      </c>
      <c r="AD102" s="205">
        <v>0.152</v>
      </c>
      <c r="AE102" s="313"/>
      <c r="AF102" s="105"/>
    </row>
    <row r="103" spans="1:32" ht="24.95" customHeight="1" x14ac:dyDescent="0.15">
      <c r="A103" s="142" t="s">
        <v>274</v>
      </c>
      <c r="B103" s="142" t="s">
        <v>297</v>
      </c>
      <c r="C103" s="142" t="str">
        <f t="shared" si="18"/>
        <v>到期</v>
      </c>
      <c r="D103" s="103" t="s">
        <v>1842</v>
      </c>
      <c r="E103" s="142" t="s">
        <v>298</v>
      </c>
      <c r="F103" s="48">
        <v>43487</v>
      </c>
      <c r="G103" s="48">
        <v>43515</v>
      </c>
      <c r="H103" s="48" t="s">
        <v>1014</v>
      </c>
      <c r="I103" s="48" t="s">
        <v>275</v>
      </c>
      <c r="J103" s="142" t="s">
        <v>56</v>
      </c>
      <c r="K103" s="104">
        <v>200</v>
      </c>
      <c r="L103" s="104">
        <v>50200</v>
      </c>
      <c r="M103" s="105">
        <v>47560</v>
      </c>
      <c r="N103" s="104">
        <f t="shared" si="28"/>
        <v>197.39500000000001</v>
      </c>
      <c r="O103" s="104">
        <f t="shared" si="29"/>
        <v>39479</v>
      </c>
      <c r="P103" s="101" t="s">
        <v>490</v>
      </c>
      <c r="Q103" s="101" t="s">
        <v>491</v>
      </c>
      <c r="R103" s="105"/>
      <c r="S103" s="105"/>
      <c r="T103" s="144"/>
      <c r="U103" s="105">
        <v>49360</v>
      </c>
      <c r="V103" s="105">
        <v>0</v>
      </c>
      <c r="W103" s="48">
        <v>43515</v>
      </c>
      <c r="X103" s="104">
        <f t="shared" si="19"/>
        <v>39479</v>
      </c>
      <c r="Y103" s="197">
        <f t="shared" si="27"/>
        <v>9512000</v>
      </c>
      <c r="Z103" s="143"/>
      <c r="AA103" s="142" t="s">
        <v>745</v>
      </c>
      <c r="AB103" s="202"/>
      <c r="AC103" s="321">
        <v>0.152</v>
      </c>
      <c r="AD103" s="205">
        <v>0.152</v>
      </c>
      <c r="AE103" s="313"/>
      <c r="AF103" s="105"/>
    </row>
    <row r="104" spans="1:32" ht="24.95" customHeight="1" x14ac:dyDescent="0.15">
      <c r="A104" s="142" t="s">
        <v>274</v>
      </c>
      <c r="B104" s="142" t="s">
        <v>764</v>
      </c>
      <c r="C104" s="142" t="str">
        <f t="shared" si="18"/>
        <v>到期</v>
      </c>
      <c r="D104" s="103" t="s">
        <v>1842</v>
      </c>
      <c r="E104" s="142" t="s">
        <v>298</v>
      </c>
      <c r="F104" s="48">
        <v>43487</v>
      </c>
      <c r="G104" s="48">
        <v>43515</v>
      </c>
      <c r="H104" s="48" t="s">
        <v>1014</v>
      </c>
      <c r="I104" s="48" t="s">
        <v>275</v>
      </c>
      <c r="J104" s="142" t="s">
        <v>59</v>
      </c>
      <c r="K104" s="104">
        <v>200</v>
      </c>
      <c r="L104" s="104">
        <v>46400</v>
      </c>
      <c r="M104" s="105">
        <v>47560</v>
      </c>
      <c r="N104" s="104">
        <f t="shared" si="28"/>
        <v>197.39500000000001</v>
      </c>
      <c r="O104" s="104">
        <f t="shared" si="29"/>
        <v>39479</v>
      </c>
      <c r="P104" s="101" t="s">
        <v>490</v>
      </c>
      <c r="Q104" s="101" t="s">
        <v>491</v>
      </c>
      <c r="R104" s="105"/>
      <c r="S104" s="105"/>
      <c r="T104" s="144"/>
      <c r="U104" s="105">
        <v>49360</v>
      </c>
      <c r="V104" s="105">
        <v>0</v>
      </c>
      <c r="W104" s="48">
        <v>43515</v>
      </c>
      <c r="X104" s="104">
        <f t="shared" si="19"/>
        <v>39479</v>
      </c>
      <c r="Y104" s="197">
        <f t="shared" si="27"/>
        <v>9512000</v>
      </c>
      <c r="Z104" s="143"/>
      <c r="AA104" s="142" t="s">
        <v>745</v>
      </c>
      <c r="AB104" s="202"/>
      <c r="AC104" s="321">
        <v>0.152</v>
      </c>
      <c r="AD104" s="205">
        <v>0.152</v>
      </c>
      <c r="AE104" s="313"/>
      <c r="AF104" s="105"/>
    </row>
    <row r="105" spans="1:32" ht="24.95" customHeight="1" x14ac:dyDescent="0.15">
      <c r="A105" s="142" t="s">
        <v>274</v>
      </c>
      <c r="B105" s="142" t="s">
        <v>764</v>
      </c>
      <c r="C105" s="142" t="str">
        <f t="shared" si="18"/>
        <v>到期</v>
      </c>
      <c r="D105" s="103" t="s">
        <v>1843</v>
      </c>
      <c r="E105" s="142" t="s">
        <v>298</v>
      </c>
      <c r="F105" s="48">
        <v>43487</v>
      </c>
      <c r="G105" s="48">
        <v>43515</v>
      </c>
      <c r="H105" s="48" t="s">
        <v>1014</v>
      </c>
      <c r="I105" s="48" t="s">
        <v>275</v>
      </c>
      <c r="J105" s="142" t="s">
        <v>56</v>
      </c>
      <c r="K105" s="104">
        <v>200</v>
      </c>
      <c r="L105" s="104">
        <v>50200</v>
      </c>
      <c r="M105" s="105">
        <v>47560</v>
      </c>
      <c r="N105" s="104">
        <f t="shared" si="28"/>
        <v>197.39500000000001</v>
      </c>
      <c r="O105" s="104">
        <f t="shared" si="29"/>
        <v>39479</v>
      </c>
      <c r="P105" s="101" t="s">
        <v>492</v>
      </c>
      <c r="Q105" s="101" t="s">
        <v>493</v>
      </c>
      <c r="R105" s="105"/>
      <c r="S105" s="105"/>
      <c r="T105" s="144"/>
      <c r="U105" s="105">
        <v>49360</v>
      </c>
      <c r="V105" s="105">
        <v>0</v>
      </c>
      <c r="W105" s="48">
        <v>43515</v>
      </c>
      <c r="X105" s="104">
        <f t="shared" si="19"/>
        <v>39479</v>
      </c>
      <c r="Y105" s="197">
        <f t="shared" si="27"/>
        <v>9512000</v>
      </c>
      <c r="Z105" s="143"/>
      <c r="AA105" s="142" t="s">
        <v>745</v>
      </c>
      <c r="AB105" s="202"/>
      <c r="AC105" s="321">
        <v>0.152</v>
      </c>
      <c r="AD105" s="205">
        <v>0.152</v>
      </c>
      <c r="AE105" s="313"/>
      <c r="AF105" s="105"/>
    </row>
    <row r="106" spans="1:32" ht="24.95" customHeight="1" x14ac:dyDescent="0.15">
      <c r="A106" s="142" t="s">
        <v>274</v>
      </c>
      <c r="B106" s="142" t="s">
        <v>297</v>
      </c>
      <c r="C106" s="142" t="str">
        <f t="shared" si="18"/>
        <v>到期</v>
      </c>
      <c r="D106" s="103" t="s">
        <v>1843</v>
      </c>
      <c r="E106" s="142" t="s">
        <v>298</v>
      </c>
      <c r="F106" s="48">
        <v>43487</v>
      </c>
      <c r="G106" s="48">
        <v>43515</v>
      </c>
      <c r="H106" s="48" t="s">
        <v>1014</v>
      </c>
      <c r="I106" s="48" t="s">
        <v>222</v>
      </c>
      <c r="J106" s="142" t="s">
        <v>59</v>
      </c>
      <c r="K106" s="104">
        <v>200</v>
      </c>
      <c r="L106" s="104">
        <v>46400</v>
      </c>
      <c r="M106" s="105">
        <v>47560</v>
      </c>
      <c r="N106" s="104">
        <f t="shared" si="28"/>
        <v>197.39500000000001</v>
      </c>
      <c r="O106" s="104">
        <f t="shared" si="29"/>
        <v>39479</v>
      </c>
      <c r="P106" s="101" t="s">
        <v>492</v>
      </c>
      <c r="Q106" s="101" t="s">
        <v>493</v>
      </c>
      <c r="R106" s="105"/>
      <c r="S106" s="105"/>
      <c r="T106" s="144"/>
      <c r="U106" s="105">
        <v>49360</v>
      </c>
      <c r="V106" s="105">
        <v>0</v>
      </c>
      <c r="W106" s="48">
        <v>43515</v>
      </c>
      <c r="X106" s="104">
        <f t="shared" si="19"/>
        <v>39479</v>
      </c>
      <c r="Y106" s="197">
        <f t="shared" si="27"/>
        <v>9512000</v>
      </c>
      <c r="Z106" s="143"/>
      <c r="AA106" s="142" t="s">
        <v>745</v>
      </c>
      <c r="AB106" s="202"/>
      <c r="AC106" s="321">
        <v>0.152</v>
      </c>
      <c r="AD106" s="205">
        <v>0.152</v>
      </c>
      <c r="AE106" s="313"/>
      <c r="AF106" s="105"/>
    </row>
    <row r="107" spans="1:32" ht="24.95" customHeight="1" x14ac:dyDescent="0.15">
      <c r="A107" s="142" t="s">
        <v>274</v>
      </c>
      <c r="B107" s="142" t="s">
        <v>297</v>
      </c>
      <c r="C107" s="142" t="str">
        <f t="shared" si="18"/>
        <v>到期</v>
      </c>
      <c r="D107" s="103" t="s">
        <v>1844</v>
      </c>
      <c r="E107" s="142" t="s">
        <v>298</v>
      </c>
      <c r="F107" s="48">
        <v>43487</v>
      </c>
      <c r="G107" s="48">
        <v>43515</v>
      </c>
      <c r="H107" s="48" t="s">
        <v>1014</v>
      </c>
      <c r="I107" s="48" t="s">
        <v>222</v>
      </c>
      <c r="J107" s="142" t="s">
        <v>56</v>
      </c>
      <c r="K107" s="104">
        <v>200</v>
      </c>
      <c r="L107" s="104">
        <v>50200</v>
      </c>
      <c r="M107" s="105">
        <v>47560</v>
      </c>
      <c r="N107" s="104">
        <f t="shared" si="28"/>
        <v>197.39500000000001</v>
      </c>
      <c r="O107" s="104">
        <f t="shared" si="29"/>
        <v>39479</v>
      </c>
      <c r="P107" s="101" t="s">
        <v>494</v>
      </c>
      <c r="Q107" s="101" t="s">
        <v>495</v>
      </c>
      <c r="R107" s="105"/>
      <c r="S107" s="105"/>
      <c r="T107" s="144"/>
      <c r="U107" s="105">
        <v>49360</v>
      </c>
      <c r="V107" s="105">
        <v>0</v>
      </c>
      <c r="W107" s="48">
        <v>43515</v>
      </c>
      <c r="X107" s="104">
        <f t="shared" si="19"/>
        <v>39479</v>
      </c>
      <c r="Y107" s="197">
        <f t="shared" si="27"/>
        <v>9512000</v>
      </c>
      <c r="Z107" s="143"/>
      <c r="AA107" s="142" t="s">
        <v>745</v>
      </c>
      <c r="AB107" s="202"/>
      <c r="AC107" s="321">
        <v>0.152</v>
      </c>
      <c r="AD107" s="205">
        <v>0.152</v>
      </c>
      <c r="AE107" s="313"/>
      <c r="AF107" s="105"/>
    </row>
    <row r="108" spans="1:32" ht="24.95" customHeight="1" x14ac:dyDescent="0.15">
      <c r="A108" s="142" t="s">
        <v>274</v>
      </c>
      <c r="B108" s="142" t="s">
        <v>764</v>
      </c>
      <c r="C108" s="142" t="str">
        <f t="shared" si="18"/>
        <v>到期</v>
      </c>
      <c r="D108" s="103" t="s">
        <v>1844</v>
      </c>
      <c r="E108" s="142" t="s">
        <v>298</v>
      </c>
      <c r="F108" s="48">
        <v>43487</v>
      </c>
      <c r="G108" s="48">
        <v>43515</v>
      </c>
      <c r="H108" s="48" t="s">
        <v>1014</v>
      </c>
      <c r="I108" s="48" t="s">
        <v>222</v>
      </c>
      <c r="J108" s="142" t="s">
        <v>59</v>
      </c>
      <c r="K108" s="104">
        <v>200</v>
      </c>
      <c r="L108" s="104">
        <v>46400</v>
      </c>
      <c r="M108" s="105">
        <v>47560</v>
      </c>
      <c r="N108" s="104">
        <f t="shared" si="28"/>
        <v>197.39500000000001</v>
      </c>
      <c r="O108" s="104">
        <f t="shared" si="29"/>
        <v>39479</v>
      </c>
      <c r="P108" s="101" t="s">
        <v>494</v>
      </c>
      <c r="Q108" s="101" t="s">
        <v>496</v>
      </c>
      <c r="R108" s="105"/>
      <c r="S108" s="105"/>
      <c r="T108" s="144"/>
      <c r="U108" s="105">
        <v>49360</v>
      </c>
      <c r="V108" s="105">
        <v>0</v>
      </c>
      <c r="W108" s="48">
        <v>43515</v>
      </c>
      <c r="X108" s="104">
        <f t="shared" si="19"/>
        <v>39479</v>
      </c>
      <c r="Y108" s="197">
        <f t="shared" si="27"/>
        <v>9512000</v>
      </c>
      <c r="Z108" s="143"/>
      <c r="AA108" s="142" t="s">
        <v>745</v>
      </c>
      <c r="AB108" s="202"/>
      <c r="AC108" s="321">
        <v>0.152</v>
      </c>
      <c r="AD108" s="205">
        <v>0.152</v>
      </c>
      <c r="AE108" s="313"/>
      <c r="AF108" s="105"/>
    </row>
    <row r="109" spans="1:32" ht="24.95" customHeight="1" x14ac:dyDescent="0.15">
      <c r="A109" s="142" t="s">
        <v>274</v>
      </c>
      <c r="B109" s="142" t="s">
        <v>764</v>
      </c>
      <c r="C109" s="142" t="str">
        <f t="shared" si="18"/>
        <v>到期</v>
      </c>
      <c r="D109" s="103" t="s">
        <v>1845</v>
      </c>
      <c r="E109" s="142" t="s">
        <v>298</v>
      </c>
      <c r="F109" s="48">
        <v>43487</v>
      </c>
      <c r="G109" s="48">
        <v>43515</v>
      </c>
      <c r="H109" s="48" t="s">
        <v>1014</v>
      </c>
      <c r="I109" s="48" t="s">
        <v>275</v>
      </c>
      <c r="J109" s="142" t="s">
        <v>56</v>
      </c>
      <c r="K109" s="104">
        <v>200</v>
      </c>
      <c r="L109" s="104">
        <v>50200</v>
      </c>
      <c r="M109" s="105">
        <v>47560</v>
      </c>
      <c r="N109" s="104">
        <f t="shared" si="28"/>
        <v>197.39500000000001</v>
      </c>
      <c r="O109" s="104">
        <f t="shared" si="29"/>
        <v>39479</v>
      </c>
      <c r="P109" s="101" t="s">
        <v>497</v>
      </c>
      <c r="Q109" s="101" t="s">
        <v>498</v>
      </c>
      <c r="R109" s="105"/>
      <c r="S109" s="105"/>
      <c r="T109" s="144"/>
      <c r="U109" s="105">
        <v>49360</v>
      </c>
      <c r="V109" s="105">
        <v>0</v>
      </c>
      <c r="W109" s="48">
        <v>43515</v>
      </c>
      <c r="X109" s="104">
        <f t="shared" si="19"/>
        <v>39479</v>
      </c>
      <c r="Y109" s="197">
        <f t="shared" si="27"/>
        <v>9512000</v>
      </c>
      <c r="Z109" s="143"/>
      <c r="AA109" s="142" t="s">
        <v>745</v>
      </c>
      <c r="AB109" s="202"/>
      <c r="AC109" s="321">
        <v>0.152</v>
      </c>
      <c r="AD109" s="205">
        <v>0.152</v>
      </c>
      <c r="AE109" s="313"/>
      <c r="AF109" s="105"/>
    </row>
    <row r="110" spans="1:32" ht="24.95" customHeight="1" x14ac:dyDescent="0.15">
      <c r="A110" s="142" t="s">
        <v>274</v>
      </c>
      <c r="B110" s="142" t="s">
        <v>764</v>
      </c>
      <c r="C110" s="142" t="str">
        <f t="shared" ref="C110:C131" si="30">IF(W110="","存续","到期")</f>
        <v>到期</v>
      </c>
      <c r="D110" s="103" t="s">
        <v>1845</v>
      </c>
      <c r="E110" s="142" t="s">
        <v>298</v>
      </c>
      <c r="F110" s="48">
        <v>43487</v>
      </c>
      <c r="G110" s="48">
        <v>43515</v>
      </c>
      <c r="H110" s="48" t="s">
        <v>1014</v>
      </c>
      <c r="I110" s="48" t="s">
        <v>275</v>
      </c>
      <c r="J110" s="142" t="s">
        <v>59</v>
      </c>
      <c r="K110" s="104">
        <v>200</v>
      </c>
      <c r="L110" s="104">
        <v>46400</v>
      </c>
      <c r="M110" s="105">
        <v>47560</v>
      </c>
      <c r="N110" s="104">
        <f t="shared" si="28"/>
        <v>197.39500000000001</v>
      </c>
      <c r="O110" s="104">
        <f t="shared" si="29"/>
        <v>39479</v>
      </c>
      <c r="P110" s="101" t="s">
        <v>497</v>
      </c>
      <c r="Q110" s="101" t="s">
        <v>498</v>
      </c>
      <c r="R110" s="105"/>
      <c r="S110" s="105"/>
      <c r="T110" s="144"/>
      <c r="U110" s="105">
        <v>49360</v>
      </c>
      <c r="V110" s="105">
        <v>0</v>
      </c>
      <c r="W110" s="48">
        <v>43515</v>
      </c>
      <c r="X110" s="104">
        <f t="shared" ref="X110:X131" si="31">IF(I110="买入",V110-O110,V110+O110)</f>
        <v>39479</v>
      </c>
      <c r="Y110" s="197">
        <f t="shared" si="27"/>
        <v>9512000</v>
      </c>
      <c r="Z110" s="143"/>
      <c r="AA110" s="142" t="s">
        <v>745</v>
      </c>
      <c r="AB110" s="202"/>
      <c r="AC110" s="321">
        <v>0.152</v>
      </c>
      <c r="AD110" s="205">
        <v>0.152</v>
      </c>
      <c r="AE110" s="313"/>
      <c r="AF110" s="105"/>
    </row>
    <row r="111" spans="1:32" ht="24.95" customHeight="1" x14ac:dyDescent="0.15">
      <c r="A111" s="142" t="s">
        <v>265</v>
      </c>
      <c r="B111" s="142" t="s">
        <v>295</v>
      </c>
      <c r="C111" s="142" t="str">
        <f t="shared" si="30"/>
        <v>到期</v>
      </c>
      <c r="D111" s="123" t="s">
        <v>266</v>
      </c>
      <c r="E111" s="142" t="s">
        <v>137</v>
      </c>
      <c r="F111" s="144">
        <v>43488</v>
      </c>
      <c r="G111" s="144">
        <v>43518</v>
      </c>
      <c r="H111" s="143" t="s">
        <v>358</v>
      </c>
      <c r="I111" s="143" t="s">
        <v>38</v>
      </c>
      <c r="J111" s="142" t="s">
        <v>56</v>
      </c>
      <c r="K111" s="105">
        <v>1000</v>
      </c>
      <c r="L111" s="105">
        <v>5842</v>
      </c>
      <c r="M111" s="105">
        <v>5672</v>
      </c>
      <c r="N111" s="105">
        <v>21.18</v>
      </c>
      <c r="O111" s="105">
        <f t="shared" si="29"/>
        <v>21180</v>
      </c>
      <c r="P111" s="101" t="s">
        <v>682</v>
      </c>
      <c r="Q111" s="101" t="s">
        <v>683</v>
      </c>
      <c r="R111" s="105"/>
      <c r="S111" s="105"/>
      <c r="T111" s="144"/>
      <c r="U111" s="105">
        <v>5714</v>
      </c>
      <c r="V111" s="105">
        <v>0</v>
      </c>
      <c r="W111" s="144">
        <v>43518</v>
      </c>
      <c r="X111" s="104">
        <f t="shared" si="31"/>
        <v>-21180</v>
      </c>
      <c r="Y111" s="197">
        <f t="shared" si="27"/>
        <v>5672000</v>
      </c>
      <c r="Z111" s="143"/>
      <c r="AA111" s="143" t="str">
        <f>IF(I111="买入","卖出","买入")</f>
        <v>卖出</v>
      </c>
      <c r="AB111" s="203"/>
      <c r="AC111" s="321">
        <v>0.13020000000000001</v>
      </c>
      <c r="AD111" s="319"/>
      <c r="AE111" s="314"/>
      <c r="AF111" s="105"/>
    </row>
    <row r="112" spans="1:32" ht="24.95" customHeight="1" x14ac:dyDescent="0.15">
      <c r="A112" s="142" t="s">
        <v>265</v>
      </c>
      <c r="B112" s="120" t="s">
        <v>295</v>
      </c>
      <c r="C112" s="142" t="str">
        <f t="shared" si="30"/>
        <v>到期</v>
      </c>
      <c r="D112" s="123" t="s">
        <v>266</v>
      </c>
      <c r="E112" s="142" t="s">
        <v>137</v>
      </c>
      <c r="F112" s="144">
        <v>43488</v>
      </c>
      <c r="G112" s="144">
        <v>43518</v>
      </c>
      <c r="H112" s="143" t="s">
        <v>358</v>
      </c>
      <c r="I112" s="143" t="s">
        <v>38</v>
      </c>
      <c r="J112" s="142" t="s">
        <v>59</v>
      </c>
      <c r="K112" s="105">
        <v>1000</v>
      </c>
      <c r="L112" s="105">
        <v>5502</v>
      </c>
      <c r="M112" s="105">
        <v>5672</v>
      </c>
      <c r="N112" s="105">
        <v>19.66</v>
      </c>
      <c r="O112" s="105">
        <f t="shared" si="29"/>
        <v>19660</v>
      </c>
      <c r="P112" s="101" t="s">
        <v>682</v>
      </c>
      <c r="Q112" s="101" t="s">
        <v>683</v>
      </c>
      <c r="R112" s="105"/>
      <c r="S112" s="105"/>
      <c r="T112" s="144"/>
      <c r="U112" s="105">
        <v>5714</v>
      </c>
      <c r="V112" s="105">
        <v>0</v>
      </c>
      <c r="W112" s="144">
        <v>43518</v>
      </c>
      <c r="X112" s="104">
        <f t="shared" si="31"/>
        <v>-19660</v>
      </c>
      <c r="Y112" s="197">
        <f t="shared" si="27"/>
        <v>5672000</v>
      </c>
      <c r="Z112" s="143"/>
      <c r="AA112" s="143" t="str">
        <f>IF(I112="买入","卖出","买入")</f>
        <v>卖出</v>
      </c>
      <c r="AB112" s="203"/>
      <c r="AC112" s="321">
        <v>0.13120000000000001</v>
      </c>
      <c r="AD112" s="319"/>
      <c r="AE112" s="314"/>
      <c r="AF112" s="105"/>
    </row>
    <row r="113" spans="1:32" ht="24.95" customHeight="1" x14ac:dyDescent="0.15">
      <c r="A113" s="142" t="s">
        <v>265</v>
      </c>
      <c r="B113" s="120" t="s">
        <v>295</v>
      </c>
      <c r="C113" s="142" t="str">
        <f t="shared" si="30"/>
        <v>到期</v>
      </c>
      <c r="D113" s="123" t="s">
        <v>266</v>
      </c>
      <c r="E113" s="142" t="s">
        <v>137</v>
      </c>
      <c r="F113" s="144">
        <v>43489</v>
      </c>
      <c r="G113" s="144">
        <v>43525</v>
      </c>
      <c r="H113" s="143" t="s">
        <v>321</v>
      </c>
      <c r="I113" s="143" t="s">
        <v>38</v>
      </c>
      <c r="J113" s="142" t="s">
        <v>59</v>
      </c>
      <c r="K113" s="105">
        <v>500</v>
      </c>
      <c r="L113" s="105">
        <v>1764</v>
      </c>
      <c r="M113" s="105">
        <v>1837</v>
      </c>
      <c r="N113" s="105">
        <v>2.76</v>
      </c>
      <c r="O113" s="105">
        <f t="shared" si="29"/>
        <v>1380</v>
      </c>
      <c r="P113" s="101" t="s">
        <v>684</v>
      </c>
      <c r="Q113" s="101" t="s">
        <v>685</v>
      </c>
      <c r="R113" s="105"/>
      <c r="S113" s="105"/>
      <c r="T113" s="144"/>
      <c r="U113" s="104">
        <v>1820</v>
      </c>
      <c r="V113" s="105">
        <v>0</v>
      </c>
      <c r="W113" s="48">
        <f>G113</f>
        <v>43525</v>
      </c>
      <c r="X113" s="104">
        <f t="shared" si="31"/>
        <v>-1380</v>
      </c>
      <c r="Y113" s="197">
        <f t="shared" si="27"/>
        <v>918500</v>
      </c>
      <c r="Z113" s="143"/>
      <c r="AA113" s="143" t="str">
        <f>IF(I113="买入","卖出","买入")</f>
        <v>卖出</v>
      </c>
      <c r="AB113" s="203"/>
      <c r="AC113" s="321">
        <v>0.11</v>
      </c>
      <c r="AD113" s="319"/>
      <c r="AE113" s="314"/>
      <c r="AF113" s="105"/>
    </row>
    <row r="114" spans="1:32" ht="24.95" customHeight="1" x14ac:dyDescent="0.15">
      <c r="A114" s="142" t="s">
        <v>265</v>
      </c>
      <c r="B114" s="142" t="s">
        <v>764</v>
      </c>
      <c r="C114" s="142" t="str">
        <f t="shared" si="30"/>
        <v>到期</v>
      </c>
      <c r="D114" s="123" t="s">
        <v>266</v>
      </c>
      <c r="E114" s="142" t="s">
        <v>137</v>
      </c>
      <c r="F114" s="144">
        <v>43490</v>
      </c>
      <c r="G114" s="144">
        <v>43518</v>
      </c>
      <c r="H114" s="143" t="s">
        <v>279</v>
      </c>
      <c r="I114" s="143" t="s">
        <v>38</v>
      </c>
      <c r="J114" s="142" t="s">
        <v>56</v>
      </c>
      <c r="K114" s="105">
        <v>1000</v>
      </c>
      <c r="L114" s="105">
        <v>6360</v>
      </c>
      <c r="M114" s="105">
        <v>6360</v>
      </c>
      <c r="N114" s="105">
        <v>136.74</v>
      </c>
      <c r="O114" s="105">
        <f t="shared" si="29"/>
        <v>136740</v>
      </c>
      <c r="P114" s="101" t="s">
        <v>686</v>
      </c>
      <c r="Q114" s="101" t="s">
        <v>687</v>
      </c>
      <c r="R114" s="105"/>
      <c r="S114" s="105"/>
      <c r="T114" s="144"/>
      <c r="U114" s="105">
        <v>6460</v>
      </c>
      <c r="V114" s="105">
        <f>(U114-L114)*K114</f>
        <v>100000</v>
      </c>
      <c r="W114" s="144">
        <v>43518</v>
      </c>
      <c r="X114" s="104">
        <f t="shared" si="31"/>
        <v>-36740</v>
      </c>
      <c r="Y114" s="197">
        <f t="shared" si="27"/>
        <v>6360000</v>
      </c>
      <c r="Z114" s="143"/>
      <c r="AA114" s="143" t="str">
        <f>IF(I114="买入","卖出","买入")</f>
        <v>卖出</v>
      </c>
      <c r="AB114" s="203"/>
      <c r="AC114" s="321">
        <v>0.218</v>
      </c>
      <c r="AD114" s="319"/>
      <c r="AE114" s="314"/>
      <c r="AF114" s="105"/>
    </row>
    <row r="115" spans="1:32" ht="24.95" customHeight="1" x14ac:dyDescent="0.15">
      <c r="A115" s="142" t="s">
        <v>265</v>
      </c>
      <c r="B115" s="142" t="s">
        <v>764</v>
      </c>
      <c r="C115" s="142" t="str">
        <f t="shared" si="30"/>
        <v>到期</v>
      </c>
      <c r="D115" s="123" t="s">
        <v>266</v>
      </c>
      <c r="E115" s="142" t="s">
        <v>137</v>
      </c>
      <c r="F115" s="144">
        <v>43490</v>
      </c>
      <c r="G115" s="144">
        <v>43518</v>
      </c>
      <c r="H115" s="143" t="s">
        <v>280</v>
      </c>
      <c r="I115" s="143" t="s">
        <v>38</v>
      </c>
      <c r="J115" s="142" t="s">
        <v>59</v>
      </c>
      <c r="K115" s="105">
        <v>1000</v>
      </c>
      <c r="L115" s="105">
        <v>6360</v>
      </c>
      <c r="M115" s="105">
        <v>6360</v>
      </c>
      <c r="N115" s="105">
        <v>136.74</v>
      </c>
      <c r="O115" s="105">
        <f t="shared" si="29"/>
        <v>136740</v>
      </c>
      <c r="P115" s="101" t="s">
        <v>688</v>
      </c>
      <c r="Q115" s="101" t="s">
        <v>310</v>
      </c>
      <c r="R115" s="105"/>
      <c r="S115" s="105"/>
      <c r="T115" s="144"/>
      <c r="U115" s="105">
        <v>6460</v>
      </c>
      <c r="V115" s="105">
        <v>0</v>
      </c>
      <c r="W115" s="144">
        <v>43518</v>
      </c>
      <c r="X115" s="104">
        <f t="shared" si="31"/>
        <v>-136740</v>
      </c>
      <c r="Y115" s="197">
        <f t="shared" si="27"/>
        <v>6360000</v>
      </c>
      <c r="Z115" s="143"/>
      <c r="AA115" s="143" t="str">
        <f>IF(I115="买入","卖出","买入")</f>
        <v>卖出</v>
      </c>
      <c r="AB115" s="203"/>
      <c r="AC115" s="321">
        <v>0.218</v>
      </c>
      <c r="AD115" s="319"/>
      <c r="AE115" s="314"/>
      <c r="AF115" s="105"/>
    </row>
    <row r="116" spans="1:32" ht="24.95" customHeight="1" x14ac:dyDescent="0.15">
      <c r="A116" s="142" t="s">
        <v>265</v>
      </c>
      <c r="B116" s="142" t="s">
        <v>295</v>
      </c>
      <c r="C116" s="142" t="str">
        <f t="shared" si="30"/>
        <v>到期</v>
      </c>
      <c r="D116" s="123" t="s">
        <v>1838</v>
      </c>
      <c r="E116" s="142" t="s">
        <v>137</v>
      </c>
      <c r="F116" s="144">
        <v>43490</v>
      </c>
      <c r="G116" s="144">
        <v>43511</v>
      </c>
      <c r="H116" s="143" t="s">
        <v>281</v>
      </c>
      <c r="I116" s="143" t="s">
        <v>38</v>
      </c>
      <c r="J116" s="143" t="s">
        <v>25</v>
      </c>
      <c r="K116" s="105">
        <v>4000</v>
      </c>
      <c r="L116" s="105">
        <v>410.4</v>
      </c>
      <c r="M116" s="105">
        <v>432</v>
      </c>
      <c r="N116" s="105">
        <v>3.07</v>
      </c>
      <c r="O116" s="105">
        <f t="shared" si="29"/>
        <v>12280</v>
      </c>
      <c r="P116" s="101" t="s">
        <v>499</v>
      </c>
      <c r="Q116" s="101" t="s">
        <v>612</v>
      </c>
      <c r="R116" s="105"/>
      <c r="S116" s="105"/>
      <c r="T116" s="144"/>
      <c r="U116" s="105">
        <v>444.3</v>
      </c>
      <c r="V116" s="105">
        <v>0</v>
      </c>
      <c r="W116" s="144">
        <v>43511</v>
      </c>
      <c r="X116" s="104">
        <f t="shared" si="31"/>
        <v>-12280</v>
      </c>
      <c r="Y116" s="197">
        <f t="shared" si="27"/>
        <v>1728000</v>
      </c>
      <c r="Z116" s="143"/>
      <c r="AA116" s="143"/>
      <c r="AB116" s="203"/>
      <c r="AC116" s="321">
        <v>0.3105</v>
      </c>
      <c r="AD116" s="319"/>
      <c r="AE116" s="314"/>
      <c r="AF116" s="105"/>
    </row>
    <row r="117" spans="1:32" ht="24.95" customHeight="1" x14ac:dyDescent="0.15">
      <c r="A117" s="142" t="s">
        <v>247</v>
      </c>
      <c r="B117" s="142" t="s">
        <v>295</v>
      </c>
      <c r="C117" s="142" t="str">
        <f t="shared" si="30"/>
        <v>到期</v>
      </c>
      <c r="D117" s="127" t="s">
        <v>1848</v>
      </c>
      <c r="E117" s="143" t="s">
        <v>340</v>
      </c>
      <c r="F117" s="48">
        <v>43490</v>
      </c>
      <c r="G117" s="48">
        <v>43546</v>
      </c>
      <c r="H117" s="143" t="s">
        <v>818</v>
      </c>
      <c r="I117" s="143" t="s">
        <v>222</v>
      </c>
      <c r="J117" s="142" t="s">
        <v>56</v>
      </c>
      <c r="K117" s="105">
        <v>1000</v>
      </c>
      <c r="L117" s="105">
        <v>3729</v>
      </c>
      <c r="M117" s="105">
        <v>3729</v>
      </c>
      <c r="N117" s="105">
        <v>139.09</v>
      </c>
      <c r="O117" s="105">
        <f t="shared" si="29"/>
        <v>139090</v>
      </c>
      <c r="P117" s="101" t="s">
        <v>500</v>
      </c>
      <c r="Q117" s="101" t="s">
        <v>457</v>
      </c>
      <c r="R117" s="105"/>
      <c r="S117" s="105"/>
      <c r="T117" s="144"/>
      <c r="U117" s="105">
        <v>3768</v>
      </c>
      <c r="V117" s="105">
        <f>-(U117-L117)*K117</f>
        <v>-39000</v>
      </c>
      <c r="W117" s="48">
        <v>43546</v>
      </c>
      <c r="X117" s="104">
        <f t="shared" si="31"/>
        <v>100090</v>
      </c>
      <c r="Y117" s="197">
        <f t="shared" si="27"/>
        <v>3729000</v>
      </c>
      <c r="Z117" s="143" t="str">
        <f t="shared" ref="Z117:Z166" si="32">IF(C117="存续",D117&amp;H117&amp;"-"&amp;AA117,"")</f>
        <v/>
      </c>
      <c r="AA117" s="143" t="str">
        <f>IF(I117="买入","卖出","买入")</f>
        <v>买入</v>
      </c>
      <c r="AB117" s="203"/>
      <c r="AC117" s="321"/>
      <c r="AD117" s="321"/>
      <c r="AE117" s="314"/>
      <c r="AF117" s="105"/>
    </row>
    <row r="118" spans="1:32" ht="24.95" customHeight="1" x14ac:dyDescent="0.15">
      <c r="A118" s="142" t="s">
        <v>247</v>
      </c>
      <c r="B118" s="142" t="s">
        <v>295</v>
      </c>
      <c r="C118" s="142" t="str">
        <f t="shared" si="30"/>
        <v>到期</v>
      </c>
      <c r="D118" s="127" t="s">
        <v>1848</v>
      </c>
      <c r="E118" s="143" t="s">
        <v>340</v>
      </c>
      <c r="F118" s="48">
        <v>43490</v>
      </c>
      <c r="G118" s="48">
        <v>43546</v>
      </c>
      <c r="H118" s="143" t="s">
        <v>816</v>
      </c>
      <c r="I118" s="143" t="s">
        <v>222</v>
      </c>
      <c r="J118" s="142" t="s">
        <v>59</v>
      </c>
      <c r="K118" s="105">
        <v>1000</v>
      </c>
      <c r="L118" s="105">
        <v>3729</v>
      </c>
      <c r="M118" s="105">
        <v>3729</v>
      </c>
      <c r="N118" s="105">
        <v>139.09</v>
      </c>
      <c r="O118" s="105">
        <f t="shared" si="29"/>
        <v>139090</v>
      </c>
      <c r="P118" s="101" t="s">
        <v>500</v>
      </c>
      <c r="Q118" s="101" t="s">
        <v>457</v>
      </c>
      <c r="R118" s="105"/>
      <c r="S118" s="105"/>
      <c r="T118" s="144"/>
      <c r="U118" s="105">
        <v>3768</v>
      </c>
      <c r="V118" s="105">
        <v>0</v>
      </c>
      <c r="W118" s="48">
        <v>43546</v>
      </c>
      <c r="X118" s="104">
        <f t="shared" si="31"/>
        <v>139090</v>
      </c>
      <c r="Y118" s="197">
        <f t="shared" si="27"/>
        <v>3729000</v>
      </c>
      <c r="Z118" s="143" t="str">
        <f t="shared" si="32"/>
        <v/>
      </c>
      <c r="AA118" s="143" t="str">
        <f>IF(I118="买入","卖出","买入")</f>
        <v>买入</v>
      </c>
      <c r="AB118" s="203"/>
      <c r="AC118" s="321"/>
      <c r="AD118" s="321"/>
      <c r="AE118" s="314"/>
      <c r="AF118" s="105"/>
    </row>
    <row r="119" spans="1:32" ht="24.95" customHeight="1" x14ac:dyDescent="0.15">
      <c r="A119" s="142" t="s">
        <v>265</v>
      </c>
      <c r="B119" s="120" t="s">
        <v>295</v>
      </c>
      <c r="C119" s="142" t="str">
        <f t="shared" si="30"/>
        <v>到期</v>
      </c>
      <c r="D119" s="123" t="s">
        <v>266</v>
      </c>
      <c r="E119" s="142" t="s">
        <v>137</v>
      </c>
      <c r="F119" s="144">
        <v>43493</v>
      </c>
      <c r="G119" s="144">
        <v>43518</v>
      </c>
      <c r="H119" s="143" t="s">
        <v>277</v>
      </c>
      <c r="I119" s="143" t="s">
        <v>38</v>
      </c>
      <c r="J119" s="142" t="s">
        <v>56</v>
      </c>
      <c r="K119" s="105">
        <v>1000</v>
      </c>
      <c r="L119" s="105">
        <v>5021</v>
      </c>
      <c r="M119" s="105">
        <v>4828</v>
      </c>
      <c r="N119" s="105">
        <v>9.66</v>
      </c>
      <c r="O119" s="105">
        <f t="shared" si="29"/>
        <v>9660</v>
      </c>
      <c r="P119" s="101" t="s">
        <v>278</v>
      </c>
      <c r="Q119" s="101" t="s">
        <v>689</v>
      </c>
      <c r="R119" s="105"/>
      <c r="S119" s="105"/>
      <c r="T119" s="144"/>
      <c r="U119" s="105">
        <v>4712</v>
      </c>
      <c r="V119" s="105">
        <v>0</v>
      </c>
      <c r="W119" s="144">
        <v>43518</v>
      </c>
      <c r="X119" s="104">
        <f t="shared" si="31"/>
        <v>-9660</v>
      </c>
      <c r="Y119" s="197">
        <f t="shared" si="27"/>
        <v>4828000</v>
      </c>
      <c r="Z119" s="143" t="str">
        <f t="shared" si="32"/>
        <v/>
      </c>
      <c r="AA119" s="143" t="str">
        <f>IF(I119="买入","卖出","买入")</f>
        <v>卖出</v>
      </c>
      <c r="AB119" s="203"/>
      <c r="AC119" s="321">
        <v>0.1421</v>
      </c>
      <c r="AD119" s="319"/>
      <c r="AE119" s="314"/>
      <c r="AF119" s="105"/>
    </row>
    <row r="120" spans="1:32" ht="24.95" customHeight="1" x14ac:dyDescent="0.15">
      <c r="A120" s="142" t="s">
        <v>265</v>
      </c>
      <c r="B120" s="120" t="s">
        <v>295</v>
      </c>
      <c r="C120" s="142" t="str">
        <f t="shared" si="30"/>
        <v>到期</v>
      </c>
      <c r="D120" s="123" t="s">
        <v>266</v>
      </c>
      <c r="E120" s="142" t="s">
        <v>137</v>
      </c>
      <c r="F120" s="144">
        <v>43493</v>
      </c>
      <c r="G120" s="144">
        <v>43518</v>
      </c>
      <c r="H120" s="143" t="s">
        <v>277</v>
      </c>
      <c r="I120" s="143" t="s">
        <v>38</v>
      </c>
      <c r="J120" s="142" t="s">
        <v>59</v>
      </c>
      <c r="K120" s="105">
        <v>1000</v>
      </c>
      <c r="L120" s="105">
        <v>4635</v>
      </c>
      <c r="M120" s="105">
        <v>4828</v>
      </c>
      <c r="N120" s="105">
        <v>9.66</v>
      </c>
      <c r="O120" s="105">
        <f t="shared" si="29"/>
        <v>9660</v>
      </c>
      <c r="P120" s="101" t="s">
        <v>278</v>
      </c>
      <c r="Q120" s="101" t="s">
        <v>689</v>
      </c>
      <c r="R120" s="105"/>
      <c r="S120" s="105"/>
      <c r="T120" s="144"/>
      <c r="U120" s="105">
        <v>4712</v>
      </c>
      <c r="V120" s="105">
        <v>0</v>
      </c>
      <c r="W120" s="144">
        <v>43518</v>
      </c>
      <c r="X120" s="104">
        <f t="shared" si="31"/>
        <v>-9660</v>
      </c>
      <c r="Y120" s="197">
        <f t="shared" si="27"/>
        <v>4828000</v>
      </c>
      <c r="Z120" s="143" t="str">
        <f t="shared" si="32"/>
        <v/>
      </c>
      <c r="AA120" s="143" t="str">
        <f>IF(I120="买入","卖出","买入")</f>
        <v>卖出</v>
      </c>
      <c r="AB120" s="203"/>
      <c r="AC120" s="321">
        <v>0.1421</v>
      </c>
      <c r="AD120" s="319"/>
      <c r="AE120" s="314"/>
      <c r="AF120" s="105"/>
    </row>
    <row r="121" spans="1:32" ht="24.95" customHeight="1" x14ac:dyDescent="0.15">
      <c r="A121" s="142" t="s">
        <v>265</v>
      </c>
      <c r="B121" s="142" t="s">
        <v>295</v>
      </c>
      <c r="C121" s="142" t="str">
        <f t="shared" si="30"/>
        <v>到期</v>
      </c>
      <c r="D121" s="123" t="s">
        <v>266</v>
      </c>
      <c r="E121" s="142" t="s">
        <v>137</v>
      </c>
      <c r="F121" s="144">
        <v>43494</v>
      </c>
      <c r="G121" s="144">
        <v>43525</v>
      </c>
      <c r="H121" s="143" t="s">
        <v>321</v>
      </c>
      <c r="I121" s="143" t="s">
        <v>38</v>
      </c>
      <c r="J121" s="142" t="s">
        <v>59</v>
      </c>
      <c r="K121" s="105">
        <v>500</v>
      </c>
      <c r="L121" s="105">
        <v>1802</v>
      </c>
      <c r="M121" s="105">
        <v>1858</v>
      </c>
      <c r="N121" s="105">
        <v>4.2699999999999996</v>
      </c>
      <c r="O121" s="105">
        <f t="shared" si="29"/>
        <v>2135</v>
      </c>
      <c r="P121" s="101" t="s">
        <v>283</v>
      </c>
      <c r="Q121" s="101" t="s">
        <v>690</v>
      </c>
      <c r="R121" s="105"/>
      <c r="S121" s="105"/>
      <c r="T121" s="144"/>
      <c r="U121" s="104">
        <v>1820</v>
      </c>
      <c r="V121" s="105">
        <v>0</v>
      </c>
      <c r="W121" s="48">
        <f>G121</f>
        <v>43525</v>
      </c>
      <c r="X121" s="104">
        <f t="shared" si="31"/>
        <v>-2135</v>
      </c>
      <c r="Y121" s="197">
        <f t="shared" si="27"/>
        <v>929000</v>
      </c>
      <c r="Z121" s="143" t="str">
        <f t="shared" si="32"/>
        <v/>
      </c>
      <c r="AA121" s="143" t="str">
        <f>IF(I121="买入","卖出","买入")</f>
        <v>卖出</v>
      </c>
      <c r="AB121" s="203"/>
      <c r="AC121" s="321">
        <v>0.11</v>
      </c>
      <c r="AD121" s="319"/>
      <c r="AE121" s="314"/>
      <c r="AF121" s="105"/>
    </row>
    <row r="122" spans="1:32" ht="24.95" customHeight="1" x14ac:dyDescent="0.15">
      <c r="A122" s="142" t="s">
        <v>274</v>
      </c>
      <c r="B122" s="142" t="s">
        <v>297</v>
      </c>
      <c r="C122" s="142" t="str">
        <f t="shared" si="30"/>
        <v>到期</v>
      </c>
      <c r="D122" s="103" t="s">
        <v>1841</v>
      </c>
      <c r="E122" s="142" t="s">
        <v>298</v>
      </c>
      <c r="F122" s="48">
        <v>43494</v>
      </c>
      <c r="G122" s="48">
        <v>43522</v>
      </c>
      <c r="H122" s="48" t="s">
        <v>1014</v>
      </c>
      <c r="I122" s="48" t="s">
        <v>222</v>
      </c>
      <c r="J122" s="142" t="s">
        <v>56</v>
      </c>
      <c r="K122" s="104">
        <v>200</v>
      </c>
      <c r="L122" s="104">
        <v>49900</v>
      </c>
      <c r="M122" s="105">
        <v>47520</v>
      </c>
      <c r="N122" s="104">
        <f t="shared" ref="N122:N131" si="33">394.45/2</f>
        <v>197.22499999999999</v>
      </c>
      <c r="O122" s="104">
        <f t="shared" si="29"/>
        <v>39445</v>
      </c>
      <c r="P122" s="101" t="s">
        <v>501</v>
      </c>
      <c r="Q122" s="101" t="s">
        <v>502</v>
      </c>
      <c r="R122" s="105"/>
      <c r="S122" s="105"/>
      <c r="T122" s="144"/>
      <c r="U122" s="105">
        <v>50190</v>
      </c>
      <c r="V122" s="105">
        <f>-(U122-L122)*K122</f>
        <v>-58000</v>
      </c>
      <c r="W122" s="48">
        <v>43522</v>
      </c>
      <c r="X122" s="104">
        <f t="shared" si="31"/>
        <v>-18555</v>
      </c>
      <c r="Y122" s="197">
        <f t="shared" si="27"/>
        <v>9504000</v>
      </c>
      <c r="Z122" s="143" t="str">
        <f t="shared" si="32"/>
        <v/>
      </c>
      <c r="AA122" s="143" t="str">
        <f t="shared" ref="AA122:AA131" si="34">IF(I122="买入","卖出","买入第5期")</f>
        <v>买入第5期</v>
      </c>
      <c r="AB122" s="203"/>
      <c r="AC122" s="321">
        <v>0.152</v>
      </c>
      <c r="AD122" s="205">
        <v>0.152</v>
      </c>
      <c r="AE122" s="314"/>
      <c r="AF122" s="105"/>
    </row>
    <row r="123" spans="1:32" ht="24.95" customHeight="1" x14ac:dyDescent="0.15">
      <c r="A123" s="142" t="s">
        <v>274</v>
      </c>
      <c r="B123" s="142" t="s">
        <v>764</v>
      </c>
      <c r="C123" s="142" t="str">
        <f t="shared" si="30"/>
        <v>到期</v>
      </c>
      <c r="D123" s="103" t="s">
        <v>1841</v>
      </c>
      <c r="E123" s="142" t="s">
        <v>298</v>
      </c>
      <c r="F123" s="48">
        <v>43494</v>
      </c>
      <c r="G123" s="48">
        <v>43522</v>
      </c>
      <c r="H123" s="48" t="s">
        <v>1014</v>
      </c>
      <c r="I123" s="48" t="s">
        <v>222</v>
      </c>
      <c r="J123" s="142" t="s">
        <v>59</v>
      </c>
      <c r="K123" s="104">
        <v>200</v>
      </c>
      <c r="L123" s="104">
        <v>46100</v>
      </c>
      <c r="M123" s="105">
        <v>47520</v>
      </c>
      <c r="N123" s="104">
        <f t="shared" si="33"/>
        <v>197.22499999999999</v>
      </c>
      <c r="O123" s="104">
        <f t="shared" si="29"/>
        <v>39445</v>
      </c>
      <c r="P123" s="101" t="s">
        <v>501</v>
      </c>
      <c r="Q123" s="101" t="s">
        <v>502</v>
      </c>
      <c r="R123" s="105"/>
      <c r="S123" s="105"/>
      <c r="T123" s="144"/>
      <c r="U123" s="105">
        <v>50190</v>
      </c>
      <c r="V123" s="105">
        <v>0</v>
      </c>
      <c r="W123" s="48">
        <v>43522</v>
      </c>
      <c r="X123" s="104">
        <f t="shared" si="31"/>
        <v>39445</v>
      </c>
      <c r="Y123" s="197">
        <f t="shared" si="27"/>
        <v>9504000</v>
      </c>
      <c r="Z123" s="143" t="str">
        <f t="shared" si="32"/>
        <v/>
      </c>
      <c r="AA123" s="143" t="str">
        <f t="shared" si="34"/>
        <v>买入第5期</v>
      </c>
      <c r="AB123" s="203"/>
      <c r="AC123" s="321">
        <v>0.152</v>
      </c>
      <c r="AD123" s="205">
        <v>0.152</v>
      </c>
      <c r="AE123" s="314"/>
      <c r="AF123" s="105"/>
    </row>
    <row r="124" spans="1:32" ht="24.95" customHeight="1" x14ac:dyDescent="0.15">
      <c r="A124" s="142" t="s">
        <v>274</v>
      </c>
      <c r="B124" s="142" t="s">
        <v>764</v>
      </c>
      <c r="C124" s="142" t="str">
        <f t="shared" si="30"/>
        <v>到期</v>
      </c>
      <c r="D124" s="103" t="s">
        <v>1842</v>
      </c>
      <c r="E124" s="142" t="s">
        <v>298</v>
      </c>
      <c r="F124" s="48">
        <v>43494</v>
      </c>
      <c r="G124" s="48">
        <v>43522</v>
      </c>
      <c r="H124" s="48" t="s">
        <v>1014</v>
      </c>
      <c r="I124" s="48" t="s">
        <v>222</v>
      </c>
      <c r="J124" s="142" t="s">
        <v>56</v>
      </c>
      <c r="K124" s="104">
        <v>200</v>
      </c>
      <c r="L124" s="104">
        <v>49900</v>
      </c>
      <c r="M124" s="105">
        <v>47520</v>
      </c>
      <c r="N124" s="104">
        <f t="shared" si="33"/>
        <v>197.22499999999999</v>
      </c>
      <c r="O124" s="104">
        <f t="shared" si="29"/>
        <v>39445</v>
      </c>
      <c r="P124" s="101" t="s">
        <v>284</v>
      </c>
      <c r="Q124" s="101" t="s">
        <v>503</v>
      </c>
      <c r="R124" s="105"/>
      <c r="S124" s="105"/>
      <c r="T124" s="144"/>
      <c r="U124" s="105">
        <v>50190</v>
      </c>
      <c r="V124" s="105">
        <f>-(U124-L124)*K124</f>
        <v>-58000</v>
      </c>
      <c r="W124" s="48">
        <v>43522</v>
      </c>
      <c r="X124" s="104">
        <f t="shared" si="31"/>
        <v>-18555</v>
      </c>
      <c r="Y124" s="197">
        <f t="shared" si="27"/>
        <v>9504000</v>
      </c>
      <c r="Z124" s="143" t="str">
        <f t="shared" si="32"/>
        <v/>
      </c>
      <c r="AA124" s="143" t="str">
        <f t="shared" si="34"/>
        <v>买入第5期</v>
      </c>
      <c r="AB124" s="203"/>
      <c r="AC124" s="321">
        <v>0.152</v>
      </c>
      <c r="AD124" s="205">
        <v>0.152</v>
      </c>
      <c r="AE124" s="314"/>
      <c r="AF124" s="105"/>
    </row>
    <row r="125" spans="1:32" ht="24.95" customHeight="1" x14ac:dyDescent="0.15">
      <c r="A125" s="142" t="s">
        <v>894</v>
      </c>
      <c r="B125" s="142" t="s">
        <v>764</v>
      </c>
      <c r="C125" s="142" t="str">
        <f t="shared" si="30"/>
        <v>到期</v>
      </c>
      <c r="D125" s="103" t="s">
        <v>1842</v>
      </c>
      <c r="E125" s="142" t="s">
        <v>298</v>
      </c>
      <c r="F125" s="48">
        <v>43494</v>
      </c>
      <c r="G125" s="48">
        <v>43522</v>
      </c>
      <c r="H125" s="48" t="s">
        <v>1014</v>
      </c>
      <c r="I125" s="48" t="s">
        <v>222</v>
      </c>
      <c r="J125" s="142" t="s">
        <v>59</v>
      </c>
      <c r="K125" s="104">
        <v>200</v>
      </c>
      <c r="L125" s="104">
        <v>46100</v>
      </c>
      <c r="M125" s="105">
        <v>47520</v>
      </c>
      <c r="N125" s="104">
        <f t="shared" si="33"/>
        <v>197.22499999999999</v>
      </c>
      <c r="O125" s="104">
        <f t="shared" si="29"/>
        <v>39445</v>
      </c>
      <c r="P125" s="101" t="s">
        <v>284</v>
      </c>
      <c r="Q125" s="101" t="s">
        <v>503</v>
      </c>
      <c r="R125" s="105"/>
      <c r="S125" s="105"/>
      <c r="T125" s="144"/>
      <c r="U125" s="105">
        <v>50190</v>
      </c>
      <c r="V125" s="105">
        <v>0</v>
      </c>
      <c r="W125" s="48">
        <v>43522</v>
      </c>
      <c r="X125" s="104">
        <f t="shared" si="31"/>
        <v>39445</v>
      </c>
      <c r="Y125" s="197">
        <f t="shared" si="27"/>
        <v>9504000</v>
      </c>
      <c r="Z125" s="143" t="str">
        <f t="shared" si="32"/>
        <v/>
      </c>
      <c r="AA125" s="143" t="str">
        <f t="shared" si="34"/>
        <v>买入第5期</v>
      </c>
      <c r="AB125" s="203"/>
      <c r="AC125" s="321">
        <v>0.152</v>
      </c>
      <c r="AD125" s="205">
        <v>0.152</v>
      </c>
      <c r="AE125" s="314"/>
      <c r="AF125" s="105"/>
    </row>
    <row r="126" spans="1:32" ht="24.95" customHeight="1" x14ac:dyDescent="0.15">
      <c r="A126" s="142" t="s">
        <v>894</v>
      </c>
      <c r="B126" s="142" t="s">
        <v>764</v>
      </c>
      <c r="C126" s="142" t="str">
        <f t="shared" si="30"/>
        <v>到期</v>
      </c>
      <c r="D126" s="103" t="s">
        <v>1843</v>
      </c>
      <c r="E126" s="142" t="s">
        <v>298</v>
      </c>
      <c r="F126" s="48">
        <v>43494</v>
      </c>
      <c r="G126" s="48">
        <v>43522</v>
      </c>
      <c r="H126" s="48" t="s">
        <v>1014</v>
      </c>
      <c r="I126" s="48" t="s">
        <v>222</v>
      </c>
      <c r="J126" s="142" t="s">
        <v>56</v>
      </c>
      <c r="K126" s="104">
        <v>200</v>
      </c>
      <c r="L126" s="104">
        <v>49900</v>
      </c>
      <c r="M126" s="105">
        <v>47520</v>
      </c>
      <c r="N126" s="104">
        <f t="shared" si="33"/>
        <v>197.22499999999999</v>
      </c>
      <c r="O126" s="104">
        <f t="shared" si="29"/>
        <v>39445</v>
      </c>
      <c r="P126" s="101" t="s">
        <v>504</v>
      </c>
      <c r="Q126" s="101" t="s">
        <v>505</v>
      </c>
      <c r="R126" s="105"/>
      <c r="S126" s="105"/>
      <c r="T126" s="144"/>
      <c r="U126" s="105">
        <v>50190</v>
      </c>
      <c r="V126" s="105">
        <f>-(U126-L126)*K126</f>
        <v>-58000</v>
      </c>
      <c r="W126" s="48">
        <v>43522</v>
      </c>
      <c r="X126" s="104">
        <f t="shared" si="31"/>
        <v>-18555</v>
      </c>
      <c r="Y126" s="197">
        <f t="shared" si="27"/>
        <v>9504000</v>
      </c>
      <c r="Z126" s="143" t="str">
        <f t="shared" si="32"/>
        <v/>
      </c>
      <c r="AA126" s="143" t="str">
        <f t="shared" si="34"/>
        <v>买入第5期</v>
      </c>
      <c r="AB126" s="203"/>
      <c r="AC126" s="321">
        <v>0.152</v>
      </c>
      <c r="AD126" s="205">
        <v>0.152</v>
      </c>
      <c r="AE126" s="314"/>
      <c r="AF126" s="105"/>
    </row>
    <row r="127" spans="1:32" ht="24.95" customHeight="1" x14ac:dyDescent="0.15">
      <c r="A127" s="142" t="s">
        <v>894</v>
      </c>
      <c r="B127" s="142" t="s">
        <v>764</v>
      </c>
      <c r="C127" s="142" t="str">
        <f t="shared" si="30"/>
        <v>到期</v>
      </c>
      <c r="D127" s="103" t="s">
        <v>1843</v>
      </c>
      <c r="E127" s="142" t="s">
        <v>298</v>
      </c>
      <c r="F127" s="48">
        <v>43494</v>
      </c>
      <c r="G127" s="48">
        <v>43522</v>
      </c>
      <c r="H127" s="48" t="s">
        <v>1014</v>
      </c>
      <c r="I127" s="48" t="s">
        <v>222</v>
      </c>
      <c r="J127" s="142" t="s">
        <v>59</v>
      </c>
      <c r="K127" s="104">
        <v>200</v>
      </c>
      <c r="L127" s="104">
        <v>46100</v>
      </c>
      <c r="M127" s="105">
        <v>47520</v>
      </c>
      <c r="N127" s="104">
        <f t="shared" si="33"/>
        <v>197.22499999999999</v>
      </c>
      <c r="O127" s="104">
        <f t="shared" si="29"/>
        <v>39445</v>
      </c>
      <c r="P127" s="101" t="s">
        <v>504</v>
      </c>
      <c r="Q127" s="101" t="s">
        <v>505</v>
      </c>
      <c r="R127" s="105"/>
      <c r="S127" s="105"/>
      <c r="T127" s="144"/>
      <c r="U127" s="105">
        <v>50190</v>
      </c>
      <c r="V127" s="105">
        <v>0</v>
      </c>
      <c r="W127" s="48">
        <v>43522</v>
      </c>
      <c r="X127" s="104">
        <f t="shared" si="31"/>
        <v>39445</v>
      </c>
      <c r="Y127" s="197">
        <f t="shared" si="27"/>
        <v>9504000</v>
      </c>
      <c r="Z127" s="143" t="str">
        <f t="shared" si="32"/>
        <v/>
      </c>
      <c r="AA127" s="143" t="str">
        <f t="shared" si="34"/>
        <v>买入第5期</v>
      </c>
      <c r="AB127" s="203"/>
      <c r="AC127" s="321">
        <v>0.152</v>
      </c>
      <c r="AD127" s="205">
        <v>0.152</v>
      </c>
      <c r="AE127" s="314"/>
      <c r="AF127" s="105"/>
    </row>
    <row r="128" spans="1:32" ht="24.95" customHeight="1" x14ac:dyDescent="0.15">
      <c r="A128" s="142" t="s">
        <v>274</v>
      </c>
      <c r="B128" s="142" t="s">
        <v>297</v>
      </c>
      <c r="C128" s="142" t="str">
        <f t="shared" si="30"/>
        <v>到期</v>
      </c>
      <c r="D128" s="103" t="s">
        <v>1844</v>
      </c>
      <c r="E128" s="142" t="s">
        <v>298</v>
      </c>
      <c r="F128" s="48">
        <v>43494</v>
      </c>
      <c r="G128" s="48">
        <v>43522</v>
      </c>
      <c r="H128" s="48" t="s">
        <v>1014</v>
      </c>
      <c r="I128" s="48" t="s">
        <v>222</v>
      </c>
      <c r="J128" s="142" t="s">
        <v>56</v>
      </c>
      <c r="K128" s="104">
        <v>200</v>
      </c>
      <c r="L128" s="104">
        <v>49900</v>
      </c>
      <c r="M128" s="105">
        <v>47520</v>
      </c>
      <c r="N128" s="104">
        <f t="shared" si="33"/>
        <v>197.22499999999999</v>
      </c>
      <c r="O128" s="104">
        <f t="shared" si="29"/>
        <v>39445</v>
      </c>
      <c r="P128" s="101" t="s">
        <v>506</v>
      </c>
      <c r="Q128" s="101" t="s">
        <v>507</v>
      </c>
      <c r="R128" s="105"/>
      <c r="S128" s="105"/>
      <c r="T128" s="144"/>
      <c r="U128" s="105">
        <v>50190</v>
      </c>
      <c r="V128" s="105">
        <f>-(U128-L128)*K128</f>
        <v>-58000</v>
      </c>
      <c r="W128" s="48">
        <v>43522</v>
      </c>
      <c r="X128" s="104">
        <f t="shared" si="31"/>
        <v>-18555</v>
      </c>
      <c r="Y128" s="197">
        <f t="shared" si="27"/>
        <v>9504000</v>
      </c>
      <c r="Z128" s="143" t="str">
        <f t="shared" si="32"/>
        <v/>
      </c>
      <c r="AA128" s="143" t="str">
        <f t="shared" si="34"/>
        <v>买入第5期</v>
      </c>
      <c r="AB128" s="203"/>
      <c r="AC128" s="321">
        <v>0.152</v>
      </c>
      <c r="AD128" s="205">
        <v>0.152</v>
      </c>
      <c r="AE128" s="314"/>
      <c r="AF128" s="105"/>
    </row>
    <row r="129" spans="1:32" ht="24.95" customHeight="1" x14ac:dyDescent="0.15">
      <c r="A129" s="142" t="s">
        <v>274</v>
      </c>
      <c r="B129" s="142" t="s">
        <v>764</v>
      </c>
      <c r="C129" s="142" t="str">
        <f t="shared" si="30"/>
        <v>到期</v>
      </c>
      <c r="D129" s="103" t="s">
        <v>1844</v>
      </c>
      <c r="E129" s="142" t="s">
        <v>298</v>
      </c>
      <c r="F129" s="48">
        <v>43494</v>
      </c>
      <c r="G129" s="48">
        <v>43522</v>
      </c>
      <c r="H129" s="48" t="s">
        <v>1014</v>
      </c>
      <c r="I129" s="48" t="s">
        <v>222</v>
      </c>
      <c r="J129" s="142" t="s">
        <v>59</v>
      </c>
      <c r="K129" s="104">
        <v>200</v>
      </c>
      <c r="L129" s="104">
        <v>46100</v>
      </c>
      <c r="M129" s="105">
        <v>47520</v>
      </c>
      <c r="N129" s="104">
        <f t="shared" si="33"/>
        <v>197.22499999999999</v>
      </c>
      <c r="O129" s="104">
        <f t="shared" si="29"/>
        <v>39445</v>
      </c>
      <c r="P129" s="101" t="s">
        <v>506</v>
      </c>
      <c r="Q129" s="101" t="s">
        <v>507</v>
      </c>
      <c r="R129" s="105"/>
      <c r="S129" s="105"/>
      <c r="T129" s="144"/>
      <c r="U129" s="105">
        <v>50190</v>
      </c>
      <c r="V129" s="105">
        <v>0</v>
      </c>
      <c r="W129" s="48">
        <v>43522</v>
      </c>
      <c r="X129" s="104">
        <f t="shared" si="31"/>
        <v>39445</v>
      </c>
      <c r="Y129" s="197">
        <f t="shared" si="27"/>
        <v>9504000</v>
      </c>
      <c r="Z129" s="143" t="str">
        <f t="shared" si="32"/>
        <v/>
      </c>
      <c r="AA129" s="143" t="str">
        <f t="shared" si="34"/>
        <v>买入第5期</v>
      </c>
      <c r="AB129" s="203"/>
      <c r="AC129" s="321">
        <v>0.152</v>
      </c>
      <c r="AD129" s="205">
        <v>0.152</v>
      </c>
      <c r="AE129" s="314"/>
      <c r="AF129" s="105"/>
    </row>
    <row r="130" spans="1:32" ht="24.95" customHeight="1" x14ac:dyDescent="0.15">
      <c r="A130" s="142" t="s">
        <v>274</v>
      </c>
      <c r="B130" s="142" t="s">
        <v>764</v>
      </c>
      <c r="C130" s="142" t="str">
        <f t="shared" si="30"/>
        <v>到期</v>
      </c>
      <c r="D130" s="103" t="s">
        <v>1845</v>
      </c>
      <c r="E130" s="142" t="s">
        <v>298</v>
      </c>
      <c r="F130" s="48">
        <v>43494</v>
      </c>
      <c r="G130" s="48">
        <v>43522</v>
      </c>
      <c r="H130" s="48" t="s">
        <v>1014</v>
      </c>
      <c r="I130" s="48" t="s">
        <v>222</v>
      </c>
      <c r="J130" s="142" t="s">
        <v>56</v>
      </c>
      <c r="K130" s="104">
        <v>200</v>
      </c>
      <c r="L130" s="104">
        <v>49900</v>
      </c>
      <c r="M130" s="105">
        <v>47520</v>
      </c>
      <c r="N130" s="104">
        <f t="shared" si="33"/>
        <v>197.22499999999999</v>
      </c>
      <c r="O130" s="104">
        <f t="shared" si="29"/>
        <v>39445</v>
      </c>
      <c r="P130" s="101" t="s">
        <v>508</v>
      </c>
      <c r="Q130" s="101" t="s">
        <v>509</v>
      </c>
      <c r="R130" s="105"/>
      <c r="S130" s="105"/>
      <c r="T130" s="144"/>
      <c r="U130" s="105">
        <v>50190</v>
      </c>
      <c r="V130" s="105">
        <f>-(U130-L130)*K130</f>
        <v>-58000</v>
      </c>
      <c r="W130" s="48">
        <v>43522</v>
      </c>
      <c r="X130" s="104">
        <f t="shared" si="31"/>
        <v>-18555</v>
      </c>
      <c r="Y130" s="197">
        <f t="shared" si="27"/>
        <v>9504000</v>
      </c>
      <c r="Z130" s="143" t="str">
        <f t="shared" si="32"/>
        <v/>
      </c>
      <c r="AA130" s="143" t="str">
        <f t="shared" si="34"/>
        <v>买入第5期</v>
      </c>
      <c r="AB130" s="203"/>
      <c r="AC130" s="321">
        <v>0.152</v>
      </c>
      <c r="AD130" s="205">
        <v>0.152</v>
      </c>
      <c r="AE130" s="314"/>
      <c r="AF130" s="105"/>
    </row>
    <row r="131" spans="1:32" ht="24.95" customHeight="1" x14ac:dyDescent="0.15">
      <c r="A131" s="142" t="s">
        <v>894</v>
      </c>
      <c r="B131" s="142" t="s">
        <v>297</v>
      </c>
      <c r="C131" s="142" t="str">
        <f t="shared" si="30"/>
        <v>到期</v>
      </c>
      <c r="D131" s="103" t="s">
        <v>1845</v>
      </c>
      <c r="E131" s="142" t="s">
        <v>298</v>
      </c>
      <c r="F131" s="48">
        <v>43494</v>
      </c>
      <c r="G131" s="48">
        <v>43522</v>
      </c>
      <c r="H131" s="48" t="s">
        <v>1014</v>
      </c>
      <c r="I131" s="48" t="s">
        <v>222</v>
      </c>
      <c r="J131" s="142" t="s">
        <v>59</v>
      </c>
      <c r="K131" s="104">
        <v>200</v>
      </c>
      <c r="L131" s="104">
        <v>46100</v>
      </c>
      <c r="M131" s="105">
        <v>47520</v>
      </c>
      <c r="N131" s="104">
        <f t="shared" si="33"/>
        <v>197.22499999999999</v>
      </c>
      <c r="O131" s="104">
        <f t="shared" si="29"/>
        <v>39445</v>
      </c>
      <c r="P131" s="101" t="s">
        <v>508</v>
      </c>
      <c r="Q131" s="101" t="s">
        <v>509</v>
      </c>
      <c r="R131" s="105"/>
      <c r="S131" s="105"/>
      <c r="T131" s="144"/>
      <c r="U131" s="105">
        <v>50190</v>
      </c>
      <c r="V131" s="105">
        <v>0</v>
      </c>
      <c r="W131" s="48">
        <v>43522</v>
      </c>
      <c r="X131" s="104">
        <f t="shared" si="31"/>
        <v>39445</v>
      </c>
      <c r="Y131" s="197">
        <f t="shared" si="27"/>
        <v>9504000</v>
      </c>
      <c r="Z131" s="143" t="str">
        <f t="shared" si="32"/>
        <v/>
      </c>
      <c r="AA131" s="143" t="str">
        <f t="shared" si="34"/>
        <v>买入第5期</v>
      </c>
      <c r="AB131" s="203"/>
      <c r="AC131" s="321">
        <v>0.152</v>
      </c>
      <c r="AD131" s="205">
        <v>0.152</v>
      </c>
      <c r="AE131" s="314"/>
      <c r="AF131" s="105"/>
    </row>
    <row r="132" spans="1:32" ht="24.95" customHeight="1" x14ac:dyDescent="0.15">
      <c r="A132" s="142" t="s">
        <v>244</v>
      </c>
      <c r="B132" s="142" t="s">
        <v>764</v>
      </c>
      <c r="C132" s="142" t="str">
        <f>IF(T132="","存续","到期")</f>
        <v>到期</v>
      </c>
      <c r="D132" s="123" t="s">
        <v>1851</v>
      </c>
      <c r="E132" s="142" t="s">
        <v>298</v>
      </c>
      <c r="F132" s="144">
        <v>43494</v>
      </c>
      <c r="G132" s="144">
        <v>43524</v>
      </c>
      <c r="H132" s="143" t="s">
        <v>279</v>
      </c>
      <c r="I132" s="143" t="s">
        <v>38</v>
      </c>
      <c r="J132" s="143" t="s">
        <v>22</v>
      </c>
      <c r="K132" s="105">
        <v>200</v>
      </c>
      <c r="L132" s="105">
        <v>6442</v>
      </c>
      <c r="M132" s="105">
        <v>6442</v>
      </c>
      <c r="N132" s="105">
        <v>151.15</v>
      </c>
      <c r="O132" s="105">
        <f t="shared" si="29"/>
        <v>30230</v>
      </c>
      <c r="P132" s="101" t="s">
        <v>510</v>
      </c>
      <c r="Q132" s="101" t="s">
        <v>511</v>
      </c>
      <c r="R132" s="105">
        <v>208</v>
      </c>
      <c r="S132" s="105">
        <f>R132*K132</f>
        <v>41600</v>
      </c>
      <c r="T132" s="102">
        <v>43497</v>
      </c>
      <c r="U132" s="113"/>
      <c r="V132" s="113"/>
      <c r="W132" s="112"/>
      <c r="X132" s="104">
        <f>IF(I132="买入",S132-O132,O132+S132)</f>
        <v>11370</v>
      </c>
      <c r="Y132" s="197">
        <f t="shared" si="27"/>
        <v>1288400</v>
      </c>
      <c r="Z132" s="143" t="str">
        <f t="shared" si="32"/>
        <v/>
      </c>
      <c r="AA132" s="143" t="str">
        <f>IF(I132="买入","卖出","买入")</f>
        <v>卖出</v>
      </c>
      <c r="AB132" s="203"/>
      <c r="AC132" s="321">
        <v>0.17499999999999999</v>
      </c>
      <c r="AD132" s="319"/>
      <c r="AE132" s="314"/>
      <c r="AF132" s="105"/>
    </row>
    <row r="133" spans="1:32" ht="24.95" customHeight="1" x14ac:dyDescent="0.15">
      <c r="A133" s="142" t="s">
        <v>244</v>
      </c>
      <c r="B133" s="142" t="s">
        <v>764</v>
      </c>
      <c r="C133" s="142" t="str">
        <f>IF(T133="","存续","到期")</f>
        <v>到期</v>
      </c>
      <c r="D133" s="123" t="s">
        <v>1851</v>
      </c>
      <c r="E133" s="142" t="s">
        <v>298</v>
      </c>
      <c r="F133" s="144">
        <v>43494</v>
      </c>
      <c r="G133" s="144">
        <v>43524</v>
      </c>
      <c r="H133" s="143" t="s">
        <v>280</v>
      </c>
      <c r="I133" s="143" t="s">
        <v>38</v>
      </c>
      <c r="J133" s="143" t="s">
        <v>25</v>
      </c>
      <c r="K133" s="105">
        <v>200</v>
      </c>
      <c r="L133" s="105">
        <v>6442</v>
      </c>
      <c r="M133" s="105">
        <v>6442</v>
      </c>
      <c r="N133" s="105">
        <v>151.15</v>
      </c>
      <c r="O133" s="105">
        <f t="shared" si="29"/>
        <v>30230</v>
      </c>
      <c r="P133" s="101" t="s">
        <v>510</v>
      </c>
      <c r="Q133" s="101" t="s">
        <v>511</v>
      </c>
      <c r="R133" s="105">
        <v>142.07</v>
      </c>
      <c r="S133" s="105">
        <f>R133*K133</f>
        <v>28414</v>
      </c>
      <c r="T133" s="102">
        <v>43511</v>
      </c>
      <c r="U133" s="113"/>
      <c r="V133" s="113"/>
      <c r="W133" s="112"/>
      <c r="X133" s="104">
        <f>IF(I133="买入",S133-O133,O133+S133)</f>
        <v>-1816</v>
      </c>
      <c r="Y133" s="197">
        <f t="shared" si="27"/>
        <v>1288400</v>
      </c>
      <c r="Z133" s="143" t="str">
        <f t="shared" si="32"/>
        <v/>
      </c>
      <c r="AA133" s="143" t="str">
        <f>IF(I133="买入","卖出","买入")</f>
        <v>卖出</v>
      </c>
      <c r="AB133" s="203"/>
      <c r="AC133" s="321">
        <v>0.15579999999999999</v>
      </c>
      <c r="AD133" s="319"/>
      <c r="AE133" s="314"/>
      <c r="AF133" s="105"/>
    </row>
    <row r="134" spans="1:32" ht="24.95" customHeight="1" x14ac:dyDescent="0.15">
      <c r="A134" s="142" t="s">
        <v>244</v>
      </c>
      <c r="B134" s="142" t="s">
        <v>295</v>
      </c>
      <c r="C134" s="142" t="str">
        <f t="shared" ref="C134:C181" si="35">IF(W134="","存续","到期")</f>
        <v>到期</v>
      </c>
      <c r="D134" s="123" t="s">
        <v>266</v>
      </c>
      <c r="E134" s="142" t="s">
        <v>137</v>
      </c>
      <c r="F134" s="144">
        <v>43496</v>
      </c>
      <c r="G134" s="144">
        <v>43525</v>
      </c>
      <c r="H134" s="143" t="s">
        <v>287</v>
      </c>
      <c r="I134" s="143" t="s">
        <v>38</v>
      </c>
      <c r="J134" s="142" t="s">
        <v>59</v>
      </c>
      <c r="K134" s="105">
        <v>1000</v>
      </c>
      <c r="L134" s="105">
        <v>3037</v>
      </c>
      <c r="M134" s="105">
        <v>3164</v>
      </c>
      <c r="N134" s="105">
        <v>28.79</v>
      </c>
      <c r="O134" s="105">
        <f t="shared" si="29"/>
        <v>28790</v>
      </c>
      <c r="P134" s="101" t="s">
        <v>288</v>
      </c>
      <c r="Q134" s="101" t="s">
        <v>691</v>
      </c>
      <c r="R134" s="105"/>
      <c r="S134" s="105"/>
      <c r="T134" s="144"/>
      <c r="U134" s="105">
        <v>3436</v>
      </c>
      <c r="V134" s="105">
        <v>0</v>
      </c>
      <c r="W134" s="48">
        <f>G134</f>
        <v>43525</v>
      </c>
      <c r="X134" s="104">
        <f t="shared" ref="X134:X181" si="36">IF(I134="买入",V134-O134,V134+O134)</f>
        <v>-28790</v>
      </c>
      <c r="Y134" s="197">
        <f t="shared" si="27"/>
        <v>3164000</v>
      </c>
      <c r="Z134" s="143" t="str">
        <f t="shared" si="32"/>
        <v/>
      </c>
      <c r="AA134" s="143" t="str">
        <f>IF(I134="买入","卖出","买入")</f>
        <v>卖出</v>
      </c>
      <c r="AB134" s="203"/>
      <c r="AC134" s="321">
        <v>0.24</v>
      </c>
      <c r="AD134" s="319"/>
      <c r="AE134" s="314"/>
      <c r="AF134" s="105"/>
    </row>
    <row r="135" spans="1:32" ht="24.95" customHeight="1" x14ac:dyDescent="0.15">
      <c r="A135" s="142" t="s">
        <v>244</v>
      </c>
      <c r="B135" s="120" t="s">
        <v>295</v>
      </c>
      <c r="C135" s="142" t="str">
        <f t="shared" si="35"/>
        <v>到期</v>
      </c>
      <c r="D135" s="123" t="s">
        <v>266</v>
      </c>
      <c r="E135" s="142" t="s">
        <v>137</v>
      </c>
      <c r="F135" s="144">
        <v>43507</v>
      </c>
      <c r="G135" s="144">
        <v>43539</v>
      </c>
      <c r="H135" s="143" t="s">
        <v>746</v>
      </c>
      <c r="I135" s="143" t="s">
        <v>38</v>
      </c>
      <c r="J135" s="142" t="s">
        <v>56</v>
      </c>
      <c r="K135" s="105">
        <v>3960</v>
      </c>
      <c r="L135" s="105">
        <v>1394.8</v>
      </c>
      <c r="M135" s="105">
        <v>1268</v>
      </c>
      <c r="N135" s="105">
        <v>9.14</v>
      </c>
      <c r="O135" s="105">
        <f t="shared" si="29"/>
        <v>36194.400000000001</v>
      </c>
      <c r="P135" s="101" t="s">
        <v>692</v>
      </c>
      <c r="Q135" s="101" t="s">
        <v>375</v>
      </c>
      <c r="R135" s="105"/>
      <c r="S135" s="105"/>
      <c r="T135" s="144"/>
      <c r="U135" s="105">
        <v>1237</v>
      </c>
      <c r="V135" s="105">
        <v>0</v>
      </c>
      <c r="W135" s="144">
        <f>G135</f>
        <v>43539</v>
      </c>
      <c r="X135" s="104">
        <f t="shared" si="36"/>
        <v>-36194.400000000001</v>
      </c>
      <c r="Y135" s="197">
        <f t="shared" si="27"/>
        <v>5021280</v>
      </c>
      <c r="Z135" s="143" t="str">
        <f t="shared" si="32"/>
        <v/>
      </c>
      <c r="AA135" s="143" t="str">
        <f>IF(I135="买入","卖出","买入")</f>
        <v>卖出</v>
      </c>
      <c r="AB135" s="203"/>
      <c r="AC135" s="321">
        <v>0.29049999999999998</v>
      </c>
      <c r="AD135" s="319"/>
      <c r="AE135" s="314"/>
      <c r="AF135" s="105"/>
    </row>
    <row r="136" spans="1:32" ht="24.95" customHeight="1" x14ac:dyDescent="0.15">
      <c r="A136" s="142" t="s">
        <v>244</v>
      </c>
      <c r="B136" s="120" t="s">
        <v>295</v>
      </c>
      <c r="C136" s="142" t="str">
        <f t="shared" si="35"/>
        <v>到期</v>
      </c>
      <c r="D136" s="123" t="s">
        <v>266</v>
      </c>
      <c r="E136" s="142" t="s">
        <v>137</v>
      </c>
      <c r="F136" s="144">
        <v>43507</v>
      </c>
      <c r="G136" s="144">
        <v>43539</v>
      </c>
      <c r="H136" s="143" t="s">
        <v>746</v>
      </c>
      <c r="I136" s="143" t="s">
        <v>38</v>
      </c>
      <c r="J136" s="142" t="s">
        <v>59</v>
      </c>
      <c r="K136" s="105">
        <v>3960</v>
      </c>
      <c r="L136" s="105">
        <v>1153.9000000000001</v>
      </c>
      <c r="M136" s="105">
        <v>1268</v>
      </c>
      <c r="N136" s="105">
        <v>8.4600000000000009</v>
      </c>
      <c r="O136" s="105">
        <f t="shared" si="29"/>
        <v>33501.600000000006</v>
      </c>
      <c r="P136" s="101" t="s">
        <v>692</v>
      </c>
      <c r="Q136" s="101" t="s">
        <v>375</v>
      </c>
      <c r="R136" s="105"/>
      <c r="S136" s="105"/>
      <c r="T136" s="144"/>
      <c r="U136" s="105">
        <v>1237</v>
      </c>
      <c r="V136" s="105">
        <v>0</v>
      </c>
      <c r="W136" s="144">
        <f>G136</f>
        <v>43539</v>
      </c>
      <c r="X136" s="104">
        <f t="shared" si="36"/>
        <v>-33501.600000000006</v>
      </c>
      <c r="Y136" s="197">
        <f t="shared" si="27"/>
        <v>5021280</v>
      </c>
      <c r="Z136" s="143" t="str">
        <f t="shared" si="32"/>
        <v/>
      </c>
      <c r="AA136" s="143" t="str">
        <f>IF(I136="买入","卖出","买入")</f>
        <v>卖出</v>
      </c>
      <c r="AB136" s="203"/>
      <c r="AC136" s="321">
        <v>0.29049999999999998</v>
      </c>
      <c r="AD136" s="319"/>
      <c r="AE136" s="314"/>
      <c r="AF136" s="105"/>
    </row>
    <row r="137" spans="1:32" ht="24.95" customHeight="1" x14ac:dyDescent="0.15">
      <c r="A137" s="142" t="s">
        <v>894</v>
      </c>
      <c r="B137" s="142" t="s">
        <v>764</v>
      </c>
      <c r="C137" s="142" t="str">
        <f t="shared" si="35"/>
        <v>到期</v>
      </c>
      <c r="D137" s="103" t="s">
        <v>1841</v>
      </c>
      <c r="E137" s="142" t="s">
        <v>298</v>
      </c>
      <c r="F137" s="48">
        <v>43507</v>
      </c>
      <c r="G137" s="48">
        <v>43529</v>
      </c>
      <c r="H137" s="48" t="s">
        <v>1014</v>
      </c>
      <c r="I137" s="48" t="s">
        <v>222</v>
      </c>
      <c r="J137" s="142" t="s">
        <v>56</v>
      </c>
      <c r="K137" s="104">
        <v>200</v>
      </c>
      <c r="L137" s="104">
        <v>50770</v>
      </c>
      <c r="M137" s="105">
        <v>48380</v>
      </c>
      <c r="N137" s="104">
        <f t="shared" ref="N137:N146" si="37">401.59/2</f>
        <v>200.79499999999999</v>
      </c>
      <c r="O137" s="104">
        <f t="shared" si="29"/>
        <v>40159</v>
      </c>
      <c r="P137" s="101" t="s">
        <v>512</v>
      </c>
      <c r="Q137" s="101" t="s">
        <v>327</v>
      </c>
      <c r="R137" s="105"/>
      <c r="S137" s="105"/>
      <c r="T137" s="144"/>
      <c r="U137" s="105">
        <v>49880</v>
      </c>
      <c r="V137" s="105">
        <v>0</v>
      </c>
      <c r="W137" s="144">
        <v>43529</v>
      </c>
      <c r="X137" s="104">
        <f t="shared" si="36"/>
        <v>40159</v>
      </c>
      <c r="Y137" s="197">
        <f t="shared" si="27"/>
        <v>9676000</v>
      </c>
      <c r="Z137" s="143" t="str">
        <f t="shared" si="32"/>
        <v/>
      </c>
      <c r="AA137" s="143" t="str">
        <f t="shared" ref="AA137:AA146" si="38">IF(I137="买入","卖出","买入第6期")</f>
        <v>买入第6期</v>
      </c>
      <c r="AB137" s="203"/>
      <c r="AC137" s="321">
        <v>0.152</v>
      </c>
      <c r="AD137" s="205">
        <v>0.152</v>
      </c>
      <c r="AE137" s="314"/>
      <c r="AF137" s="105"/>
    </row>
    <row r="138" spans="1:32" ht="24.95" customHeight="1" x14ac:dyDescent="0.15">
      <c r="A138" s="142" t="s">
        <v>894</v>
      </c>
      <c r="B138" s="142" t="s">
        <v>764</v>
      </c>
      <c r="C138" s="142" t="str">
        <f t="shared" si="35"/>
        <v>到期</v>
      </c>
      <c r="D138" s="103" t="s">
        <v>1841</v>
      </c>
      <c r="E138" s="142" t="s">
        <v>298</v>
      </c>
      <c r="F138" s="48">
        <v>43507</v>
      </c>
      <c r="G138" s="48">
        <v>43529</v>
      </c>
      <c r="H138" s="48" t="s">
        <v>1014</v>
      </c>
      <c r="I138" s="48" t="s">
        <v>222</v>
      </c>
      <c r="J138" s="142" t="s">
        <v>59</v>
      </c>
      <c r="K138" s="104">
        <v>200</v>
      </c>
      <c r="L138" s="104">
        <v>46900</v>
      </c>
      <c r="M138" s="105">
        <v>48380</v>
      </c>
      <c r="N138" s="104">
        <f t="shared" si="37"/>
        <v>200.79499999999999</v>
      </c>
      <c r="O138" s="104">
        <f t="shared" si="29"/>
        <v>40159</v>
      </c>
      <c r="P138" s="101" t="s">
        <v>512</v>
      </c>
      <c r="Q138" s="101" t="s">
        <v>327</v>
      </c>
      <c r="R138" s="105"/>
      <c r="S138" s="105"/>
      <c r="T138" s="144"/>
      <c r="U138" s="105">
        <v>49880</v>
      </c>
      <c r="V138" s="105">
        <v>0</v>
      </c>
      <c r="W138" s="144">
        <v>43529</v>
      </c>
      <c r="X138" s="104">
        <f t="shared" si="36"/>
        <v>40159</v>
      </c>
      <c r="Y138" s="197">
        <f t="shared" si="27"/>
        <v>9676000</v>
      </c>
      <c r="Z138" s="143" t="str">
        <f t="shared" si="32"/>
        <v/>
      </c>
      <c r="AA138" s="143" t="str">
        <f t="shared" si="38"/>
        <v>买入第6期</v>
      </c>
      <c r="AB138" s="203"/>
      <c r="AC138" s="321">
        <v>0.152</v>
      </c>
      <c r="AD138" s="205">
        <v>0.152</v>
      </c>
      <c r="AE138" s="314"/>
      <c r="AF138" s="105"/>
    </row>
    <row r="139" spans="1:32" ht="24.95" customHeight="1" x14ac:dyDescent="0.15">
      <c r="A139" s="142" t="s">
        <v>894</v>
      </c>
      <c r="B139" s="142" t="s">
        <v>764</v>
      </c>
      <c r="C139" s="142" t="str">
        <f t="shared" si="35"/>
        <v>到期</v>
      </c>
      <c r="D139" s="103" t="s">
        <v>1842</v>
      </c>
      <c r="E139" s="142" t="s">
        <v>298</v>
      </c>
      <c r="F139" s="48">
        <v>43507</v>
      </c>
      <c r="G139" s="48">
        <v>43529</v>
      </c>
      <c r="H139" s="48" t="s">
        <v>1014</v>
      </c>
      <c r="I139" s="48" t="s">
        <v>222</v>
      </c>
      <c r="J139" s="142" t="s">
        <v>56</v>
      </c>
      <c r="K139" s="104">
        <v>200</v>
      </c>
      <c r="L139" s="104">
        <v>50770</v>
      </c>
      <c r="M139" s="105">
        <v>48380</v>
      </c>
      <c r="N139" s="104">
        <f t="shared" si="37"/>
        <v>200.79499999999999</v>
      </c>
      <c r="O139" s="104">
        <f t="shared" si="29"/>
        <v>40159</v>
      </c>
      <c r="P139" s="101" t="s">
        <v>513</v>
      </c>
      <c r="Q139" s="101" t="s">
        <v>514</v>
      </c>
      <c r="R139" s="105"/>
      <c r="S139" s="105"/>
      <c r="T139" s="144"/>
      <c r="U139" s="105">
        <v>49880</v>
      </c>
      <c r="V139" s="105">
        <v>0</v>
      </c>
      <c r="W139" s="144">
        <v>43529</v>
      </c>
      <c r="X139" s="104">
        <f t="shared" si="36"/>
        <v>40159</v>
      </c>
      <c r="Y139" s="197">
        <f t="shared" si="27"/>
        <v>9676000</v>
      </c>
      <c r="Z139" s="143" t="str">
        <f t="shared" si="32"/>
        <v/>
      </c>
      <c r="AA139" s="143" t="str">
        <f t="shared" si="38"/>
        <v>买入第6期</v>
      </c>
      <c r="AB139" s="203"/>
      <c r="AC139" s="321">
        <v>0.152</v>
      </c>
      <c r="AD139" s="205">
        <v>0.152</v>
      </c>
      <c r="AE139" s="314"/>
      <c r="AF139" s="105"/>
    </row>
    <row r="140" spans="1:32" ht="24.95" customHeight="1" x14ac:dyDescent="0.15">
      <c r="A140" s="142" t="s">
        <v>894</v>
      </c>
      <c r="B140" s="142" t="s">
        <v>297</v>
      </c>
      <c r="C140" s="142" t="str">
        <f t="shared" si="35"/>
        <v>到期</v>
      </c>
      <c r="D140" s="103" t="s">
        <v>1842</v>
      </c>
      <c r="E140" s="142" t="s">
        <v>298</v>
      </c>
      <c r="F140" s="48">
        <v>43507</v>
      </c>
      <c r="G140" s="48">
        <v>43529</v>
      </c>
      <c r="H140" s="48" t="s">
        <v>1014</v>
      </c>
      <c r="I140" s="48" t="s">
        <v>222</v>
      </c>
      <c r="J140" s="142" t="s">
        <v>59</v>
      </c>
      <c r="K140" s="104">
        <v>200</v>
      </c>
      <c r="L140" s="104">
        <v>46900</v>
      </c>
      <c r="M140" s="105">
        <v>48380</v>
      </c>
      <c r="N140" s="104">
        <f t="shared" si="37"/>
        <v>200.79499999999999</v>
      </c>
      <c r="O140" s="104">
        <f t="shared" si="29"/>
        <v>40159</v>
      </c>
      <c r="P140" s="101" t="s">
        <v>513</v>
      </c>
      <c r="Q140" s="101" t="s">
        <v>514</v>
      </c>
      <c r="R140" s="105"/>
      <c r="S140" s="105"/>
      <c r="T140" s="144"/>
      <c r="U140" s="105">
        <v>49880</v>
      </c>
      <c r="V140" s="105">
        <v>0</v>
      </c>
      <c r="W140" s="144">
        <v>43529</v>
      </c>
      <c r="X140" s="104">
        <f t="shared" si="36"/>
        <v>40159</v>
      </c>
      <c r="Y140" s="197">
        <f t="shared" si="27"/>
        <v>9676000</v>
      </c>
      <c r="Z140" s="143" t="str">
        <f t="shared" si="32"/>
        <v/>
      </c>
      <c r="AA140" s="143" t="str">
        <f t="shared" si="38"/>
        <v>买入第6期</v>
      </c>
      <c r="AB140" s="203"/>
      <c r="AC140" s="321">
        <v>0.152</v>
      </c>
      <c r="AD140" s="205">
        <v>0.152</v>
      </c>
      <c r="AE140" s="314"/>
      <c r="AF140" s="105"/>
    </row>
    <row r="141" spans="1:32" ht="24.95" customHeight="1" x14ac:dyDescent="0.15">
      <c r="A141" s="142" t="s">
        <v>893</v>
      </c>
      <c r="B141" s="142" t="s">
        <v>764</v>
      </c>
      <c r="C141" s="142" t="str">
        <f t="shared" si="35"/>
        <v>到期</v>
      </c>
      <c r="D141" s="103" t="s">
        <v>1843</v>
      </c>
      <c r="E141" s="142" t="s">
        <v>298</v>
      </c>
      <c r="F141" s="48">
        <v>43507</v>
      </c>
      <c r="G141" s="48">
        <v>43529</v>
      </c>
      <c r="H141" s="48" t="s">
        <v>1014</v>
      </c>
      <c r="I141" s="48" t="s">
        <v>222</v>
      </c>
      <c r="J141" s="142" t="s">
        <v>56</v>
      </c>
      <c r="K141" s="104">
        <v>200</v>
      </c>
      <c r="L141" s="104">
        <v>50770</v>
      </c>
      <c r="M141" s="105">
        <v>48380</v>
      </c>
      <c r="N141" s="104">
        <f t="shared" si="37"/>
        <v>200.79499999999999</v>
      </c>
      <c r="O141" s="104">
        <f t="shared" si="29"/>
        <v>40159</v>
      </c>
      <c r="P141" s="101" t="s">
        <v>515</v>
      </c>
      <c r="Q141" s="101" t="s">
        <v>516</v>
      </c>
      <c r="R141" s="105"/>
      <c r="S141" s="105"/>
      <c r="T141" s="144"/>
      <c r="U141" s="105">
        <v>49880</v>
      </c>
      <c r="V141" s="105">
        <v>0</v>
      </c>
      <c r="W141" s="144">
        <v>43529</v>
      </c>
      <c r="X141" s="104">
        <f t="shared" si="36"/>
        <v>40159</v>
      </c>
      <c r="Y141" s="197">
        <f t="shared" si="27"/>
        <v>9676000</v>
      </c>
      <c r="Z141" s="143" t="str">
        <f t="shared" si="32"/>
        <v/>
      </c>
      <c r="AA141" s="143" t="str">
        <f t="shared" si="38"/>
        <v>买入第6期</v>
      </c>
      <c r="AB141" s="203"/>
      <c r="AC141" s="321">
        <v>0.152</v>
      </c>
      <c r="AD141" s="205">
        <v>0.152</v>
      </c>
      <c r="AE141" s="314"/>
      <c r="AF141" s="105"/>
    </row>
    <row r="142" spans="1:32" ht="24.95" customHeight="1" x14ac:dyDescent="0.15">
      <c r="A142" s="142" t="s">
        <v>894</v>
      </c>
      <c r="B142" s="142" t="s">
        <v>764</v>
      </c>
      <c r="C142" s="142" t="str">
        <f t="shared" si="35"/>
        <v>到期</v>
      </c>
      <c r="D142" s="103" t="s">
        <v>1843</v>
      </c>
      <c r="E142" s="142" t="s">
        <v>298</v>
      </c>
      <c r="F142" s="48">
        <v>43507</v>
      </c>
      <c r="G142" s="48">
        <v>43529</v>
      </c>
      <c r="H142" s="48" t="s">
        <v>1014</v>
      </c>
      <c r="I142" s="48" t="s">
        <v>222</v>
      </c>
      <c r="J142" s="142" t="s">
        <v>59</v>
      </c>
      <c r="K142" s="104">
        <v>200</v>
      </c>
      <c r="L142" s="104">
        <v>46900</v>
      </c>
      <c r="M142" s="105">
        <v>48380</v>
      </c>
      <c r="N142" s="104">
        <f t="shared" si="37"/>
        <v>200.79499999999999</v>
      </c>
      <c r="O142" s="104">
        <f t="shared" si="29"/>
        <v>40159</v>
      </c>
      <c r="P142" s="101" t="s">
        <v>515</v>
      </c>
      <c r="Q142" s="101" t="s">
        <v>516</v>
      </c>
      <c r="R142" s="105"/>
      <c r="S142" s="105"/>
      <c r="T142" s="144"/>
      <c r="U142" s="105">
        <v>49880</v>
      </c>
      <c r="V142" s="105">
        <v>0</v>
      </c>
      <c r="W142" s="144">
        <v>43529</v>
      </c>
      <c r="X142" s="104">
        <f t="shared" si="36"/>
        <v>40159</v>
      </c>
      <c r="Y142" s="197">
        <f t="shared" si="27"/>
        <v>9676000</v>
      </c>
      <c r="Z142" s="143" t="str">
        <f t="shared" si="32"/>
        <v/>
      </c>
      <c r="AA142" s="143" t="str">
        <f t="shared" si="38"/>
        <v>买入第6期</v>
      </c>
      <c r="AB142" s="203"/>
      <c r="AC142" s="321">
        <v>0.152</v>
      </c>
      <c r="AD142" s="205">
        <v>0.152</v>
      </c>
      <c r="AE142" s="314"/>
      <c r="AF142" s="105"/>
    </row>
    <row r="143" spans="1:32" ht="24.95" customHeight="1" x14ac:dyDescent="0.15">
      <c r="A143" s="142" t="s">
        <v>894</v>
      </c>
      <c r="B143" s="142" t="s">
        <v>764</v>
      </c>
      <c r="C143" s="142" t="str">
        <f t="shared" si="35"/>
        <v>到期</v>
      </c>
      <c r="D143" s="103" t="s">
        <v>1844</v>
      </c>
      <c r="E143" s="142" t="s">
        <v>298</v>
      </c>
      <c r="F143" s="48">
        <v>43507</v>
      </c>
      <c r="G143" s="48">
        <v>43529</v>
      </c>
      <c r="H143" s="48" t="s">
        <v>1014</v>
      </c>
      <c r="I143" s="48" t="s">
        <v>222</v>
      </c>
      <c r="J143" s="142" t="s">
        <v>56</v>
      </c>
      <c r="K143" s="104">
        <v>200</v>
      </c>
      <c r="L143" s="104">
        <v>50770</v>
      </c>
      <c r="M143" s="105">
        <v>48380</v>
      </c>
      <c r="N143" s="104">
        <f t="shared" si="37"/>
        <v>200.79499999999999</v>
      </c>
      <c r="O143" s="104">
        <f t="shared" si="29"/>
        <v>40159</v>
      </c>
      <c r="P143" s="101" t="s">
        <v>517</v>
      </c>
      <c r="Q143" s="101" t="s">
        <v>518</v>
      </c>
      <c r="R143" s="105"/>
      <c r="S143" s="105"/>
      <c r="T143" s="144"/>
      <c r="U143" s="105">
        <v>49880</v>
      </c>
      <c r="V143" s="105">
        <v>0</v>
      </c>
      <c r="W143" s="144">
        <v>43529</v>
      </c>
      <c r="X143" s="104">
        <f t="shared" si="36"/>
        <v>40159</v>
      </c>
      <c r="Y143" s="197">
        <f t="shared" si="27"/>
        <v>9676000</v>
      </c>
      <c r="Z143" s="143" t="str">
        <f t="shared" si="32"/>
        <v/>
      </c>
      <c r="AA143" s="143" t="str">
        <f t="shared" si="38"/>
        <v>买入第6期</v>
      </c>
      <c r="AB143" s="203"/>
      <c r="AC143" s="321">
        <v>0.152</v>
      </c>
      <c r="AD143" s="205">
        <v>0.152</v>
      </c>
      <c r="AE143" s="314"/>
      <c r="AF143" s="105"/>
    </row>
    <row r="144" spans="1:32" ht="24.95" customHeight="1" x14ac:dyDescent="0.15">
      <c r="A144" s="142" t="s">
        <v>894</v>
      </c>
      <c r="B144" s="142" t="s">
        <v>764</v>
      </c>
      <c r="C144" s="142" t="str">
        <f t="shared" si="35"/>
        <v>到期</v>
      </c>
      <c r="D144" s="103" t="s">
        <v>1844</v>
      </c>
      <c r="E144" s="142" t="s">
        <v>298</v>
      </c>
      <c r="F144" s="48">
        <v>43507</v>
      </c>
      <c r="G144" s="48">
        <v>43529</v>
      </c>
      <c r="H144" s="48" t="s">
        <v>1014</v>
      </c>
      <c r="I144" s="48" t="s">
        <v>222</v>
      </c>
      <c r="J144" s="142" t="s">
        <v>59</v>
      </c>
      <c r="K144" s="104">
        <v>200</v>
      </c>
      <c r="L144" s="104">
        <v>46900</v>
      </c>
      <c r="M144" s="105">
        <v>48380</v>
      </c>
      <c r="N144" s="104">
        <f t="shared" si="37"/>
        <v>200.79499999999999</v>
      </c>
      <c r="O144" s="104">
        <f t="shared" si="29"/>
        <v>40159</v>
      </c>
      <c r="P144" s="101" t="s">
        <v>517</v>
      </c>
      <c r="Q144" s="101" t="s">
        <v>518</v>
      </c>
      <c r="R144" s="105"/>
      <c r="S144" s="105"/>
      <c r="T144" s="144"/>
      <c r="U144" s="105">
        <v>49880</v>
      </c>
      <c r="V144" s="105">
        <v>0</v>
      </c>
      <c r="W144" s="144">
        <v>43529</v>
      </c>
      <c r="X144" s="104">
        <f t="shared" si="36"/>
        <v>40159</v>
      </c>
      <c r="Y144" s="197">
        <f t="shared" si="27"/>
        <v>9676000</v>
      </c>
      <c r="Z144" s="143" t="str">
        <f t="shared" si="32"/>
        <v/>
      </c>
      <c r="AA144" s="143" t="str">
        <f t="shared" si="38"/>
        <v>买入第6期</v>
      </c>
      <c r="AB144" s="203"/>
      <c r="AC144" s="321">
        <v>0.152</v>
      </c>
      <c r="AD144" s="205">
        <v>0.152</v>
      </c>
      <c r="AE144" s="314"/>
      <c r="AF144" s="105"/>
    </row>
    <row r="145" spans="1:32" ht="24.95" customHeight="1" x14ac:dyDescent="0.15">
      <c r="A145" s="142" t="s">
        <v>894</v>
      </c>
      <c r="B145" s="142" t="s">
        <v>297</v>
      </c>
      <c r="C145" s="142" t="str">
        <f t="shared" si="35"/>
        <v>到期</v>
      </c>
      <c r="D145" s="103" t="s">
        <v>1845</v>
      </c>
      <c r="E145" s="142" t="s">
        <v>298</v>
      </c>
      <c r="F145" s="48">
        <v>43507</v>
      </c>
      <c r="G145" s="48">
        <v>43529</v>
      </c>
      <c r="H145" s="48" t="s">
        <v>1014</v>
      </c>
      <c r="I145" s="48" t="s">
        <v>222</v>
      </c>
      <c r="J145" s="142" t="s">
        <v>56</v>
      </c>
      <c r="K145" s="104">
        <v>200</v>
      </c>
      <c r="L145" s="104">
        <v>50770</v>
      </c>
      <c r="M145" s="105">
        <v>48380</v>
      </c>
      <c r="N145" s="104">
        <f t="shared" si="37"/>
        <v>200.79499999999999</v>
      </c>
      <c r="O145" s="104">
        <f t="shared" si="29"/>
        <v>40159</v>
      </c>
      <c r="P145" s="101" t="s">
        <v>519</v>
      </c>
      <c r="Q145" s="101" t="s">
        <v>520</v>
      </c>
      <c r="R145" s="105"/>
      <c r="S145" s="105"/>
      <c r="T145" s="144"/>
      <c r="U145" s="105">
        <v>49880</v>
      </c>
      <c r="V145" s="105">
        <v>0</v>
      </c>
      <c r="W145" s="144">
        <v>43529</v>
      </c>
      <c r="X145" s="104">
        <f t="shared" si="36"/>
        <v>40159</v>
      </c>
      <c r="Y145" s="197">
        <f t="shared" si="27"/>
        <v>9676000</v>
      </c>
      <c r="Z145" s="143" t="str">
        <f t="shared" si="32"/>
        <v/>
      </c>
      <c r="AA145" s="143" t="str">
        <f t="shared" si="38"/>
        <v>买入第6期</v>
      </c>
      <c r="AB145" s="203"/>
      <c r="AC145" s="321">
        <v>0.152</v>
      </c>
      <c r="AD145" s="205">
        <v>0.152</v>
      </c>
      <c r="AE145" s="314"/>
      <c r="AF145" s="105"/>
    </row>
    <row r="146" spans="1:32" ht="24.95" customHeight="1" x14ac:dyDescent="0.15">
      <c r="A146" s="142" t="s">
        <v>893</v>
      </c>
      <c r="B146" s="142" t="s">
        <v>297</v>
      </c>
      <c r="C146" s="142" t="str">
        <f t="shared" si="35"/>
        <v>到期</v>
      </c>
      <c r="D146" s="103" t="s">
        <v>1845</v>
      </c>
      <c r="E146" s="142" t="s">
        <v>298</v>
      </c>
      <c r="F146" s="48">
        <v>43507</v>
      </c>
      <c r="G146" s="48">
        <v>43529</v>
      </c>
      <c r="H146" s="48" t="s">
        <v>1014</v>
      </c>
      <c r="I146" s="48" t="s">
        <v>222</v>
      </c>
      <c r="J146" s="142" t="s">
        <v>59</v>
      </c>
      <c r="K146" s="104">
        <v>200</v>
      </c>
      <c r="L146" s="104">
        <v>46900</v>
      </c>
      <c r="M146" s="105">
        <v>48380</v>
      </c>
      <c r="N146" s="104">
        <f t="shared" si="37"/>
        <v>200.79499999999999</v>
      </c>
      <c r="O146" s="104">
        <f t="shared" si="29"/>
        <v>40159</v>
      </c>
      <c r="P146" s="101" t="s">
        <v>519</v>
      </c>
      <c r="Q146" s="101" t="s">
        <v>520</v>
      </c>
      <c r="R146" s="105"/>
      <c r="S146" s="105"/>
      <c r="T146" s="144"/>
      <c r="U146" s="105">
        <v>49880</v>
      </c>
      <c r="V146" s="105">
        <v>0</v>
      </c>
      <c r="W146" s="144">
        <v>43529</v>
      </c>
      <c r="X146" s="104">
        <f t="shared" si="36"/>
        <v>40159</v>
      </c>
      <c r="Y146" s="197">
        <f t="shared" si="27"/>
        <v>9676000</v>
      </c>
      <c r="Z146" s="143" t="str">
        <f t="shared" si="32"/>
        <v/>
      </c>
      <c r="AA146" s="143" t="str">
        <f t="shared" si="38"/>
        <v>买入第6期</v>
      </c>
      <c r="AB146" s="203"/>
      <c r="AC146" s="321">
        <v>0.152</v>
      </c>
      <c r="AD146" s="205">
        <v>0.152</v>
      </c>
      <c r="AE146" s="314"/>
      <c r="AF146" s="104"/>
    </row>
    <row r="147" spans="1:32" ht="24.95" customHeight="1" x14ac:dyDescent="0.15">
      <c r="A147" s="142" t="s">
        <v>246</v>
      </c>
      <c r="B147" s="142"/>
      <c r="C147" s="142" t="str">
        <f t="shared" si="35"/>
        <v>到期</v>
      </c>
      <c r="D147" s="142" t="s">
        <v>1837</v>
      </c>
      <c r="E147" s="142" t="s">
        <v>137</v>
      </c>
      <c r="F147" s="48">
        <v>43507</v>
      </c>
      <c r="G147" s="48">
        <v>43524</v>
      </c>
      <c r="H147" s="142" t="s">
        <v>204</v>
      </c>
      <c r="I147" s="142" t="s">
        <v>38</v>
      </c>
      <c r="J147" s="46" t="s">
        <v>972</v>
      </c>
      <c r="K147" s="104">
        <v>3000</v>
      </c>
      <c r="L147" s="104">
        <v>5178</v>
      </c>
      <c r="M147" s="105">
        <v>5179.6580000000004</v>
      </c>
      <c r="N147" s="104">
        <v>81</v>
      </c>
      <c r="O147" s="105">
        <f t="shared" si="29"/>
        <v>243000</v>
      </c>
      <c r="P147" s="101" t="s">
        <v>624</v>
      </c>
      <c r="Q147" s="101" t="s">
        <v>891</v>
      </c>
      <c r="R147" s="104"/>
      <c r="S147" s="104"/>
      <c r="T147" s="48"/>
      <c r="U147" s="104">
        <v>5123.7700000000004</v>
      </c>
      <c r="V147" s="105">
        <v>30000</v>
      </c>
      <c r="W147" s="48">
        <v>43524</v>
      </c>
      <c r="X147" s="104">
        <f t="shared" si="36"/>
        <v>-213000</v>
      </c>
      <c r="Y147" s="197">
        <f t="shared" si="27"/>
        <v>15538974.000000002</v>
      </c>
      <c r="Z147" s="143" t="str">
        <f t="shared" si="32"/>
        <v/>
      </c>
      <c r="AA147" s="143" t="str">
        <f t="shared" ref="AA147:AA152" si="39">IF(I147="买入","卖出","买入")</f>
        <v>卖出</v>
      </c>
      <c r="AB147" s="203"/>
      <c r="AC147" s="321"/>
      <c r="AD147" s="321"/>
      <c r="AE147" s="314"/>
      <c r="AF147" s="104"/>
    </row>
    <row r="148" spans="1:32" ht="24.95" customHeight="1" x14ac:dyDescent="0.15">
      <c r="A148" s="142" t="s">
        <v>265</v>
      </c>
      <c r="B148" s="143" t="s">
        <v>764</v>
      </c>
      <c r="C148" s="142" t="str">
        <f t="shared" si="35"/>
        <v>到期</v>
      </c>
      <c r="D148" s="123" t="s">
        <v>1838</v>
      </c>
      <c r="E148" s="142" t="s">
        <v>137</v>
      </c>
      <c r="F148" s="144">
        <v>43508</v>
      </c>
      <c r="G148" s="144">
        <v>43536</v>
      </c>
      <c r="H148" s="143" t="s">
        <v>755</v>
      </c>
      <c r="I148" s="143" t="s">
        <v>222</v>
      </c>
      <c r="J148" s="142" t="s">
        <v>22</v>
      </c>
      <c r="K148" s="105">
        <v>500</v>
      </c>
      <c r="L148" s="105">
        <v>8590</v>
      </c>
      <c r="M148" s="105">
        <v>8590</v>
      </c>
      <c r="N148" s="105">
        <v>126.81</v>
      </c>
      <c r="O148" s="105">
        <f t="shared" si="29"/>
        <v>63405</v>
      </c>
      <c r="P148" s="101" t="s">
        <v>577</v>
      </c>
      <c r="Q148" s="101" t="s">
        <v>613</v>
      </c>
      <c r="R148" s="105"/>
      <c r="S148" s="105"/>
      <c r="T148" s="144"/>
      <c r="U148" s="105">
        <v>8680</v>
      </c>
      <c r="V148" s="105">
        <f>(L148-U148)*500</f>
        <v>-45000</v>
      </c>
      <c r="W148" s="144">
        <f>G148</f>
        <v>43536</v>
      </c>
      <c r="X148" s="104">
        <f t="shared" si="36"/>
        <v>18405</v>
      </c>
      <c r="Y148" s="197">
        <f>M148*K148</f>
        <v>4295000</v>
      </c>
      <c r="Z148" s="143" t="str">
        <f t="shared" si="32"/>
        <v/>
      </c>
      <c r="AA148" s="143" t="str">
        <f t="shared" si="39"/>
        <v>买入</v>
      </c>
      <c r="AB148" s="203"/>
      <c r="AC148" s="321">
        <v>0.13</v>
      </c>
      <c r="AD148" s="319"/>
      <c r="AE148" s="314"/>
      <c r="AF148" s="104"/>
    </row>
    <row r="149" spans="1:32" ht="24.95" customHeight="1" x14ac:dyDescent="0.15">
      <c r="A149" s="142" t="s">
        <v>265</v>
      </c>
      <c r="B149" s="143" t="s">
        <v>764</v>
      </c>
      <c r="C149" s="142" t="str">
        <f t="shared" si="35"/>
        <v>到期</v>
      </c>
      <c r="D149" s="123" t="s">
        <v>1838</v>
      </c>
      <c r="E149" s="142" t="s">
        <v>137</v>
      </c>
      <c r="F149" s="144">
        <v>43508</v>
      </c>
      <c r="G149" s="144">
        <v>43536</v>
      </c>
      <c r="H149" s="143" t="s">
        <v>755</v>
      </c>
      <c r="I149" s="143" t="s">
        <v>222</v>
      </c>
      <c r="J149" s="142" t="s">
        <v>25</v>
      </c>
      <c r="K149" s="105">
        <v>500</v>
      </c>
      <c r="L149" s="105">
        <v>8590</v>
      </c>
      <c r="M149" s="105">
        <v>8590</v>
      </c>
      <c r="N149" s="105">
        <v>126.81</v>
      </c>
      <c r="O149" s="105">
        <f t="shared" si="29"/>
        <v>63405</v>
      </c>
      <c r="P149" s="101" t="s">
        <v>577</v>
      </c>
      <c r="Q149" s="101" t="s">
        <v>613</v>
      </c>
      <c r="R149" s="105"/>
      <c r="S149" s="105"/>
      <c r="T149" s="144"/>
      <c r="U149" s="105">
        <v>8680</v>
      </c>
      <c r="V149" s="105">
        <v>0</v>
      </c>
      <c r="W149" s="144">
        <f>G149</f>
        <v>43536</v>
      </c>
      <c r="X149" s="104">
        <f t="shared" si="36"/>
        <v>63405</v>
      </c>
      <c r="Y149" s="197">
        <f>M149*K149</f>
        <v>4295000</v>
      </c>
      <c r="Z149" s="143" t="str">
        <f t="shared" si="32"/>
        <v/>
      </c>
      <c r="AA149" s="143" t="str">
        <f t="shared" si="39"/>
        <v>买入</v>
      </c>
      <c r="AB149" s="203"/>
      <c r="AC149" s="321">
        <v>0.13</v>
      </c>
      <c r="AD149" s="319"/>
      <c r="AE149" s="314"/>
      <c r="AF149" s="104"/>
    </row>
    <row r="150" spans="1:32" ht="24.95" customHeight="1" x14ac:dyDescent="0.15">
      <c r="A150" s="142" t="s">
        <v>265</v>
      </c>
      <c r="B150" s="143" t="s">
        <v>295</v>
      </c>
      <c r="C150" s="142" t="str">
        <f t="shared" si="35"/>
        <v>到期</v>
      </c>
      <c r="D150" s="123" t="s">
        <v>1846</v>
      </c>
      <c r="E150" s="142" t="s">
        <v>137</v>
      </c>
      <c r="F150" s="144">
        <v>43508</v>
      </c>
      <c r="G150" s="144">
        <v>43536</v>
      </c>
      <c r="H150" s="143" t="s">
        <v>755</v>
      </c>
      <c r="I150" s="143" t="s">
        <v>38</v>
      </c>
      <c r="J150" s="142" t="s">
        <v>22</v>
      </c>
      <c r="K150" s="105">
        <v>900</v>
      </c>
      <c r="L150" s="105">
        <v>8696.1</v>
      </c>
      <c r="M150" s="105">
        <v>8610</v>
      </c>
      <c r="N150" s="105">
        <v>83.23</v>
      </c>
      <c r="O150" s="105">
        <f t="shared" si="29"/>
        <v>74907</v>
      </c>
      <c r="P150" s="101" t="s">
        <v>289</v>
      </c>
      <c r="Q150" s="101" t="s">
        <v>372</v>
      </c>
      <c r="R150" s="105"/>
      <c r="S150" s="105"/>
      <c r="T150" s="144"/>
      <c r="U150" s="105">
        <v>8680</v>
      </c>
      <c r="V150" s="105">
        <v>0</v>
      </c>
      <c r="W150" s="144">
        <f>G150</f>
        <v>43536</v>
      </c>
      <c r="X150" s="104">
        <f t="shared" si="36"/>
        <v>-74907</v>
      </c>
      <c r="Y150" s="197">
        <f>M150*K150</f>
        <v>7749000</v>
      </c>
      <c r="Z150" s="143" t="str">
        <f t="shared" si="32"/>
        <v/>
      </c>
      <c r="AA150" s="143" t="str">
        <f t="shared" si="39"/>
        <v>卖出</v>
      </c>
      <c r="AB150" s="203"/>
      <c r="AC150" s="321">
        <v>0.124</v>
      </c>
      <c r="AD150" s="319"/>
      <c r="AE150" s="314"/>
      <c r="AF150" s="104"/>
    </row>
    <row r="151" spans="1:32" ht="24.95" customHeight="1" x14ac:dyDescent="0.15">
      <c r="A151" s="142" t="s">
        <v>265</v>
      </c>
      <c r="B151" s="143" t="s">
        <v>295</v>
      </c>
      <c r="C151" s="142" t="str">
        <f t="shared" si="35"/>
        <v>到期</v>
      </c>
      <c r="D151" s="123" t="s">
        <v>1846</v>
      </c>
      <c r="E151" s="142" t="s">
        <v>137</v>
      </c>
      <c r="F151" s="144">
        <v>43508</v>
      </c>
      <c r="G151" s="144">
        <v>43536</v>
      </c>
      <c r="H151" s="143" t="s">
        <v>755</v>
      </c>
      <c r="I151" s="143" t="s">
        <v>38</v>
      </c>
      <c r="J151" s="142" t="s">
        <v>25</v>
      </c>
      <c r="K151" s="105">
        <v>900</v>
      </c>
      <c r="L151" s="105">
        <v>8523.9</v>
      </c>
      <c r="M151" s="105">
        <v>8610</v>
      </c>
      <c r="N151" s="105">
        <v>82.07</v>
      </c>
      <c r="O151" s="105">
        <f t="shared" si="29"/>
        <v>73863</v>
      </c>
      <c r="P151" s="101" t="s">
        <v>289</v>
      </c>
      <c r="Q151" s="101" t="s">
        <v>372</v>
      </c>
      <c r="R151" s="105"/>
      <c r="S151" s="105"/>
      <c r="T151" s="144"/>
      <c r="U151" s="105">
        <v>8680</v>
      </c>
      <c r="V151" s="105">
        <v>0</v>
      </c>
      <c r="W151" s="144">
        <f>G151</f>
        <v>43536</v>
      </c>
      <c r="X151" s="104">
        <f t="shared" si="36"/>
        <v>-73863</v>
      </c>
      <c r="Y151" s="197">
        <f>M151*K151</f>
        <v>7749000</v>
      </c>
      <c r="Z151" s="143" t="str">
        <f t="shared" si="32"/>
        <v/>
      </c>
      <c r="AA151" s="143" t="str">
        <f t="shared" si="39"/>
        <v>卖出</v>
      </c>
      <c r="AB151" s="203"/>
      <c r="AC151" s="321">
        <v>0.124</v>
      </c>
      <c r="AD151" s="319"/>
      <c r="AE151" s="314"/>
      <c r="AF151" s="104"/>
    </row>
    <row r="152" spans="1:32" ht="24.95" customHeight="1" x14ac:dyDescent="0.15">
      <c r="A152" s="142" t="s">
        <v>265</v>
      </c>
      <c r="B152" s="143" t="s">
        <v>295</v>
      </c>
      <c r="C152" s="142" t="str">
        <f t="shared" si="35"/>
        <v>到期</v>
      </c>
      <c r="D152" s="123" t="s">
        <v>266</v>
      </c>
      <c r="E152" s="142" t="s">
        <v>137</v>
      </c>
      <c r="F152" s="144">
        <v>43508</v>
      </c>
      <c r="G152" s="144">
        <v>43525</v>
      </c>
      <c r="H152" s="142" t="s">
        <v>204</v>
      </c>
      <c r="I152" s="143" t="s">
        <v>38</v>
      </c>
      <c r="J152" s="142" t="s">
        <v>59</v>
      </c>
      <c r="K152" s="105">
        <v>1500</v>
      </c>
      <c r="L152" s="105">
        <v>5074.4399999999996</v>
      </c>
      <c r="M152" s="105">
        <v>5178</v>
      </c>
      <c r="N152" s="105">
        <v>31.07</v>
      </c>
      <c r="O152" s="105">
        <f t="shared" si="29"/>
        <v>46605</v>
      </c>
      <c r="P152" s="101" t="s">
        <v>290</v>
      </c>
      <c r="Q152" s="101" t="s">
        <v>693</v>
      </c>
      <c r="R152" s="105"/>
      <c r="S152" s="105"/>
      <c r="T152" s="144"/>
      <c r="U152" s="104">
        <v>5191</v>
      </c>
      <c r="V152" s="105">
        <v>0</v>
      </c>
      <c r="W152" s="48">
        <f>G152</f>
        <v>43525</v>
      </c>
      <c r="X152" s="104">
        <f t="shared" si="36"/>
        <v>-46605</v>
      </c>
      <c r="Y152" s="197">
        <f>M152*K152</f>
        <v>7767000</v>
      </c>
      <c r="Z152" s="143" t="str">
        <f t="shared" si="32"/>
        <v/>
      </c>
      <c r="AA152" s="143" t="str">
        <f t="shared" si="39"/>
        <v>卖出</v>
      </c>
      <c r="AB152" s="203"/>
      <c r="AC152" s="321">
        <v>0.151</v>
      </c>
      <c r="AD152" s="319"/>
      <c r="AE152" s="314"/>
      <c r="AF152" s="104"/>
    </row>
    <row r="153" spans="1:32" ht="24.95" customHeight="1" x14ac:dyDescent="0.15">
      <c r="A153" s="142" t="s">
        <v>248</v>
      </c>
      <c r="B153" s="142" t="s">
        <v>764</v>
      </c>
      <c r="C153" s="142" t="str">
        <f t="shared" si="35"/>
        <v>到期</v>
      </c>
      <c r="D153" s="103" t="s">
        <v>1841</v>
      </c>
      <c r="E153" s="142" t="s">
        <v>298</v>
      </c>
      <c r="F153" s="48">
        <v>43508</v>
      </c>
      <c r="G153" s="48">
        <v>43536</v>
      </c>
      <c r="H153" s="48" t="s">
        <v>1014</v>
      </c>
      <c r="I153" s="48" t="s">
        <v>222</v>
      </c>
      <c r="J153" s="142" t="s">
        <v>56</v>
      </c>
      <c r="K153" s="104">
        <v>200</v>
      </c>
      <c r="L153" s="104">
        <v>50680</v>
      </c>
      <c r="M153" s="105">
        <v>48460</v>
      </c>
      <c r="N153" s="104">
        <f t="shared" ref="N153:N162" si="40">402.26/2</f>
        <v>201.13</v>
      </c>
      <c r="O153" s="104">
        <f t="shared" si="29"/>
        <v>40226</v>
      </c>
      <c r="P153" s="101" t="s">
        <v>292</v>
      </c>
      <c r="Q153" s="101" t="s">
        <v>521</v>
      </c>
      <c r="R153" s="105"/>
      <c r="S153" s="105"/>
      <c r="T153" s="144"/>
      <c r="U153" s="105">
        <v>49900</v>
      </c>
      <c r="V153" s="105">
        <v>0</v>
      </c>
      <c r="W153" s="48">
        <v>43536</v>
      </c>
      <c r="X153" s="104">
        <f t="shared" si="36"/>
        <v>40226</v>
      </c>
      <c r="Y153" s="197">
        <f t="shared" ref="Y153:Y162" si="41">M153*K153</f>
        <v>9692000</v>
      </c>
      <c r="Z153" s="143" t="str">
        <f t="shared" si="32"/>
        <v/>
      </c>
      <c r="AA153" s="143" t="str">
        <f t="shared" ref="AA153:AA162" si="42">IF(I153="买入","卖出","买入第7期")</f>
        <v>买入第7期</v>
      </c>
      <c r="AB153" s="203"/>
      <c r="AC153" s="321">
        <v>0.152</v>
      </c>
      <c r="AD153" s="205">
        <v>0.152</v>
      </c>
      <c r="AE153" s="314"/>
      <c r="AF153" s="104"/>
    </row>
    <row r="154" spans="1:32" ht="24.95" customHeight="1" x14ac:dyDescent="0.15">
      <c r="A154" s="142" t="s">
        <v>894</v>
      </c>
      <c r="B154" s="142" t="s">
        <v>297</v>
      </c>
      <c r="C154" s="142" t="str">
        <f t="shared" si="35"/>
        <v>到期</v>
      </c>
      <c r="D154" s="103" t="s">
        <v>1841</v>
      </c>
      <c r="E154" s="142" t="s">
        <v>298</v>
      </c>
      <c r="F154" s="48">
        <v>43508</v>
      </c>
      <c r="G154" s="48">
        <v>43536</v>
      </c>
      <c r="H154" s="48" t="s">
        <v>1014</v>
      </c>
      <c r="I154" s="48" t="s">
        <v>222</v>
      </c>
      <c r="J154" s="142" t="s">
        <v>59</v>
      </c>
      <c r="K154" s="104">
        <v>200</v>
      </c>
      <c r="L154" s="104">
        <v>46800</v>
      </c>
      <c r="M154" s="105">
        <v>48460</v>
      </c>
      <c r="N154" s="104">
        <f t="shared" si="40"/>
        <v>201.13</v>
      </c>
      <c r="O154" s="104">
        <f t="shared" si="29"/>
        <v>40226</v>
      </c>
      <c r="P154" s="101" t="s">
        <v>292</v>
      </c>
      <c r="Q154" s="101" t="s">
        <v>521</v>
      </c>
      <c r="R154" s="105"/>
      <c r="S154" s="105"/>
      <c r="T154" s="144"/>
      <c r="U154" s="105">
        <v>49900</v>
      </c>
      <c r="V154" s="105">
        <v>0</v>
      </c>
      <c r="W154" s="48">
        <v>43536</v>
      </c>
      <c r="X154" s="104">
        <f t="shared" si="36"/>
        <v>40226</v>
      </c>
      <c r="Y154" s="197">
        <f t="shared" si="41"/>
        <v>9692000</v>
      </c>
      <c r="Z154" s="143" t="str">
        <f t="shared" si="32"/>
        <v/>
      </c>
      <c r="AA154" s="143" t="str">
        <f t="shared" si="42"/>
        <v>买入第7期</v>
      </c>
      <c r="AB154" s="203"/>
      <c r="AC154" s="321">
        <v>0.152</v>
      </c>
      <c r="AD154" s="205">
        <v>0.152</v>
      </c>
      <c r="AE154" s="314"/>
      <c r="AF154" s="104"/>
    </row>
    <row r="155" spans="1:32" ht="24.95" customHeight="1" x14ac:dyDescent="0.15">
      <c r="A155" s="142" t="s">
        <v>893</v>
      </c>
      <c r="B155" s="142" t="s">
        <v>764</v>
      </c>
      <c r="C155" s="142" t="str">
        <f t="shared" si="35"/>
        <v>到期</v>
      </c>
      <c r="D155" s="103" t="s">
        <v>1842</v>
      </c>
      <c r="E155" s="142" t="s">
        <v>298</v>
      </c>
      <c r="F155" s="48">
        <v>43508</v>
      </c>
      <c r="G155" s="48">
        <v>43536</v>
      </c>
      <c r="H155" s="48" t="s">
        <v>1014</v>
      </c>
      <c r="I155" s="48" t="s">
        <v>222</v>
      </c>
      <c r="J155" s="142" t="s">
        <v>56</v>
      </c>
      <c r="K155" s="104">
        <v>200</v>
      </c>
      <c r="L155" s="104">
        <v>50680</v>
      </c>
      <c r="M155" s="105">
        <v>48460</v>
      </c>
      <c r="N155" s="104">
        <f t="shared" si="40"/>
        <v>201.13</v>
      </c>
      <c r="O155" s="104">
        <f t="shared" si="29"/>
        <v>40226</v>
      </c>
      <c r="P155" s="101" t="s">
        <v>522</v>
      </c>
      <c r="Q155" s="101" t="s">
        <v>351</v>
      </c>
      <c r="R155" s="105"/>
      <c r="S155" s="105"/>
      <c r="T155" s="144"/>
      <c r="U155" s="105">
        <v>49900</v>
      </c>
      <c r="V155" s="105">
        <v>0</v>
      </c>
      <c r="W155" s="48">
        <v>43536</v>
      </c>
      <c r="X155" s="104">
        <f t="shared" si="36"/>
        <v>40226</v>
      </c>
      <c r="Y155" s="197">
        <f t="shared" si="41"/>
        <v>9692000</v>
      </c>
      <c r="Z155" s="143" t="str">
        <f t="shared" si="32"/>
        <v/>
      </c>
      <c r="AA155" s="143" t="str">
        <f t="shared" si="42"/>
        <v>买入第7期</v>
      </c>
      <c r="AB155" s="203"/>
      <c r="AC155" s="321">
        <v>0.152</v>
      </c>
      <c r="AD155" s="205">
        <v>0.152</v>
      </c>
      <c r="AE155" s="314"/>
      <c r="AF155" s="104"/>
    </row>
    <row r="156" spans="1:32" ht="24.95" customHeight="1" x14ac:dyDescent="0.15">
      <c r="A156" s="142" t="s">
        <v>894</v>
      </c>
      <c r="B156" s="142" t="s">
        <v>764</v>
      </c>
      <c r="C156" s="142" t="str">
        <f t="shared" si="35"/>
        <v>到期</v>
      </c>
      <c r="D156" s="103" t="s">
        <v>1842</v>
      </c>
      <c r="E156" s="142" t="s">
        <v>298</v>
      </c>
      <c r="F156" s="48">
        <v>43508</v>
      </c>
      <c r="G156" s="48">
        <v>43536</v>
      </c>
      <c r="H156" s="48" t="s">
        <v>1014</v>
      </c>
      <c r="I156" s="48" t="s">
        <v>222</v>
      </c>
      <c r="J156" s="142" t="s">
        <v>59</v>
      </c>
      <c r="K156" s="104">
        <v>200</v>
      </c>
      <c r="L156" s="104">
        <v>46800</v>
      </c>
      <c r="M156" s="105">
        <v>48460</v>
      </c>
      <c r="N156" s="104">
        <f t="shared" si="40"/>
        <v>201.13</v>
      </c>
      <c r="O156" s="104">
        <f t="shared" si="29"/>
        <v>40226</v>
      </c>
      <c r="P156" s="101" t="s">
        <v>522</v>
      </c>
      <c r="Q156" s="101" t="s">
        <v>351</v>
      </c>
      <c r="R156" s="105"/>
      <c r="S156" s="105"/>
      <c r="T156" s="144"/>
      <c r="U156" s="105">
        <v>49900</v>
      </c>
      <c r="V156" s="105">
        <v>0</v>
      </c>
      <c r="W156" s="48">
        <v>43536</v>
      </c>
      <c r="X156" s="104">
        <f t="shared" si="36"/>
        <v>40226</v>
      </c>
      <c r="Y156" s="197">
        <f t="shared" si="41"/>
        <v>9692000</v>
      </c>
      <c r="Z156" s="143" t="str">
        <f t="shared" si="32"/>
        <v/>
      </c>
      <c r="AA156" s="143" t="str">
        <f t="shared" si="42"/>
        <v>买入第7期</v>
      </c>
      <c r="AB156" s="203"/>
      <c r="AC156" s="321">
        <v>0.152</v>
      </c>
      <c r="AD156" s="205">
        <v>0.152</v>
      </c>
      <c r="AE156" s="314"/>
      <c r="AF156" s="105"/>
    </row>
    <row r="157" spans="1:32" ht="24.95" customHeight="1" x14ac:dyDescent="0.15">
      <c r="A157" s="142" t="s">
        <v>248</v>
      </c>
      <c r="B157" s="142" t="s">
        <v>764</v>
      </c>
      <c r="C157" s="142" t="str">
        <f t="shared" si="35"/>
        <v>到期</v>
      </c>
      <c r="D157" s="103" t="s">
        <v>1843</v>
      </c>
      <c r="E157" s="142" t="s">
        <v>298</v>
      </c>
      <c r="F157" s="48">
        <v>43508</v>
      </c>
      <c r="G157" s="48">
        <v>43536</v>
      </c>
      <c r="H157" s="48" t="s">
        <v>1014</v>
      </c>
      <c r="I157" s="48" t="s">
        <v>222</v>
      </c>
      <c r="J157" s="142" t="s">
        <v>56</v>
      </c>
      <c r="K157" s="104">
        <v>200</v>
      </c>
      <c r="L157" s="104">
        <v>50680</v>
      </c>
      <c r="M157" s="105">
        <v>48460</v>
      </c>
      <c r="N157" s="104">
        <f t="shared" si="40"/>
        <v>201.13</v>
      </c>
      <c r="O157" s="104">
        <f t="shared" si="29"/>
        <v>40226</v>
      </c>
      <c r="P157" s="101" t="s">
        <v>523</v>
      </c>
      <c r="Q157" s="101" t="s">
        <v>524</v>
      </c>
      <c r="R157" s="105"/>
      <c r="S157" s="105"/>
      <c r="T157" s="144"/>
      <c r="U157" s="105">
        <v>49900</v>
      </c>
      <c r="V157" s="105">
        <v>0</v>
      </c>
      <c r="W157" s="48">
        <v>43536</v>
      </c>
      <c r="X157" s="104">
        <f t="shared" si="36"/>
        <v>40226</v>
      </c>
      <c r="Y157" s="197">
        <f t="shared" si="41"/>
        <v>9692000</v>
      </c>
      <c r="Z157" s="143" t="str">
        <f t="shared" si="32"/>
        <v/>
      </c>
      <c r="AA157" s="143" t="str">
        <f t="shared" si="42"/>
        <v>买入第7期</v>
      </c>
      <c r="AB157" s="203"/>
      <c r="AC157" s="321">
        <v>0.152</v>
      </c>
      <c r="AD157" s="205">
        <v>0.152</v>
      </c>
      <c r="AE157" s="314"/>
      <c r="AF157" s="105"/>
    </row>
    <row r="158" spans="1:32" ht="24.95" customHeight="1" x14ac:dyDescent="0.15">
      <c r="A158" s="142" t="s">
        <v>248</v>
      </c>
      <c r="B158" s="142" t="s">
        <v>764</v>
      </c>
      <c r="C158" s="142" t="str">
        <f t="shared" si="35"/>
        <v>到期</v>
      </c>
      <c r="D158" s="103" t="s">
        <v>1843</v>
      </c>
      <c r="E158" s="142" t="s">
        <v>298</v>
      </c>
      <c r="F158" s="48">
        <v>43508</v>
      </c>
      <c r="G158" s="48">
        <v>43536</v>
      </c>
      <c r="H158" s="48" t="s">
        <v>1014</v>
      </c>
      <c r="I158" s="48" t="s">
        <v>222</v>
      </c>
      <c r="J158" s="142" t="s">
        <v>59</v>
      </c>
      <c r="K158" s="104">
        <v>200</v>
      </c>
      <c r="L158" s="104">
        <v>46800</v>
      </c>
      <c r="M158" s="105">
        <v>48460</v>
      </c>
      <c r="N158" s="104">
        <f t="shared" si="40"/>
        <v>201.13</v>
      </c>
      <c r="O158" s="104">
        <f t="shared" si="29"/>
        <v>40226</v>
      </c>
      <c r="P158" s="101" t="s">
        <v>523</v>
      </c>
      <c r="Q158" s="101" t="s">
        <v>524</v>
      </c>
      <c r="R158" s="105"/>
      <c r="S158" s="105"/>
      <c r="T158" s="144"/>
      <c r="U158" s="105">
        <v>49900</v>
      </c>
      <c r="V158" s="105">
        <v>0</v>
      </c>
      <c r="W158" s="48">
        <v>43536</v>
      </c>
      <c r="X158" s="104">
        <f t="shared" si="36"/>
        <v>40226</v>
      </c>
      <c r="Y158" s="197">
        <f t="shared" si="41"/>
        <v>9692000</v>
      </c>
      <c r="Z158" s="143" t="str">
        <f t="shared" si="32"/>
        <v/>
      </c>
      <c r="AA158" s="143" t="str">
        <f t="shared" si="42"/>
        <v>买入第7期</v>
      </c>
      <c r="AB158" s="203"/>
      <c r="AC158" s="321">
        <v>0.152</v>
      </c>
      <c r="AD158" s="205">
        <v>0.152</v>
      </c>
      <c r="AE158" s="314"/>
      <c r="AF158" s="105"/>
    </row>
    <row r="159" spans="1:32" ht="24.95" customHeight="1" x14ac:dyDescent="0.15">
      <c r="A159" s="142" t="s">
        <v>248</v>
      </c>
      <c r="B159" s="142" t="s">
        <v>764</v>
      </c>
      <c r="C159" s="142" t="str">
        <f t="shared" si="35"/>
        <v>到期</v>
      </c>
      <c r="D159" s="103" t="s">
        <v>1844</v>
      </c>
      <c r="E159" s="142" t="s">
        <v>298</v>
      </c>
      <c r="F159" s="48">
        <v>43508</v>
      </c>
      <c r="G159" s="48">
        <v>43536</v>
      </c>
      <c r="H159" s="48" t="s">
        <v>1014</v>
      </c>
      <c r="I159" s="48" t="s">
        <v>222</v>
      </c>
      <c r="J159" s="142" t="s">
        <v>56</v>
      </c>
      <c r="K159" s="104">
        <v>200</v>
      </c>
      <c r="L159" s="104">
        <v>50680</v>
      </c>
      <c r="M159" s="105">
        <v>48460</v>
      </c>
      <c r="N159" s="104">
        <f t="shared" si="40"/>
        <v>201.13</v>
      </c>
      <c r="O159" s="104">
        <f t="shared" si="29"/>
        <v>40226</v>
      </c>
      <c r="P159" s="101" t="s">
        <v>525</v>
      </c>
      <c r="Q159" s="101" t="s">
        <v>352</v>
      </c>
      <c r="R159" s="105"/>
      <c r="S159" s="105"/>
      <c r="T159" s="144"/>
      <c r="U159" s="105">
        <v>49900</v>
      </c>
      <c r="V159" s="105">
        <v>0</v>
      </c>
      <c r="W159" s="48">
        <v>43536</v>
      </c>
      <c r="X159" s="104">
        <f t="shared" si="36"/>
        <v>40226</v>
      </c>
      <c r="Y159" s="197">
        <f t="shared" si="41"/>
        <v>9692000</v>
      </c>
      <c r="Z159" s="143" t="str">
        <f t="shared" si="32"/>
        <v/>
      </c>
      <c r="AA159" s="143" t="str">
        <f t="shared" si="42"/>
        <v>买入第7期</v>
      </c>
      <c r="AB159" s="203"/>
      <c r="AC159" s="321">
        <v>0.152</v>
      </c>
      <c r="AD159" s="205">
        <v>0.152</v>
      </c>
      <c r="AE159" s="314"/>
      <c r="AF159" s="105"/>
    </row>
    <row r="160" spans="1:32" ht="24.95" customHeight="1" x14ac:dyDescent="0.15">
      <c r="A160" s="142" t="s">
        <v>248</v>
      </c>
      <c r="B160" s="142" t="s">
        <v>297</v>
      </c>
      <c r="C160" s="142" t="str">
        <f t="shared" si="35"/>
        <v>到期</v>
      </c>
      <c r="D160" s="103" t="s">
        <v>1844</v>
      </c>
      <c r="E160" s="142" t="s">
        <v>298</v>
      </c>
      <c r="F160" s="48">
        <v>43508</v>
      </c>
      <c r="G160" s="48">
        <v>43536</v>
      </c>
      <c r="H160" s="48" t="s">
        <v>1014</v>
      </c>
      <c r="I160" s="48" t="s">
        <v>222</v>
      </c>
      <c r="J160" s="142" t="s">
        <v>59</v>
      </c>
      <c r="K160" s="104">
        <v>200</v>
      </c>
      <c r="L160" s="104">
        <v>46800</v>
      </c>
      <c r="M160" s="105">
        <v>48460</v>
      </c>
      <c r="N160" s="104">
        <f t="shared" si="40"/>
        <v>201.13</v>
      </c>
      <c r="O160" s="104">
        <f t="shared" si="29"/>
        <v>40226</v>
      </c>
      <c r="P160" s="101" t="s">
        <v>525</v>
      </c>
      <c r="Q160" s="101" t="s">
        <v>352</v>
      </c>
      <c r="R160" s="105"/>
      <c r="S160" s="105"/>
      <c r="T160" s="144"/>
      <c r="U160" s="105">
        <v>49900</v>
      </c>
      <c r="V160" s="105">
        <v>0</v>
      </c>
      <c r="W160" s="48">
        <v>43536</v>
      </c>
      <c r="X160" s="104">
        <f t="shared" si="36"/>
        <v>40226</v>
      </c>
      <c r="Y160" s="197">
        <f t="shared" si="41"/>
        <v>9692000</v>
      </c>
      <c r="Z160" s="143" t="str">
        <f t="shared" si="32"/>
        <v/>
      </c>
      <c r="AA160" s="143" t="str">
        <f t="shared" si="42"/>
        <v>买入第7期</v>
      </c>
      <c r="AB160" s="203"/>
      <c r="AC160" s="321">
        <v>0.152</v>
      </c>
      <c r="AD160" s="205">
        <v>0.152</v>
      </c>
      <c r="AE160" s="314"/>
      <c r="AF160" s="105"/>
    </row>
    <row r="161" spans="1:32" ht="24.95" customHeight="1" x14ac:dyDescent="0.15">
      <c r="A161" s="142" t="s">
        <v>248</v>
      </c>
      <c r="B161" s="142" t="s">
        <v>297</v>
      </c>
      <c r="C161" s="142" t="str">
        <f t="shared" si="35"/>
        <v>到期</v>
      </c>
      <c r="D161" s="103" t="s">
        <v>1845</v>
      </c>
      <c r="E161" s="142" t="s">
        <v>298</v>
      </c>
      <c r="F161" s="48">
        <v>43508</v>
      </c>
      <c r="G161" s="48">
        <v>43536</v>
      </c>
      <c r="H161" s="48" t="s">
        <v>1014</v>
      </c>
      <c r="I161" s="48" t="s">
        <v>222</v>
      </c>
      <c r="J161" s="142" t="s">
        <v>56</v>
      </c>
      <c r="K161" s="104">
        <v>200</v>
      </c>
      <c r="L161" s="104">
        <v>50680</v>
      </c>
      <c r="M161" s="105">
        <v>48460</v>
      </c>
      <c r="N161" s="104">
        <f t="shared" si="40"/>
        <v>201.13</v>
      </c>
      <c r="O161" s="104">
        <f t="shared" si="29"/>
        <v>40226</v>
      </c>
      <c r="P161" s="101" t="s">
        <v>526</v>
      </c>
      <c r="Q161" s="101" t="s">
        <v>527</v>
      </c>
      <c r="R161" s="105"/>
      <c r="S161" s="105"/>
      <c r="T161" s="144"/>
      <c r="U161" s="105">
        <v>49900</v>
      </c>
      <c r="V161" s="105">
        <v>0</v>
      </c>
      <c r="W161" s="48">
        <v>43536</v>
      </c>
      <c r="X161" s="104">
        <f t="shared" si="36"/>
        <v>40226</v>
      </c>
      <c r="Y161" s="197">
        <f t="shared" si="41"/>
        <v>9692000</v>
      </c>
      <c r="Z161" s="143" t="str">
        <f t="shared" si="32"/>
        <v/>
      </c>
      <c r="AA161" s="143" t="str">
        <f t="shared" si="42"/>
        <v>买入第7期</v>
      </c>
      <c r="AB161" s="203"/>
      <c r="AC161" s="321">
        <v>0.152</v>
      </c>
      <c r="AD161" s="205">
        <v>0.152</v>
      </c>
      <c r="AE161" s="314"/>
      <c r="AF161" s="105"/>
    </row>
    <row r="162" spans="1:32" ht="24.95" customHeight="1" x14ac:dyDescent="0.15">
      <c r="A162" s="142" t="s">
        <v>894</v>
      </c>
      <c r="B162" s="142" t="s">
        <v>764</v>
      </c>
      <c r="C162" s="142" t="str">
        <f t="shared" si="35"/>
        <v>到期</v>
      </c>
      <c r="D162" s="103" t="s">
        <v>1845</v>
      </c>
      <c r="E162" s="142" t="s">
        <v>298</v>
      </c>
      <c r="F162" s="48">
        <v>43508</v>
      </c>
      <c r="G162" s="48">
        <v>43536</v>
      </c>
      <c r="H162" s="48" t="s">
        <v>1014</v>
      </c>
      <c r="I162" s="48" t="s">
        <v>222</v>
      </c>
      <c r="J162" s="142" t="s">
        <v>59</v>
      </c>
      <c r="K162" s="104">
        <v>200</v>
      </c>
      <c r="L162" s="104">
        <v>46800</v>
      </c>
      <c r="M162" s="105">
        <v>48460</v>
      </c>
      <c r="N162" s="104">
        <f t="shared" si="40"/>
        <v>201.13</v>
      </c>
      <c r="O162" s="104">
        <f t="shared" si="29"/>
        <v>40226</v>
      </c>
      <c r="P162" s="101" t="s">
        <v>526</v>
      </c>
      <c r="Q162" s="101" t="s">
        <v>527</v>
      </c>
      <c r="R162" s="105"/>
      <c r="S162" s="105"/>
      <c r="T162" s="144"/>
      <c r="U162" s="105">
        <v>49900</v>
      </c>
      <c r="V162" s="105">
        <v>0</v>
      </c>
      <c r="W162" s="48">
        <v>43536</v>
      </c>
      <c r="X162" s="104">
        <f t="shared" si="36"/>
        <v>40226</v>
      </c>
      <c r="Y162" s="197">
        <f t="shared" si="41"/>
        <v>9692000</v>
      </c>
      <c r="Z162" s="143" t="str">
        <f t="shared" si="32"/>
        <v/>
      </c>
      <c r="AA162" s="143" t="str">
        <f t="shared" si="42"/>
        <v>买入第7期</v>
      </c>
      <c r="AB162" s="203"/>
      <c r="AC162" s="321">
        <v>0.152</v>
      </c>
      <c r="AD162" s="205">
        <v>0.152</v>
      </c>
      <c r="AE162" s="314"/>
      <c r="AF162" s="105"/>
    </row>
    <row r="163" spans="1:32" ht="24.95" customHeight="1" x14ac:dyDescent="0.15">
      <c r="A163" s="142" t="s">
        <v>244</v>
      </c>
      <c r="B163" s="120" t="s">
        <v>295</v>
      </c>
      <c r="C163" s="142" t="str">
        <f t="shared" si="35"/>
        <v>到期</v>
      </c>
      <c r="D163" s="123" t="s">
        <v>1846</v>
      </c>
      <c r="E163" s="142" t="s">
        <v>137</v>
      </c>
      <c r="F163" s="144">
        <v>43510</v>
      </c>
      <c r="G163" s="144">
        <v>43539</v>
      </c>
      <c r="H163" s="143" t="s">
        <v>359</v>
      </c>
      <c r="I163" s="143" t="s">
        <v>241</v>
      </c>
      <c r="J163" s="142" t="s">
        <v>22</v>
      </c>
      <c r="K163" s="105">
        <v>10000</v>
      </c>
      <c r="L163" s="105">
        <v>686.4</v>
      </c>
      <c r="M163" s="105">
        <v>624</v>
      </c>
      <c r="N163" s="105">
        <v>5.25</v>
      </c>
      <c r="O163" s="105">
        <f t="shared" si="29"/>
        <v>52500</v>
      </c>
      <c r="P163" s="101" t="s">
        <v>418</v>
      </c>
      <c r="Q163" s="101" t="s">
        <v>824</v>
      </c>
      <c r="R163" s="105"/>
      <c r="S163" s="105"/>
      <c r="T163" s="144"/>
      <c r="U163" s="105">
        <v>627</v>
      </c>
      <c r="V163" s="105">
        <v>0</v>
      </c>
      <c r="W163" s="144">
        <f>G163</f>
        <v>43539</v>
      </c>
      <c r="X163" s="104">
        <f t="shared" si="36"/>
        <v>-52500</v>
      </c>
      <c r="Y163" s="197">
        <f>M163*K163</f>
        <v>6240000</v>
      </c>
      <c r="Z163" s="143" t="str">
        <f t="shared" si="32"/>
        <v/>
      </c>
      <c r="AA163" s="143" t="str">
        <f>IF(I163="买入","卖出","买入")</f>
        <v>卖出</v>
      </c>
      <c r="AB163" s="203"/>
      <c r="AC163" s="321">
        <v>0.32300000000000001</v>
      </c>
      <c r="AD163" s="319"/>
      <c r="AE163" s="314"/>
      <c r="AF163" s="105"/>
    </row>
    <row r="164" spans="1:32" ht="24.95" customHeight="1" x14ac:dyDescent="0.15">
      <c r="A164" s="142" t="s">
        <v>244</v>
      </c>
      <c r="B164" s="120" t="s">
        <v>295</v>
      </c>
      <c r="C164" s="142" t="str">
        <f t="shared" si="35"/>
        <v>到期</v>
      </c>
      <c r="D164" s="123" t="s">
        <v>1846</v>
      </c>
      <c r="E164" s="142" t="s">
        <v>137</v>
      </c>
      <c r="F164" s="144">
        <v>43510</v>
      </c>
      <c r="G164" s="144">
        <v>43539</v>
      </c>
      <c r="H164" s="143" t="s">
        <v>359</v>
      </c>
      <c r="I164" s="143" t="s">
        <v>241</v>
      </c>
      <c r="J164" s="142" t="s">
        <v>25</v>
      </c>
      <c r="K164" s="105">
        <v>10000</v>
      </c>
      <c r="L164" s="105">
        <v>574.08000000000004</v>
      </c>
      <c r="M164" s="105">
        <v>624</v>
      </c>
      <c r="N164" s="105">
        <v>5.86</v>
      </c>
      <c r="O164" s="105">
        <f t="shared" si="29"/>
        <v>58600</v>
      </c>
      <c r="P164" s="101" t="s">
        <v>293</v>
      </c>
      <c r="Q164" s="101" t="s">
        <v>824</v>
      </c>
      <c r="R164" s="105"/>
      <c r="S164" s="105"/>
      <c r="T164" s="144"/>
      <c r="U164" s="105">
        <v>627</v>
      </c>
      <c r="V164" s="105">
        <v>0</v>
      </c>
      <c r="W164" s="144">
        <f>G164</f>
        <v>43539</v>
      </c>
      <c r="X164" s="104">
        <f t="shared" si="36"/>
        <v>-58600</v>
      </c>
      <c r="Y164" s="197">
        <f t="shared" ref="Y164:Y227" si="43">M164*K164</f>
        <v>6240000</v>
      </c>
      <c r="Z164" s="143" t="str">
        <f t="shared" si="32"/>
        <v/>
      </c>
      <c r="AA164" s="143" t="str">
        <f>IF(I164="买入","卖出","买入")</f>
        <v>卖出</v>
      </c>
      <c r="AB164" s="203"/>
      <c r="AC164" s="321">
        <v>0.32300000000000001</v>
      </c>
      <c r="AD164" s="319"/>
      <c r="AE164" s="314"/>
      <c r="AF164" s="105"/>
    </row>
    <row r="165" spans="1:32" ht="24.95" customHeight="1" x14ac:dyDescent="0.15">
      <c r="A165" s="142" t="s">
        <v>244</v>
      </c>
      <c r="B165" s="142" t="s">
        <v>295</v>
      </c>
      <c r="C165" s="142" t="str">
        <f t="shared" si="35"/>
        <v>到期</v>
      </c>
      <c r="D165" s="123" t="s">
        <v>266</v>
      </c>
      <c r="E165" s="142" t="s">
        <v>137</v>
      </c>
      <c r="F165" s="144">
        <v>43514</v>
      </c>
      <c r="G165" s="144">
        <v>43525</v>
      </c>
      <c r="H165" s="143" t="s">
        <v>287</v>
      </c>
      <c r="I165" s="143" t="s">
        <v>38</v>
      </c>
      <c r="J165" s="142" t="s">
        <v>59</v>
      </c>
      <c r="K165" s="105">
        <v>1200</v>
      </c>
      <c r="L165" s="105">
        <v>3158</v>
      </c>
      <c r="M165" s="105">
        <v>3222</v>
      </c>
      <c r="N165" s="105">
        <v>35.159999999999997</v>
      </c>
      <c r="O165" s="105">
        <f t="shared" ref="O165:O228" si="44">N165*K165</f>
        <v>42191.999999999993</v>
      </c>
      <c r="P165" s="101" t="s">
        <v>299</v>
      </c>
      <c r="Q165" s="101" t="s">
        <v>694</v>
      </c>
      <c r="R165" s="105"/>
      <c r="S165" s="105"/>
      <c r="T165" s="144"/>
      <c r="U165" s="105">
        <v>3436</v>
      </c>
      <c r="V165" s="105">
        <v>0</v>
      </c>
      <c r="W165" s="48">
        <f>G165</f>
        <v>43525</v>
      </c>
      <c r="X165" s="104">
        <f t="shared" si="36"/>
        <v>-42191.999999999993</v>
      </c>
      <c r="Y165" s="197">
        <f t="shared" si="43"/>
        <v>3866400</v>
      </c>
      <c r="Z165" s="143" t="str">
        <f t="shared" si="32"/>
        <v/>
      </c>
      <c r="AA165" s="143" t="str">
        <f>IF(I165="买入","卖出","买入")</f>
        <v>卖出</v>
      </c>
      <c r="AB165" s="203"/>
      <c r="AC165" s="321">
        <v>0.255</v>
      </c>
      <c r="AD165" s="319"/>
      <c r="AE165" s="314"/>
      <c r="AF165" s="105"/>
    </row>
    <row r="166" spans="1:32" ht="24.95" customHeight="1" x14ac:dyDescent="0.15">
      <c r="A166" s="142" t="s">
        <v>248</v>
      </c>
      <c r="B166" s="142" t="s">
        <v>764</v>
      </c>
      <c r="C166" s="142" t="str">
        <f t="shared" si="35"/>
        <v>到期</v>
      </c>
      <c r="D166" s="103" t="s">
        <v>1841</v>
      </c>
      <c r="E166" s="142" t="s">
        <v>298</v>
      </c>
      <c r="F166" s="48">
        <v>43515</v>
      </c>
      <c r="G166" s="48">
        <v>43543</v>
      </c>
      <c r="H166" s="48" t="s">
        <v>1015</v>
      </c>
      <c r="I166" s="48" t="s">
        <v>222</v>
      </c>
      <c r="J166" s="142" t="s">
        <v>56</v>
      </c>
      <c r="K166" s="104">
        <v>200</v>
      </c>
      <c r="L166" s="104">
        <v>51170</v>
      </c>
      <c r="M166" s="105">
        <v>49180</v>
      </c>
      <c r="N166" s="104">
        <f t="shared" ref="N166:N175" si="45">408.23/2</f>
        <v>204.11500000000001</v>
      </c>
      <c r="O166" s="104">
        <f t="shared" si="44"/>
        <v>40823</v>
      </c>
      <c r="P166" s="101" t="s">
        <v>302</v>
      </c>
      <c r="Q166" s="101" t="s">
        <v>366</v>
      </c>
      <c r="R166" s="105"/>
      <c r="S166" s="105"/>
      <c r="T166" s="144"/>
      <c r="U166" s="105">
        <v>49330</v>
      </c>
      <c r="V166" s="105">
        <v>0</v>
      </c>
      <c r="W166" s="48">
        <v>43543</v>
      </c>
      <c r="X166" s="104">
        <f t="shared" si="36"/>
        <v>40823</v>
      </c>
      <c r="Y166" s="197">
        <f t="shared" si="43"/>
        <v>9836000</v>
      </c>
      <c r="Z166" s="143" t="str">
        <f t="shared" si="32"/>
        <v/>
      </c>
      <c r="AA166" s="143" t="str">
        <f t="shared" ref="AA166:AA175" si="46">IF(I166="买入","卖出","买入第8期")</f>
        <v>买入第8期</v>
      </c>
      <c r="AB166" s="203"/>
      <c r="AC166" s="321">
        <v>0.152</v>
      </c>
      <c r="AD166" s="205">
        <v>0.152</v>
      </c>
      <c r="AE166" s="314"/>
      <c r="AF166" s="105"/>
    </row>
    <row r="167" spans="1:32" ht="24.95" customHeight="1" x14ac:dyDescent="0.15">
      <c r="A167" s="142" t="s">
        <v>893</v>
      </c>
      <c r="B167" s="142" t="s">
        <v>297</v>
      </c>
      <c r="C167" s="142" t="str">
        <f t="shared" si="35"/>
        <v>到期</v>
      </c>
      <c r="D167" s="103" t="s">
        <v>1841</v>
      </c>
      <c r="E167" s="142" t="s">
        <v>298</v>
      </c>
      <c r="F167" s="48">
        <v>43515</v>
      </c>
      <c r="G167" s="48">
        <v>43543</v>
      </c>
      <c r="H167" s="48" t="s">
        <v>1015</v>
      </c>
      <c r="I167" s="48" t="s">
        <v>222</v>
      </c>
      <c r="J167" s="142" t="s">
        <v>59</v>
      </c>
      <c r="K167" s="104">
        <v>200</v>
      </c>
      <c r="L167" s="104">
        <v>47240</v>
      </c>
      <c r="M167" s="105">
        <v>49180</v>
      </c>
      <c r="N167" s="104">
        <f t="shared" si="45"/>
        <v>204.11500000000001</v>
      </c>
      <c r="O167" s="104">
        <f t="shared" si="44"/>
        <v>40823</v>
      </c>
      <c r="P167" s="101" t="s">
        <v>528</v>
      </c>
      <c r="Q167" s="101" t="s">
        <v>366</v>
      </c>
      <c r="R167" s="105"/>
      <c r="S167" s="105"/>
      <c r="T167" s="144"/>
      <c r="U167" s="105">
        <v>49330</v>
      </c>
      <c r="V167" s="105">
        <v>0</v>
      </c>
      <c r="W167" s="48">
        <v>43543</v>
      </c>
      <c r="X167" s="104">
        <f t="shared" si="36"/>
        <v>40823</v>
      </c>
      <c r="Y167" s="197">
        <f t="shared" si="43"/>
        <v>9836000</v>
      </c>
      <c r="Z167" s="143"/>
      <c r="AA167" s="143" t="str">
        <f t="shared" si="46"/>
        <v>买入第8期</v>
      </c>
      <c r="AB167" s="203"/>
      <c r="AC167" s="321">
        <v>0.152</v>
      </c>
      <c r="AD167" s="205">
        <v>0.152</v>
      </c>
      <c r="AE167" s="314"/>
      <c r="AF167" s="105"/>
    </row>
    <row r="168" spans="1:32" ht="24.95" customHeight="1" x14ac:dyDescent="0.15">
      <c r="A168" s="142" t="s">
        <v>893</v>
      </c>
      <c r="B168" s="142" t="s">
        <v>764</v>
      </c>
      <c r="C168" s="142" t="str">
        <f t="shared" si="35"/>
        <v>到期</v>
      </c>
      <c r="D168" s="103" t="s">
        <v>1842</v>
      </c>
      <c r="E168" s="142" t="s">
        <v>298</v>
      </c>
      <c r="F168" s="48">
        <v>43515</v>
      </c>
      <c r="G168" s="48">
        <v>43543</v>
      </c>
      <c r="H168" s="48" t="s">
        <v>1015</v>
      </c>
      <c r="I168" s="48" t="s">
        <v>222</v>
      </c>
      <c r="J168" s="142" t="s">
        <v>56</v>
      </c>
      <c r="K168" s="104">
        <v>200</v>
      </c>
      <c r="L168" s="104">
        <v>51170</v>
      </c>
      <c r="M168" s="105">
        <v>49180</v>
      </c>
      <c r="N168" s="104">
        <f t="shared" si="45"/>
        <v>204.11500000000001</v>
      </c>
      <c r="O168" s="104">
        <f t="shared" si="44"/>
        <v>40823</v>
      </c>
      <c r="P168" s="101" t="s">
        <v>529</v>
      </c>
      <c r="Q168" s="101" t="s">
        <v>530</v>
      </c>
      <c r="R168" s="105"/>
      <c r="S168" s="105"/>
      <c r="T168" s="144"/>
      <c r="U168" s="105">
        <v>49330</v>
      </c>
      <c r="V168" s="105">
        <v>0</v>
      </c>
      <c r="W168" s="48">
        <v>43543</v>
      </c>
      <c r="X168" s="104">
        <f t="shared" si="36"/>
        <v>40823</v>
      </c>
      <c r="Y168" s="197">
        <f t="shared" si="43"/>
        <v>9836000</v>
      </c>
      <c r="Z168" s="143"/>
      <c r="AA168" s="143" t="str">
        <f t="shared" si="46"/>
        <v>买入第8期</v>
      </c>
      <c r="AB168" s="203"/>
      <c r="AC168" s="321">
        <v>0.152</v>
      </c>
      <c r="AD168" s="205">
        <v>0.152</v>
      </c>
      <c r="AE168" s="314"/>
      <c r="AF168" s="105"/>
    </row>
    <row r="169" spans="1:32" ht="24.95" customHeight="1" x14ac:dyDescent="0.15">
      <c r="A169" s="142" t="s">
        <v>248</v>
      </c>
      <c r="B169" s="142" t="s">
        <v>764</v>
      </c>
      <c r="C169" s="142" t="str">
        <f t="shared" si="35"/>
        <v>到期</v>
      </c>
      <c r="D169" s="103" t="s">
        <v>1842</v>
      </c>
      <c r="E169" s="142" t="s">
        <v>298</v>
      </c>
      <c r="F169" s="48">
        <v>43515</v>
      </c>
      <c r="G169" s="48">
        <v>43543</v>
      </c>
      <c r="H169" s="48" t="s">
        <v>1015</v>
      </c>
      <c r="I169" s="48" t="s">
        <v>222</v>
      </c>
      <c r="J169" s="142" t="s">
        <v>59</v>
      </c>
      <c r="K169" s="104">
        <v>200</v>
      </c>
      <c r="L169" s="104">
        <v>47240</v>
      </c>
      <c r="M169" s="105">
        <v>49180</v>
      </c>
      <c r="N169" s="104">
        <f t="shared" si="45"/>
        <v>204.11500000000001</v>
      </c>
      <c r="O169" s="104">
        <f t="shared" si="44"/>
        <v>40823</v>
      </c>
      <c r="P169" s="101" t="s">
        <v>529</v>
      </c>
      <c r="Q169" s="101" t="s">
        <v>530</v>
      </c>
      <c r="R169" s="105"/>
      <c r="S169" s="105"/>
      <c r="T169" s="144"/>
      <c r="U169" s="105">
        <v>49330</v>
      </c>
      <c r="V169" s="105">
        <v>0</v>
      </c>
      <c r="W169" s="48">
        <v>43543</v>
      </c>
      <c r="X169" s="104">
        <f t="shared" si="36"/>
        <v>40823</v>
      </c>
      <c r="Y169" s="197">
        <f t="shared" si="43"/>
        <v>9836000</v>
      </c>
      <c r="Z169" s="143"/>
      <c r="AA169" s="143" t="str">
        <f t="shared" si="46"/>
        <v>买入第8期</v>
      </c>
      <c r="AB169" s="203"/>
      <c r="AC169" s="321">
        <v>0.152</v>
      </c>
      <c r="AD169" s="205">
        <v>0.152</v>
      </c>
      <c r="AE169" s="314"/>
      <c r="AF169" s="105"/>
    </row>
    <row r="170" spans="1:32" s="110" customFormat="1" ht="24.95" customHeight="1" x14ac:dyDescent="0.15">
      <c r="A170" s="142" t="s">
        <v>894</v>
      </c>
      <c r="B170" s="142" t="s">
        <v>764</v>
      </c>
      <c r="C170" s="142" t="str">
        <f t="shared" si="35"/>
        <v>到期</v>
      </c>
      <c r="D170" s="103" t="s">
        <v>1843</v>
      </c>
      <c r="E170" s="142" t="s">
        <v>298</v>
      </c>
      <c r="F170" s="48">
        <v>43515</v>
      </c>
      <c r="G170" s="48">
        <v>43543</v>
      </c>
      <c r="H170" s="48" t="s">
        <v>1015</v>
      </c>
      <c r="I170" s="48" t="s">
        <v>222</v>
      </c>
      <c r="J170" s="142" t="s">
        <v>56</v>
      </c>
      <c r="K170" s="104">
        <v>200</v>
      </c>
      <c r="L170" s="104">
        <v>51170</v>
      </c>
      <c r="M170" s="105">
        <v>49180</v>
      </c>
      <c r="N170" s="104">
        <f t="shared" si="45"/>
        <v>204.11500000000001</v>
      </c>
      <c r="O170" s="104">
        <f t="shared" si="44"/>
        <v>40823</v>
      </c>
      <c r="P170" s="101" t="s">
        <v>531</v>
      </c>
      <c r="Q170" s="101" t="s">
        <v>532</v>
      </c>
      <c r="R170" s="105"/>
      <c r="S170" s="105"/>
      <c r="T170" s="144"/>
      <c r="U170" s="105">
        <v>49330</v>
      </c>
      <c r="V170" s="105">
        <v>0</v>
      </c>
      <c r="W170" s="48">
        <v>43543</v>
      </c>
      <c r="X170" s="104">
        <f t="shared" si="36"/>
        <v>40823</v>
      </c>
      <c r="Y170" s="197">
        <f t="shared" si="43"/>
        <v>9836000</v>
      </c>
      <c r="Z170" s="143"/>
      <c r="AA170" s="143" t="str">
        <f t="shared" si="46"/>
        <v>买入第8期</v>
      </c>
      <c r="AB170" s="203"/>
      <c r="AC170" s="321">
        <v>0.152</v>
      </c>
      <c r="AD170" s="205">
        <v>0.152</v>
      </c>
      <c r="AE170" s="314"/>
      <c r="AF170" s="105"/>
    </row>
    <row r="171" spans="1:32" s="110" customFormat="1" ht="24.95" customHeight="1" x14ac:dyDescent="0.15">
      <c r="A171" s="142" t="s">
        <v>894</v>
      </c>
      <c r="B171" s="142" t="s">
        <v>764</v>
      </c>
      <c r="C171" s="142" t="str">
        <f t="shared" si="35"/>
        <v>到期</v>
      </c>
      <c r="D171" s="103" t="s">
        <v>1843</v>
      </c>
      <c r="E171" s="142" t="s">
        <v>298</v>
      </c>
      <c r="F171" s="48">
        <v>43515</v>
      </c>
      <c r="G171" s="48">
        <v>43543</v>
      </c>
      <c r="H171" s="48" t="s">
        <v>1015</v>
      </c>
      <c r="I171" s="48" t="s">
        <v>222</v>
      </c>
      <c r="J171" s="142" t="s">
        <v>59</v>
      </c>
      <c r="K171" s="104">
        <v>200</v>
      </c>
      <c r="L171" s="104">
        <v>47240</v>
      </c>
      <c r="M171" s="105">
        <v>49180</v>
      </c>
      <c r="N171" s="104">
        <f t="shared" si="45"/>
        <v>204.11500000000001</v>
      </c>
      <c r="O171" s="104">
        <f t="shared" si="44"/>
        <v>40823</v>
      </c>
      <c r="P171" s="101" t="s">
        <v>533</v>
      </c>
      <c r="Q171" s="101" t="s">
        <v>532</v>
      </c>
      <c r="R171" s="105"/>
      <c r="S171" s="105"/>
      <c r="T171" s="144"/>
      <c r="U171" s="105">
        <v>49330</v>
      </c>
      <c r="V171" s="105">
        <v>0</v>
      </c>
      <c r="W171" s="48">
        <v>43543</v>
      </c>
      <c r="X171" s="104">
        <f t="shared" si="36"/>
        <v>40823</v>
      </c>
      <c r="Y171" s="197">
        <f t="shared" si="43"/>
        <v>9836000</v>
      </c>
      <c r="Z171" s="143"/>
      <c r="AA171" s="143" t="str">
        <f t="shared" si="46"/>
        <v>买入第8期</v>
      </c>
      <c r="AB171" s="203"/>
      <c r="AC171" s="321">
        <v>0.152</v>
      </c>
      <c r="AD171" s="205">
        <v>0.152</v>
      </c>
      <c r="AE171" s="314"/>
      <c r="AF171" s="105"/>
    </row>
    <row r="172" spans="1:32" s="110" customFormat="1" ht="24.95" customHeight="1" x14ac:dyDescent="0.15">
      <c r="A172" s="142" t="s">
        <v>248</v>
      </c>
      <c r="B172" s="142" t="s">
        <v>297</v>
      </c>
      <c r="C172" s="142" t="str">
        <f t="shared" si="35"/>
        <v>到期</v>
      </c>
      <c r="D172" s="103" t="s">
        <v>1844</v>
      </c>
      <c r="E172" s="142" t="s">
        <v>298</v>
      </c>
      <c r="F172" s="48">
        <v>43515</v>
      </c>
      <c r="G172" s="48">
        <v>43543</v>
      </c>
      <c r="H172" s="48" t="s">
        <v>1015</v>
      </c>
      <c r="I172" s="48" t="s">
        <v>222</v>
      </c>
      <c r="J172" s="142" t="s">
        <v>56</v>
      </c>
      <c r="K172" s="104">
        <v>200</v>
      </c>
      <c r="L172" s="104">
        <v>51170</v>
      </c>
      <c r="M172" s="105">
        <v>49180</v>
      </c>
      <c r="N172" s="104">
        <f t="shared" si="45"/>
        <v>204.11500000000001</v>
      </c>
      <c r="O172" s="104">
        <f t="shared" si="44"/>
        <v>40823</v>
      </c>
      <c r="P172" s="101" t="s">
        <v>534</v>
      </c>
      <c r="Q172" s="101" t="s">
        <v>535</v>
      </c>
      <c r="R172" s="105"/>
      <c r="S172" s="105"/>
      <c r="T172" s="144"/>
      <c r="U172" s="105">
        <v>49330</v>
      </c>
      <c r="V172" s="105">
        <v>0</v>
      </c>
      <c r="W172" s="48">
        <v>43543</v>
      </c>
      <c r="X172" s="104">
        <f t="shared" si="36"/>
        <v>40823</v>
      </c>
      <c r="Y172" s="197">
        <f t="shared" si="43"/>
        <v>9836000</v>
      </c>
      <c r="Z172" s="143"/>
      <c r="AA172" s="143" t="str">
        <f t="shared" si="46"/>
        <v>买入第8期</v>
      </c>
      <c r="AB172" s="203"/>
      <c r="AC172" s="321">
        <v>0.152</v>
      </c>
      <c r="AD172" s="205">
        <v>0.152</v>
      </c>
      <c r="AE172" s="314"/>
      <c r="AF172" s="105"/>
    </row>
    <row r="173" spans="1:32" s="110" customFormat="1" ht="24.95" customHeight="1" x14ac:dyDescent="0.15">
      <c r="A173" s="142" t="s">
        <v>894</v>
      </c>
      <c r="B173" s="142" t="s">
        <v>297</v>
      </c>
      <c r="C173" s="142" t="str">
        <f t="shared" si="35"/>
        <v>到期</v>
      </c>
      <c r="D173" s="103" t="s">
        <v>1844</v>
      </c>
      <c r="E173" s="142" t="s">
        <v>298</v>
      </c>
      <c r="F173" s="48">
        <v>43515</v>
      </c>
      <c r="G173" s="48">
        <v>43543</v>
      </c>
      <c r="H173" s="48" t="s">
        <v>1015</v>
      </c>
      <c r="I173" s="48" t="s">
        <v>222</v>
      </c>
      <c r="J173" s="142" t="s">
        <v>59</v>
      </c>
      <c r="K173" s="104">
        <v>200</v>
      </c>
      <c r="L173" s="104">
        <v>47240</v>
      </c>
      <c r="M173" s="105">
        <v>49180</v>
      </c>
      <c r="N173" s="104">
        <f t="shared" si="45"/>
        <v>204.11500000000001</v>
      </c>
      <c r="O173" s="104">
        <f t="shared" si="44"/>
        <v>40823</v>
      </c>
      <c r="P173" s="101" t="s">
        <v>536</v>
      </c>
      <c r="Q173" s="101" t="s">
        <v>535</v>
      </c>
      <c r="R173" s="105"/>
      <c r="S173" s="105"/>
      <c r="T173" s="144"/>
      <c r="U173" s="105">
        <v>49330</v>
      </c>
      <c r="V173" s="105">
        <v>0</v>
      </c>
      <c r="W173" s="48">
        <v>43543</v>
      </c>
      <c r="X173" s="104">
        <f t="shared" si="36"/>
        <v>40823</v>
      </c>
      <c r="Y173" s="197">
        <f t="shared" si="43"/>
        <v>9836000</v>
      </c>
      <c r="Z173" s="143"/>
      <c r="AA173" s="143" t="str">
        <f t="shared" si="46"/>
        <v>买入第8期</v>
      </c>
      <c r="AB173" s="203"/>
      <c r="AC173" s="321">
        <v>0.152</v>
      </c>
      <c r="AD173" s="205">
        <v>0.152</v>
      </c>
      <c r="AE173" s="314"/>
      <c r="AF173" s="105"/>
    </row>
    <row r="174" spans="1:32" s="110" customFormat="1" ht="24.95" customHeight="1" x14ac:dyDescent="0.15">
      <c r="A174" s="142" t="s">
        <v>248</v>
      </c>
      <c r="B174" s="142" t="s">
        <v>764</v>
      </c>
      <c r="C174" s="142" t="str">
        <f t="shared" si="35"/>
        <v>到期</v>
      </c>
      <c r="D174" s="103" t="s">
        <v>1845</v>
      </c>
      <c r="E174" s="142" t="s">
        <v>298</v>
      </c>
      <c r="F174" s="48">
        <v>43515</v>
      </c>
      <c r="G174" s="48">
        <v>43543</v>
      </c>
      <c r="H174" s="48" t="s">
        <v>1015</v>
      </c>
      <c r="I174" s="48" t="s">
        <v>222</v>
      </c>
      <c r="J174" s="142" t="s">
        <v>56</v>
      </c>
      <c r="K174" s="104">
        <v>200</v>
      </c>
      <c r="L174" s="104">
        <v>51170</v>
      </c>
      <c r="M174" s="105">
        <v>49180</v>
      </c>
      <c r="N174" s="104">
        <f t="shared" si="45"/>
        <v>204.11500000000001</v>
      </c>
      <c r="O174" s="104">
        <f t="shared" si="44"/>
        <v>40823</v>
      </c>
      <c r="P174" s="101" t="s">
        <v>537</v>
      </c>
      <c r="Q174" s="101" t="s">
        <v>538</v>
      </c>
      <c r="R174" s="105"/>
      <c r="S174" s="105"/>
      <c r="T174" s="144"/>
      <c r="U174" s="105">
        <v>49330</v>
      </c>
      <c r="V174" s="105">
        <v>0</v>
      </c>
      <c r="W174" s="48">
        <v>43543</v>
      </c>
      <c r="X174" s="104">
        <f t="shared" si="36"/>
        <v>40823</v>
      </c>
      <c r="Y174" s="197">
        <f t="shared" si="43"/>
        <v>9836000</v>
      </c>
      <c r="Z174" s="143"/>
      <c r="AA174" s="143" t="str">
        <f t="shared" si="46"/>
        <v>买入第8期</v>
      </c>
      <c r="AB174" s="203"/>
      <c r="AC174" s="321">
        <v>0.152</v>
      </c>
      <c r="AD174" s="205">
        <v>0.152</v>
      </c>
      <c r="AE174" s="314"/>
      <c r="AF174" s="105"/>
    </row>
    <row r="175" spans="1:32" s="110" customFormat="1" ht="24.95" customHeight="1" x14ac:dyDescent="0.15">
      <c r="A175" s="142" t="s">
        <v>894</v>
      </c>
      <c r="B175" s="142" t="s">
        <v>764</v>
      </c>
      <c r="C175" s="142" t="str">
        <f t="shared" si="35"/>
        <v>到期</v>
      </c>
      <c r="D175" s="103" t="s">
        <v>1845</v>
      </c>
      <c r="E175" s="142" t="s">
        <v>298</v>
      </c>
      <c r="F175" s="48">
        <v>43515</v>
      </c>
      <c r="G175" s="48">
        <v>43543</v>
      </c>
      <c r="H175" s="48" t="s">
        <v>1015</v>
      </c>
      <c r="I175" s="48" t="s">
        <v>222</v>
      </c>
      <c r="J175" s="142" t="s">
        <v>59</v>
      </c>
      <c r="K175" s="104">
        <v>200</v>
      </c>
      <c r="L175" s="104">
        <v>47240</v>
      </c>
      <c r="M175" s="105">
        <v>49180</v>
      </c>
      <c r="N175" s="104">
        <f t="shared" si="45"/>
        <v>204.11500000000001</v>
      </c>
      <c r="O175" s="104">
        <f t="shared" si="44"/>
        <v>40823</v>
      </c>
      <c r="P175" s="101" t="s">
        <v>537</v>
      </c>
      <c r="Q175" s="101" t="s">
        <v>538</v>
      </c>
      <c r="R175" s="105"/>
      <c r="S175" s="105"/>
      <c r="T175" s="144"/>
      <c r="U175" s="105">
        <v>49330</v>
      </c>
      <c r="V175" s="105">
        <v>0</v>
      </c>
      <c r="W175" s="48">
        <v>43543</v>
      </c>
      <c r="X175" s="104">
        <f t="shared" si="36"/>
        <v>40823</v>
      </c>
      <c r="Y175" s="197">
        <f t="shared" si="43"/>
        <v>9836000</v>
      </c>
      <c r="Z175" s="143"/>
      <c r="AA175" s="143" t="str">
        <f t="shared" si="46"/>
        <v>买入第8期</v>
      </c>
      <c r="AB175" s="203"/>
      <c r="AC175" s="321">
        <v>0.152</v>
      </c>
      <c r="AD175" s="205">
        <v>0.152</v>
      </c>
      <c r="AE175" s="314"/>
      <c r="AF175" s="105"/>
    </row>
    <row r="176" spans="1:32" ht="24.95" customHeight="1" x14ac:dyDescent="0.15">
      <c r="A176" s="142" t="s">
        <v>244</v>
      </c>
      <c r="B176" s="143" t="s">
        <v>295</v>
      </c>
      <c r="C176" s="142" t="str">
        <f t="shared" si="35"/>
        <v>到期</v>
      </c>
      <c r="D176" s="123" t="s">
        <v>1846</v>
      </c>
      <c r="E176" s="142" t="s">
        <v>137</v>
      </c>
      <c r="F176" s="144">
        <v>43515</v>
      </c>
      <c r="G176" s="144">
        <v>43546</v>
      </c>
      <c r="H176" s="143" t="s">
        <v>319</v>
      </c>
      <c r="I176" s="143" t="s">
        <v>241</v>
      </c>
      <c r="J176" s="142" t="s">
        <v>22</v>
      </c>
      <c r="K176" s="105">
        <v>1500</v>
      </c>
      <c r="L176" s="105">
        <v>3893.76</v>
      </c>
      <c r="M176" s="105">
        <v>3744</v>
      </c>
      <c r="N176" s="105">
        <v>10.5</v>
      </c>
      <c r="O176" s="105">
        <f t="shared" si="44"/>
        <v>15750</v>
      </c>
      <c r="P176" s="101" t="s">
        <v>419</v>
      </c>
      <c r="Q176" s="101" t="s">
        <v>377</v>
      </c>
      <c r="R176" s="105"/>
      <c r="S176" s="105"/>
      <c r="T176" s="144"/>
      <c r="U176" s="105">
        <v>3641</v>
      </c>
      <c r="V176" s="105">
        <v>0</v>
      </c>
      <c r="W176" s="144">
        <f>G176</f>
        <v>43546</v>
      </c>
      <c r="X176" s="104">
        <f t="shared" si="36"/>
        <v>-15750</v>
      </c>
      <c r="Y176" s="197">
        <f t="shared" si="43"/>
        <v>5616000</v>
      </c>
      <c r="Z176" s="143" t="str">
        <f t="shared" ref="Z176:Z188" si="47">IF(C176="存续",D176&amp;H176&amp;"-"&amp;AA176,"")</f>
        <v/>
      </c>
      <c r="AA176" s="143" t="str">
        <f t="shared" ref="AA176:AA187" si="48">IF(I176="买入","卖出","买入")</f>
        <v>卖出</v>
      </c>
      <c r="AB176" s="203"/>
      <c r="AC176" s="321">
        <v>0.121</v>
      </c>
      <c r="AD176" s="319"/>
      <c r="AE176" s="314"/>
      <c r="AF176" s="105"/>
    </row>
    <row r="177" spans="1:32" ht="24.95" customHeight="1" x14ac:dyDescent="0.15">
      <c r="A177" s="142" t="s">
        <v>244</v>
      </c>
      <c r="B177" s="143" t="s">
        <v>295</v>
      </c>
      <c r="C177" s="142" t="str">
        <f t="shared" si="35"/>
        <v>到期</v>
      </c>
      <c r="D177" s="123" t="s">
        <v>1846</v>
      </c>
      <c r="E177" s="142" t="s">
        <v>137</v>
      </c>
      <c r="F177" s="144">
        <v>43515</v>
      </c>
      <c r="G177" s="144">
        <v>43546</v>
      </c>
      <c r="H177" s="143" t="s">
        <v>319</v>
      </c>
      <c r="I177" s="143" t="s">
        <v>241</v>
      </c>
      <c r="J177" s="142" t="s">
        <v>25</v>
      </c>
      <c r="K177" s="105">
        <v>1500</v>
      </c>
      <c r="L177" s="105">
        <v>3594.24</v>
      </c>
      <c r="M177" s="105">
        <v>3744</v>
      </c>
      <c r="N177" s="105">
        <v>9.44</v>
      </c>
      <c r="O177" s="105">
        <f t="shared" si="44"/>
        <v>14160</v>
      </c>
      <c r="P177" s="101" t="s">
        <v>420</v>
      </c>
      <c r="Q177" s="101" t="s">
        <v>423</v>
      </c>
      <c r="R177" s="105"/>
      <c r="S177" s="105"/>
      <c r="T177" s="144"/>
      <c r="U177" s="105">
        <v>3641</v>
      </c>
      <c r="V177" s="105">
        <v>0</v>
      </c>
      <c r="W177" s="144">
        <f>G177</f>
        <v>43546</v>
      </c>
      <c r="X177" s="104">
        <f t="shared" si="36"/>
        <v>-14160</v>
      </c>
      <c r="Y177" s="197">
        <f t="shared" si="43"/>
        <v>5616000</v>
      </c>
      <c r="Z177" s="143" t="str">
        <f t="shared" si="47"/>
        <v/>
      </c>
      <c r="AA177" s="143" t="str">
        <f t="shared" si="48"/>
        <v>卖出</v>
      </c>
      <c r="AB177" s="203"/>
      <c r="AC177" s="321">
        <v>0.121</v>
      </c>
      <c r="AD177" s="319"/>
      <c r="AE177" s="314"/>
      <c r="AF177" s="105"/>
    </row>
    <row r="178" spans="1:32" ht="24.95" customHeight="1" x14ac:dyDescent="0.15">
      <c r="A178" s="142" t="s">
        <v>247</v>
      </c>
      <c r="B178" s="142" t="s">
        <v>295</v>
      </c>
      <c r="C178" s="142" t="str">
        <f t="shared" si="35"/>
        <v>到期</v>
      </c>
      <c r="D178" s="127" t="s">
        <v>1846</v>
      </c>
      <c r="E178" s="143" t="s">
        <v>255</v>
      </c>
      <c r="F178" s="144">
        <v>43515</v>
      </c>
      <c r="G178" s="144">
        <v>43542</v>
      </c>
      <c r="H178" s="143" t="s">
        <v>306</v>
      </c>
      <c r="I178" s="143" t="s">
        <v>241</v>
      </c>
      <c r="J178" s="142" t="s">
        <v>22</v>
      </c>
      <c r="K178" s="105">
        <v>3960</v>
      </c>
      <c r="L178" s="105">
        <v>1320</v>
      </c>
      <c r="M178" s="105">
        <v>1259</v>
      </c>
      <c r="N178" s="105">
        <v>14.22</v>
      </c>
      <c r="O178" s="105">
        <f t="shared" si="44"/>
        <v>56311.200000000004</v>
      </c>
      <c r="P178" s="101" t="s">
        <v>435</v>
      </c>
      <c r="Q178" s="101" t="s">
        <v>449</v>
      </c>
      <c r="R178" s="105"/>
      <c r="S178" s="105"/>
      <c r="T178" s="144"/>
      <c r="U178" s="105">
        <v>1231</v>
      </c>
      <c r="V178" s="105">
        <v>0</v>
      </c>
      <c r="W178" s="48">
        <v>43542</v>
      </c>
      <c r="X178" s="104">
        <f t="shared" si="36"/>
        <v>-56311.200000000004</v>
      </c>
      <c r="Y178" s="197">
        <f t="shared" si="43"/>
        <v>4985640</v>
      </c>
      <c r="Z178" s="143" t="str">
        <f t="shared" si="47"/>
        <v/>
      </c>
      <c r="AA178" s="143" t="str">
        <f t="shared" si="48"/>
        <v>卖出</v>
      </c>
      <c r="AB178" s="203"/>
      <c r="AC178" s="321"/>
      <c r="AD178" s="321"/>
      <c r="AE178" s="314"/>
      <c r="AF178" s="105"/>
    </row>
    <row r="179" spans="1:32" ht="24.95" customHeight="1" x14ac:dyDescent="0.15">
      <c r="A179" s="142" t="s">
        <v>247</v>
      </c>
      <c r="B179" s="142" t="s">
        <v>295</v>
      </c>
      <c r="C179" s="142" t="str">
        <f t="shared" si="35"/>
        <v>到期</v>
      </c>
      <c r="D179" s="127" t="s">
        <v>1846</v>
      </c>
      <c r="E179" s="143" t="s">
        <v>255</v>
      </c>
      <c r="F179" s="144">
        <v>43515</v>
      </c>
      <c r="G179" s="144">
        <v>43542</v>
      </c>
      <c r="H179" s="143" t="s">
        <v>306</v>
      </c>
      <c r="I179" s="143" t="s">
        <v>241</v>
      </c>
      <c r="J179" s="142" t="s">
        <v>25</v>
      </c>
      <c r="K179" s="105">
        <v>3960</v>
      </c>
      <c r="L179" s="105">
        <v>1195</v>
      </c>
      <c r="M179" s="105">
        <v>1259</v>
      </c>
      <c r="N179" s="105">
        <v>12.13</v>
      </c>
      <c r="O179" s="105">
        <f t="shared" si="44"/>
        <v>48034.8</v>
      </c>
      <c r="P179" s="101" t="s">
        <v>307</v>
      </c>
      <c r="Q179" s="101" t="s">
        <v>449</v>
      </c>
      <c r="R179" s="105"/>
      <c r="S179" s="105"/>
      <c r="T179" s="144"/>
      <c r="U179" s="105">
        <v>1231</v>
      </c>
      <c r="V179" s="105">
        <v>0</v>
      </c>
      <c r="W179" s="48">
        <v>43542</v>
      </c>
      <c r="X179" s="104">
        <f t="shared" si="36"/>
        <v>-48034.8</v>
      </c>
      <c r="Y179" s="197">
        <f t="shared" si="43"/>
        <v>4985640</v>
      </c>
      <c r="Z179" s="143" t="str">
        <f t="shared" si="47"/>
        <v/>
      </c>
      <c r="AA179" s="143" t="str">
        <f t="shared" si="48"/>
        <v>卖出</v>
      </c>
      <c r="AB179" s="203"/>
      <c r="AC179" s="321"/>
      <c r="AD179" s="321"/>
      <c r="AE179" s="314"/>
      <c r="AF179" s="105"/>
    </row>
    <row r="180" spans="1:32" ht="24.95" customHeight="1" x14ac:dyDescent="0.15">
      <c r="A180" s="142" t="s">
        <v>244</v>
      </c>
      <c r="B180" s="142" t="s">
        <v>295</v>
      </c>
      <c r="C180" s="142" t="str">
        <f t="shared" si="35"/>
        <v>到期</v>
      </c>
      <c r="D180" s="123" t="s">
        <v>1846</v>
      </c>
      <c r="E180" s="143" t="s">
        <v>255</v>
      </c>
      <c r="F180" s="144">
        <v>43516</v>
      </c>
      <c r="G180" s="144">
        <v>43539</v>
      </c>
      <c r="H180" s="143" t="s">
        <v>324</v>
      </c>
      <c r="I180" s="143" t="s">
        <v>241</v>
      </c>
      <c r="J180" s="142" t="s">
        <v>22</v>
      </c>
      <c r="K180" s="105">
        <v>15000</v>
      </c>
      <c r="L180" s="105">
        <v>497.04</v>
      </c>
      <c r="M180" s="105">
        <v>456</v>
      </c>
      <c r="N180" s="105">
        <v>1.57</v>
      </c>
      <c r="O180" s="105">
        <f t="shared" si="44"/>
        <v>23550</v>
      </c>
      <c r="P180" s="101" t="s">
        <v>566</v>
      </c>
      <c r="Q180" s="101" t="s">
        <v>373</v>
      </c>
      <c r="R180" s="105"/>
      <c r="S180" s="105"/>
      <c r="T180" s="144"/>
      <c r="U180" s="105">
        <v>455</v>
      </c>
      <c r="V180" s="105">
        <v>0</v>
      </c>
      <c r="W180" s="144">
        <f>G180</f>
        <v>43539</v>
      </c>
      <c r="X180" s="104">
        <f t="shared" si="36"/>
        <v>-23550</v>
      </c>
      <c r="Y180" s="197">
        <f t="shared" si="43"/>
        <v>6840000</v>
      </c>
      <c r="Z180" s="143" t="str">
        <f t="shared" si="47"/>
        <v/>
      </c>
      <c r="AA180" s="143" t="str">
        <f t="shared" si="48"/>
        <v>卖出</v>
      </c>
      <c r="AB180" s="203"/>
      <c r="AC180" s="321">
        <v>0.25800000000000001</v>
      </c>
      <c r="AD180" s="319"/>
      <c r="AE180" s="314"/>
      <c r="AF180" s="105"/>
    </row>
    <row r="181" spans="1:32" ht="24.95" customHeight="1" x14ac:dyDescent="0.15">
      <c r="A181" s="142" t="s">
        <v>244</v>
      </c>
      <c r="B181" s="142" t="s">
        <v>295</v>
      </c>
      <c r="C181" s="142" t="str">
        <f t="shared" si="35"/>
        <v>到期</v>
      </c>
      <c r="D181" s="123" t="s">
        <v>1846</v>
      </c>
      <c r="E181" s="143" t="s">
        <v>255</v>
      </c>
      <c r="F181" s="144">
        <v>43516</v>
      </c>
      <c r="G181" s="144">
        <v>43539</v>
      </c>
      <c r="H181" s="143" t="s">
        <v>324</v>
      </c>
      <c r="I181" s="143" t="s">
        <v>241</v>
      </c>
      <c r="J181" s="142" t="s">
        <v>25</v>
      </c>
      <c r="K181" s="105">
        <v>15000</v>
      </c>
      <c r="L181" s="105">
        <v>419.52</v>
      </c>
      <c r="M181" s="105">
        <v>456</v>
      </c>
      <c r="N181" s="105">
        <v>1.76</v>
      </c>
      <c r="O181" s="105">
        <f t="shared" si="44"/>
        <v>26400</v>
      </c>
      <c r="P181" s="101" t="s">
        <v>308</v>
      </c>
      <c r="Q181" s="101" t="s">
        <v>373</v>
      </c>
      <c r="R181" s="105"/>
      <c r="S181" s="105"/>
      <c r="T181" s="144"/>
      <c r="U181" s="105">
        <v>455</v>
      </c>
      <c r="V181" s="105">
        <v>0</v>
      </c>
      <c r="W181" s="144">
        <f>G181</f>
        <v>43539</v>
      </c>
      <c r="X181" s="104">
        <f t="shared" si="36"/>
        <v>-26400</v>
      </c>
      <c r="Y181" s="197">
        <f t="shared" si="43"/>
        <v>6840000</v>
      </c>
      <c r="Z181" s="143" t="str">
        <f t="shared" si="47"/>
        <v/>
      </c>
      <c r="AA181" s="143" t="str">
        <f t="shared" si="48"/>
        <v>卖出</v>
      </c>
      <c r="AB181" s="203"/>
      <c r="AC181" s="321">
        <v>0.25800000000000001</v>
      </c>
      <c r="AD181" s="319"/>
      <c r="AE181" s="314"/>
      <c r="AF181" s="105"/>
    </row>
    <row r="182" spans="1:32" ht="24.95" customHeight="1" x14ac:dyDescent="0.15">
      <c r="A182" s="142" t="s">
        <v>247</v>
      </c>
      <c r="B182" s="142" t="s">
        <v>297</v>
      </c>
      <c r="C182" s="142" t="str">
        <f>IF(T182="","存续","到期")</f>
        <v>到期</v>
      </c>
      <c r="D182" s="127" t="s">
        <v>1851</v>
      </c>
      <c r="E182" s="143" t="s">
        <v>298</v>
      </c>
      <c r="F182" s="144">
        <v>43516</v>
      </c>
      <c r="G182" s="144">
        <v>43543</v>
      </c>
      <c r="H182" s="143" t="s">
        <v>309</v>
      </c>
      <c r="I182" s="143" t="s">
        <v>241</v>
      </c>
      <c r="J182" s="142" t="s">
        <v>22</v>
      </c>
      <c r="K182" s="105">
        <v>200</v>
      </c>
      <c r="L182" s="105">
        <v>3700</v>
      </c>
      <c r="M182" s="105">
        <v>3598</v>
      </c>
      <c r="N182" s="105">
        <v>64.61</v>
      </c>
      <c r="O182" s="105">
        <f t="shared" si="44"/>
        <v>12922</v>
      </c>
      <c r="P182" s="101" t="s">
        <v>539</v>
      </c>
      <c r="Q182" s="101" t="s">
        <v>540</v>
      </c>
      <c r="R182" s="105">
        <v>73.78</v>
      </c>
      <c r="S182" s="105">
        <f>R182*K182</f>
        <v>14756</v>
      </c>
      <c r="T182" s="144" t="s">
        <v>335</v>
      </c>
      <c r="U182" s="113"/>
      <c r="V182" s="105"/>
      <c r="W182" s="144"/>
      <c r="X182" s="104">
        <f>IF(I182="买入",S182-O182,O182+S182)</f>
        <v>1834</v>
      </c>
      <c r="Y182" s="197">
        <f t="shared" si="43"/>
        <v>719600</v>
      </c>
      <c r="Z182" s="143" t="str">
        <f t="shared" si="47"/>
        <v/>
      </c>
      <c r="AA182" s="143" t="str">
        <f t="shared" si="48"/>
        <v>卖出</v>
      </c>
      <c r="AB182" s="203"/>
      <c r="AC182" s="321"/>
      <c r="AD182" s="321"/>
      <c r="AE182" s="314"/>
      <c r="AF182" s="105"/>
    </row>
    <row r="183" spans="1:32" ht="24.95" customHeight="1" x14ac:dyDescent="0.15">
      <c r="A183" s="142" t="s">
        <v>247</v>
      </c>
      <c r="B183" s="142" t="s">
        <v>297</v>
      </c>
      <c r="C183" s="142" t="str">
        <f>IF(W183="","存续","到期")</f>
        <v>到期</v>
      </c>
      <c r="D183" s="127" t="s">
        <v>1851</v>
      </c>
      <c r="E183" s="143" t="s">
        <v>298</v>
      </c>
      <c r="F183" s="144">
        <v>43516</v>
      </c>
      <c r="G183" s="144">
        <v>43543</v>
      </c>
      <c r="H183" s="143" t="s">
        <v>309</v>
      </c>
      <c r="I183" s="143" t="s">
        <v>241</v>
      </c>
      <c r="J183" s="142" t="s">
        <v>25</v>
      </c>
      <c r="K183" s="105">
        <v>100</v>
      </c>
      <c r="L183" s="105">
        <v>3400</v>
      </c>
      <c r="M183" s="105">
        <v>3598</v>
      </c>
      <c r="N183" s="105">
        <v>36.090000000000003</v>
      </c>
      <c r="O183" s="105">
        <f t="shared" si="44"/>
        <v>3609.0000000000005</v>
      </c>
      <c r="P183" s="101" t="s">
        <v>539</v>
      </c>
      <c r="Q183" s="101" t="s">
        <v>597</v>
      </c>
      <c r="R183" s="105"/>
      <c r="S183" s="105"/>
      <c r="T183" s="144"/>
      <c r="U183" s="109">
        <v>3788</v>
      </c>
      <c r="V183" s="105">
        <v>0</v>
      </c>
      <c r="W183" s="48">
        <v>43543</v>
      </c>
      <c r="X183" s="104">
        <f t="shared" ref="X183:X216" si="49">IF(I183="买入",V183-O183,V183+O183)</f>
        <v>-3609.0000000000005</v>
      </c>
      <c r="Y183" s="197">
        <f t="shared" si="43"/>
        <v>359800</v>
      </c>
      <c r="Z183" s="143" t="str">
        <f t="shared" si="47"/>
        <v/>
      </c>
      <c r="AA183" s="143" t="str">
        <f t="shared" si="48"/>
        <v>卖出</v>
      </c>
      <c r="AB183" s="203"/>
      <c r="AC183" s="321"/>
      <c r="AD183" s="321"/>
      <c r="AE183" s="314"/>
      <c r="AF183" s="105"/>
    </row>
    <row r="184" spans="1:32" ht="24.95" customHeight="1" x14ac:dyDescent="0.15">
      <c r="A184" s="142" t="s">
        <v>244</v>
      </c>
      <c r="B184" s="142" t="s">
        <v>295</v>
      </c>
      <c r="C184" s="142" t="str">
        <f t="shared" ref="C184:C216" si="50">IF(Q184="","存续","到期")</f>
        <v>到期</v>
      </c>
      <c r="D184" s="123" t="s">
        <v>266</v>
      </c>
      <c r="E184" s="142" t="s">
        <v>255</v>
      </c>
      <c r="F184" s="144">
        <v>43517</v>
      </c>
      <c r="G184" s="144">
        <v>43553</v>
      </c>
      <c r="H184" s="143" t="s">
        <v>279</v>
      </c>
      <c r="I184" s="143" t="s">
        <v>38</v>
      </c>
      <c r="J184" s="142" t="s">
        <v>56</v>
      </c>
      <c r="K184" s="105">
        <v>1000</v>
      </c>
      <c r="L184" s="105">
        <v>6928</v>
      </c>
      <c r="M184" s="105">
        <v>6475</v>
      </c>
      <c r="N184" s="105">
        <v>30.48</v>
      </c>
      <c r="O184" s="105">
        <f t="shared" si="44"/>
        <v>30480</v>
      </c>
      <c r="P184" s="101" t="s">
        <v>695</v>
      </c>
      <c r="Q184" s="101" t="s">
        <v>696</v>
      </c>
      <c r="R184" s="105"/>
      <c r="S184" s="105"/>
      <c r="T184" s="144"/>
      <c r="U184" s="105">
        <v>6504</v>
      </c>
      <c r="V184" s="105">
        <v>0</v>
      </c>
      <c r="W184" s="144">
        <f>G184</f>
        <v>43553</v>
      </c>
      <c r="X184" s="104">
        <f t="shared" si="49"/>
        <v>-30480</v>
      </c>
      <c r="Y184" s="197">
        <f t="shared" si="43"/>
        <v>6475000</v>
      </c>
      <c r="Z184" s="143" t="str">
        <f t="shared" si="47"/>
        <v/>
      </c>
      <c r="AA184" s="143" t="str">
        <f t="shared" si="48"/>
        <v>卖出</v>
      </c>
      <c r="AB184" s="203"/>
      <c r="AC184" s="321">
        <v>0.19</v>
      </c>
      <c r="AD184" s="319"/>
      <c r="AE184" s="314"/>
      <c r="AF184" s="105"/>
    </row>
    <row r="185" spans="1:32" ht="24.95" customHeight="1" x14ac:dyDescent="0.15">
      <c r="A185" s="142" t="s">
        <v>244</v>
      </c>
      <c r="B185" s="142" t="s">
        <v>295</v>
      </c>
      <c r="C185" s="142" t="str">
        <f t="shared" si="50"/>
        <v>到期</v>
      </c>
      <c r="D185" s="123" t="s">
        <v>266</v>
      </c>
      <c r="E185" s="142" t="s">
        <v>255</v>
      </c>
      <c r="F185" s="144">
        <v>43517</v>
      </c>
      <c r="G185" s="144">
        <v>43553</v>
      </c>
      <c r="H185" s="143" t="s">
        <v>279</v>
      </c>
      <c r="I185" s="143" t="s">
        <v>38</v>
      </c>
      <c r="J185" s="142" t="s">
        <v>59</v>
      </c>
      <c r="K185" s="105">
        <v>1000</v>
      </c>
      <c r="L185" s="105">
        <v>6087</v>
      </c>
      <c r="M185" s="105">
        <v>6475</v>
      </c>
      <c r="N185" s="105">
        <v>34.270000000000003</v>
      </c>
      <c r="O185" s="105">
        <f t="shared" si="44"/>
        <v>34270</v>
      </c>
      <c r="P185" s="101" t="s">
        <v>695</v>
      </c>
      <c r="Q185" s="101" t="s">
        <v>696</v>
      </c>
      <c r="R185" s="105"/>
      <c r="S185" s="105"/>
      <c r="T185" s="144"/>
      <c r="U185" s="105">
        <v>6504</v>
      </c>
      <c r="V185" s="105">
        <v>0</v>
      </c>
      <c r="W185" s="144">
        <f>G185</f>
        <v>43553</v>
      </c>
      <c r="X185" s="104">
        <f t="shared" si="49"/>
        <v>-34270</v>
      </c>
      <c r="Y185" s="197">
        <f t="shared" si="43"/>
        <v>6475000</v>
      </c>
      <c r="Z185" s="143" t="str">
        <f t="shared" si="47"/>
        <v/>
      </c>
      <c r="AA185" s="143" t="str">
        <f t="shared" si="48"/>
        <v>卖出</v>
      </c>
      <c r="AB185" s="203"/>
      <c r="AC185" s="321">
        <v>0.19</v>
      </c>
      <c r="AD185" s="319"/>
      <c r="AE185" s="314"/>
      <c r="AF185" s="105"/>
    </row>
    <row r="186" spans="1:32" s="110" customFormat="1" ht="24.95" customHeight="1" x14ac:dyDescent="0.15">
      <c r="A186" s="142" t="s">
        <v>244</v>
      </c>
      <c r="B186" s="142" t="s">
        <v>295</v>
      </c>
      <c r="C186" s="142" t="str">
        <f t="shared" si="50"/>
        <v>到期</v>
      </c>
      <c r="D186" s="123" t="s">
        <v>1846</v>
      </c>
      <c r="E186" s="142" t="s">
        <v>255</v>
      </c>
      <c r="F186" s="144">
        <v>43521</v>
      </c>
      <c r="G186" s="144">
        <v>43551</v>
      </c>
      <c r="H186" s="143" t="s">
        <v>358</v>
      </c>
      <c r="I186" s="143" t="s">
        <v>241</v>
      </c>
      <c r="J186" s="142" t="s">
        <v>22</v>
      </c>
      <c r="K186" s="105">
        <v>1000</v>
      </c>
      <c r="L186" s="105">
        <v>5963</v>
      </c>
      <c r="M186" s="105">
        <v>5734</v>
      </c>
      <c r="N186" s="105">
        <v>15.25</v>
      </c>
      <c r="O186" s="105">
        <f t="shared" si="44"/>
        <v>15250</v>
      </c>
      <c r="P186" s="101" t="s">
        <v>565</v>
      </c>
      <c r="Q186" s="101" t="s">
        <v>424</v>
      </c>
      <c r="R186" s="105"/>
      <c r="S186" s="105"/>
      <c r="T186" s="144"/>
      <c r="U186" s="105">
        <v>5480</v>
      </c>
      <c r="V186" s="105">
        <v>0</v>
      </c>
      <c r="W186" s="144">
        <f>G186</f>
        <v>43551</v>
      </c>
      <c r="X186" s="104">
        <f t="shared" si="49"/>
        <v>-15250</v>
      </c>
      <c r="Y186" s="198">
        <f t="shared" si="43"/>
        <v>5734000</v>
      </c>
      <c r="Z186" s="143" t="str">
        <f t="shared" si="47"/>
        <v/>
      </c>
      <c r="AA186" s="143" t="str">
        <f t="shared" si="48"/>
        <v>卖出</v>
      </c>
      <c r="AB186" s="203"/>
      <c r="AC186" s="321">
        <v>0.1215</v>
      </c>
      <c r="AD186" s="319"/>
      <c r="AE186" s="314"/>
      <c r="AF186" s="105"/>
    </row>
    <row r="187" spans="1:32" s="110" customFormat="1" ht="24.95" customHeight="1" x14ac:dyDescent="0.15">
      <c r="A187" s="142" t="s">
        <v>244</v>
      </c>
      <c r="B187" s="142" t="s">
        <v>295</v>
      </c>
      <c r="C187" s="142" t="str">
        <f t="shared" si="50"/>
        <v>到期</v>
      </c>
      <c r="D187" s="123" t="s">
        <v>1846</v>
      </c>
      <c r="E187" s="142" t="s">
        <v>255</v>
      </c>
      <c r="F187" s="144">
        <v>43521</v>
      </c>
      <c r="G187" s="144">
        <v>43551</v>
      </c>
      <c r="H187" s="143" t="s">
        <v>358</v>
      </c>
      <c r="I187" s="143" t="s">
        <v>241</v>
      </c>
      <c r="J187" s="142" t="s">
        <v>25</v>
      </c>
      <c r="K187" s="105">
        <v>1000</v>
      </c>
      <c r="L187" s="105">
        <v>5505</v>
      </c>
      <c r="M187" s="105">
        <v>5734</v>
      </c>
      <c r="N187" s="105">
        <v>13.47</v>
      </c>
      <c r="O187" s="105">
        <f t="shared" si="44"/>
        <v>13470</v>
      </c>
      <c r="P187" s="101" t="s">
        <v>565</v>
      </c>
      <c r="Q187" s="101" t="s">
        <v>392</v>
      </c>
      <c r="R187" s="105"/>
      <c r="S187" s="105"/>
      <c r="T187" s="144"/>
      <c r="U187" s="105">
        <v>5480</v>
      </c>
      <c r="V187" s="105">
        <f>(5505-5480)*1000</f>
        <v>25000</v>
      </c>
      <c r="W187" s="144">
        <f>G187</f>
        <v>43551</v>
      </c>
      <c r="X187" s="104">
        <f t="shared" si="49"/>
        <v>11530</v>
      </c>
      <c r="Y187" s="198">
        <f t="shared" si="43"/>
        <v>5734000</v>
      </c>
      <c r="Z187" s="143" t="str">
        <f t="shared" si="47"/>
        <v/>
      </c>
      <c r="AA187" s="143" t="str">
        <f t="shared" si="48"/>
        <v>卖出</v>
      </c>
      <c r="AB187" s="203"/>
      <c r="AC187" s="321">
        <v>0.1215</v>
      </c>
      <c r="AD187" s="319"/>
      <c r="AE187" s="314"/>
      <c r="AF187" s="105"/>
    </row>
    <row r="188" spans="1:32" s="110" customFormat="1" ht="24.95" customHeight="1" x14ac:dyDescent="0.15">
      <c r="A188" s="142" t="s">
        <v>248</v>
      </c>
      <c r="B188" s="120" t="s">
        <v>764</v>
      </c>
      <c r="C188" s="142" t="str">
        <f t="shared" si="50"/>
        <v>到期</v>
      </c>
      <c r="D188" s="103" t="s">
        <v>1841</v>
      </c>
      <c r="E188" s="142" t="s">
        <v>339</v>
      </c>
      <c r="F188" s="48">
        <v>43522</v>
      </c>
      <c r="G188" s="48">
        <v>43550</v>
      </c>
      <c r="H188" s="48" t="s">
        <v>1015</v>
      </c>
      <c r="I188" s="48" t="s">
        <v>222</v>
      </c>
      <c r="J188" s="142" t="s">
        <v>56</v>
      </c>
      <c r="K188" s="104">
        <v>200</v>
      </c>
      <c r="L188" s="104">
        <v>51800</v>
      </c>
      <c r="M188" s="105">
        <v>50000</v>
      </c>
      <c r="N188" s="104">
        <f t="shared" ref="N188:N197" si="51">415.04/2</f>
        <v>207.52</v>
      </c>
      <c r="O188" s="104">
        <f t="shared" si="44"/>
        <v>41504</v>
      </c>
      <c r="P188" s="101" t="s">
        <v>312</v>
      </c>
      <c r="Q188" s="101" t="s">
        <v>390</v>
      </c>
      <c r="R188" s="105"/>
      <c r="S188" s="105"/>
      <c r="T188" s="144"/>
      <c r="U188" s="105">
        <v>48230</v>
      </c>
      <c r="V188" s="105">
        <v>0</v>
      </c>
      <c r="W188" s="144">
        <v>43550</v>
      </c>
      <c r="X188" s="104">
        <f t="shared" si="49"/>
        <v>41504</v>
      </c>
      <c r="Y188" s="198">
        <f t="shared" si="43"/>
        <v>10000000</v>
      </c>
      <c r="Z188" s="143" t="str">
        <f t="shared" si="47"/>
        <v/>
      </c>
      <c r="AA188" s="143" t="str">
        <f t="shared" ref="AA188:AA197" si="52">IF(I188="买入","卖出","买入第9期")</f>
        <v>买入第9期</v>
      </c>
      <c r="AB188" s="203"/>
      <c r="AC188" s="321">
        <v>0.152</v>
      </c>
      <c r="AD188" s="205">
        <v>0.152</v>
      </c>
      <c r="AE188" s="314"/>
      <c r="AF188" s="105"/>
    </row>
    <row r="189" spans="1:32" s="110" customFormat="1" ht="24.95" customHeight="1" x14ac:dyDescent="0.15">
      <c r="A189" s="142" t="s">
        <v>894</v>
      </c>
      <c r="B189" s="120" t="s">
        <v>297</v>
      </c>
      <c r="C189" s="142" t="str">
        <f t="shared" si="50"/>
        <v>到期</v>
      </c>
      <c r="D189" s="103" t="s">
        <v>1841</v>
      </c>
      <c r="E189" s="142" t="s">
        <v>298</v>
      </c>
      <c r="F189" s="48">
        <v>43522</v>
      </c>
      <c r="G189" s="48">
        <v>43550</v>
      </c>
      <c r="H189" s="48" t="s">
        <v>1015</v>
      </c>
      <c r="I189" s="48" t="s">
        <v>222</v>
      </c>
      <c r="J189" s="142" t="s">
        <v>59</v>
      </c>
      <c r="K189" s="104">
        <v>200</v>
      </c>
      <c r="L189" s="104">
        <v>47800</v>
      </c>
      <c r="M189" s="105">
        <v>50000</v>
      </c>
      <c r="N189" s="104">
        <f t="shared" si="51"/>
        <v>207.52</v>
      </c>
      <c r="O189" s="104">
        <f t="shared" si="44"/>
        <v>41504</v>
      </c>
      <c r="P189" s="101" t="s">
        <v>312</v>
      </c>
      <c r="Q189" s="101" t="s">
        <v>390</v>
      </c>
      <c r="R189" s="105"/>
      <c r="S189" s="105"/>
      <c r="T189" s="144"/>
      <c r="U189" s="105">
        <v>48230</v>
      </c>
      <c r="V189" s="105">
        <v>0</v>
      </c>
      <c r="W189" s="144">
        <v>43550</v>
      </c>
      <c r="X189" s="104">
        <f t="shared" si="49"/>
        <v>41504</v>
      </c>
      <c r="Y189" s="198">
        <f t="shared" si="43"/>
        <v>10000000</v>
      </c>
      <c r="Z189" s="143"/>
      <c r="AA189" s="143" t="str">
        <f t="shared" si="52"/>
        <v>买入第9期</v>
      </c>
      <c r="AB189" s="203"/>
      <c r="AC189" s="321">
        <v>0.152</v>
      </c>
      <c r="AD189" s="205">
        <v>0.152</v>
      </c>
      <c r="AE189" s="314"/>
      <c r="AF189" s="105"/>
    </row>
    <row r="190" spans="1:32" s="110" customFormat="1" ht="24.95" customHeight="1" x14ac:dyDescent="0.15">
      <c r="A190" s="142" t="s">
        <v>248</v>
      </c>
      <c r="B190" s="142" t="s">
        <v>297</v>
      </c>
      <c r="C190" s="142" t="str">
        <f t="shared" si="50"/>
        <v>到期</v>
      </c>
      <c r="D190" s="103" t="s">
        <v>1842</v>
      </c>
      <c r="E190" s="142" t="s">
        <v>339</v>
      </c>
      <c r="F190" s="48">
        <v>43522</v>
      </c>
      <c r="G190" s="48">
        <v>43550</v>
      </c>
      <c r="H190" s="48" t="s">
        <v>1015</v>
      </c>
      <c r="I190" s="48" t="s">
        <v>222</v>
      </c>
      <c r="J190" s="142" t="s">
        <v>56</v>
      </c>
      <c r="K190" s="104">
        <v>200</v>
      </c>
      <c r="L190" s="104">
        <v>51800</v>
      </c>
      <c r="M190" s="105">
        <v>50000</v>
      </c>
      <c r="N190" s="104">
        <f t="shared" si="51"/>
        <v>207.52</v>
      </c>
      <c r="O190" s="104">
        <f t="shared" si="44"/>
        <v>41504</v>
      </c>
      <c r="P190" s="101" t="s">
        <v>541</v>
      </c>
      <c r="Q190" s="101" t="s">
        <v>542</v>
      </c>
      <c r="R190" s="105"/>
      <c r="S190" s="105"/>
      <c r="T190" s="144"/>
      <c r="U190" s="105">
        <v>48230</v>
      </c>
      <c r="V190" s="105">
        <v>0</v>
      </c>
      <c r="W190" s="144">
        <v>43550</v>
      </c>
      <c r="X190" s="104">
        <f t="shared" si="49"/>
        <v>41504</v>
      </c>
      <c r="Y190" s="198">
        <f t="shared" si="43"/>
        <v>10000000</v>
      </c>
      <c r="Z190" s="143"/>
      <c r="AA190" s="143" t="str">
        <f t="shared" si="52"/>
        <v>买入第9期</v>
      </c>
      <c r="AB190" s="203"/>
      <c r="AC190" s="321">
        <v>0.152</v>
      </c>
      <c r="AD190" s="205">
        <v>0.152</v>
      </c>
      <c r="AE190" s="314"/>
      <c r="AF190" s="105"/>
    </row>
    <row r="191" spans="1:32" s="110" customFormat="1" ht="24.95" customHeight="1" x14ac:dyDescent="0.15">
      <c r="A191" s="142" t="s">
        <v>248</v>
      </c>
      <c r="B191" s="142" t="s">
        <v>297</v>
      </c>
      <c r="C191" s="142" t="str">
        <f t="shared" si="50"/>
        <v>到期</v>
      </c>
      <c r="D191" s="103" t="s">
        <v>1842</v>
      </c>
      <c r="E191" s="142" t="s">
        <v>298</v>
      </c>
      <c r="F191" s="48">
        <v>43522</v>
      </c>
      <c r="G191" s="48">
        <v>43550</v>
      </c>
      <c r="H191" s="48" t="s">
        <v>1015</v>
      </c>
      <c r="I191" s="48" t="s">
        <v>222</v>
      </c>
      <c r="J191" s="142" t="s">
        <v>59</v>
      </c>
      <c r="K191" s="104">
        <v>200</v>
      </c>
      <c r="L191" s="104">
        <v>47800</v>
      </c>
      <c r="M191" s="105">
        <v>50000</v>
      </c>
      <c r="N191" s="104">
        <f t="shared" si="51"/>
        <v>207.52</v>
      </c>
      <c r="O191" s="104">
        <f t="shared" si="44"/>
        <v>41504</v>
      </c>
      <c r="P191" s="101" t="s">
        <v>541</v>
      </c>
      <c r="Q191" s="101" t="s">
        <v>542</v>
      </c>
      <c r="R191" s="105"/>
      <c r="S191" s="105"/>
      <c r="T191" s="144"/>
      <c r="U191" s="105">
        <v>48230</v>
      </c>
      <c r="V191" s="105">
        <v>0</v>
      </c>
      <c r="W191" s="144">
        <v>43550</v>
      </c>
      <c r="X191" s="104">
        <f t="shared" si="49"/>
        <v>41504</v>
      </c>
      <c r="Y191" s="198">
        <f t="shared" si="43"/>
        <v>10000000</v>
      </c>
      <c r="Z191" s="143"/>
      <c r="AA191" s="143" t="str">
        <f t="shared" si="52"/>
        <v>买入第9期</v>
      </c>
      <c r="AB191" s="203"/>
      <c r="AC191" s="321">
        <v>0.152</v>
      </c>
      <c r="AD191" s="205">
        <v>0.152</v>
      </c>
      <c r="AE191" s="314"/>
      <c r="AF191" s="105"/>
    </row>
    <row r="192" spans="1:32" s="110" customFormat="1" ht="24.95" customHeight="1" x14ac:dyDescent="0.15">
      <c r="A192" s="142" t="s">
        <v>248</v>
      </c>
      <c r="B192" s="142" t="s">
        <v>297</v>
      </c>
      <c r="C192" s="142" t="str">
        <f t="shared" si="50"/>
        <v>到期</v>
      </c>
      <c r="D192" s="103" t="s">
        <v>1843</v>
      </c>
      <c r="E192" s="142" t="s">
        <v>298</v>
      </c>
      <c r="F192" s="48">
        <v>43522</v>
      </c>
      <c r="G192" s="48">
        <v>43550</v>
      </c>
      <c r="H192" s="48" t="s">
        <v>1015</v>
      </c>
      <c r="I192" s="48" t="s">
        <v>222</v>
      </c>
      <c r="J192" s="142" t="s">
        <v>56</v>
      </c>
      <c r="K192" s="104">
        <v>200</v>
      </c>
      <c r="L192" s="104">
        <v>51800</v>
      </c>
      <c r="M192" s="105">
        <v>50000</v>
      </c>
      <c r="N192" s="104">
        <f t="shared" si="51"/>
        <v>207.52</v>
      </c>
      <c r="O192" s="104">
        <f t="shared" si="44"/>
        <v>41504</v>
      </c>
      <c r="P192" s="101" t="s">
        <v>543</v>
      </c>
      <c r="Q192" s="101" t="s">
        <v>544</v>
      </c>
      <c r="R192" s="105"/>
      <c r="S192" s="105"/>
      <c r="T192" s="144"/>
      <c r="U192" s="105">
        <v>48230</v>
      </c>
      <c r="V192" s="105">
        <v>0</v>
      </c>
      <c r="W192" s="144">
        <v>43550</v>
      </c>
      <c r="X192" s="104">
        <f t="shared" si="49"/>
        <v>41504</v>
      </c>
      <c r="Y192" s="198">
        <f t="shared" si="43"/>
        <v>10000000</v>
      </c>
      <c r="Z192" s="143"/>
      <c r="AA192" s="143" t="str">
        <f t="shared" si="52"/>
        <v>买入第9期</v>
      </c>
      <c r="AB192" s="203"/>
      <c r="AC192" s="321">
        <v>0.152</v>
      </c>
      <c r="AD192" s="205">
        <v>0.152</v>
      </c>
      <c r="AE192" s="314"/>
      <c r="AF192" s="105"/>
    </row>
    <row r="193" spans="1:32" s="110" customFormat="1" ht="24.95" customHeight="1" x14ac:dyDescent="0.15">
      <c r="A193" s="142" t="s">
        <v>248</v>
      </c>
      <c r="B193" s="142" t="s">
        <v>297</v>
      </c>
      <c r="C193" s="142" t="str">
        <f t="shared" si="50"/>
        <v>到期</v>
      </c>
      <c r="D193" s="103" t="s">
        <v>1843</v>
      </c>
      <c r="E193" s="142" t="s">
        <v>298</v>
      </c>
      <c r="F193" s="48">
        <v>43522</v>
      </c>
      <c r="G193" s="48">
        <v>43550</v>
      </c>
      <c r="H193" s="48" t="s">
        <v>1015</v>
      </c>
      <c r="I193" s="48" t="s">
        <v>222</v>
      </c>
      <c r="J193" s="142" t="s">
        <v>59</v>
      </c>
      <c r="K193" s="104">
        <v>200</v>
      </c>
      <c r="L193" s="104">
        <v>47800</v>
      </c>
      <c r="M193" s="105">
        <v>50000</v>
      </c>
      <c r="N193" s="104">
        <f t="shared" si="51"/>
        <v>207.52</v>
      </c>
      <c r="O193" s="104">
        <f t="shared" si="44"/>
        <v>41504</v>
      </c>
      <c r="P193" s="101" t="s">
        <v>543</v>
      </c>
      <c r="Q193" s="101" t="s">
        <v>544</v>
      </c>
      <c r="R193" s="105"/>
      <c r="S193" s="105"/>
      <c r="T193" s="144"/>
      <c r="U193" s="105">
        <v>48230</v>
      </c>
      <c r="V193" s="105">
        <v>0</v>
      </c>
      <c r="W193" s="144">
        <v>43550</v>
      </c>
      <c r="X193" s="104">
        <f t="shared" si="49"/>
        <v>41504</v>
      </c>
      <c r="Y193" s="198">
        <f t="shared" si="43"/>
        <v>10000000</v>
      </c>
      <c r="Z193" s="143"/>
      <c r="AA193" s="143" t="str">
        <f t="shared" si="52"/>
        <v>买入第9期</v>
      </c>
      <c r="AB193" s="203"/>
      <c r="AC193" s="321">
        <v>0.152</v>
      </c>
      <c r="AD193" s="205">
        <v>0.152</v>
      </c>
      <c r="AE193" s="314"/>
      <c r="AF193" s="105"/>
    </row>
    <row r="194" spans="1:32" s="110" customFormat="1" ht="24.95" customHeight="1" x14ac:dyDescent="0.15">
      <c r="A194" s="142" t="s">
        <v>894</v>
      </c>
      <c r="B194" s="142" t="s">
        <v>297</v>
      </c>
      <c r="C194" s="142" t="str">
        <f t="shared" si="50"/>
        <v>到期</v>
      </c>
      <c r="D194" s="103" t="s">
        <v>1844</v>
      </c>
      <c r="E194" s="142" t="s">
        <v>339</v>
      </c>
      <c r="F194" s="48">
        <v>43522</v>
      </c>
      <c r="G194" s="48">
        <v>43550</v>
      </c>
      <c r="H194" s="48" t="s">
        <v>1015</v>
      </c>
      <c r="I194" s="48" t="s">
        <v>222</v>
      </c>
      <c r="J194" s="142" t="s">
        <v>56</v>
      </c>
      <c r="K194" s="104">
        <v>200</v>
      </c>
      <c r="L194" s="104">
        <v>51800</v>
      </c>
      <c r="M194" s="105">
        <v>50000</v>
      </c>
      <c r="N194" s="104">
        <f t="shared" si="51"/>
        <v>207.52</v>
      </c>
      <c r="O194" s="104">
        <f t="shared" si="44"/>
        <v>41504</v>
      </c>
      <c r="P194" s="101" t="s">
        <v>545</v>
      </c>
      <c r="Q194" s="101" t="s">
        <v>546</v>
      </c>
      <c r="R194" s="105"/>
      <c r="S194" s="105"/>
      <c r="T194" s="144"/>
      <c r="U194" s="105">
        <v>48230</v>
      </c>
      <c r="V194" s="105">
        <v>0</v>
      </c>
      <c r="W194" s="144">
        <v>43550</v>
      </c>
      <c r="X194" s="104">
        <f t="shared" si="49"/>
        <v>41504</v>
      </c>
      <c r="Y194" s="198">
        <f t="shared" si="43"/>
        <v>10000000</v>
      </c>
      <c r="Z194" s="143"/>
      <c r="AA194" s="143" t="str">
        <f t="shared" si="52"/>
        <v>买入第9期</v>
      </c>
      <c r="AB194" s="203"/>
      <c r="AC194" s="321">
        <v>0.152</v>
      </c>
      <c r="AD194" s="205">
        <v>0.152</v>
      </c>
      <c r="AE194" s="314"/>
      <c r="AF194" s="105"/>
    </row>
    <row r="195" spans="1:32" s="110" customFormat="1" ht="24.95" customHeight="1" x14ac:dyDescent="0.15">
      <c r="A195" s="142" t="s">
        <v>248</v>
      </c>
      <c r="B195" s="142" t="s">
        <v>764</v>
      </c>
      <c r="C195" s="142" t="str">
        <f t="shared" si="50"/>
        <v>到期</v>
      </c>
      <c r="D195" s="103" t="s">
        <v>1844</v>
      </c>
      <c r="E195" s="142" t="s">
        <v>298</v>
      </c>
      <c r="F195" s="48">
        <v>43522</v>
      </c>
      <c r="G195" s="48">
        <v>43550</v>
      </c>
      <c r="H195" s="48" t="s">
        <v>1015</v>
      </c>
      <c r="I195" s="48" t="s">
        <v>222</v>
      </c>
      <c r="J195" s="142" t="s">
        <v>59</v>
      </c>
      <c r="K195" s="104">
        <v>200</v>
      </c>
      <c r="L195" s="104">
        <v>47800</v>
      </c>
      <c r="M195" s="105">
        <v>50000</v>
      </c>
      <c r="N195" s="104">
        <f t="shared" si="51"/>
        <v>207.52</v>
      </c>
      <c r="O195" s="104">
        <f t="shared" si="44"/>
        <v>41504</v>
      </c>
      <c r="P195" s="101" t="s">
        <v>547</v>
      </c>
      <c r="Q195" s="101" t="s">
        <v>546</v>
      </c>
      <c r="R195" s="105"/>
      <c r="S195" s="105"/>
      <c r="T195" s="144"/>
      <c r="U195" s="105">
        <v>48230</v>
      </c>
      <c r="V195" s="105">
        <v>0</v>
      </c>
      <c r="W195" s="144">
        <v>43550</v>
      </c>
      <c r="X195" s="104">
        <f t="shared" si="49"/>
        <v>41504</v>
      </c>
      <c r="Y195" s="198">
        <f t="shared" si="43"/>
        <v>10000000</v>
      </c>
      <c r="Z195" s="143"/>
      <c r="AA195" s="143" t="str">
        <f t="shared" si="52"/>
        <v>买入第9期</v>
      </c>
      <c r="AB195" s="203"/>
      <c r="AC195" s="321">
        <v>0.152</v>
      </c>
      <c r="AD195" s="205">
        <v>0.152</v>
      </c>
      <c r="AE195" s="314"/>
      <c r="AF195" s="105"/>
    </row>
    <row r="196" spans="1:32" s="110" customFormat="1" ht="24.95" customHeight="1" x14ac:dyDescent="0.15">
      <c r="A196" s="142" t="s">
        <v>248</v>
      </c>
      <c r="B196" s="142" t="s">
        <v>297</v>
      </c>
      <c r="C196" s="142" t="str">
        <f t="shared" si="50"/>
        <v>到期</v>
      </c>
      <c r="D196" s="103" t="s">
        <v>1845</v>
      </c>
      <c r="E196" s="142" t="s">
        <v>298</v>
      </c>
      <c r="F196" s="48">
        <v>43522</v>
      </c>
      <c r="G196" s="48">
        <v>43550</v>
      </c>
      <c r="H196" s="48" t="s">
        <v>1015</v>
      </c>
      <c r="I196" s="48" t="s">
        <v>222</v>
      </c>
      <c r="J196" s="142" t="s">
        <v>56</v>
      </c>
      <c r="K196" s="104">
        <v>200</v>
      </c>
      <c r="L196" s="104">
        <v>51800</v>
      </c>
      <c r="M196" s="105">
        <v>50000</v>
      </c>
      <c r="N196" s="104">
        <f t="shared" si="51"/>
        <v>207.52</v>
      </c>
      <c r="O196" s="104">
        <f t="shared" si="44"/>
        <v>41504</v>
      </c>
      <c r="P196" s="101" t="s">
        <v>548</v>
      </c>
      <c r="Q196" s="101" t="s">
        <v>549</v>
      </c>
      <c r="R196" s="105"/>
      <c r="S196" s="105"/>
      <c r="T196" s="144"/>
      <c r="U196" s="105">
        <v>48230</v>
      </c>
      <c r="V196" s="105">
        <v>0</v>
      </c>
      <c r="W196" s="144">
        <v>43550</v>
      </c>
      <c r="X196" s="104">
        <f t="shared" si="49"/>
        <v>41504</v>
      </c>
      <c r="Y196" s="198">
        <f t="shared" si="43"/>
        <v>10000000</v>
      </c>
      <c r="Z196" s="143"/>
      <c r="AA196" s="143" t="str">
        <f t="shared" si="52"/>
        <v>买入第9期</v>
      </c>
      <c r="AB196" s="203"/>
      <c r="AC196" s="321">
        <v>0.152</v>
      </c>
      <c r="AD196" s="205">
        <v>0.152</v>
      </c>
      <c r="AE196" s="314"/>
      <c r="AF196" s="105"/>
    </row>
    <row r="197" spans="1:32" s="110" customFormat="1" ht="24.95" customHeight="1" x14ac:dyDescent="0.15">
      <c r="A197" s="142" t="s">
        <v>248</v>
      </c>
      <c r="B197" s="142" t="s">
        <v>297</v>
      </c>
      <c r="C197" s="142" t="str">
        <f t="shared" si="50"/>
        <v>到期</v>
      </c>
      <c r="D197" s="103" t="s">
        <v>1845</v>
      </c>
      <c r="E197" s="142" t="s">
        <v>298</v>
      </c>
      <c r="F197" s="48">
        <v>43522</v>
      </c>
      <c r="G197" s="48">
        <v>43550</v>
      </c>
      <c r="H197" s="48" t="s">
        <v>1015</v>
      </c>
      <c r="I197" s="48" t="s">
        <v>222</v>
      </c>
      <c r="J197" s="142" t="s">
        <v>59</v>
      </c>
      <c r="K197" s="104">
        <v>200</v>
      </c>
      <c r="L197" s="104">
        <v>47800</v>
      </c>
      <c r="M197" s="105">
        <v>50000</v>
      </c>
      <c r="N197" s="104">
        <f t="shared" si="51"/>
        <v>207.52</v>
      </c>
      <c r="O197" s="104">
        <f t="shared" si="44"/>
        <v>41504</v>
      </c>
      <c r="P197" s="101" t="s">
        <v>550</v>
      </c>
      <c r="Q197" s="101" t="s">
        <v>549</v>
      </c>
      <c r="R197" s="105"/>
      <c r="S197" s="105"/>
      <c r="T197" s="144"/>
      <c r="U197" s="105">
        <v>48230</v>
      </c>
      <c r="V197" s="105">
        <v>0</v>
      </c>
      <c r="W197" s="144">
        <v>43550</v>
      </c>
      <c r="X197" s="104">
        <f t="shared" si="49"/>
        <v>41504</v>
      </c>
      <c r="Y197" s="198">
        <f t="shared" si="43"/>
        <v>10000000</v>
      </c>
      <c r="Z197" s="143"/>
      <c r="AA197" s="143" t="str">
        <f t="shared" si="52"/>
        <v>买入第9期</v>
      </c>
      <c r="AB197" s="203"/>
      <c r="AC197" s="321">
        <v>0.152</v>
      </c>
      <c r="AD197" s="205">
        <v>0.152</v>
      </c>
      <c r="AE197" s="314"/>
      <c r="AF197" s="105"/>
    </row>
    <row r="198" spans="1:32" s="110" customFormat="1" ht="24" customHeight="1" x14ac:dyDescent="0.15">
      <c r="A198" s="142" t="s">
        <v>244</v>
      </c>
      <c r="B198" s="142" t="s">
        <v>295</v>
      </c>
      <c r="C198" s="142" t="str">
        <f t="shared" si="50"/>
        <v>到期</v>
      </c>
      <c r="D198" s="123" t="s">
        <v>266</v>
      </c>
      <c r="E198" s="142" t="s">
        <v>255</v>
      </c>
      <c r="F198" s="144">
        <v>43522</v>
      </c>
      <c r="G198" s="144">
        <v>43539</v>
      </c>
      <c r="H198" s="143" t="s">
        <v>359</v>
      </c>
      <c r="I198" s="143" t="s">
        <v>38</v>
      </c>
      <c r="J198" s="142" t="s">
        <v>56</v>
      </c>
      <c r="K198" s="105">
        <v>10000</v>
      </c>
      <c r="L198" s="105">
        <v>648.5</v>
      </c>
      <c r="M198" s="105">
        <v>595</v>
      </c>
      <c r="N198" s="105">
        <v>1.61</v>
      </c>
      <c r="O198" s="105">
        <f t="shared" si="44"/>
        <v>16100.000000000002</v>
      </c>
      <c r="P198" s="101" t="s">
        <v>697</v>
      </c>
      <c r="Q198" s="101" t="s">
        <v>698</v>
      </c>
      <c r="R198" s="105"/>
      <c r="S198" s="105"/>
      <c r="T198" s="144"/>
      <c r="U198" s="105">
        <v>627</v>
      </c>
      <c r="V198" s="105">
        <v>0</v>
      </c>
      <c r="W198" s="144">
        <f t="shared" ref="W198:W206" si="53">G198</f>
        <v>43539</v>
      </c>
      <c r="X198" s="104">
        <f t="shared" si="49"/>
        <v>-16100.000000000002</v>
      </c>
      <c r="Y198" s="198">
        <f t="shared" si="43"/>
        <v>5950000</v>
      </c>
      <c r="Z198" s="143" t="str">
        <f t="shared" ref="Z198:Z207" si="54">IF(C198="存续",D198&amp;H198&amp;"-"&amp;AA198,"")</f>
        <v/>
      </c>
      <c r="AA198" s="143" t="s">
        <v>222</v>
      </c>
      <c r="AB198" s="203"/>
      <c r="AC198" s="321">
        <v>0.27600000000000002</v>
      </c>
      <c r="AD198" s="319"/>
      <c r="AE198" s="314"/>
      <c r="AF198" s="105"/>
    </row>
    <row r="199" spans="1:32" s="110" customFormat="1" ht="24" customHeight="1" x14ac:dyDescent="0.15">
      <c r="A199" s="142" t="s">
        <v>244</v>
      </c>
      <c r="B199" s="142" t="s">
        <v>295</v>
      </c>
      <c r="C199" s="142" t="str">
        <f t="shared" si="50"/>
        <v>到期</v>
      </c>
      <c r="D199" s="123" t="s">
        <v>1846</v>
      </c>
      <c r="E199" s="142" t="s">
        <v>340</v>
      </c>
      <c r="F199" s="144">
        <v>43523</v>
      </c>
      <c r="G199" s="144">
        <v>43553</v>
      </c>
      <c r="H199" s="143" t="s">
        <v>317</v>
      </c>
      <c r="I199" s="143" t="s">
        <v>318</v>
      </c>
      <c r="J199" s="142" t="s">
        <v>22</v>
      </c>
      <c r="K199" s="105">
        <v>500</v>
      </c>
      <c r="L199" s="106">
        <v>13456.8</v>
      </c>
      <c r="M199" s="105">
        <v>12460</v>
      </c>
      <c r="N199" s="105">
        <v>62.99</v>
      </c>
      <c r="O199" s="105">
        <f t="shared" si="44"/>
        <v>31495</v>
      </c>
      <c r="P199" s="101" t="s">
        <v>564</v>
      </c>
      <c r="Q199" s="101" t="s">
        <v>568</v>
      </c>
      <c r="R199" s="105"/>
      <c r="S199" s="105"/>
      <c r="T199" s="144"/>
      <c r="U199" s="105">
        <v>11245</v>
      </c>
      <c r="V199" s="105">
        <v>0</v>
      </c>
      <c r="W199" s="144">
        <f t="shared" si="53"/>
        <v>43553</v>
      </c>
      <c r="X199" s="104">
        <f t="shared" si="49"/>
        <v>-31495</v>
      </c>
      <c r="Y199" s="198">
        <f t="shared" si="43"/>
        <v>6230000</v>
      </c>
      <c r="Z199" s="143" t="str">
        <f t="shared" si="54"/>
        <v/>
      </c>
      <c r="AA199" s="143" t="str">
        <f>IF(I199="买入","卖出","买入")</f>
        <v>卖出</v>
      </c>
      <c r="AB199" s="203"/>
      <c r="AC199" s="321">
        <v>0.23499999999999999</v>
      </c>
      <c r="AD199" s="319"/>
      <c r="AE199" s="314"/>
      <c r="AF199" s="105"/>
    </row>
    <row r="200" spans="1:32" s="110" customFormat="1" ht="24" customHeight="1" x14ac:dyDescent="0.15">
      <c r="A200" s="142" t="s">
        <v>244</v>
      </c>
      <c r="B200" s="142" t="s">
        <v>295</v>
      </c>
      <c r="C200" s="142" t="str">
        <f t="shared" si="50"/>
        <v>到期</v>
      </c>
      <c r="D200" s="123" t="s">
        <v>1846</v>
      </c>
      <c r="E200" s="142" t="s">
        <v>255</v>
      </c>
      <c r="F200" s="144">
        <v>43523</v>
      </c>
      <c r="G200" s="144">
        <v>43553</v>
      </c>
      <c r="H200" s="143" t="s">
        <v>317</v>
      </c>
      <c r="I200" s="143" t="s">
        <v>318</v>
      </c>
      <c r="J200" s="142" t="s">
        <v>25</v>
      </c>
      <c r="K200" s="105">
        <v>500</v>
      </c>
      <c r="L200" s="105">
        <v>11587.8</v>
      </c>
      <c r="M200" s="105">
        <v>12460</v>
      </c>
      <c r="N200" s="105">
        <v>66.099999999999994</v>
      </c>
      <c r="O200" s="105">
        <f t="shared" si="44"/>
        <v>33050</v>
      </c>
      <c r="P200" s="101" t="s">
        <v>564</v>
      </c>
      <c r="Q200" s="101" t="s">
        <v>568</v>
      </c>
      <c r="R200" s="105"/>
      <c r="S200" s="105"/>
      <c r="T200" s="144"/>
      <c r="U200" s="105">
        <v>11245</v>
      </c>
      <c r="V200" s="105">
        <f>(11587.8-11245)*500</f>
        <v>171399.99999999965</v>
      </c>
      <c r="W200" s="144">
        <f t="shared" si="53"/>
        <v>43553</v>
      </c>
      <c r="X200" s="104">
        <f t="shared" si="49"/>
        <v>138349.99999999965</v>
      </c>
      <c r="Y200" s="198">
        <f t="shared" si="43"/>
        <v>6230000</v>
      </c>
      <c r="Z200" s="143" t="str">
        <f t="shared" si="54"/>
        <v/>
      </c>
      <c r="AA200" s="143" t="str">
        <f>IF(I200="买入","卖出","买入")</f>
        <v>卖出</v>
      </c>
      <c r="AB200" s="203"/>
      <c r="AC200" s="321">
        <v>0.23499999999999999</v>
      </c>
      <c r="AD200" s="319"/>
      <c r="AE200" s="314"/>
      <c r="AF200" s="105"/>
    </row>
    <row r="201" spans="1:32" s="110" customFormat="1" ht="24" customHeight="1" x14ac:dyDescent="0.15">
      <c r="A201" s="142" t="s">
        <v>244</v>
      </c>
      <c r="B201" s="142" t="s">
        <v>295</v>
      </c>
      <c r="C201" s="142" t="str">
        <f t="shared" si="50"/>
        <v>到期</v>
      </c>
      <c r="D201" s="123" t="s">
        <v>266</v>
      </c>
      <c r="E201" s="142" t="s">
        <v>255</v>
      </c>
      <c r="F201" s="144">
        <v>43528</v>
      </c>
      <c r="G201" s="144">
        <v>43536</v>
      </c>
      <c r="H201" s="143" t="s">
        <v>755</v>
      </c>
      <c r="I201" s="143" t="s">
        <v>38</v>
      </c>
      <c r="J201" s="142" t="s">
        <v>59</v>
      </c>
      <c r="K201" s="105">
        <v>1000</v>
      </c>
      <c r="L201" s="105">
        <v>8682</v>
      </c>
      <c r="M201" s="105">
        <v>8770</v>
      </c>
      <c r="N201" s="105">
        <v>36.29</v>
      </c>
      <c r="O201" s="105">
        <f t="shared" si="44"/>
        <v>36290</v>
      </c>
      <c r="P201" s="101" t="s">
        <v>699</v>
      </c>
      <c r="Q201" s="101" t="s">
        <v>374</v>
      </c>
      <c r="R201" s="105"/>
      <c r="S201" s="105"/>
      <c r="T201" s="144"/>
      <c r="U201" s="105">
        <v>8680</v>
      </c>
      <c r="V201" s="105">
        <f>(L201-U201)*1000</f>
        <v>2000</v>
      </c>
      <c r="W201" s="144">
        <f t="shared" si="53"/>
        <v>43536</v>
      </c>
      <c r="X201" s="104">
        <f t="shared" si="49"/>
        <v>-34290</v>
      </c>
      <c r="Y201" s="198">
        <f t="shared" si="43"/>
        <v>8770000</v>
      </c>
      <c r="Z201" s="143" t="str">
        <f t="shared" si="54"/>
        <v/>
      </c>
      <c r="AA201" s="143" t="s">
        <v>222</v>
      </c>
      <c r="AB201" s="203"/>
      <c r="AC201" s="321">
        <v>0.13100000000000001</v>
      </c>
      <c r="AD201" s="319"/>
      <c r="AE201" s="314"/>
      <c r="AF201" s="105"/>
    </row>
    <row r="202" spans="1:32" s="110" customFormat="1" ht="24" customHeight="1" x14ac:dyDescent="0.15">
      <c r="A202" s="142" t="s">
        <v>244</v>
      </c>
      <c r="B202" s="142" t="s">
        <v>295</v>
      </c>
      <c r="C202" s="142" t="str">
        <f t="shared" si="50"/>
        <v>到期</v>
      </c>
      <c r="D202" s="123" t="s">
        <v>1846</v>
      </c>
      <c r="E202" s="142" t="s">
        <v>255</v>
      </c>
      <c r="F202" s="144">
        <v>43528</v>
      </c>
      <c r="G202" s="144">
        <v>43546</v>
      </c>
      <c r="H202" s="143" t="s">
        <v>319</v>
      </c>
      <c r="I202" s="143" t="s">
        <v>241</v>
      </c>
      <c r="J202" s="142" t="s">
        <v>22</v>
      </c>
      <c r="K202" s="105">
        <v>1500</v>
      </c>
      <c r="L202" s="105">
        <v>3664.86</v>
      </c>
      <c r="M202" s="105">
        <v>3593</v>
      </c>
      <c r="N202" s="105">
        <v>13.65</v>
      </c>
      <c r="O202" s="105">
        <f t="shared" si="44"/>
        <v>20475</v>
      </c>
      <c r="P202" s="101" t="s">
        <v>320</v>
      </c>
      <c r="Q202" s="101" t="s">
        <v>378</v>
      </c>
      <c r="R202" s="105"/>
      <c r="S202" s="105"/>
      <c r="T202" s="144"/>
      <c r="U202" s="105">
        <v>3641</v>
      </c>
      <c r="V202" s="105">
        <v>0</v>
      </c>
      <c r="W202" s="144">
        <f t="shared" si="53"/>
        <v>43546</v>
      </c>
      <c r="X202" s="104">
        <f t="shared" si="49"/>
        <v>-20475</v>
      </c>
      <c r="Y202" s="198">
        <f t="shared" si="43"/>
        <v>5389500</v>
      </c>
      <c r="Z202" s="143" t="str">
        <f t="shared" si="54"/>
        <v/>
      </c>
      <c r="AA202" s="143" t="str">
        <f>IF(I202="买入","卖出","买入")</f>
        <v>卖出</v>
      </c>
      <c r="AB202" s="203"/>
      <c r="AC202" s="321">
        <v>0.115</v>
      </c>
      <c r="AD202" s="319"/>
      <c r="AE202" s="314"/>
      <c r="AF202" s="105"/>
    </row>
    <row r="203" spans="1:32" s="110" customFormat="1" ht="24" customHeight="1" x14ac:dyDescent="0.15">
      <c r="A203" s="142" t="s">
        <v>244</v>
      </c>
      <c r="B203" s="142" t="s">
        <v>295</v>
      </c>
      <c r="C203" s="142" t="str">
        <f t="shared" si="50"/>
        <v>到期</v>
      </c>
      <c r="D203" s="123" t="s">
        <v>1846</v>
      </c>
      <c r="E203" s="142" t="s">
        <v>255</v>
      </c>
      <c r="F203" s="144">
        <v>43529</v>
      </c>
      <c r="G203" s="144">
        <v>43558</v>
      </c>
      <c r="H203" s="143" t="s">
        <v>321</v>
      </c>
      <c r="I203" s="143" t="s">
        <v>318</v>
      </c>
      <c r="J203" s="142" t="s">
        <v>22</v>
      </c>
      <c r="K203" s="105">
        <v>2500</v>
      </c>
      <c r="L203" s="105">
        <v>1872.54</v>
      </c>
      <c r="M203" s="105">
        <v>1818</v>
      </c>
      <c r="N203" s="105">
        <v>4.3</v>
      </c>
      <c r="O203" s="105">
        <f t="shared" si="44"/>
        <v>10750</v>
      </c>
      <c r="P203" s="101" t="s">
        <v>322</v>
      </c>
      <c r="Q203" s="101" t="s">
        <v>640</v>
      </c>
      <c r="R203" s="105"/>
      <c r="S203" s="105"/>
      <c r="T203" s="144"/>
      <c r="U203" s="105">
        <v>1826</v>
      </c>
      <c r="V203" s="105">
        <v>0</v>
      </c>
      <c r="W203" s="144">
        <f t="shared" si="53"/>
        <v>43558</v>
      </c>
      <c r="X203" s="104">
        <f t="shared" si="49"/>
        <v>-10750</v>
      </c>
      <c r="Y203" s="198">
        <f t="shared" si="43"/>
        <v>4545000</v>
      </c>
      <c r="Z203" s="143" t="str">
        <f t="shared" si="54"/>
        <v/>
      </c>
      <c r="AA203" s="143" t="str">
        <f>IF(I203="买入","卖出","买入")</f>
        <v>卖出</v>
      </c>
      <c r="AB203" s="203"/>
      <c r="AC203" s="321">
        <v>9.9500000000000005E-2</v>
      </c>
      <c r="AD203" s="319"/>
      <c r="AE203" s="314"/>
      <c r="AF203" s="105"/>
    </row>
    <row r="204" spans="1:32" s="110" customFormat="1" ht="24" customHeight="1" x14ac:dyDescent="0.15">
      <c r="A204" s="142" t="s">
        <v>244</v>
      </c>
      <c r="B204" s="142" t="s">
        <v>295</v>
      </c>
      <c r="C204" s="142" t="str">
        <f t="shared" si="50"/>
        <v>到期</v>
      </c>
      <c r="D204" s="123" t="s">
        <v>1846</v>
      </c>
      <c r="E204" s="142" t="s">
        <v>255</v>
      </c>
      <c r="F204" s="144">
        <v>43529</v>
      </c>
      <c r="G204" s="144">
        <v>43558</v>
      </c>
      <c r="H204" s="143" t="s">
        <v>321</v>
      </c>
      <c r="I204" s="143" t="s">
        <v>318</v>
      </c>
      <c r="J204" s="142" t="s">
        <v>25</v>
      </c>
      <c r="K204" s="105">
        <v>2500</v>
      </c>
      <c r="L204" s="106">
        <v>1763.46</v>
      </c>
      <c r="M204" s="105">
        <v>1818</v>
      </c>
      <c r="N204" s="105">
        <v>3.94</v>
      </c>
      <c r="O204" s="105">
        <f t="shared" si="44"/>
        <v>9850</v>
      </c>
      <c r="P204" s="101" t="s">
        <v>322</v>
      </c>
      <c r="Q204" s="101" t="s">
        <v>641</v>
      </c>
      <c r="R204" s="105"/>
      <c r="S204" s="105"/>
      <c r="T204" s="144"/>
      <c r="U204" s="105">
        <v>1826</v>
      </c>
      <c r="V204" s="105">
        <v>0</v>
      </c>
      <c r="W204" s="144">
        <f t="shared" si="53"/>
        <v>43558</v>
      </c>
      <c r="X204" s="104">
        <f t="shared" si="49"/>
        <v>-9850</v>
      </c>
      <c r="Y204" s="198">
        <f t="shared" si="43"/>
        <v>4545000</v>
      </c>
      <c r="Z204" s="143" t="str">
        <f t="shared" si="54"/>
        <v/>
      </c>
      <c r="AA204" s="143" t="str">
        <f>IF(I204="买入","卖出","买入")</f>
        <v>卖出</v>
      </c>
      <c r="AB204" s="203"/>
      <c r="AC204" s="321">
        <v>9.9500000000000005E-2</v>
      </c>
      <c r="AD204" s="319"/>
      <c r="AE204" s="314"/>
      <c r="AF204" s="105"/>
    </row>
    <row r="205" spans="1:32" s="110" customFormat="1" ht="24" customHeight="1" x14ac:dyDescent="0.15">
      <c r="A205" s="142" t="s">
        <v>244</v>
      </c>
      <c r="B205" s="142" t="s">
        <v>295</v>
      </c>
      <c r="C205" s="142" t="str">
        <f t="shared" si="50"/>
        <v>到期</v>
      </c>
      <c r="D205" s="123" t="s">
        <v>266</v>
      </c>
      <c r="E205" s="142" t="s">
        <v>255</v>
      </c>
      <c r="F205" s="144">
        <v>43529</v>
      </c>
      <c r="G205" s="144">
        <v>43546</v>
      </c>
      <c r="H205" s="143" t="s">
        <v>323</v>
      </c>
      <c r="I205" s="143" t="s">
        <v>38</v>
      </c>
      <c r="J205" s="142" t="s">
        <v>56</v>
      </c>
      <c r="K205" s="105">
        <v>1500</v>
      </c>
      <c r="L205" s="105">
        <v>3585.5</v>
      </c>
      <c r="M205" s="105">
        <v>3550</v>
      </c>
      <c r="N205" s="105">
        <v>22.01</v>
      </c>
      <c r="O205" s="105">
        <f t="shared" si="44"/>
        <v>33015</v>
      </c>
      <c r="P205" s="101" t="s">
        <v>700</v>
      </c>
      <c r="Q205" s="101" t="s">
        <v>701</v>
      </c>
      <c r="R205" s="105"/>
      <c r="S205" s="105"/>
      <c r="T205" s="144"/>
      <c r="U205" s="105">
        <v>3641</v>
      </c>
      <c r="V205" s="105">
        <f>(3641-3585.5)*1500</f>
        <v>83250</v>
      </c>
      <c r="W205" s="144">
        <f t="shared" si="53"/>
        <v>43546</v>
      </c>
      <c r="X205" s="104">
        <f t="shared" si="49"/>
        <v>50235</v>
      </c>
      <c r="Y205" s="198">
        <f t="shared" si="43"/>
        <v>5325000</v>
      </c>
      <c r="Z205" s="143" t="str">
        <f t="shared" si="54"/>
        <v/>
      </c>
      <c r="AA205" s="143" t="s">
        <v>222</v>
      </c>
      <c r="AB205" s="203"/>
      <c r="AC205" s="321">
        <v>0.113</v>
      </c>
      <c r="AD205" s="319"/>
      <c r="AE205" s="314"/>
      <c r="AF205" s="105"/>
    </row>
    <row r="206" spans="1:32" s="110" customFormat="1" ht="24" customHeight="1" x14ac:dyDescent="0.15">
      <c r="A206" s="142" t="s">
        <v>244</v>
      </c>
      <c r="B206" s="142" t="s">
        <v>295</v>
      </c>
      <c r="C206" s="142" t="str">
        <f t="shared" si="50"/>
        <v>到期</v>
      </c>
      <c r="D206" s="123" t="s">
        <v>266</v>
      </c>
      <c r="E206" s="142" t="s">
        <v>255</v>
      </c>
      <c r="F206" s="144">
        <v>43529</v>
      </c>
      <c r="G206" s="144">
        <v>43539</v>
      </c>
      <c r="H206" s="143" t="s">
        <v>324</v>
      </c>
      <c r="I206" s="143" t="s">
        <v>38</v>
      </c>
      <c r="J206" s="142" t="s">
        <v>56</v>
      </c>
      <c r="K206" s="105">
        <v>5000</v>
      </c>
      <c r="L206" s="105">
        <v>452.5</v>
      </c>
      <c r="M206" s="105">
        <v>435.1</v>
      </c>
      <c r="N206" s="105">
        <v>1.81</v>
      </c>
      <c r="O206" s="105">
        <f t="shared" si="44"/>
        <v>9050</v>
      </c>
      <c r="P206" s="101" t="s">
        <v>702</v>
      </c>
      <c r="Q206" s="101" t="s">
        <v>703</v>
      </c>
      <c r="R206" s="105"/>
      <c r="S206" s="105"/>
      <c r="T206" s="144"/>
      <c r="U206" s="105">
        <v>455</v>
      </c>
      <c r="V206" s="105">
        <f>(455-452.5)*5000</f>
        <v>12500</v>
      </c>
      <c r="W206" s="144">
        <f t="shared" si="53"/>
        <v>43539</v>
      </c>
      <c r="X206" s="104">
        <f t="shared" si="49"/>
        <v>3450</v>
      </c>
      <c r="Y206" s="198">
        <f t="shared" si="43"/>
        <v>2175500</v>
      </c>
      <c r="Z206" s="143" t="str">
        <f t="shared" si="54"/>
        <v/>
      </c>
      <c r="AA206" s="143" t="s">
        <v>222</v>
      </c>
      <c r="AB206" s="203"/>
      <c r="AC206" s="321">
        <v>0.23499999999999999</v>
      </c>
      <c r="AD206" s="319"/>
      <c r="AE206" s="314"/>
      <c r="AF206" s="105"/>
    </row>
    <row r="207" spans="1:32" s="110" customFormat="1" ht="24" customHeight="1" x14ac:dyDescent="0.15">
      <c r="A207" s="142" t="s">
        <v>248</v>
      </c>
      <c r="B207" s="142" t="s">
        <v>297</v>
      </c>
      <c r="C207" s="142" t="str">
        <f t="shared" si="50"/>
        <v>到期</v>
      </c>
      <c r="D207" s="103" t="s">
        <v>1841</v>
      </c>
      <c r="E207" s="142" t="s">
        <v>339</v>
      </c>
      <c r="F207" s="48">
        <v>43529</v>
      </c>
      <c r="G207" s="48">
        <v>43557</v>
      </c>
      <c r="H207" s="48" t="s">
        <v>1015</v>
      </c>
      <c r="I207" s="48" t="s">
        <v>222</v>
      </c>
      <c r="J207" s="142" t="s">
        <v>56</v>
      </c>
      <c r="K207" s="104">
        <v>200</v>
      </c>
      <c r="L207" s="104">
        <v>51500</v>
      </c>
      <c r="M207" s="105">
        <v>49500</v>
      </c>
      <c r="N207" s="104">
        <f t="shared" ref="N207:N216" si="55">410.89/2</f>
        <v>205.44499999999999</v>
      </c>
      <c r="O207" s="104">
        <f t="shared" si="44"/>
        <v>41089</v>
      </c>
      <c r="P207" s="101" t="s">
        <v>551</v>
      </c>
      <c r="Q207" s="101" t="s">
        <v>406</v>
      </c>
      <c r="R207" s="105"/>
      <c r="S207" s="105"/>
      <c r="T207" s="144"/>
      <c r="U207" s="105">
        <v>49270</v>
      </c>
      <c r="V207" s="105">
        <v>0</v>
      </c>
      <c r="W207" s="144">
        <v>43557</v>
      </c>
      <c r="X207" s="104">
        <f t="shared" si="49"/>
        <v>41089</v>
      </c>
      <c r="Y207" s="198">
        <f t="shared" si="43"/>
        <v>9900000</v>
      </c>
      <c r="Z207" s="143" t="str">
        <f t="shared" si="54"/>
        <v/>
      </c>
      <c r="AA207" s="143" t="str">
        <f t="shared" ref="AA207:AA216" si="56">IF(I207="买入","卖出","买入第10期")</f>
        <v>买入第10期</v>
      </c>
      <c r="AB207" s="203"/>
      <c r="AC207" s="321">
        <v>0.152</v>
      </c>
      <c r="AD207" s="205">
        <v>0.152</v>
      </c>
      <c r="AE207" s="314"/>
      <c r="AF207" s="105"/>
    </row>
    <row r="208" spans="1:32" s="110" customFormat="1" ht="24" customHeight="1" x14ac:dyDescent="0.15">
      <c r="A208" s="142" t="s">
        <v>894</v>
      </c>
      <c r="B208" s="142" t="s">
        <v>297</v>
      </c>
      <c r="C208" s="142" t="str">
        <f t="shared" si="50"/>
        <v>到期</v>
      </c>
      <c r="D208" s="103" t="s">
        <v>1841</v>
      </c>
      <c r="E208" s="142" t="s">
        <v>298</v>
      </c>
      <c r="F208" s="48">
        <v>43529</v>
      </c>
      <c r="G208" s="48">
        <v>43557</v>
      </c>
      <c r="H208" s="48" t="s">
        <v>1015</v>
      </c>
      <c r="I208" s="48" t="s">
        <v>222</v>
      </c>
      <c r="J208" s="142" t="s">
        <v>59</v>
      </c>
      <c r="K208" s="104">
        <v>200</v>
      </c>
      <c r="L208" s="104">
        <v>47540</v>
      </c>
      <c r="M208" s="105">
        <v>49500</v>
      </c>
      <c r="N208" s="104">
        <f t="shared" si="55"/>
        <v>205.44499999999999</v>
      </c>
      <c r="O208" s="104">
        <f t="shared" si="44"/>
        <v>41089</v>
      </c>
      <c r="P208" s="101" t="s">
        <v>551</v>
      </c>
      <c r="Q208" s="101" t="s">
        <v>406</v>
      </c>
      <c r="R208" s="105"/>
      <c r="S208" s="105"/>
      <c r="T208" s="144"/>
      <c r="U208" s="105">
        <v>49270</v>
      </c>
      <c r="V208" s="105">
        <v>0</v>
      </c>
      <c r="W208" s="144">
        <v>43557</v>
      </c>
      <c r="X208" s="104">
        <f t="shared" si="49"/>
        <v>41089</v>
      </c>
      <c r="Y208" s="198">
        <f t="shared" si="43"/>
        <v>9900000</v>
      </c>
      <c r="Z208" s="143"/>
      <c r="AA208" s="143" t="str">
        <f t="shared" si="56"/>
        <v>买入第10期</v>
      </c>
      <c r="AB208" s="203"/>
      <c r="AC208" s="321">
        <v>0.152</v>
      </c>
      <c r="AD208" s="205">
        <v>0.152</v>
      </c>
      <c r="AE208" s="314"/>
      <c r="AF208" s="105"/>
    </row>
    <row r="209" spans="1:32" s="110" customFormat="1" ht="24" customHeight="1" x14ac:dyDescent="0.15">
      <c r="A209" s="142" t="s">
        <v>894</v>
      </c>
      <c r="B209" s="142" t="s">
        <v>297</v>
      </c>
      <c r="C209" s="142" t="str">
        <f t="shared" si="50"/>
        <v>到期</v>
      </c>
      <c r="D209" s="103" t="s">
        <v>1842</v>
      </c>
      <c r="E209" s="142" t="s">
        <v>298</v>
      </c>
      <c r="F209" s="48">
        <v>43529</v>
      </c>
      <c r="G209" s="48">
        <v>43557</v>
      </c>
      <c r="H209" s="48" t="s">
        <v>1015</v>
      </c>
      <c r="I209" s="48" t="s">
        <v>222</v>
      </c>
      <c r="J209" s="142" t="s">
        <v>56</v>
      </c>
      <c r="K209" s="104">
        <v>200</v>
      </c>
      <c r="L209" s="104">
        <v>51500</v>
      </c>
      <c r="M209" s="105">
        <v>49500</v>
      </c>
      <c r="N209" s="104">
        <f t="shared" si="55"/>
        <v>205.44499999999999</v>
      </c>
      <c r="O209" s="104">
        <f t="shared" si="44"/>
        <v>41089</v>
      </c>
      <c r="P209" s="101" t="s">
        <v>552</v>
      </c>
      <c r="Q209" s="101" t="s">
        <v>553</v>
      </c>
      <c r="R209" s="105"/>
      <c r="S209" s="105"/>
      <c r="T209" s="144"/>
      <c r="U209" s="105">
        <v>49270</v>
      </c>
      <c r="V209" s="105">
        <v>0</v>
      </c>
      <c r="W209" s="144">
        <v>43557</v>
      </c>
      <c r="X209" s="104">
        <f t="shared" si="49"/>
        <v>41089</v>
      </c>
      <c r="Y209" s="198">
        <f t="shared" si="43"/>
        <v>9900000</v>
      </c>
      <c r="Z209" s="143"/>
      <c r="AA209" s="143" t="str">
        <f t="shared" si="56"/>
        <v>买入第10期</v>
      </c>
      <c r="AB209" s="203"/>
      <c r="AC209" s="321">
        <v>0.152</v>
      </c>
      <c r="AD209" s="205">
        <v>0.152</v>
      </c>
      <c r="AE209" s="314"/>
      <c r="AF209" s="105"/>
    </row>
    <row r="210" spans="1:32" s="110" customFormat="1" ht="24" customHeight="1" x14ac:dyDescent="0.15">
      <c r="A210" s="142" t="s">
        <v>894</v>
      </c>
      <c r="B210" s="142" t="s">
        <v>297</v>
      </c>
      <c r="C210" s="142" t="str">
        <f t="shared" si="50"/>
        <v>到期</v>
      </c>
      <c r="D210" s="103" t="s">
        <v>1842</v>
      </c>
      <c r="E210" s="142" t="s">
        <v>298</v>
      </c>
      <c r="F210" s="48">
        <v>43529</v>
      </c>
      <c r="G210" s="48">
        <v>43557</v>
      </c>
      <c r="H210" s="48" t="s">
        <v>1015</v>
      </c>
      <c r="I210" s="48" t="s">
        <v>222</v>
      </c>
      <c r="J210" s="142" t="s">
        <v>59</v>
      </c>
      <c r="K210" s="104">
        <v>200</v>
      </c>
      <c r="L210" s="104">
        <v>47540</v>
      </c>
      <c r="M210" s="105">
        <v>49500</v>
      </c>
      <c r="N210" s="104">
        <f t="shared" si="55"/>
        <v>205.44499999999999</v>
      </c>
      <c r="O210" s="104">
        <f t="shared" si="44"/>
        <v>41089</v>
      </c>
      <c r="P210" s="101" t="s">
        <v>552</v>
      </c>
      <c r="Q210" s="101" t="s">
        <v>553</v>
      </c>
      <c r="R210" s="105"/>
      <c r="S210" s="105"/>
      <c r="T210" s="144"/>
      <c r="U210" s="105">
        <v>49270</v>
      </c>
      <c r="V210" s="105">
        <v>0</v>
      </c>
      <c r="W210" s="144">
        <v>43557</v>
      </c>
      <c r="X210" s="104">
        <f t="shared" si="49"/>
        <v>41089</v>
      </c>
      <c r="Y210" s="198">
        <f t="shared" si="43"/>
        <v>9900000</v>
      </c>
      <c r="Z210" s="143"/>
      <c r="AA210" s="143" t="str">
        <f t="shared" si="56"/>
        <v>买入第10期</v>
      </c>
      <c r="AB210" s="203"/>
      <c r="AC210" s="321">
        <v>0.152</v>
      </c>
      <c r="AD210" s="205">
        <v>0.152</v>
      </c>
      <c r="AE210" s="314"/>
      <c r="AF210" s="105"/>
    </row>
    <row r="211" spans="1:32" s="110" customFormat="1" ht="24" customHeight="1" x14ac:dyDescent="0.15">
      <c r="A211" s="142" t="s">
        <v>248</v>
      </c>
      <c r="B211" s="120" t="s">
        <v>764</v>
      </c>
      <c r="C211" s="142" t="str">
        <f t="shared" si="50"/>
        <v>到期</v>
      </c>
      <c r="D211" s="103" t="s">
        <v>1843</v>
      </c>
      <c r="E211" s="142" t="s">
        <v>338</v>
      </c>
      <c r="F211" s="48">
        <v>43529</v>
      </c>
      <c r="G211" s="48">
        <v>43557</v>
      </c>
      <c r="H211" s="48" t="s">
        <v>1015</v>
      </c>
      <c r="I211" s="48" t="s">
        <v>222</v>
      </c>
      <c r="J211" s="142" t="s">
        <v>56</v>
      </c>
      <c r="K211" s="104">
        <v>200</v>
      </c>
      <c r="L211" s="104">
        <v>51500</v>
      </c>
      <c r="M211" s="105">
        <v>49500</v>
      </c>
      <c r="N211" s="104">
        <f t="shared" si="55"/>
        <v>205.44499999999999</v>
      </c>
      <c r="O211" s="104">
        <f t="shared" si="44"/>
        <v>41089</v>
      </c>
      <c r="P211" s="101" t="s">
        <v>326</v>
      </c>
      <c r="Q211" s="101" t="s">
        <v>554</v>
      </c>
      <c r="R211" s="105"/>
      <c r="S211" s="105"/>
      <c r="T211" s="144"/>
      <c r="U211" s="105">
        <v>49270</v>
      </c>
      <c r="V211" s="105">
        <v>0</v>
      </c>
      <c r="W211" s="144">
        <v>43557</v>
      </c>
      <c r="X211" s="104">
        <f t="shared" si="49"/>
        <v>41089</v>
      </c>
      <c r="Y211" s="198">
        <f t="shared" si="43"/>
        <v>9900000</v>
      </c>
      <c r="Z211" s="143"/>
      <c r="AA211" s="143" t="str">
        <f t="shared" si="56"/>
        <v>买入第10期</v>
      </c>
      <c r="AB211" s="203"/>
      <c r="AC211" s="321">
        <v>0.152</v>
      </c>
      <c r="AD211" s="205">
        <v>0.152</v>
      </c>
      <c r="AE211" s="314"/>
      <c r="AF211" s="105"/>
    </row>
    <row r="212" spans="1:32" s="110" customFormat="1" ht="24" customHeight="1" x14ac:dyDescent="0.15">
      <c r="A212" s="142" t="s">
        <v>894</v>
      </c>
      <c r="B212" s="120" t="s">
        <v>297</v>
      </c>
      <c r="C212" s="142" t="str">
        <f t="shared" si="50"/>
        <v>到期</v>
      </c>
      <c r="D212" s="103" t="s">
        <v>1843</v>
      </c>
      <c r="E212" s="142" t="s">
        <v>298</v>
      </c>
      <c r="F212" s="48">
        <v>43529</v>
      </c>
      <c r="G212" s="48">
        <v>43557</v>
      </c>
      <c r="H212" s="48" t="s">
        <v>1015</v>
      </c>
      <c r="I212" s="48" t="s">
        <v>222</v>
      </c>
      <c r="J212" s="142" t="s">
        <v>59</v>
      </c>
      <c r="K212" s="104">
        <v>200</v>
      </c>
      <c r="L212" s="104">
        <v>47540</v>
      </c>
      <c r="M212" s="105">
        <v>49500</v>
      </c>
      <c r="N212" s="104">
        <f t="shared" si="55"/>
        <v>205.44499999999999</v>
      </c>
      <c r="O212" s="104">
        <f t="shared" si="44"/>
        <v>41089</v>
      </c>
      <c r="P212" s="101" t="s">
        <v>326</v>
      </c>
      <c r="Q212" s="101" t="s">
        <v>554</v>
      </c>
      <c r="R212" s="105"/>
      <c r="S212" s="105"/>
      <c r="T212" s="144"/>
      <c r="U212" s="105">
        <v>49270</v>
      </c>
      <c r="V212" s="105">
        <v>0</v>
      </c>
      <c r="W212" s="144">
        <v>43557</v>
      </c>
      <c r="X212" s="104">
        <f t="shared" si="49"/>
        <v>41089</v>
      </c>
      <c r="Y212" s="198">
        <f t="shared" si="43"/>
        <v>9900000</v>
      </c>
      <c r="Z212" s="143"/>
      <c r="AA212" s="143" t="str">
        <f t="shared" si="56"/>
        <v>买入第10期</v>
      </c>
      <c r="AB212" s="203"/>
      <c r="AC212" s="321">
        <v>0.152</v>
      </c>
      <c r="AD212" s="205">
        <v>0.152</v>
      </c>
      <c r="AE212" s="314"/>
      <c r="AF212" s="105"/>
    </row>
    <row r="213" spans="1:32" s="110" customFormat="1" ht="24" customHeight="1" x14ac:dyDescent="0.15">
      <c r="A213" s="142" t="s">
        <v>894</v>
      </c>
      <c r="B213" s="142" t="s">
        <v>297</v>
      </c>
      <c r="C213" s="142" t="str">
        <f t="shared" si="50"/>
        <v>到期</v>
      </c>
      <c r="D213" s="103" t="s">
        <v>1844</v>
      </c>
      <c r="E213" s="142" t="s">
        <v>298</v>
      </c>
      <c r="F213" s="48">
        <v>43529</v>
      </c>
      <c r="G213" s="48">
        <v>43557</v>
      </c>
      <c r="H213" s="48" t="s">
        <v>1015</v>
      </c>
      <c r="I213" s="48" t="s">
        <v>222</v>
      </c>
      <c r="J213" s="142" t="s">
        <v>56</v>
      </c>
      <c r="K213" s="104">
        <v>200</v>
      </c>
      <c r="L213" s="104">
        <v>51500</v>
      </c>
      <c r="M213" s="105">
        <v>49500</v>
      </c>
      <c r="N213" s="104">
        <f t="shared" si="55"/>
        <v>205.44499999999999</v>
      </c>
      <c r="O213" s="104">
        <f t="shared" si="44"/>
        <v>41089</v>
      </c>
      <c r="P213" s="101" t="s">
        <v>555</v>
      </c>
      <c r="Q213" s="101" t="s">
        <v>556</v>
      </c>
      <c r="R213" s="105"/>
      <c r="S213" s="105"/>
      <c r="T213" s="144"/>
      <c r="U213" s="105">
        <v>49270</v>
      </c>
      <c r="V213" s="105">
        <v>0</v>
      </c>
      <c r="W213" s="144">
        <v>43557</v>
      </c>
      <c r="X213" s="104">
        <f t="shared" si="49"/>
        <v>41089</v>
      </c>
      <c r="Y213" s="198">
        <f t="shared" si="43"/>
        <v>9900000</v>
      </c>
      <c r="Z213" s="143"/>
      <c r="AA213" s="143" t="str">
        <f t="shared" si="56"/>
        <v>买入第10期</v>
      </c>
      <c r="AB213" s="203"/>
      <c r="AC213" s="321">
        <v>0.152</v>
      </c>
      <c r="AD213" s="205">
        <v>0.152</v>
      </c>
      <c r="AE213" s="314"/>
      <c r="AF213" s="105"/>
    </row>
    <row r="214" spans="1:32" s="110" customFormat="1" ht="24" customHeight="1" x14ac:dyDescent="0.15">
      <c r="A214" s="142" t="s">
        <v>894</v>
      </c>
      <c r="B214" s="142" t="s">
        <v>297</v>
      </c>
      <c r="C214" s="142" t="str">
        <f t="shared" si="50"/>
        <v>到期</v>
      </c>
      <c r="D214" s="103" t="s">
        <v>1844</v>
      </c>
      <c r="E214" s="142" t="s">
        <v>298</v>
      </c>
      <c r="F214" s="48">
        <v>43529</v>
      </c>
      <c r="G214" s="48">
        <v>43557</v>
      </c>
      <c r="H214" s="48" t="s">
        <v>1015</v>
      </c>
      <c r="I214" s="48" t="s">
        <v>222</v>
      </c>
      <c r="J214" s="142" t="s">
        <v>59</v>
      </c>
      <c r="K214" s="104">
        <v>200</v>
      </c>
      <c r="L214" s="104">
        <v>47540</v>
      </c>
      <c r="M214" s="105">
        <v>49500</v>
      </c>
      <c r="N214" s="104">
        <f t="shared" si="55"/>
        <v>205.44499999999999</v>
      </c>
      <c r="O214" s="104">
        <f t="shared" si="44"/>
        <v>41089</v>
      </c>
      <c r="P214" s="101" t="s">
        <v>555</v>
      </c>
      <c r="Q214" s="101" t="s">
        <v>557</v>
      </c>
      <c r="R214" s="105"/>
      <c r="S214" s="105"/>
      <c r="T214" s="144"/>
      <c r="U214" s="105">
        <v>49270</v>
      </c>
      <c r="V214" s="105">
        <v>0</v>
      </c>
      <c r="W214" s="144">
        <v>43557</v>
      </c>
      <c r="X214" s="104">
        <f t="shared" si="49"/>
        <v>41089</v>
      </c>
      <c r="Y214" s="198">
        <f t="shared" si="43"/>
        <v>9900000</v>
      </c>
      <c r="Z214" s="143"/>
      <c r="AA214" s="143" t="str">
        <f t="shared" si="56"/>
        <v>买入第10期</v>
      </c>
      <c r="AB214" s="203"/>
      <c r="AC214" s="321">
        <v>0.152</v>
      </c>
      <c r="AD214" s="205">
        <v>0.152</v>
      </c>
      <c r="AE214" s="314"/>
      <c r="AF214" s="105"/>
    </row>
    <row r="215" spans="1:32" s="110" customFormat="1" ht="24" customHeight="1" x14ac:dyDescent="0.15">
      <c r="A215" s="142" t="s">
        <v>248</v>
      </c>
      <c r="B215" s="142" t="s">
        <v>764</v>
      </c>
      <c r="C215" s="142" t="str">
        <f t="shared" si="50"/>
        <v>到期</v>
      </c>
      <c r="D215" s="103" t="s">
        <v>1845</v>
      </c>
      <c r="E215" s="142" t="s">
        <v>298</v>
      </c>
      <c r="F215" s="48">
        <v>43529</v>
      </c>
      <c r="G215" s="48">
        <v>43557</v>
      </c>
      <c r="H215" s="48" t="s">
        <v>1015</v>
      </c>
      <c r="I215" s="48" t="s">
        <v>222</v>
      </c>
      <c r="J215" s="142" t="s">
        <v>56</v>
      </c>
      <c r="K215" s="104">
        <v>200</v>
      </c>
      <c r="L215" s="104">
        <v>51500</v>
      </c>
      <c r="M215" s="105">
        <v>49500</v>
      </c>
      <c r="N215" s="104">
        <f t="shared" si="55"/>
        <v>205.44499999999999</v>
      </c>
      <c r="O215" s="104">
        <f t="shared" si="44"/>
        <v>41089</v>
      </c>
      <c r="P215" s="101" t="s">
        <v>325</v>
      </c>
      <c r="Q215" s="101" t="s">
        <v>558</v>
      </c>
      <c r="R215" s="105"/>
      <c r="S215" s="105"/>
      <c r="T215" s="144"/>
      <c r="U215" s="105">
        <v>49270</v>
      </c>
      <c r="V215" s="105">
        <v>0</v>
      </c>
      <c r="W215" s="144">
        <v>43557</v>
      </c>
      <c r="X215" s="104">
        <f t="shared" si="49"/>
        <v>41089</v>
      </c>
      <c r="Y215" s="198">
        <f t="shared" si="43"/>
        <v>9900000</v>
      </c>
      <c r="Z215" s="143"/>
      <c r="AA215" s="143" t="str">
        <f t="shared" si="56"/>
        <v>买入第10期</v>
      </c>
      <c r="AB215" s="203"/>
      <c r="AC215" s="321">
        <v>0.152</v>
      </c>
      <c r="AD215" s="205">
        <v>0.152</v>
      </c>
      <c r="AE215" s="314"/>
      <c r="AF215" s="105"/>
    </row>
    <row r="216" spans="1:32" s="110" customFormat="1" ht="24" customHeight="1" x14ac:dyDescent="0.15">
      <c r="A216" s="142" t="s">
        <v>248</v>
      </c>
      <c r="B216" s="142" t="s">
        <v>764</v>
      </c>
      <c r="C216" s="142" t="str">
        <f t="shared" si="50"/>
        <v>到期</v>
      </c>
      <c r="D216" s="103" t="s">
        <v>1845</v>
      </c>
      <c r="E216" s="142" t="s">
        <v>298</v>
      </c>
      <c r="F216" s="48">
        <v>43529</v>
      </c>
      <c r="G216" s="48">
        <v>43557</v>
      </c>
      <c r="H216" s="48" t="s">
        <v>1015</v>
      </c>
      <c r="I216" s="48" t="s">
        <v>222</v>
      </c>
      <c r="J216" s="142" t="s">
        <v>59</v>
      </c>
      <c r="K216" s="104">
        <v>200</v>
      </c>
      <c r="L216" s="104">
        <v>47540</v>
      </c>
      <c r="M216" s="105">
        <v>49500</v>
      </c>
      <c r="N216" s="104">
        <f t="shared" si="55"/>
        <v>205.44499999999999</v>
      </c>
      <c r="O216" s="104">
        <f t="shared" si="44"/>
        <v>41089</v>
      </c>
      <c r="P216" s="101" t="s">
        <v>325</v>
      </c>
      <c r="Q216" s="101" t="s">
        <v>558</v>
      </c>
      <c r="R216" s="105"/>
      <c r="S216" s="105"/>
      <c r="T216" s="144"/>
      <c r="U216" s="105">
        <v>49270</v>
      </c>
      <c r="V216" s="105">
        <v>0</v>
      </c>
      <c r="W216" s="144">
        <v>43557</v>
      </c>
      <c r="X216" s="104">
        <f t="shared" si="49"/>
        <v>41089</v>
      </c>
      <c r="Y216" s="198">
        <f t="shared" si="43"/>
        <v>9900000</v>
      </c>
      <c r="Z216" s="143"/>
      <c r="AA216" s="143" t="str">
        <f t="shared" si="56"/>
        <v>买入第10期</v>
      </c>
      <c r="AB216" s="203"/>
      <c r="AC216" s="321">
        <v>0.152</v>
      </c>
      <c r="AD216" s="205">
        <v>0.152</v>
      </c>
      <c r="AE216" s="314"/>
      <c r="AF216" s="105"/>
    </row>
    <row r="217" spans="1:32" s="110" customFormat="1" ht="24" customHeight="1" x14ac:dyDescent="0.15">
      <c r="A217" s="142" t="s">
        <v>248</v>
      </c>
      <c r="B217" s="142" t="s">
        <v>764</v>
      </c>
      <c r="C217" s="142" t="str">
        <f>IF(T217="","存续","到期")</f>
        <v>到期</v>
      </c>
      <c r="D217" s="100" t="s">
        <v>1852</v>
      </c>
      <c r="E217" s="142" t="s">
        <v>298</v>
      </c>
      <c r="F217" s="48">
        <v>43530</v>
      </c>
      <c r="G217" s="48">
        <v>43600</v>
      </c>
      <c r="H217" s="48" t="s">
        <v>757</v>
      </c>
      <c r="I217" s="48" t="s">
        <v>222</v>
      </c>
      <c r="J217" s="142" t="s">
        <v>56</v>
      </c>
      <c r="K217" s="104">
        <v>20</v>
      </c>
      <c r="L217" s="104">
        <v>105610</v>
      </c>
      <c r="M217" s="104">
        <v>105610</v>
      </c>
      <c r="N217" s="104">
        <v>2935.96</v>
      </c>
      <c r="O217" s="104">
        <f t="shared" si="44"/>
        <v>58719.199999999997</v>
      </c>
      <c r="P217" s="101" t="s">
        <v>559</v>
      </c>
      <c r="Q217" s="101" t="s">
        <v>356</v>
      </c>
      <c r="R217" s="105">
        <v>1765.24</v>
      </c>
      <c r="S217" s="104">
        <f>-R217*K217</f>
        <v>-35304.800000000003</v>
      </c>
      <c r="T217" s="144">
        <v>43538</v>
      </c>
      <c r="U217" s="105"/>
      <c r="V217" s="105"/>
      <c r="W217" s="144"/>
      <c r="X217" s="104">
        <f>IF(I217="买入",S217-O217,O217+S217)</f>
        <v>23414.399999999994</v>
      </c>
      <c r="Y217" s="198">
        <f t="shared" si="43"/>
        <v>2112200</v>
      </c>
      <c r="Z217" s="143" t="str">
        <f t="shared" ref="Z217:Z233" si="57">IF(C217="存续",D217&amp;H217&amp;"-"&amp;AA217,"")</f>
        <v/>
      </c>
      <c r="AA217" s="143" t="str">
        <f t="shared" ref="AA217:AA222" si="58">IF(I217="买入","卖出","买入")</f>
        <v>买入</v>
      </c>
      <c r="AB217" s="203"/>
      <c r="AC217" s="321">
        <v>0.16</v>
      </c>
      <c r="AD217" s="319"/>
      <c r="AE217" s="314"/>
      <c r="AF217" s="105"/>
    </row>
    <row r="218" spans="1:32" s="110" customFormat="1" ht="24" customHeight="1" x14ac:dyDescent="0.15">
      <c r="A218" s="142" t="s">
        <v>894</v>
      </c>
      <c r="B218" s="142" t="s">
        <v>295</v>
      </c>
      <c r="C218" s="142" t="str">
        <f>IF(T218="","存续","到期")</f>
        <v>到期</v>
      </c>
      <c r="D218" s="100" t="s">
        <v>1846</v>
      </c>
      <c r="E218" s="142" t="s">
        <v>255</v>
      </c>
      <c r="F218" s="48">
        <v>43530</v>
      </c>
      <c r="G218" s="48">
        <v>43600</v>
      </c>
      <c r="H218" s="48" t="s">
        <v>757</v>
      </c>
      <c r="I218" s="48" t="s">
        <v>241</v>
      </c>
      <c r="J218" s="142" t="s">
        <v>56</v>
      </c>
      <c r="K218" s="104">
        <v>20</v>
      </c>
      <c r="L218" s="104">
        <v>105610</v>
      </c>
      <c r="M218" s="104">
        <v>105610</v>
      </c>
      <c r="N218" s="104">
        <v>3295.03</v>
      </c>
      <c r="O218" s="104">
        <f t="shared" si="44"/>
        <v>65900.600000000006</v>
      </c>
      <c r="P218" s="101" t="s">
        <v>329</v>
      </c>
      <c r="Q218" s="101" t="s">
        <v>448</v>
      </c>
      <c r="R218" s="105">
        <v>1759.24</v>
      </c>
      <c r="S218" s="105">
        <f>R218*20</f>
        <v>35184.800000000003</v>
      </c>
      <c r="T218" s="144">
        <v>43538</v>
      </c>
      <c r="U218" s="105"/>
      <c r="V218" s="105"/>
      <c r="W218" s="144"/>
      <c r="X218" s="104">
        <f>IF(I218="买入",S218-O218,O218+S218)</f>
        <v>-30715.800000000003</v>
      </c>
      <c r="Y218" s="198">
        <f t="shared" si="43"/>
        <v>2112200</v>
      </c>
      <c r="Z218" s="143" t="str">
        <f t="shared" si="57"/>
        <v/>
      </c>
      <c r="AA218" s="143" t="str">
        <f t="shared" si="58"/>
        <v>卖出</v>
      </c>
      <c r="AB218" s="203"/>
      <c r="AC218" s="321">
        <v>0.17</v>
      </c>
      <c r="AD218" s="319"/>
      <c r="AE218" s="314"/>
      <c r="AF218" s="105"/>
    </row>
    <row r="219" spans="1:32" s="110" customFormat="1" ht="24" customHeight="1" x14ac:dyDescent="0.15">
      <c r="A219" s="142" t="s">
        <v>394</v>
      </c>
      <c r="B219" s="142" t="s">
        <v>764</v>
      </c>
      <c r="C219" s="142" t="str">
        <f t="shared" ref="C219:C282" si="59">IF(Q219="","存续","到期")</f>
        <v>到期</v>
      </c>
      <c r="D219" s="128" t="s">
        <v>1838</v>
      </c>
      <c r="E219" s="142" t="s">
        <v>255</v>
      </c>
      <c r="F219" s="48">
        <v>43530</v>
      </c>
      <c r="G219" s="48">
        <v>43559</v>
      </c>
      <c r="H219" s="48" t="s">
        <v>330</v>
      </c>
      <c r="I219" s="48" t="s">
        <v>316</v>
      </c>
      <c r="J219" s="142" t="s">
        <v>56</v>
      </c>
      <c r="K219" s="104">
        <v>500</v>
      </c>
      <c r="L219" s="104">
        <v>7108</v>
      </c>
      <c r="M219" s="105">
        <v>7108</v>
      </c>
      <c r="N219" s="104">
        <v>120.1</v>
      </c>
      <c r="O219" s="104">
        <f t="shared" si="44"/>
        <v>60050</v>
      </c>
      <c r="P219" s="101" t="s">
        <v>331</v>
      </c>
      <c r="Q219" s="101" t="s">
        <v>614</v>
      </c>
      <c r="R219" s="105"/>
      <c r="S219" s="105"/>
      <c r="T219" s="144"/>
      <c r="U219" s="105">
        <v>7025</v>
      </c>
      <c r="V219" s="105">
        <v>0</v>
      </c>
      <c r="W219" s="144">
        <v>43559</v>
      </c>
      <c r="X219" s="104">
        <f t="shared" ref="X219:X245" si="60">IF(I219="买入",V219-O219,V219+O219)</f>
        <v>-60050</v>
      </c>
      <c r="Y219" s="198">
        <f t="shared" si="43"/>
        <v>3554000</v>
      </c>
      <c r="Z219" s="143" t="str">
        <f t="shared" si="57"/>
        <v/>
      </c>
      <c r="AA219" s="143" t="str">
        <f t="shared" si="58"/>
        <v>卖出</v>
      </c>
      <c r="AB219" s="203"/>
      <c r="AC219" s="321"/>
      <c r="AD219" s="321"/>
      <c r="AE219" s="314"/>
      <c r="AF219" s="105"/>
    </row>
    <row r="220" spans="1:32" s="110" customFormat="1" ht="24" customHeight="1" x14ac:dyDescent="0.15">
      <c r="A220" s="142" t="s">
        <v>394</v>
      </c>
      <c r="B220" s="142" t="s">
        <v>297</v>
      </c>
      <c r="C220" s="142" t="str">
        <f t="shared" si="59"/>
        <v>到期</v>
      </c>
      <c r="D220" s="128" t="s">
        <v>1838</v>
      </c>
      <c r="E220" s="142" t="s">
        <v>255</v>
      </c>
      <c r="F220" s="48">
        <v>43530</v>
      </c>
      <c r="G220" s="48">
        <v>43559</v>
      </c>
      <c r="H220" s="48" t="s">
        <v>330</v>
      </c>
      <c r="I220" s="48" t="s">
        <v>316</v>
      </c>
      <c r="J220" s="142" t="s">
        <v>59</v>
      </c>
      <c r="K220" s="104">
        <v>500</v>
      </c>
      <c r="L220" s="104">
        <v>7108</v>
      </c>
      <c r="M220" s="105">
        <v>7108</v>
      </c>
      <c r="N220" s="104">
        <v>120.1</v>
      </c>
      <c r="O220" s="104">
        <f t="shared" si="44"/>
        <v>60050</v>
      </c>
      <c r="P220" s="101" t="s">
        <v>331</v>
      </c>
      <c r="Q220" s="101" t="s">
        <v>614</v>
      </c>
      <c r="R220" s="105"/>
      <c r="S220" s="105"/>
      <c r="T220" s="144"/>
      <c r="U220" s="105">
        <v>7025</v>
      </c>
      <c r="V220" s="105">
        <v>41500</v>
      </c>
      <c r="W220" s="144">
        <v>43559</v>
      </c>
      <c r="X220" s="104">
        <f t="shared" si="60"/>
        <v>-18550</v>
      </c>
      <c r="Y220" s="198">
        <f t="shared" si="43"/>
        <v>3554000</v>
      </c>
      <c r="Z220" s="143" t="str">
        <f t="shared" si="57"/>
        <v/>
      </c>
      <c r="AA220" s="143" t="str">
        <f t="shared" si="58"/>
        <v>卖出</v>
      </c>
      <c r="AB220" s="203"/>
      <c r="AC220" s="321"/>
      <c r="AD220" s="321"/>
      <c r="AE220" s="314"/>
      <c r="AF220" s="105"/>
    </row>
    <row r="221" spans="1:32" s="110" customFormat="1" ht="24" customHeight="1" x14ac:dyDescent="0.15">
      <c r="A221" s="142" t="s">
        <v>244</v>
      </c>
      <c r="B221" s="142" t="s">
        <v>295</v>
      </c>
      <c r="C221" s="142" t="str">
        <f t="shared" si="59"/>
        <v>到期</v>
      </c>
      <c r="D221" s="123" t="s">
        <v>1846</v>
      </c>
      <c r="E221" s="142" t="s">
        <v>340</v>
      </c>
      <c r="F221" s="144">
        <v>43530</v>
      </c>
      <c r="G221" s="144">
        <v>43563</v>
      </c>
      <c r="H221" s="143" t="s">
        <v>332</v>
      </c>
      <c r="I221" s="143" t="s">
        <v>241</v>
      </c>
      <c r="J221" s="142" t="s">
        <v>22</v>
      </c>
      <c r="K221" s="105">
        <v>1500</v>
      </c>
      <c r="L221" s="105">
        <v>4901</v>
      </c>
      <c r="M221" s="105">
        <v>4668</v>
      </c>
      <c r="N221" s="105">
        <v>11.34</v>
      </c>
      <c r="O221" s="105">
        <f t="shared" si="44"/>
        <v>17010</v>
      </c>
      <c r="P221" s="101" t="s">
        <v>333</v>
      </c>
      <c r="Q221" s="101" t="s">
        <v>635</v>
      </c>
      <c r="R221" s="105"/>
      <c r="S221" s="105"/>
      <c r="T221" s="144"/>
      <c r="U221" s="105">
        <v>4452</v>
      </c>
      <c r="V221" s="105">
        <v>0</v>
      </c>
      <c r="W221" s="48">
        <f t="shared" ref="W221:W230" si="61">G221</f>
        <v>43563</v>
      </c>
      <c r="X221" s="104">
        <f t="shared" si="60"/>
        <v>-17010</v>
      </c>
      <c r="Y221" s="198">
        <f t="shared" si="43"/>
        <v>7002000</v>
      </c>
      <c r="Z221" s="143" t="str">
        <f t="shared" si="57"/>
        <v/>
      </c>
      <c r="AA221" s="143" t="str">
        <f t="shared" si="58"/>
        <v>卖出</v>
      </c>
      <c r="AB221" s="203"/>
      <c r="AC221" s="321">
        <v>0.13750000000000001</v>
      </c>
      <c r="AD221" s="319"/>
      <c r="AE221" s="314"/>
      <c r="AF221" s="105"/>
    </row>
    <row r="222" spans="1:32" s="110" customFormat="1" ht="24" customHeight="1" x14ac:dyDescent="0.15">
      <c r="A222" s="142" t="s">
        <v>244</v>
      </c>
      <c r="B222" s="142" t="s">
        <v>295</v>
      </c>
      <c r="C222" s="142" t="str">
        <f t="shared" si="59"/>
        <v>到期</v>
      </c>
      <c r="D222" s="123" t="s">
        <v>1846</v>
      </c>
      <c r="E222" s="142" t="s">
        <v>340</v>
      </c>
      <c r="F222" s="144">
        <v>43530</v>
      </c>
      <c r="G222" s="144">
        <v>43563</v>
      </c>
      <c r="H222" s="143" t="s">
        <v>332</v>
      </c>
      <c r="I222" s="143" t="s">
        <v>241</v>
      </c>
      <c r="J222" s="142" t="s">
        <v>25</v>
      </c>
      <c r="K222" s="105">
        <v>1500</v>
      </c>
      <c r="L222" s="105">
        <v>4435</v>
      </c>
      <c r="M222" s="105">
        <v>4668</v>
      </c>
      <c r="N222" s="105">
        <v>9.52</v>
      </c>
      <c r="O222" s="105">
        <f t="shared" si="44"/>
        <v>14280</v>
      </c>
      <c r="P222" s="101" t="s">
        <v>333</v>
      </c>
      <c r="Q222" s="101" t="s">
        <v>635</v>
      </c>
      <c r="R222" s="105"/>
      <c r="S222" s="105"/>
      <c r="T222" s="144"/>
      <c r="U222" s="105">
        <v>4452</v>
      </c>
      <c r="V222" s="105">
        <v>0</v>
      </c>
      <c r="W222" s="48">
        <f t="shared" si="61"/>
        <v>43563</v>
      </c>
      <c r="X222" s="104">
        <f t="shared" si="60"/>
        <v>-14280</v>
      </c>
      <c r="Y222" s="198">
        <f t="shared" si="43"/>
        <v>7002000</v>
      </c>
      <c r="Z222" s="143" t="str">
        <f t="shared" si="57"/>
        <v/>
      </c>
      <c r="AA222" s="143" t="str">
        <f t="shared" si="58"/>
        <v>卖出</v>
      </c>
      <c r="AB222" s="203"/>
      <c r="AC222" s="321">
        <v>0.13750000000000001</v>
      </c>
      <c r="AD222" s="319"/>
      <c r="AE222" s="314"/>
      <c r="AF222" s="105"/>
    </row>
    <row r="223" spans="1:32" s="110" customFormat="1" ht="24" customHeight="1" x14ac:dyDescent="0.15">
      <c r="A223" s="142" t="s">
        <v>244</v>
      </c>
      <c r="B223" s="142" t="s">
        <v>295</v>
      </c>
      <c r="C223" s="142" t="str">
        <f t="shared" si="59"/>
        <v>到期</v>
      </c>
      <c r="D223" s="123" t="s">
        <v>266</v>
      </c>
      <c r="E223" s="142" t="s">
        <v>255</v>
      </c>
      <c r="F223" s="144">
        <v>43530</v>
      </c>
      <c r="G223" s="144">
        <v>43553</v>
      </c>
      <c r="H223" s="143" t="s">
        <v>279</v>
      </c>
      <c r="I223" s="143" t="s">
        <v>38</v>
      </c>
      <c r="J223" s="142" t="s">
        <v>59</v>
      </c>
      <c r="K223" s="105">
        <v>1000</v>
      </c>
      <c r="L223" s="105">
        <v>6390</v>
      </c>
      <c r="M223" s="105">
        <v>6726</v>
      </c>
      <c r="N223" s="105">
        <v>25.56</v>
      </c>
      <c r="O223" s="105">
        <f t="shared" si="44"/>
        <v>25560</v>
      </c>
      <c r="P223" s="101" t="s">
        <v>704</v>
      </c>
      <c r="Q223" s="101" t="s">
        <v>705</v>
      </c>
      <c r="R223" s="105"/>
      <c r="S223" s="105"/>
      <c r="T223" s="144"/>
      <c r="U223" s="105">
        <v>6504</v>
      </c>
      <c r="V223" s="105">
        <v>0</v>
      </c>
      <c r="W223" s="144">
        <f t="shared" si="61"/>
        <v>43553</v>
      </c>
      <c r="X223" s="104">
        <f t="shared" si="60"/>
        <v>-25560</v>
      </c>
      <c r="Y223" s="198">
        <f t="shared" si="43"/>
        <v>6726000</v>
      </c>
      <c r="Z223" s="143" t="str">
        <f t="shared" si="57"/>
        <v/>
      </c>
      <c r="AA223" s="143" t="s">
        <v>222</v>
      </c>
      <c r="AB223" s="203"/>
      <c r="AC223" s="321">
        <v>0.189</v>
      </c>
      <c r="AD223" s="319"/>
      <c r="AE223" s="314"/>
      <c r="AF223" s="104"/>
    </row>
    <row r="224" spans="1:32" s="110" customFormat="1" ht="24" customHeight="1" x14ac:dyDescent="0.15">
      <c r="A224" s="142" t="s">
        <v>244</v>
      </c>
      <c r="B224" s="142" t="s">
        <v>295</v>
      </c>
      <c r="C224" s="142" t="str">
        <f t="shared" si="59"/>
        <v>到期</v>
      </c>
      <c r="D224" s="123" t="s">
        <v>1846</v>
      </c>
      <c r="E224" s="142" t="s">
        <v>255</v>
      </c>
      <c r="F224" s="144">
        <v>43531</v>
      </c>
      <c r="G224" s="144">
        <v>43563</v>
      </c>
      <c r="H224" s="142" t="s">
        <v>204</v>
      </c>
      <c r="I224" s="143" t="s">
        <v>241</v>
      </c>
      <c r="J224" s="142" t="s">
        <v>22</v>
      </c>
      <c r="K224" s="105">
        <v>1500</v>
      </c>
      <c r="L224" s="107">
        <v>5328</v>
      </c>
      <c r="M224" s="105">
        <v>5074</v>
      </c>
      <c r="N224" s="105">
        <v>12.75</v>
      </c>
      <c r="O224" s="105">
        <f t="shared" si="44"/>
        <v>19125</v>
      </c>
      <c r="P224" s="101" t="s">
        <v>334</v>
      </c>
      <c r="Q224" s="101" t="s">
        <v>634</v>
      </c>
      <c r="R224" s="105"/>
      <c r="S224" s="105"/>
      <c r="T224" s="144"/>
      <c r="U224" s="105">
        <v>5132</v>
      </c>
      <c r="V224" s="105">
        <v>0</v>
      </c>
      <c r="W224" s="48">
        <f t="shared" si="61"/>
        <v>43563</v>
      </c>
      <c r="X224" s="104">
        <f t="shared" si="60"/>
        <v>-19125</v>
      </c>
      <c r="Y224" s="198">
        <f t="shared" si="43"/>
        <v>7611000</v>
      </c>
      <c r="Z224" s="143" t="str">
        <f t="shared" si="57"/>
        <v/>
      </c>
      <c r="AA224" s="143" t="str">
        <f t="shared" ref="AA224:AA232" si="62">IF(I224="买入","卖出","买入")</f>
        <v>卖出</v>
      </c>
      <c r="AB224" s="203"/>
      <c r="AC224" s="321">
        <v>0.14199999999999999</v>
      </c>
      <c r="AD224" s="319"/>
      <c r="AE224" s="314"/>
      <c r="AF224" s="104"/>
    </row>
    <row r="225" spans="1:32" s="110" customFormat="1" ht="24" customHeight="1" x14ac:dyDescent="0.15">
      <c r="A225" s="142" t="s">
        <v>244</v>
      </c>
      <c r="B225" s="142" t="s">
        <v>295</v>
      </c>
      <c r="C225" s="142" t="str">
        <f t="shared" si="59"/>
        <v>到期</v>
      </c>
      <c r="D225" s="123" t="s">
        <v>1846</v>
      </c>
      <c r="E225" s="142" t="s">
        <v>255</v>
      </c>
      <c r="F225" s="144">
        <v>43531</v>
      </c>
      <c r="G225" s="144">
        <v>43563</v>
      </c>
      <c r="H225" s="142" t="s">
        <v>204</v>
      </c>
      <c r="I225" s="143" t="s">
        <v>241</v>
      </c>
      <c r="J225" s="142" t="s">
        <v>25</v>
      </c>
      <c r="K225" s="105">
        <v>1500</v>
      </c>
      <c r="L225" s="107">
        <v>4820</v>
      </c>
      <c r="M225" s="105">
        <v>5074</v>
      </c>
      <c r="N225" s="105">
        <v>10.69</v>
      </c>
      <c r="O225" s="105">
        <f t="shared" si="44"/>
        <v>16035</v>
      </c>
      <c r="P225" s="101" t="s">
        <v>334</v>
      </c>
      <c r="Q225" s="101" t="s">
        <v>634</v>
      </c>
      <c r="R225" s="105"/>
      <c r="S225" s="105"/>
      <c r="T225" s="144"/>
      <c r="U225" s="105">
        <v>5132</v>
      </c>
      <c r="V225" s="105">
        <v>0</v>
      </c>
      <c r="W225" s="48">
        <f t="shared" si="61"/>
        <v>43563</v>
      </c>
      <c r="X225" s="104">
        <f t="shared" si="60"/>
        <v>-16035</v>
      </c>
      <c r="Y225" s="198">
        <f t="shared" si="43"/>
        <v>7611000</v>
      </c>
      <c r="Z225" s="143" t="str">
        <f t="shared" si="57"/>
        <v/>
      </c>
      <c r="AA225" s="143" t="str">
        <f t="shared" si="62"/>
        <v>卖出</v>
      </c>
      <c r="AB225" s="203"/>
      <c r="AC225" s="321">
        <v>0.14199999999999999</v>
      </c>
      <c r="AD225" s="319"/>
      <c r="AE225" s="314"/>
      <c r="AF225" s="104"/>
    </row>
    <row r="226" spans="1:32" s="110" customFormat="1" ht="24" customHeight="1" x14ac:dyDescent="0.15">
      <c r="A226" s="142" t="s">
        <v>244</v>
      </c>
      <c r="B226" s="142" t="s">
        <v>295</v>
      </c>
      <c r="C226" s="142" t="str">
        <f t="shared" si="59"/>
        <v>到期</v>
      </c>
      <c r="D226" s="123" t="s">
        <v>1846</v>
      </c>
      <c r="E226" s="142" t="s">
        <v>137</v>
      </c>
      <c r="F226" s="144">
        <v>43532</v>
      </c>
      <c r="G226" s="144">
        <v>43563</v>
      </c>
      <c r="H226" s="143" t="s">
        <v>336</v>
      </c>
      <c r="I226" s="143" t="s">
        <v>241</v>
      </c>
      <c r="J226" s="142" t="s">
        <v>22</v>
      </c>
      <c r="K226" s="105">
        <v>25000</v>
      </c>
      <c r="L226" s="105">
        <v>290.56</v>
      </c>
      <c r="M226" s="105">
        <v>282.10000000000002</v>
      </c>
      <c r="N226" s="105">
        <v>0.39</v>
      </c>
      <c r="O226" s="105">
        <f t="shared" si="44"/>
        <v>9750</v>
      </c>
      <c r="P226" s="101" t="s">
        <v>337</v>
      </c>
      <c r="Q226" s="101" t="s">
        <v>637</v>
      </c>
      <c r="R226" s="105"/>
      <c r="S226" s="105"/>
      <c r="T226" s="144"/>
      <c r="U226" s="105">
        <v>284.14999999999998</v>
      </c>
      <c r="V226" s="105">
        <v>0</v>
      </c>
      <c r="W226" s="48">
        <f t="shared" si="61"/>
        <v>43563</v>
      </c>
      <c r="X226" s="104">
        <f t="shared" si="60"/>
        <v>-9750</v>
      </c>
      <c r="Y226" s="198">
        <f t="shared" si="43"/>
        <v>7052500.0000000009</v>
      </c>
      <c r="Z226" s="143" t="str">
        <f t="shared" si="57"/>
        <v/>
      </c>
      <c r="AA226" s="143" t="str">
        <f t="shared" si="62"/>
        <v>卖出</v>
      </c>
      <c r="AB226" s="203"/>
      <c r="AC226" s="321">
        <v>8.5000000000000006E-2</v>
      </c>
      <c r="AD226" s="319"/>
      <c r="AE226" s="314"/>
      <c r="AF226" s="104"/>
    </row>
    <row r="227" spans="1:32" s="110" customFormat="1" ht="24" customHeight="1" x14ac:dyDescent="0.15">
      <c r="A227" s="142" t="s">
        <v>244</v>
      </c>
      <c r="B227" s="142" t="s">
        <v>295</v>
      </c>
      <c r="C227" s="142" t="str">
        <f t="shared" si="59"/>
        <v>到期</v>
      </c>
      <c r="D227" s="123" t="s">
        <v>1846</v>
      </c>
      <c r="E227" s="142" t="s">
        <v>137</v>
      </c>
      <c r="F227" s="144">
        <v>43532</v>
      </c>
      <c r="G227" s="144">
        <v>43563</v>
      </c>
      <c r="H227" s="143" t="s">
        <v>336</v>
      </c>
      <c r="I227" s="143" t="s">
        <v>241</v>
      </c>
      <c r="J227" s="142" t="s">
        <v>25</v>
      </c>
      <c r="K227" s="105">
        <v>25000</v>
      </c>
      <c r="L227" s="105">
        <v>273.64</v>
      </c>
      <c r="M227" s="105">
        <v>282.10000000000002</v>
      </c>
      <c r="N227" s="105">
        <v>0.33</v>
      </c>
      <c r="O227" s="105">
        <f t="shared" si="44"/>
        <v>8250</v>
      </c>
      <c r="P227" s="101" t="s">
        <v>337</v>
      </c>
      <c r="Q227" s="101" t="s">
        <v>637</v>
      </c>
      <c r="R227" s="105"/>
      <c r="S227" s="105"/>
      <c r="T227" s="144"/>
      <c r="U227" s="105">
        <v>284.14999999999998</v>
      </c>
      <c r="V227" s="105">
        <v>0</v>
      </c>
      <c r="W227" s="48">
        <f t="shared" si="61"/>
        <v>43563</v>
      </c>
      <c r="X227" s="104">
        <f t="shared" si="60"/>
        <v>-8250</v>
      </c>
      <c r="Y227" s="198">
        <f t="shared" si="43"/>
        <v>7052500.0000000009</v>
      </c>
      <c r="Z227" s="143" t="str">
        <f t="shared" si="57"/>
        <v/>
      </c>
      <c r="AA227" s="143" t="str">
        <f t="shared" si="62"/>
        <v>卖出</v>
      </c>
      <c r="AB227" s="203"/>
      <c r="AC227" s="321">
        <v>8.5000000000000006E-2</v>
      </c>
      <c r="AD227" s="319"/>
      <c r="AE227" s="314"/>
      <c r="AF227" s="104"/>
    </row>
    <row r="228" spans="1:32" s="110" customFormat="1" ht="24" customHeight="1" x14ac:dyDescent="0.15">
      <c r="A228" s="142" t="s">
        <v>244</v>
      </c>
      <c r="B228" s="142" t="s">
        <v>295</v>
      </c>
      <c r="C228" s="142" t="str">
        <f t="shared" si="59"/>
        <v>到期</v>
      </c>
      <c r="D228" s="123" t="s">
        <v>1846</v>
      </c>
      <c r="E228" s="142" t="s">
        <v>137</v>
      </c>
      <c r="F228" s="144">
        <v>43535</v>
      </c>
      <c r="G228" s="144">
        <v>43565</v>
      </c>
      <c r="H228" s="143" t="s">
        <v>341</v>
      </c>
      <c r="I228" s="143" t="s">
        <v>241</v>
      </c>
      <c r="J228" s="142" t="s">
        <v>22</v>
      </c>
      <c r="K228" s="105">
        <v>400</v>
      </c>
      <c r="L228" s="105">
        <v>17981.599999999999</v>
      </c>
      <c r="M228" s="105">
        <v>17290</v>
      </c>
      <c r="N228" s="105">
        <v>43.5</v>
      </c>
      <c r="O228" s="105">
        <f t="shared" si="44"/>
        <v>17400</v>
      </c>
      <c r="P228" s="101" t="s">
        <v>342</v>
      </c>
      <c r="Q228" s="101" t="s">
        <v>631</v>
      </c>
      <c r="R228" s="105"/>
      <c r="S228" s="105"/>
      <c r="T228" s="144"/>
      <c r="U228" s="105">
        <v>16685</v>
      </c>
      <c r="V228" s="105">
        <v>0</v>
      </c>
      <c r="W228" s="144">
        <f t="shared" si="61"/>
        <v>43565</v>
      </c>
      <c r="X228" s="104">
        <f t="shared" si="60"/>
        <v>-17400</v>
      </c>
      <c r="Y228" s="198">
        <f t="shared" ref="Y228:Y291" si="63">M228*K228</f>
        <v>6916000</v>
      </c>
      <c r="Z228" s="143" t="str">
        <f t="shared" si="57"/>
        <v/>
      </c>
      <c r="AA228" s="143" t="str">
        <f t="shared" si="62"/>
        <v>卖出</v>
      </c>
      <c r="AB228" s="203"/>
      <c r="AC228" s="321">
        <v>0.122</v>
      </c>
      <c r="AD228" s="319"/>
      <c r="AE228" s="314"/>
      <c r="AF228" s="104"/>
    </row>
    <row r="229" spans="1:32" s="110" customFormat="1" ht="24" customHeight="1" x14ac:dyDescent="0.15">
      <c r="A229" s="142" t="s">
        <v>244</v>
      </c>
      <c r="B229" s="142" t="s">
        <v>295</v>
      </c>
      <c r="C229" s="142" t="str">
        <f t="shared" si="59"/>
        <v>到期</v>
      </c>
      <c r="D229" s="123" t="s">
        <v>1846</v>
      </c>
      <c r="E229" s="142" t="s">
        <v>137</v>
      </c>
      <c r="F229" s="144">
        <v>43535</v>
      </c>
      <c r="G229" s="144">
        <v>43565</v>
      </c>
      <c r="H229" s="143" t="s">
        <v>341</v>
      </c>
      <c r="I229" s="143" t="s">
        <v>241</v>
      </c>
      <c r="J229" s="142" t="s">
        <v>25</v>
      </c>
      <c r="K229" s="105">
        <v>400</v>
      </c>
      <c r="L229" s="105">
        <v>16598.400000000001</v>
      </c>
      <c r="M229" s="105">
        <v>17290</v>
      </c>
      <c r="N229" s="105">
        <v>38.64</v>
      </c>
      <c r="O229" s="105">
        <f t="shared" ref="O229:O292" si="64">N229*K229</f>
        <v>15456</v>
      </c>
      <c r="P229" s="101" t="s">
        <v>342</v>
      </c>
      <c r="Q229" s="101" t="s">
        <v>631</v>
      </c>
      <c r="R229" s="105"/>
      <c r="S229" s="105"/>
      <c r="T229" s="144"/>
      <c r="U229" s="105">
        <v>16685</v>
      </c>
      <c r="V229" s="105">
        <v>0</v>
      </c>
      <c r="W229" s="144">
        <f t="shared" si="61"/>
        <v>43565</v>
      </c>
      <c r="X229" s="104">
        <f t="shared" si="60"/>
        <v>-15456</v>
      </c>
      <c r="Y229" s="198">
        <f t="shared" si="63"/>
        <v>6916000</v>
      </c>
      <c r="Z229" s="143" t="str">
        <f t="shared" si="57"/>
        <v/>
      </c>
      <c r="AA229" s="143" t="str">
        <f t="shared" si="62"/>
        <v>卖出</v>
      </c>
      <c r="AB229" s="203"/>
      <c r="AC229" s="321">
        <v>0.122</v>
      </c>
      <c r="AD229" s="319"/>
      <c r="AE229" s="314"/>
      <c r="AF229" s="104"/>
    </row>
    <row r="230" spans="1:32" s="110" customFormat="1" ht="24" customHeight="1" x14ac:dyDescent="0.15">
      <c r="A230" s="142" t="s">
        <v>244</v>
      </c>
      <c r="B230" s="142" t="s">
        <v>295</v>
      </c>
      <c r="C230" s="142" t="str">
        <f t="shared" si="59"/>
        <v>到期</v>
      </c>
      <c r="D230" s="123" t="s">
        <v>266</v>
      </c>
      <c r="E230" s="142" t="s">
        <v>137</v>
      </c>
      <c r="F230" s="144">
        <v>43535</v>
      </c>
      <c r="G230" s="144">
        <v>43546</v>
      </c>
      <c r="H230" s="143" t="s">
        <v>319</v>
      </c>
      <c r="I230" s="143" t="s">
        <v>241</v>
      </c>
      <c r="J230" s="142" t="s">
        <v>59</v>
      </c>
      <c r="K230" s="105">
        <v>2000</v>
      </c>
      <c r="L230" s="105">
        <v>3533</v>
      </c>
      <c r="M230" s="105">
        <v>3605</v>
      </c>
      <c r="N230" s="105">
        <v>6.13</v>
      </c>
      <c r="O230" s="105">
        <f t="shared" si="64"/>
        <v>12260</v>
      </c>
      <c r="P230" s="101" t="s">
        <v>706</v>
      </c>
      <c r="Q230" s="101" t="s">
        <v>707</v>
      </c>
      <c r="R230" s="105"/>
      <c r="S230" s="105"/>
      <c r="T230" s="144"/>
      <c r="U230" s="105">
        <v>3641</v>
      </c>
      <c r="V230" s="105">
        <v>0</v>
      </c>
      <c r="W230" s="144">
        <f t="shared" si="61"/>
        <v>43546</v>
      </c>
      <c r="X230" s="104">
        <f t="shared" si="60"/>
        <v>-12260</v>
      </c>
      <c r="Y230" s="198">
        <f t="shared" si="63"/>
        <v>7210000</v>
      </c>
      <c r="Z230" s="143" t="str">
        <f t="shared" si="57"/>
        <v/>
      </c>
      <c r="AA230" s="143" t="str">
        <f t="shared" si="62"/>
        <v>卖出</v>
      </c>
      <c r="AB230" s="203"/>
      <c r="AC230" s="321">
        <v>0.107</v>
      </c>
      <c r="AD230" s="319"/>
      <c r="AE230" s="314"/>
      <c r="AF230" s="104"/>
    </row>
    <row r="231" spans="1:32" ht="24" customHeight="1" x14ac:dyDescent="0.15">
      <c r="A231" s="142" t="s">
        <v>247</v>
      </c>
      <c r="B231" s="142" t="s">
        <v>295</v>
      </c>
      <c r="C231" s="142" t="str">
        <f t="shared" si="59"/>
        <v>到期</v>
      </c>
      <c r="D231" s="127" t="s">
        <v>1846</v>
      </c>
      <c r="E231" s="142" t="s">
        <v>255</v>
      </c>
      <c r="F231" s="144">
        <v>43536</v>
      </c>
      <c r="G231" s="48">
        <v>43566</v>
      </c>
      <c r="H231" s="143" t="s">
        <v>343</v>
      </c>
      <c r="I231" s="143" t="s">
        <v>314</v>
      </c>
      <c r="J231" s="142" t="s">
        <v>22</v>
      </c>
      <c r="K231" s="105">
        <v>1000</v>
      </c>
      <c r="L231" s="105">
        <v>3763</v>
      </c>
      <c r="M231" s="105">
        <v>3763</v>
      </c>
      <c r="N231" s="105">
        <v>104.24</v>
      </c>
      <c r="O231" s="105">
        <f t="shared" si="64"/>
        <v>104240</v>
      </c>
      <c r="P231" s="101" t="s">
        <v>344</v>
      </c>
      <c r="Q231" s="101" t="s">
        <v>467</v>
      </c>
      <c r="R231" s="105"/>
      <c r="S231" s="105"/>
      <c r="T231" s="144"/>
      <c r="U231" s="105">
        <v>3950</v>
      </c>
      <c r="V231" s="104">
        <f>-(U231-L231)*K231</f>
        <v>-187000</v>
      </c>
      <c r="W231" s="144">
        <v>43566</v>
      </c>
      <c r="X231" s="104">
        <f t="shared" si="60"/>
        <v>-82760</v>
      </c>
      <c r="Y231" s="197">
        <f t="shared" si="63"/>
        <v>3763000</v>
      </c>
      <c r="Z231" s="143" t="str">
        <f t="shared" si="57"/>
        <v/>
      </c>
      <c r="AA231" s="143" t="str">
        <f t="shared" si="62"/>
        <v>买入</v>
      </c>
      <c r="AB231" s="203"/>
      <c r="AC231" s="321"/>
      <c r="AD231" s="321"/>
      <c r="AE231" s="314"/>
      <c r="AF231" s="104"/>
    </row>
    <row r="232" spans="1:32" ht="24" customHeight="1" x14ac:dyDescent="0.15">
      <c r="A232" s="142" t="s">
        <v>247</v>
      </c>
      <c r="B232" s="142" t="s">
        <v>295</v>
      </c>
      <c r="C232" s="142" t="str">
        <f t="shared" si="59"/>
        <v>到期</v>
      </c>
      <c r="D232" s="127" t="s">
        <v>1846</v>
      </c>
      <c r="E232" s="142" t="s">
        <v>255</v>
      </c>
      <c r="F232" s="144">
        <v>43536</v>
      </c>
      <c r="G232" s="48">
        <v>43566</v>
      </c>
      <c r="H232" s="143" t="s">
        <v>343</v>
      </c>
      <c r="I232" s="143" t="s">
        <v>314</v>
      </c>
      <c r="J232" s="142" t="s">
        <v>25</v>
      </c>
      <c r="K232" s="105">
        <v>1000</v>
      </c>
      <c r="L232" s="105">
        <v>3763</v>
      </c>
      <c r="M232" s="105">
        <v>3763</v>
      </c>
      <c r="N232" s="105">
        <v>104.24</v>
      </c>
      <c r="O232" s="105">
        <f t="shared" si="64"/>
        <v>104240</v>
      </c>
      <c r="P232" s="101" t="s">
        <v>344</v>
      </c>
      <c r="Q232" s="101" t="s">
        <v>467</v>
      </c>
      <c r="R232" s="105"/>
      <c r="S232" s="105"/>
      <c r="T232" s="144"/>
      <c r="U232" s="105">
        <v>3950</v>
      </c>
      <c r="V232" s="105">
        <v>0</v>
      </c>
      <c r="W232" s="144">
        <v>43566</v>
      </c>
      <c r="X232" s="104">
        <f t="shared" si="60"/>
        <v>104240</v>
      </c>
      <c r="Y232" s="197">
        <f t="shared" si="63"/>
        <v>3763000</v>
      </c>
      <c r="Z232" s="143" t="str">
        <f t="shared" si="57"/>
        <v/>
      </c>
      <c r="AA232" s="143" t="str">
        <f t="shared" si="62"/>
        <v>买入</v>
      </c>
      <c r="AB232" s="203"/>
      <c r="AC232" s="321"/>
      <c r="AD232" s="321"/>
      <c r="AE232" s="314"/>
      <c r="AF232" s="104"/>
    </row>
    <row r="233" spans="1:32" s="110" customFormat="1" ht="24" customHeight="1" x14ac:dyDescent="0.15">
      <c r="A233" s="142" t="s">
        <v>894</v>
      </c>
      <c r="B233" s="142" t="s">
        <v>297</v>
      </c>
      <c r="C233" s="142" t="str">
        <f t="shared" si="59"/>
        <v>到期</v>
      </c>
      <c r="D233" s="103" t="s">
        <v>1841</v>
      </c>
      <c r="E233" s="142" t="s">
        <v>298</v>
      </c>
      <c r="F233" s="48">
        <v>43536</v>
      </c>
      <c r="G233" s="48">
        <v>43564</v>
      </c>
      <c r="H233" s="48" t="s">
        <v>1015</v>
      </c>
      <c r="I233" s="48" t="s">
        <v>222</v>
      </c>
      <c r="J233" s="142" t="s">
        <v>56</v>
      </c>
      <c r="K233" s="104">
        <v>200</v>
      </c>
      <c r="L233" s="104">
        <v>51050</v>
      </c>
      <c r="M233" s="105">
        <v>49320</v>
      </c>
      <c r="N233" s="104">
        <f t="shared" ref="N233:N242" si="65">409.4/2</f>
        <v>204.7</v>
      </c>
      <c r="O233" s="104">
        <f t="shared" si="64"/>
        <v>40940</v>
      </c>
      <c r="P233" s="101" t="s">
        <v>345</v>
      </c>
      <c r="Q233" s="101" t="s">
        <v>421</v>
      </c>
      <c r="R233" s="105"/>
      <c r="S233" s="105"/>
      <c r="T233" s="144"/>
      <c r="U233" s="105">
        <v>49790</v>
      </c>
      <c r="V233" s="105">
        <v>0</v>
      </c>
      <c r="W233" s="144">
        <v>43564</v>
      </c>
      <c r="X233" s="104">
        <f t="shared" si="60"/>
        <v>40940</v>
      </c>
      <c r="Y233" s="197">
        <f t="shared" si="63"/>
        <v>9864000</v>
      </c>
      <c r="Z233" s="143" t="str">
        <f t="shared" si="57"/>
        <v/>
      </c>
      <c r="AA233" s="143" t="str">
        <f t="shared" ref="AA233:AA242" si="66">IF(I233="买入","卖出","买入第11期")</f>
        <v>买入第11期</v>
      </c>
      <c r="AB233" s="203"/>
      <c r="AC233" s="321">
        <v>0.152</v>
      </c>
      <c r="AD233" s="205">
        <v>0.152</v>
      </c>
      <c r="AE233" s="314"/>
      <c r="AF233" s="105"/>
    </row>
    <row r="234" spans="1:32" s="110" customFormat="1" ht="24" customHeight="1" x14ac:dyDescent="0.15">
      <c r="A234" s="142" t="s">
        <v>894</v>
      </c>
      <c r="B234" s="120" t="s">
        <v>297</v>
      </c>
      <c r="C234" s="142" t="str">
        <f t="shared" si="59"/>
        <v>到期</v>
      </c>
      <c r="D234" s="103" t="s">
        <v>1841</v>
      </c>
      <c r="E234" s="142" t="s">
        <v>298</v>
      </c>
      <c r="F234" s="48">
        <v>43536</v>
      </c>
      <c r="G234" s="48">
        <v>43564</v>
      </c>
      <c r="H234" s="48" t="s">
        <v>1015</v>
      </c>
      <c r="I234" s="48" t="s">
        <v>222</v>
      </c>
      <c r="J234" s="142" t="s">
        <v>59</v>
      </c>
      <c r="K234" s="104">
        <v>200</v>
      </c>
      <c r="L234" s="104">
        <v>47100</v>
      </c>
      <c r="M234" s="105">
        <v>49320</v>
      </c>
      <c r="N234" s="104">
        <f t="shared" si="65"/>
        <v>204.7</v>
      </c>
      <c r="O234" s="104">
        <f t="shared" si="64"/>
        <v>40940</v>
      </c>
      <c r="P234" s="101" t="s">
        <v>345</v>
      </c>
      <c r="Q234" s="101" t="s">
        <v>440</v>
      </c>
      <c r="R234" s="105"/>
      <c r="S234" s="105"/>
      <c r="T234" s="144"/>
      <c r="U234" s="104">
        <v>49790</v>
      </c>
      <c r="V234" s="104">
        <v>0</v>
      </c>
      <c r="W234" s="48">
        <v>43564</v>
      </c>
      <c r="X234" s="104">
        <f t="shared" si="60"/>
        <v>40940</v>
      </c>
      <c r="Y234" s="197">
        <f t="shared" si="63"/>
        <v>9864000</v>
      </c>
      <c r="Z234" s="143"/>
      <c r="AA234" s="143" t="str">
        <f t="shared" si="66"/>
        <v>买入第11期</v>
      </c>
      <c r="AB234" s="203"/>
      <c r="AC234" s="321">
        <v>0.152</v>
      </c>
      <c r="AD234" s="205">
        <v>0.152</v>
      </c>
      <c r="AE234" s="314"/>
      <c r="AF234" s="105"/>
    </row>
    <row r="235" spans="1:32" s="110" customFormat="1" ht="24" customHeight="1" x14ac:dyDescent="0.15">
      <c r="A235" s="142" t="s">
        <v>893</v>
      </c>
      <c r="B235" s="120" t="s">
        <v>764</v>
      </c>
      <c r="C235" s="142" t="str">
        <f t="shared" si="59"/>
        <v>到期</v>
      </c>
      <c r="D235" s="103" t="s">
        <v>1842</v>
      </c>
      <c r="E235" s="142" t="s">
        <v>298</v>
      </c>
      <c r="F235" s="48">
        <v>43536</v>
      </c>
      <c r="G235" s="48">
        <v>43564</v>
      </c>
      <c r="H235" s="48" t="s">
        <v>1015</v>
      </c>
      <c r="I235" s="48" t="s">
        <v>222</v>
      </c>
      <c r="J235" s="142" t="s">
        <v>56</v>
      </c>
      <c r="K235" s="104">
        <v>200</v>
      </c>
      <c r="L235" s="104">
        <v>51050</v>
      </c>
      <c r="M235" s="105">
        <v>49320</v>
      </c>
      <c r="N235" s="104">
        <f t="shared" si="65"/>
        <v>204.7</v>
      </c>
      <c r="O235" s="104">
        <f t="shared" si="64"/>
        <v>40940</v>
      </c>
      <c r="P235" s="101" t="s">
        <v>346</v>
      </c>
      <c r="Q235" s="101" t="s">
        <v>441</v>
      </c>
      <c r="R235" s="105"/>
      <c r="S235" s="105"/>
      <c r="T235" s="144"/>
      <c r="U235" s="105">
        <v>49790</v>
      </c>
      <c r="V235" s="105">
        <v>0</v>
      </c>
      <c r="W235" s="144">
        <v>43564</v>
      </c>
      <c r="X235" s="104">
        <f t="shared" si="60"/>
        <v>40940</v>
      </c>
      <c r="Y235" s="197">
        <f t="shared" si="63"/>
        <v>9864000</v>
      </c>
      <c r="Z235" s="143"/>
      <c r="AA235" s="143" t="str">
        <f t="shared" si="66"/>
        <v>买入第11期</v>
      </c>
      <c r="AB235" s="203"/>
      <c r="AC235" s="321">
        <v>0.152</v>
      </c>
      <c r="AD235" s="205">
        <v>0.152</v>
      </c>
      <c r="AE235" s="314"/>
      <c r="AF235" s="105"/>
    </row>
    <row r="236" spans="1:32" s="110" customFormat="1" ht="24" customHeight="1" x14ac:dyDescent="0.15">
      <c r="A236" s="142" t="s">
        <v>894</v>
      </c>
      <c r="B236" s="142" t="s">
        <v>764</v>
      </c>
      <c r="C236" s="142" t="str">
        <f t="shared" si="59"/>
        <v>到期</v>
      </c>
      <c r="D236" s="103" t="s">
        <v>1842</v>
      </c>
      <c r="E236" s="142" t="s">
        <v>298</v>
      </c>
      <c r="F236" s="48">
        <v>43536</v>
      </c>
      <c r="G236" s="48">
        <v>43564</v>
      </c>
      <c r="H236" s="48" t="s">
        <v>1015</v>
      </c>
      <c r="I236" s="48" t="s">
        <v>222</v>
      </c>
      <c r="J236" s="142" t="s">
        <v>59</v>
      </c>
      <c r="K236" s="104">
        <v>200</v>
      </c>
      <c r="L236" s="104">
        <v>47100</v>
      </c>
      <c r="M236" s="105">
        <v>49320</v>
      </c>
      <c r="N236" s="104">
        <f t="shared" si="65"/>
        <v>204.7</v>
      </c>
      <c r="O236" s="104">
        <f t="shared" si="64"/>
        <v>40940</v>
      </c>
      <c r="P236" s="101" t="s">
        <v>346</v>
      </c>
      <c r="Q236" s="101" t="s">
        <v>441</v>
      </c>
      <c r="R236" s="105"/>
      <c r="S236" s="105"/>
      <c r="T236" s="144"/>
      <c r="U236" s="105">
        <v>49790</v>
      </c>
      <c r="V236" s="105">
        <v>0</v>
      </c>
      <c r="W236" s="144">
        <v>43564</v>
      </c>
      <c r="X236" s="104">
        <f t="shared" si="60"/>
        <v>40940</v>
      </c>
      <c r="Y236" s="197">
        <f t="shared" si="63"/>
        <v>9864000</v>
      </c>
      <c r="Z236" s="143"/>
      <c r="AA236" s="143" t="str">
        <f t="shared" si="66"/>
        <v>买入第11期</v>
      </c>
      <c r="AB236" s="203"/>
      <c r="AC236" s="321">
        <v>0.152</v>
      </c>
      <c r="AD236" s="205">
        <v>0.152</v>
      </c>
      <c r="AE236" s="314"/>
      <c r="AF236" s="105"/>
    </row>
    <row r="237" spans="1:32" s="110" customFormat="1" ht="24" customHeight="1" x14ac:dyDescent="0.15">
      <c r="A237" s="142" t="s">
        <v>248</v>
      </c>
      <c r="B237" s="142" t="s">
        <v>764</v>
      </c>
      <c r="C237" s="142" t="str">
        <f t="shared" si="59"/>
        <v>到期</v>
      </c>
      <c r="D237" s="103" t="s">
        <v>1843</v>
      </c>
      <c r="E237" s="142" t="s">
        <v>298</v>
      </c>
      <c r="F237" s="48">
        <v>43536</v>
      </c>
      <c r="G237" s="48">
        <v>43564</v>
      </c>
      <c r="H237" s="48" t="s">
        <v>1015</v>
      </c>
      <c r="I237" s="48" t="s">
        <v>222</v>
      </c>
      <c r="J237" s="142" t="s">
        <v>56</v>
      </c>
      <c r="K237" s="104">
        <v>200</v>
      </c>
      <c r="L237" s="104">
        <v>51050</v>
      </c>
      <c r="M237" s="105">
        <v>49320</v>
      </c>
      <c r="N237" s="104">
        <f t="shared" si="65"/>
        <v>204.7</v>
      </c>
      <c r="O237" s="104">
        <f t="shared" si="64"/>
        <v>40940</v>
      </c>
      <c r="P237" s="101" t="s">
        <v>347</v>
      </c>
      <c r="Q237" s="101" t="s">
        <v>442</v>
      </c>
      <c r="R237" s="105"/>
      <c r="S237" s="105"/>
      <c r="T237" s="144"/>
      <c r="U237" s="105">
        <v>49790</v>
      </c>
      <c r="V237" s="105">
        <v>0</v>
      </c>
      <c r="W237" s="144">
        <v>43564</v>
      </c>
      <c r="X237" s="104">
        <f t="shared" si="60"/>
        <v>40940</v>
      </c>
      <c r="Y237" s="197">
        <f t="shared" si="63"/>
        <v>9864000</v>
      </c>
      <c r="Z237" s="143"/>
      <c r="AA237" s="143" t="str">
        <f t="shared" si="66"/>
        <v>买入第11期</v>
      </c>
      <c r="AB237" s="203"/>
      <c r="AC237" s="321">
        <v>0.152</v>
      </c>
      <c r="AD237" s="205">
        <v>0.152</v>
      </c>
      <c r="AE237" s="314"/>
      <c r="AF237" s="105"/>
    </row>
    <row r="238" spans="1:32" s="110" customFormat="1" ht="24" customHeight="1" x14ac:dyDescent="0.15">
      <c r="A238" s="142" t="s">
        <v>894</v>
      </c>
      <c r="B238" s="142" t="s">
        <v>764</v>
      </c>
      <c r="C238" s="142" t="str">
        <f t="shared" si="59"/>
        <v>到期</v>
      </c>
      <c r="D238" s="103" t="s">
        <v>1843</v>
      </c>
      <c r="E238" s="142" t="s">
        <v>298</v>
      </c>
      <c r="F238" s="48">
        <v>43536</v>
      </c>
      <c r="G238" s="48">
        <v>43564</v>
      </c>
      <c r="H238" s="48" t="s">
        <v>1015</v>
      </c>
      <c r="I238" s="48" t="s">
        <v>222</v>
      </c>
      <c r="J238" s="142" t="s">
        <v>59</v>
      </c>
      <c r="K238" s="104">
        <v>200</v>
      </c>
      <c r="L238" s="104">
        <v>47100</v>
      </c>
      <c r="M238" s="105">
        <v>49320</v>
      </c>
      <c r="N238" s="104">
        <f t="shared" si="65"/>
        <v>204.7</v>
      </c>
      <c r="O238" s="104">
        <f t="shared" si="64"/>
        <v>40940</v>
      </c>
      <c r="P238" s="101" t="s">
        <v>347</v>
      </c>
      <c r="Q238" s="101" t="s">
        <v>443</v>
      </c>
      <c r="R238" s="105"/>
      <c r="S238" s="105"/>
      <c r="T238" s="144"/>
      <c r="U238" s="104">
        <v>49790</v>
      </c>
      <c r="V238" s="104">
        <v>0</v>
      </c>
      <c r="W238" s="48">
        <v>43564</v>
      </c>
      <c r="X238" s="104">
        <f t="shared" si="60"/>
        <v>40940</v>
      </c>
      <c r="Y238" s="197">
        <f t="shared" si="63"/>
        <v>9864000</v>
      </c>
      <c r="Z238" s="143"/>
      <c r="AA238" s="143" t="str">
        <f t="shared" si="66"/>
        <v>买入第11期</v>
      </c>
      <c r="AB238" s="203"/>
      <c r="AC238" s="321">
        <v>0.152</v>
      </c>
      <c r="AD238" s="205">
        <v>0.152</v>
      </c>
      <c r="AE238" s="314"/>
      <c r="AF238" s="105"/>
    </row>
    <row r="239" spans="1:32" s="110" customFormat="1" ht="24" customHeight="1" x14ac:dyDescent="0.15">
      <c r="A239" s="142" t="s">
        <v>894</v>
      </c>
      <c r="B239" s="142" t="s">
        <v>764</v>
      </c>
      <c r="C239" s="142" t="str">
        <f t="shared" si="59"/>
        <v>到期</v>
      </c>
      <c r="D239" s="103" t="s">
        <v>1844</v>
      </c>
      <c r="E239" s="142" t="s">
        <v>298</v>
      </c>
      <c r="F239" s="48">
        <v>43536</v>
      </c>
      <c r="G239" s="48">
        <v>43564</v>
      </c>
      <c r="H239" s="48" t="s">
        <v>1015</v>
      </c>
      <c r="I239" s="48" t="s">
        <v>222</v>
      </c>
      <c r="J239" s="142" t="s">
        <v>56</v>
      </c>
      <c r="K239" s="104">
        <v>200</v>
      </c>
      <c r="L239" s="104">
        <v>51050</v>
      </c>
      <c r="M239" s="105">
        <v>49320</v>
      </c>
      <c r="N239" s="104">
        <f t="shared" si="65"/>
        <v>204.7</v>
      </c>
      <c r="O239" s="104">
        <f t="shared" si="64"/>
        <v>40940</v>
      </c>
      <c r="P239" s="101" t="s">
        <v>348</v>
      </c>
      <c r="Q239" s="101" t="s">
        <v>444</v>
      </c>
      <c r="R239" s="105"/>
      <c r="S239" s="105"/>
      <c r="T239" s="144"/>
      <c r="U239" s="105">
        <v>49790</v>
      </c>
      <c r="V239" s="105">
        <v>0</v>
      </c>
      <c r="W239" s="144">
        <v>43564</v>
      </c>
      <c r="X239" s="104">
        <f t="shared" si="60"/>
        <v>40940</v>
      </c>
      <c r="Y239" s="197">
        <f t="shared" si="63"/>
        <v>9864000</v>
      </c>
      <c r="Z239" s="143"/>
      <c r="AA239" s="143" t="str">
        <f t="shared" si="66"/>
        <v>买入第11期</v>
      </c>
      <c r="AB239" s="203"/>
      <c r="AC239" s="321">
        <v>0.152</v>
      </c>
      <c r="AD239" s="205">
        <v>0.152</v>
      </c>
      <c r="AE239" s="314"/>
      <c r="AF239" s="105"/>
    </row>
    <row r="240" spans="1:32" s="110" customFormat="1" ht="24" customHeight="1" x14ac:dyDescent="0.15">
      <c r="A240" s="142" t="s">
        <v>248</v>
      </c>
      <c r="B240" s="142" t="s">
        <v>764</v>
      </c>
      <c r="C240" s="142" t="str">
        <f t="shared" si="59"/>
        <v>到期</v>
      </c>
      <c r="D240" s="103" t="s">
        <v>1844</v>
      </c>
      <c r="E240" s="142" t="s">
        <v>298</v>
      </c>
      <c r="F240" s="48">
        <v>43536</v>
      </c>
      <c r="G240" s="48">
        <v>43564</v>
      </c>
      <c r="H240" s="48" t="s">
        <v>1015</v>
      </c>
      <c r="I240" s="48" t="s">
        <v>222</v>
      </c>
      <c r="J240" s="142" t="s">
        <v>59</v>
      </c>
      <c r="K240" s="104">
        <v>200</v>
      </c>
      <c r="L240" s="104">
        <v>47100</v>
      </c>
      <c r="M240" s="105">
        <v>49320</v>
      </c>
      <c r="N240" s="104">
        <f t="shared" si="65"/>
        <v>204.7</v>
      </c>
      <c r="O240" s="104">
        <f t="shared" si="64"/>
        <v>40940</v>
      </c>
      <c r="P240" s="101" t="s">
        <v>348</v>
      </c>
      <c r="Q240" s="101" t="s">
        <v>445</v>
      </c>
      <c r="R240" s="105"/>
      <c r="S240" s="105"/>
      <c r="T240" s="144"/>
      <c r="U240" s="105">
        <v>49790</v>
      </c>
      <c r="V240" s="105">
        <v>0</v>
      </c>
      <c r="W240" s="144">
        <v>43564</v>
      </c>
      <c r="X240" s="104">
        <f t="shared" si="60"/>
        <v>40940</v>
      </c>
      <c r="Y240" s="197">
        <f t="shared" si="63"/>
        <v>9864000</v>
      </c>
      <c r="Z240" s="143"/>
      <c r="AA240" s="143" t="str">
        <f t="shared" si="66"/>
        <v>买入第11期</v>
      </c>
      <c r="AB240" s="203"/>
      <c r="AC240" s="321">
        <v>0.152</v>
      </c>
      <c r="AD240" s="205">
        <v>0.152</v>
      </c>
      <c r="AE240" s="314"/>
      <c r="AF240" s="105"/>
    </row>
    <row r="241" spans="1:32" s="110" customFormat="1" ht="24" customHeight="1" x14ac:dyDescent="0.15">
      <c r="A241" s="142" t="s">
        <v>894</v>
      </c>
      <c r="B241" s="142" t="s">
        <v>764</v>
      </c>
      <c r="C241" s="142" t="str">
        <f t="shared" si="59"/>
        <v>到期</v>
      </c>
      <c r="D241" s="103" t="s">
        <v>1845</v>
      </c>
      <c r="E241" s="142" t="s">
        <v>298</v>
      </c>
      <c r="F241" s="48">
        <v>43536</v>
      </c>
      <c r="G241" s="48">
        <v>43564</v>
      </c>
      <c r="H241" s="48" t="s">
        <v>1015</v>
      </c>
      <c r="I241" s="48" t="s">
        <v>222</v>
      </c>
      <c r="J241" s="142" t="s">
        <v>56</v>
      </c>
      <c r="K241" s="104">
        <v>200</v>
      </c>
      <c r="L241" s="104">
        <v>51050</v>
      </c>
      <c r="M241" s="105">
        <v>49320</v>
      </c>
      <c r="N241" s="104">
        <f t="shared" si="65"/>
        <v>204.7</v>
      </c>
      <c r="O241" s="104">
        <f t="shared" si="64"/>
        <v>40940</v>
      </c>
      <c r="P241" s="101" t="s">
        <v>349</v>
      </c>
      <c r="Q241" s="101" t="s">
        <v>446</v>
      </c>
      <c r="R241" s="105"/>
      <c r="S241" s="105"/>
      <c r="T241" s="144"/>
      <c r="U241" s="105">
        <v>49790</v>
      </c>
      <c r="V241" s="105">
        <v>0</v>
      </c>
      <c r="W241" s="144">
        <v>43564</v>
      </c>
      <c r="X241" s="104">
        <f t="shared" si="60"/>
        <v>40940</v>
      </c>
      <c r="Y241" s="197">
        <f t="shared" si="63"/>
        <v>9864000</v>
      </c>
      <c r="Z241" s="143"/>
      <c r="AA241" s="143" t="str">
        <f t="shared" si="66"/>
        <v>买入第11期</v>
      </c>
      <c r="AB241" s="203"/>
      <c r="AC241" s="321">
        <v>0.152</v>
      </c>
      <c r="AD241" s="205">
        <v>0.152</v>
      </c>
      <c r="AE241" s="314"/>
      <c r="AF241" s="105"/>
    </row>
    <row r="242" spans="1:32" s="110" customFormat="1" ht="24" customHeight="1" x14ac:dyDescent="0.15">
      <c r="A242" s="142" t="s">
        <v>893</v>
      </c>
      <c r="B242" s="142" t="s">
        <v>764</v>
      </c>
      <c r="C242" s="142" t="str">
        <f t="shared" si="59"/>
        <v>到期</v>
      </c>
      <c r="D242" s="103" t="s">
        <v>1845</v>
      </c>
      <c r="E242" s="142" t="s">
        <v>298</v>
      </c>
      <c r="F242" s="48">
        <v>43536</v>
      </c>
      <c r="G242" s="48">
        <v>43564</v>
      </c>
      <c r="H242" s="48" t="s">
        <v>1015</v>
      </c>
      <c r="I242" s="48" t="s">
        <v>222</v>
      </c>
      <c r="J242" s="142" t="s">
        <v>59</v>
      </c>
      <c r="K242" s="104">
        <v>200</v>
      </c>
      <c r="L242" s="104">
        <v>47100</v>
      </c>
      <c r="M242" s="105">
        <v>49320</v>
      </c>
      <c r="N242" s="104">
        <f t="shared" si="65"/>
        <v>204.7</v>
      </c>
      <c r="O242" s="104">
        <f t="shared" si="64"/>
        <v>40940</v>
      </c>
      <c r="P242" s="101" t="s">
        <v>349</v>
      </c>
      <c r="Q242" s="101" t="s">
        <v>447</v>
      </c>
      <c r="R242" s="105"/>
      <c r="S242" s="105"/>
      <c r="T242" s="144"/>
      <c r="U242" s="105">
        <v>49790</v>
      </c>
      <c r="V242" s="105">
        <v>0</v>
      </c>
      <c r="W242" s="144">
        <v>43564</v>
      </c>
      <c r="X242" s="104">
        <f t="shared" si="60"/>
        <v>40940</v>
      </c>
      <c r="Y242" s="197">
        <f t="shared" si="63"/>
        <v>9864000</v>
      </c>
      <c r="Z242" s="143"/>
      <c r="AA242" s="143" t="str">
        <f t="shared" si="66"/>
        <v>买入第11期</v>
      </c>
      <c r="AB242" s="203"/>
      <c r="AC242" s="321">
        <v>0.152</v>
      </c>
      <c r="AD242" s="205">
        <v>0.152</v>
      </c>
      <c r="AE242" s="314"/>
      <c r="AF242" s="105"/>
    </row>
    <row r="243" spans="1:32" s="110" customFormat="1" ht="24" customHeight="1" x14ac:dyDescent="0.15">
      <c r="A243" s="142" t="s">
        <v>244</v>
      </c>
      <c r="B243" s="142" t="s">
        <v>295</v>
      </c>
      <c r="C243" s="142" t="str">
        <f t="shared" si="59"/>
        <v>到期</v>
      </c>
      <c r="D243" s="123" t="s">
        <v>266</v>
      </c>
      <c r="E243" s="142" t="s">
        <v>340</v>
      </c>
      <c r="F243" s="144">
        <v>43536</v>
      </c>
      <c r="G243" s="144">
        <v>43565</v>
      </c>
      <c r="H243" s="143" t="s">
        <v>287</v>
      </c>
      <c r="I243" s="143" t="s">
        <v>38</v>
      </c>
      <c r="J243" s="142" t="s">
        <v>56</v>
      </c>
      <c r="K243" s="105">
        <v>3000</v>
      </c>
      <c r="L243" s="105">
        <v>3650.4</v>
      </c>
      <c r="M243" s="105">
        <v>3380</v>
      </c>
      <c r="N243" s="105">
        <v>16.670000000000002</v>
      </c>
      <c r="O243" s="105">
        <f t="shared" si="64"/>
        <v>50010.000000000007</v>
      </c>
      <c r="P243" s="101" t="s">
        <v>708</v>
      </c>
      <c r="Q243" s="101" t="s">
        <v>437</v>
      </c>
      <c r="R243" s="105"/>
      <c r="S243" s="105"/>
      <c r="T243" s="144"/>
      <c r="U243" s="104">
        <v>3478</v>
      </c>
      <c r="V243" s="104">
        <v>0</v>
      </c>
      <c r="W243" s="48">
        <f>G243</f>
        <v>43565</v>
      </c>
      <c r="X243" s="104">
        <f t="shared" si="60"/>
        <v>-50010.000000000007</v>
      </c>
      <c r="Y243" s="197">
        <f t="shared" si="63"/>
        <v>10140000</v>
      </c>
      <c r="Z243" s="143" t="str">
        <f t="shared" ref="Z243:Z258" si="67">IF(C243="存续",D243&amp;H243&amp;"-"&amp;AA243,"")</f>
        <v/>
      </c>
      <c r="AA243" s="143" t="str">
        <f t="shared" ref="AA243:AA257" si="68">IF(I243="买入","卖出","买入")</f>
        <v>卖出</v>
      </c>
      <c r="AB243" s="203"/>
      <c r="AC243" s="321">
        <v>0.24399999999999999</v>
      </c>
      <c r="AD243" s="319"/>
      <c r="AE243" s="314"/>
      <c r="AF243" s="105"/>
    </row>
    <row r="244" spans="1:32" s="110" customFormat="1" ht="24" customHeight="1" x14ac:dyDescent="0.15">
      <c r="A244" s="142" t="s">
        <v>244</v>
      </c>
      <c r="B244" s="142" t="s">
        <v>295</v>
      </c>
      <c r="C244" s="142" t="str">
        <f t="shared" si="59"/>
        <v>到期</v>
      </c>
      <c r="D244" s="123" t="s">
        <v>266</v>
      </c>
      <c r="E244" s="142" t="s">
        <v>340</v>
      </c>
      <c r="F244" s="144">
        <v>43536</v>
      </c>
      <c r="G244" s="144">
        <v>43565</v>
      </c>
      <c r="H244" s="143" t="s">
        <v>287</v>
      </c>
      <c r="I244" s="143" t="s">
        <v>38</v>
      </c>
      <c r="J244" s="142" t="s">
        <v>59</v>
      </c>
      <c r="K244" s="105">
        <v>3000</v>
      </c>
      <c r="L244" s="105">
        <v>3143.4</v>
      </c>
      <c r="M244" s="105">
        <v>3380</v>
      </c>
      <c r="N244" s="105">
        <v>17.5</v>
      </c>
      <c r="O244" s="105">
        <f t="shared" si="64"/>
        <v>52500</v>
      </c>
      <c r="P244" s="101" t="s">
        <v>708</v>
      </c>
      <c r="Q244" s="101" t="s">
        <v>437</v>
      </c>
      <c r="R244" s="105"/>
      <c r="S244" s="105"/>
      <c r="T244" s="144"/>
      <c r="U244" s="105">
        <v>3478</v>
      </c>
      <c r="V244" s="105">
        <v>0</v>
      </c>
      <c r="W244" s="144">
        <f>G244</f>
        <v>43565</v>
      </c>
      <c r="X244" s="104">
        <f t="shared" si="60"/>
        <v>-52500</v>
      </c>
      <c r="Y244" s="197">
        <f t="shared" si="63"/>
        <v>10140000</v>
      </c>
      <c r="Z244" s="143" t="str">
        <f t="shared" si="67"/>
        <v/>
      </c>
      <c r="AA244" s="143" t="str">
        <f t="shared" si="68"/>
        <v>卖出</v>
      </c>
      <c r="AB244" s="203"/>
      <c r="AC244" s="321">
        <v>0.24399999999999999</v>
      </c>
      <c r="AD244" s="319"/>
      <c r="AE244" s="314"/>
      <c r="AF244" s="105"/>
    </row>
    <row r="245" spans="1:32" s="110" customFormat="1" ht="24" customHeight="1" x14ac:dyDescent="0.15">
      <c r="A245" s="142" t="s">
        <v>244</v>
      </c>
      <c r="B245" s="142" t="s">
        <v>295</v>
      </c>
      <c r="C245" s="142" t="str">
        <f t="shared" si="59"/>
        <v>到期</v>
      </c>
      <c r="D245" s="123" t="s">
        <v>266</v>
      </c>
      <c r="E245" s="142" t="s">
        <v>137</v>
      </c>
      <c r="F245" s="144">
        <v>43536</v>
      </c>
      <c r="G245" s="144">
        <v>43546</v>
      </c>
      <c r="H245" s="143" t="s">
        <v>323</v>
      </c>
      <c r="I245" s="143" t="s">
        <v>241</v>
      </c>
      <c r="J245" s="142" t="s">
        <v>59</v>
      </c>
      <c r="K245" s="105">
        <v>1500</v>
      </c>
      <c r="L245" s="105">
        <v>3579</v>
      </c>
      <c r="M245" s="105">
        <v>3615</v>
      </c>
      <c r="N245" s="105">
        <v>12.96</v>
      </c>
      <c r="O245" s="105">
        <f t="shared" si="64"/>
        <v>19440</v>
      </c>
      <c r="P245" s="101" t="s">
        <v>709</v>
      </c>
      <c r="Q245" s="101" t="s">
        <v>710</v>
      </c>
      <c r="R245" s="105"/>
      <c r="S245" s="105"/>
      <c r="T245" s="144"/>
      <c r="U245" s="105">
        <v>3641</v>
      </c>
      <c r="V245" s="105">
        <v>0</v>
      </c>
      <c r="W245" s="144">
        <f>G245</f>
        <v>43546</v>
      </c>
      <c r="X245" s="104">
        <f t="shared" si="60"/>
        <v>-19440</v>
      </c>
      <c r="Y245" s="197">
        <f t="shared" si="63"/>
        <v>5422500</v>
      </c>
      <c r="Z245" s="143" t="str">
        <f t="shared" si="67"/>
        <v/>
      </c>
      <c r="AA245" s="143" t="str">
        <f t="shared" si="68"/>
        <v>卖出</v>
      </c>
      <c r="AB245" s="203"/>
      <c r="AC245" s="321">
        <v>9.9500000000000005E-2</v>
      </c>
      <c r="AD245" s="319"/>
      <c r="AE245" s="314"/>
      <c r="AF245" s="105"/>
    </row>
    <row r="246" spans="1:32" s="110" customFormat="1" ht="24" customHeight="1" x14ac:dyDescent="0.15">
      <c r="A246" s="142" t="s">
        <v>244</v>
      </c>
      <c r="B246" s="142" t="s">
        <v>295</v>
      </c>
      <c r="C246" s="142" t="str">
        <f t="shared" si="59"/>
        <v>到期</v>
      </c>
      <c r="D246" s="123" t="s">
        <v>1846</v>
      </c>
      <c r="E246" s="142" t="s">
        <v>137</v>
      </c>
      <c r="F246" s="144">
        <v>43537</v>
      </c>
      <c r="G246" s="144">
        <v>43567</v>
      </c>
      <c r="H246" s="143" t="s">
        <v>330</v>
      </c>
      <c r="I246" s="143" t="s">
        <v>241</v>
      </c>
      <c r="J246" s="142" t="s">
        <v>22</v>
      </c>
      <c r="K246" s="105">
        <v>1500</v>
      </c>
      <c r="L246" s="105">
        <v>7366.8</v>
      </c>
      <c r="M246" s="105">
        <v>7016</v>
      </c>
      <c r="N246" s="105">
        <v>18.059999999999999</v>
      </c>
      <c r="O246" s="105">
        <f t="shared" si="64"/>
        <v>27089.999999999996</v>
      </c>
      <c r="P246" s="101" t="s">
        <v>350</v>
      </c>
      <c r="Q246" s="101" t="s">
        <v>632</v>
      </c>
      <c r="R246" s="105">
        <v>0.56000000000000005</v>
      </c>
      <c r="S246" s="105">
        <f>R246*K246</f>
        <v>840.00000000000011</v>
      </c>
      <c r="T246" s="144">
        <v>43565</v>
      </c>
      <c r="U246" s="105"/>
      <c r="V246" s="105"/>
      <c r="W246" s="144"/>
      <c r="X246" s="104">
        <f>IF(I246="买入",S246-O246,O246+S246)</f>
        <v>-26249.999999999996</v>
      </c>
      <c r="Y246" s="197">
        <f t="shared" si="63"/>
        <v>10524000</v>
      </c>
      <c r="Z246" s="143" t="str">
        <f t="shared" si="67"/>
        <v/>
      </c>
      <c r="AA246" s="143" t="str">
        <f t="shared" si="68"/>
        <v>卖出</v>
      </c>
      <c r="AB246" s="203"/>
      <c r="AC246" s="321">
        <v>0.14299999999999999</v>
      </c>
      <c r="AD246" s="319"/>
      <c r="AE246" s="314"/>
      <c r="AF246" s="105"/>
    </row>
    <row r="247" spans="1:32" s="110" customFormat="1" ht="24" customHeight="1" x14ac:dyDescent="0.15">
      <c r="A247" s="142" t="s">
        <v>244</v>
      </c>
      <c r="B247" s="142" t="s">
        <v>295</v>
      </c>
      <c r="C247" s="142" t="str">
        <f t="shared" si="59"/>
        <v>到期</v>
      </c>
      <c r="D247" s="123" t="s">
        <v>1846</v>
      </c>
      <c r="E247" s="142" t="s">
        <v>137</v>
      </c>
      <c r="F247" s="144">
        <v>43537</v>
      </c>
      <c r="G247" s="144">
        <v>43567</v>
      </c>
      <c r="H247" s="143" t="s">
        <v>330</v>
      </c>
      <c r="I247" s="143" t="s">
        <v>241</v>
      </c>
      <c r="J247" s="142" t="s">
        <v>25</v>
      </c>
      <c r="K247" s="105">
        <v>1500</v>
      </c>
      <c r="L247" s="105">
        <v>6665.2</v>
      </c>
      <c r="M247" s="105">
        <v>7016</v>
      </c>
      <c r="N247" s="105">
        <v>15.27</v>
      </c>
      <c r="O247" s="105">
        <f t="shared" si="64"/>
        <v>22905</v>
      </c>
      <c r="P247" s="101" t="s">
        <v>350</v>
      </c>
      <c r="Q247" s="101" t="s">
        <v>632</v>
      </c>
      <c r="R247" s="105">
        <v>0.22</v>
      </c>
      <c r="S247" s="105">
        <f>R247*K247</f>
        <v>330</v>
      </c>
      <c r="T247" s="144">
        <v>43565</v>
      </c>
      <c r="U247" s="104"/>
      <c r="V247" s="104"/>
      <c r="W247" s="48"/>
      <c r="X247" s="104">
        <f>IF(I247="买入",S247-O247,O247+S247)</f>
        <v>-22575</v>
      </c>
      <c r="Y247" s="197">
        <f t="shared" si="63"/>
        <v>10524000</v>
      </c>
      <c r="Z247" s="143" t="str">
        <f t="shared" si="67"/>
        <v/>
      </c>
      <c r="AA247" s="143" t="str">
        <f t="shared" si="68"/>
        <v>卖出</v>
      </c>
      <c r="AB247" s="203"/>
      <c r="AC247" s="321">
        <v>0.14299999999999999</v>
      </c>
      <c r="AD247" s="319"/>
      <c r="AE247" s="314"/>
      <c r="AF247" s="105"/>
    </row>
    <row r="248" spans="1:32" s="110" customFormat="1" ht="24" customHeight="1" x14ac:dyDescent="0.15">
      <c r="A248" s="142" t="s">
        <v>244</v>
      </c>
      <c r="B248" s="142" t="s">
        <v>295</v>
      </c>
      <c r="C248" s="142" t="str">
        <f t="shared" si="59"/>
        <v>到期</v>
      </c>
      <c r="D248" s="123" t="s">
        <v>266</v>
      </c>
      <c r="E248" s="142" t="s">
        <v>137</v>
      </c>
      <c r="F248" s="144">
        <v>43537</v>
      </c>
      <c r="G248" s="144">
        <v>43553</v>
      </c>
      <c r="H248" s="143" t="s">
        <v>279</v>
      </c>
      <c r="I248" s="143" t="s">
        <v>241</v>
      </c>
      <c r="J248" s="142" t="s">
        <v>56</v>
      </c>
      <c r="K248" s="105">
        <v>1500</v>
      </c>
      <c r="L248" s="105">
        <v>6760</v>
      </c>
      <c r="M248" s="105">
        <v>6500</v>
      </c>
      <c r="N248" s="105">
        <v>21.45</v>
      </c>
      <c r="O248" s="105">
        <f t="shared" si="64"/>
        <v>32175</v>
      </c>
      <c r="P248" s="101" t="s">
        <v>711</v>
      </c>
      <c r="Q248" s="101" t="s">
        <v>712</v>
      </c>
      <c r="R248" s="105"/>
      <c r="S248" s="105"/>
      <c r="T248" s="144"/>
      <c r="U248" s="105">
        <v>6504</v>
      </c>
      <c r="V248" s="105">
        <v>0</v>
      </c>
      <c r="W248" s="144">
        <f t="shared" ref="W248:W257" si="69">G248</f>
        <v>43553</v>
      </c>
      <c r="X248" s="104">
        <f t="shared" ref="X248:X274" si="70">IF(I248="买入",V248-O248,V248+O248)</f>
        <v>-32175</v>
      </c>
      <c r="Y248" s="197">
        <f t="shared" si="63"/>
        <v>9750000</v>
      </c>
      <c r="Z248" s="143" t="str">
        <f t="shared" si="67"/>
        <v/>
      </c>
      <c r="AA248" s="143" t="str">
        <f t="shared" si="68"/>
        <v>卖出</v>
      </c>
      <c r="AB248" s="203"/>
      <c r="AC248" s="321">
        <v>0.17599999999999999</v>
      </c>
      <c r="AD248" s="319"/>
      <c r="AE248" s="314"/>
      <c r="AF248" s="105"/>
    </row>
    <row r="249" spans="1:32" s="110" customFormat="1" ht="24" customHeight="1" x14ac:dyDescent="0.15">
      <c r="A249" s="142" t="s">
        <v>244</v>
      </c>
      <c r="B249" s="142" t="s">
        <v>295</v>
      </c>
      <c r="C249" s="142" t="str">
        <f t="shared" si="59"/>
        <v>到期</v>
      </c>
      <c r="D249" s="123" t="s">
        <v>1846</v>
      </c>
      <c r="E249" s="142" t="s">
        <v>137</v>
      </c>
      <c r="F249" s="144">
        <v>43538</v>
      </c>
      <c r="G249" s="144">
        <v>43570</v>
      </c>
      <c r="H249" s="143" t="s">
        <v>755</v>
      </c>
      <c r="I249" s="143" t="s">
        <v>241</v>
      </c>
      <c r="J249" s="142" t="s">
        <v>22</v>
      </c>
      <c r="K249" s="105">
        <v>1200</v>
      </c>
      <c r="L249" s="105">
        <v>8996</v>
      </c>
      <c r="M249" s="105">
        <v>8650</v>
      </c>
      <c r="N249" s="105">
        <v>17.309999999999999</v>
      </c>
      <c r="O249" s="105">
        <f t="shared" si="64"/>
        <v>20772</v>
      </c>
      <c r="P249" s="101" t="s">
        <v>354</v>
      </c>
      <c r="Q249" s="101" t="s">
        <v>571</v>
      </c>
      <c r="R249" s="105"/>
      <c r="S249" s="105"/>
      <c r="T249" s="144"/>
      <c r="U249" s="105">
        <v>8570</v>
      </c>
      <c r="V249" s="105">
        <v>0</v>
      </c>
      <c r="W249" s="144">
        <f t="shared" si="69"/>
        <v>43570</v>
      </c>
      <c r="X249" s="104">
        <f t="shared" si="70"/>
        <v>-20772</v>
      </c>
      <c r="Y249" s="197">
        <f t="shared" si="63"/>
        <v>10380000</v>
      </c>
      <c r="Z249" s="143" t="str">
        <f t="shared" si="67"/>
        <v/>
      </c>
      <c r="AA249" s="143" t="str">
        <f t="shared" si="68"/>
        <v>卖出</v>
      </c>
      <c r="AB249" s="203"/>
      <c r="AC249" s="321">
        <v>0.11600000000000001</v>
      </c>
      <c r="AD249" s="319"/>
      <c r="AE249" s="314"/>
      <c r="AF249" s="105"/>
    </row>
    <row r="250" spans="1:32" s="110" customFormat="1" ht="24" customHeight="1" x14ac:dyDescent="0.15">
      <c r="A250" s="142" t="s">
        <v>244</v>
      </c>
      <c r="B250" s="142" t="s">
        <v>295</v>
      </c>
      <c r="C250" s="142" t="str">
        <f t="shared" si="59"/>
        <v>到期</v>
      </c>
      <c r="D250" s="123" t="s">
        <v>1846</v>
      </c>
      <c r="E250" s="142" t="s">
        <v>137</v>
      </c>
      <c r="F250" s="144">
        <v>43538</v>
      </c>
      <c r="G250" s="144">
        <v>43570</v>
      </c>
      <c r="H250" s="143" t="s">
        <v>755</v>
      </c>
      <c r="I250" s="143" t="s">
        <v>241</v>
      </c>
      <c r="J250" s="142" t="s">
        <v>25</v>
      </c>
      <c r="K250" s="105">
        <v>1200</v>
      </c>
      <c r="L250" s="105">
        <v>8304</v>
      </c>
      <c r="M250" s="105">
        <v>8650</v>
      </c>
      <c r="N250" s="105">
        <v>15.07</v>
      </c>
      <c r="O250" s="105">
        <f t="shared" si="64"/>
        <v>18084</v>
      </c>
      <c r="P250" s="101" t="s">
        <v>354</v>
      </c>
      <c r="Q250" s="101" t="s">
        <v>571</v>
      </c>
      <c r="R250" s="105"/>
      <c r="S250" s="105"/>
      <c r="T250" s="144"/>
      <c r="U250" s="105">
        <v>8570</v>
      </c>
      <c r="V250" s="105">
        <v>0</v>
      </c>
      <c r="W250" s="144">
        <f t="shared" si="69"/>
        <v>43570</v>
      </c>
      <c r="X250" s="104">
        <f t="shared" si="70"/>
        <v>-18084</v>
      </c>
      <c r="Y250" s="197">
        <f t="shared" si="63"/>
        <v>10380000</v>
      </c>
      <c r="Z250" s="143" t="str">
        <f t="shared" si="67"/>
        <v/>
      </c>
      <c r="AA250" s="143" t="str">
        <f t="shared" si="68"/>
        <v>卖出</v>
      </c>
      <c r="AB250" s="203"/>
      <c r="AC250" s="321">
        <v>0.11600000000000001</v>
      </c>
      <c r="AD250" s="319"/>
      <c r="AE250" s="314"/>
      <c r="AF250" s="105"/>
    </row>
    <row r="251" spans="1:32" s="110" customFormat="1" ht="24" customHeight="1" x14ac:dyDescent="0.15">
      <c r="A251" s="142" t="s">
        <v>244</v>
      </c>
      <c r="B251" s="142" t="s">
        <v>295</v>
      </c>
      <c r="C251" s="142" t="str">
        <f t="shared" si="59"/>
        <v>到期</v>
      </c>
      <c r="D251" s="123" t="s">
        <v>266</v>
      </c>
      <c r="E251" s="142" t="s">
        <v>137</v>
      </c>
      <c r="F251" s="144">
        <v>43538</v>
      </c>
      <c r="G251" s="144">
        <v>43563</v>
      </c>
      <c r="H251" s="143" t="s">
        <v>277</v>
      </c>
      <c r="I251" s="143" t="s">
        <v>241</v>
      </c>
      <c r="J251" s="142" t="s">
        <v>56</v>
      </c>
      <c r="K251" s="105">
        <v>1500</v>
      </c>
      <c r="L251" s="105">
        <v>4564</v>
      </c>
      <c r="M251" s="105">
        <v>4472</v>
      </c>
      <c r="N251" s="105">
        <v>24.82</v>
      </c>
      <c r="O251" s="105">
        <f t="shared" si="64"/>
        <v>37230</v>
      </c>
      <c r="P251" s="101" t="s">
        <v>355</v>
      </c>
      <c r="Q251" s="101" t="s">
        <v>864</v>
      </c>
      <c r="R251" s="105"/>
      <c r="S251" s="105"/>
      <c r="T251" s="144"/>
      <c r="U251" s="104">
        <v>4452</v>
      </c>
      <c r="V251" s="104">
        <v>0</v>
      </c>
      <c r="W251" s="48">
        <f t="shared" si="69"/>
        <v>43563</v>
      </c>
      <c r="X251" s="104">
        <f t="shared" si="70"/>
        <v>-37230</v>
      </c>
      <c r="Y251" s="197">
        <f t="shared" si="63"/>
        <v>6708000</v>
      </c>
      <c r="Z251" s="143" t="str">
        <f t="shared" si="67"/>
        <v/>
      </c>
      <c r="AA251" s="143" t="str">
        <f t="shared" si="68"/>
        <v>卖出</v>
      </c>
      <c r="AB251" s="203"/>
      <c r="AC251" s="321">
        <v>0.129</v>
      </c>
      <c r="AD251" s="319"/>
      <c r="AE251" s="314"/>
      <c r="AF251" s="105"/>
    </row>
    <row r="252" spans="1:32" s="110" customFormat="1" ht="24" customHeight="1" x14ac:dyDescent="0.15">
      <c r="A252" s="142" t="s">
        <v>762</v>
      </c>
      <c r="B252" s="142" t="s">
        <v>295</v>
      </c>
      <c r="C252" s="142" t="str">
        <f t="shared" si="59"/>
        <v>到期</v>
      </c>
      <c r="D252" s="123" t="s">
        <v>266</v>
      </c>
      <c r="E252" s="142" t="s">
        <v>137</v>
      </c>
      <c r="F252" s="144">
        <v>43539</v>
      </c>
      <c r="G252" s="144">
        <v>43553</v>
      </c>
      <c r="H252" s="143" t="s">
        <v>357</v>
      </c>
      <c r="I252" s="143" t="s">
        <v>241</v>
      </c>
      <c r="J252" s="142" t="s">
        <v>56</v>
      </c>
      <c r="K252" s="105">
        <v>500</v>
      </c>
      <c r="L252" s="105">
        <v>12195</v>
      </c>
      <c r="M252" s="105">
        <v>11840</v>
      </c>
      <c r="N252" s="105">
        <v>54.21</v>
      </c>
      <c r="O252" s="105">
        <f t="shared" si="64"/>
        <v>27105</v>
      </c>
      <c r="P252" s="101" t="s">
        <v>713</v>
      </c>
      <c r="Q252" s="101" t="s">
        <v>715</v>
      </c>
      <c r="R252" s="105"/>
      <c r="S252" s="105"/>
      <c r="T252" s="144"/>
      <c r="U252" s="105">
        <v>11245</v>
      </c>
      <c r="V252" s="105">
        <v>0</v>
      </c>
      <c r="W252" s="144">
        <f t="shared" si="69"/>
        <v>43553</v>
      </c>
      <c r="X252" s="104">
        <f t="shared" si="70"/>
        <v>-27105</v>
      </c>
      <c r="Y252" s="197">
        <f t="shared" si="63"/>
        <v>5920000</v>
      </c>
      <c r="Z252" s="143" t="str">
        <f t="shared" si="67"/>
        <v/>
      </c>
      <c r="AA252" s="143" t="str">
        <f t="shared" si="68"/>
        <v>卖出</v>
      </c>
      <c r="AB252" s="203"/>
      <c r="AC252" s="321">
        <v>0.1845</v>
      </c>
      <c r="AD252" s="319"/>
      <c r="AE252" s="314"/>
      <c r="AF252" s="105"/>
    </row>
    <row r="253" spans="1:32" s="110" customFormat="1" ht="24" customHeight="1" x14ac:dyDescent="0.15">
      <c r="A253" s="142" t="s">
        <v>244</v>
      </c>
      <c r="B253" s="142" t="s">
        <v>295</v>
      </c>
      <c r="C253" s="142" t="str">
        <f t="shared" si="59"/>
        <v>到期</v>
      </c>
      <c r="D253" s="123" t="s">
        <v>266</v>
      </c>
      <c r="E253" s="142" t="s">
        <v>137</v>
      </c>
      <c r="F253" s="144">
        <v>43539</v>
      </c>
      <c r="G253" s="144">
        <v>43551</v>
      </c>
      <c r="H253" s="143" t="s">
        <v>358</v>
      </c>
      <c r="I253" s="143" t="s">
        <v>241</v>
      </c>
      <c r="J253" s="142" t="s">
        <v>56</v>
      </c>
      <c r="K253" s="105">
        <v>1000</v>
      </c>
      <c r="L253" s="105">
        <v>5585</v>
      </c>
      <c r="M253" s="105">
        <v>5530</v>
      </c>
      <c r="N253" s="105">
        <v>24.72</v>
      </c>
      <c r="O253" s="105">
        <f t="shared" si="64"/>
        <v>24720</v>
      </c>
      <c r="P253" s="101" t="s">
        <v>714</v>
      </c>
      <c r="Q253" s="101" t="s">
        <v>395</v>
      </c>
      <c r="R253" s="105"/>
      <c r="S253" s="105"/>
      <c r="T253" s="144"/>
      <c r="U253" s="105">
        <v>5480</v>
      </c>
      <c r="V253" s="105">
        <v>0</v>
      </c>
      <c r="W253" s="144">
        <f t="shared" si="69"/>
        <v>43551</v>
      </c>
      <c r="X253" s="104">
        <f t="shared" si="70"/>
        <v>-24720</v>
      </c>
      <c r="Y253" s="197">
        <f t="shared" si="63"/>
        <v>5530000</v>
      </c>
      <c r="Z253" s="143" t="str">
        <f t="shared" si="67"/>
        <v/>
      </c>
      <c r="AA253" s="143" t="str">
        <f t="shared" si="68"/>
        <v>卖出</v>
      </c>
      <c r="AB253" s="203"/>
      <c r="AC253" s="321">
        <v>0.11799999999999999</v>
      </c>
      <c r="AD253" s="319"/>
      <c r="AE253" s="314"/>
      <c r="AF253" s="105"/>
    </row>
    <row r="254" spans="1:32" s="110" customFormat="1" ht="24" customHeight="1" x14ac:dyDescent="0.15">
      <c r="A254" s="142" t="s">
        <v>244</v>
      </c>
      <c r="B254" s="142" t="s">
        <v>295</v>
      </c>
      <c r="C254" s="142" t="str">
        <f t="shared" si="59"/>
        <v>到期</v>
      </c>
      <c r="D254" s="123" t="s">
        <v>1846</v>
      </c>
      <c r="E254" s="142" t="s">
        <v>137</v>
      </c>
      <c r="F254" s="144">
        <v>43542</v>
      </c>
      <c r="G254" s="144">
        <v>43572</v>
      </c>
      <c r="H254" s="143" t="s">
        <v>359</v>
      </c>
      <c r="I254" s="143" t="s">
        <v>241</v>
      </c>
      <c r="J254" s="142" t="s">
        <v>22</v>
      </c>
      <c r="K254" s="105">
        <v>15000</v>
      </c>
      <c r="L254" s="105">
        <v>698.5</v>
      </c>
      <c r="M254" s="105">
        <v>635</v>
      </c>
      <c r="N254" s="105">
        <v>4.41</v>
      </c>
      <c r="O254" s="105">
        <f t="shared" si="64"/>
        <v>66150</v>
      </c>
      <c r="P254" s="101" t="s">
        <v>360</v>
      </c>
      <c r="Q254" s="101" t="s">
        <v>580</v>
      </c>
      <c r="R254" s="105"/>
      <c r="S254" s="105"/>
      <c r="T254" s="144"/>
      <c r="U254" s="105">
        <v>691</v>
      </c>
      <c r="V254" s="105">
        <v>0</v>
      </c>
      <c r="W254" s="144">
        <f t="shared" si="69"/>
        <v>43572</v>
      </c>
      <c r="X254" s="104">
        <f t="shared" si="70"/>
        <v>-66150</v>
      </c>
      <c r="Y254" s="197">
        <f t="shared" si="63"/>
        <v>9525000</v>
      </c>
      <c r="Z254" s="143" t="str">
        <f t="shared" si="67"/>
        <v/>
      </c>
      <c r="AA254" s="143" t="str">
        <f t="shared" si="68"/>
        <v>卖出</v>
      </c>
      <c r="AB254" s="203"/>
      <c r="AC254" s="321">
        <v>0.30499999999999999</v>
      </c>
      <c r="AD254" s="319"/>
      <c r="AE254" s="314"/>
      <c r="AF254" s="105"/>
    </row>
    <row r="255" spans="1:32" s="110" customFormat="1" ht="24" customHeight="1" x14ac:dyDescent="0.15">
      <c r="A255" s="142" t="s">
        <v>244</v>
      </c>
      <c r="B255" s="142" t="s">
        <v>295</v>
      </c>
      <c r="C255" s="142" t="str">
        <f t="shared" si="59"/>
        <v>到期</v>
      </c>
      <c r="D255" s="123" t="s">
        <v>1846</v>
      </c>
      <c r="E255" s="142" t="s">
        <v>137</v>
      </c>
      <c r="F255" s="144">
        <v>43542</v>
      </c>
      <c r="G255" s="144">
        <v>43572</v>
      </c>
      <c r="H255" s="143" t="s">
        <v>359</v>
      </c>
      <c r="I255" s="143" t="s">
        <v>241</v>
      </c>
      <c r="J255" s="142" t="s">
        <v>25</v>
      </c>
      <c r="K255" s="105">
        <v>15000</v>
      </c>
      <c r="L255" s="105">
        <v>577.85</v>
      </c>
      <c r="M255" s="105">
        <v>635</v>
      </c>
      <c r="N255" s="105">
        <v>4.0599999999999996</v>
      </c>
      <c r="O255" s="105">
        <f t="shared" si="64"/>
        <v>60899.999999999993</v>
      </c>
      <c r="P255" s="101" t="s">
        <v>360</v>
      </c>
      <c r="Q255" s="101" t="s">
        <v>580</v>
      </c>
      <c r="R255" s="105"/>
      <c r="S255" s="105"/>
      <c r="T255" s="144"/>
      <c r="U255" s="104">
        <v>691</v>
      </c>
      <c r="V255" s="104">
        <v>0</v>
      </c>
      <c r="W255" s="48">
        <f t="shared" si="69"/>
        <v>43572</v>
      </c>
      <c r="X255" s="104">
        <f t="shared" si="70"/>
        <v>-60899.999999999993</v>
      </c>
      <c r="Y255" s="197">
        <f t="shared" si="63"/>
        <v>9525000</v>
      </c>
      <c r="Z255" s="143" t="str">
        <f t="shared" si="67"/>
        <v/>
      </c>
      <c r="AA255" s="143" t="str">
        <f t="shared" si="68"/>
        <v>卖出</v>
      </c>
      <c r="AB255" s="203"/>
      <c r="AC255" s="321">
        <v>0.30499999999999999</v>
      </c>
      <c r="AD255" s="319"/>
      <c r="AE255" s="314"/>
      <c r="AF255" s="105"/>
    </row>
    <row r="256" spans="1:32" s="110" customFormat="1" ht="24" customHeight="1" x14ac:dyDescent="0.15">
      <c r="A256" s="142" t="s">
        <v>244</v>
      </c>
      <c r="B256" s="142" t="s">
        <v>295</v>
      </c>
      <c r="C256" s="142" t="str">
        <f t="shared" si="59"/>
        <v>到期</v>
      </c>
      <c r="D256" s="123" t="s">
        <v>266</v>
      </c>
      <c r="E256" s="142" t="s">
        <v>137</v>
      </c>
      <c r="F256" s="144">
        <v>43542</v>
      </c>
      <c r="G256" s="144">
        <v>43570</v>
      </c>
      <c r="H256" s="143" t="s">
        <v>755</v>
      </c>
      <c r="I256" s="143" t="s">
        <v>241</v>
      </c>
      <c r="J256" s="142" t="s">
        <v>56</v>
      </c>
      <c r="K256" s="105">
        <v>1000</v>
      </c>
      <c r="L256" s="109">
        <v>8507</v>
      </c>
      <c r="M256" s="105">
        <v>8340</v>
      </c>
      <c r="N256" s="105">
        <v>46.47</v>
      </c>
      <c r="O256" s="105">
        <f t="shared" si="64"/>
        <v>46470</v>
      </c>
      <c r="P256" s="101" t="s">
        <v>361</v>
      </c>
      <c r="Q256" s="101" t="s">
        <v>865</v>
      </c>
      <c r="R256" s="105"/>
      <c r="S256" s="105"/>
      <c r="T256" s="144"/>
      <c r="U256" s="105">
        <v>8570</v>
      </c>
      <c r="V256" s="105">
        <f>(U256-L256)*K256</f>
        <v>63000</v>
      </c>
      <c r="W256" s="144">
        <f t="shared" si="69"/>
        <v>43570</v>
      </c>
      <c r="X256" s="104">
        <f t="shared" si="70"/>
        <v>16530</v>
      </c>
      <c r="Y256" s="197">
        <f t="shared" si="63"/>
        <v>8340000</v>
      </c>
      <c r="Z256" s="143" t="str">
        <f t="shared" si="67"/>
        <v/>
      </c>
      <c r="AA256" s="143" t="str">
        <f t="shared" si="68"/>
        <v>卖出</v>
      </c>
      <c r="AB256" s="203"/>
      <c r="AC256" s="321">
        <v>0.11799999999999999</v>
      </c>
      <c r="AD256" s="319"/>
      <c r="AE256" s="314"/>
      <c r="AF256" s="105"/>
    </row>
    <row r="257" spans="1:32" s="110" customFormat="1" ht="24" customHeight="1" x14ac:dyDescent="0.15">
      <c r="A257" s="142" t="s">
        <v>244</v>
      </c>
      <c r="B257" s="120" t="s">
        <v>295</v>
      </c>
      <c r="C257" s="142" t="str">
        <f t="shared" si="59"/>
        <v>到期</v>
      </c>
      <c r="D257" s="123" t="s">
        <v>266</v>
      </c>
      <c r="E257" s="142" t="s">
        <v>137</v>
      </c>
      <c r="F257" s="144">
        <v>43542</v>
      </c>
      <c r="G257" s="144">
        <v>43553</v>
      </c>
      <c r="H257" s="143" t="s">
        <v>279</v>
      </c>
      <c r="I257" s="143" t="s">
        <v>241</v>
      </c>
      <c r="J257" s="142" t="s">
        <v>56</v>
      </c>
      <c r="K257" s="105">
        <v>1000</v>
      </c>
      <c r="L257" s="109">
        <v>6403</v>
      </c>
      <c r="M257" s="105">
        <v>6340</v>
      </c>
      <c r="N257" s="105">
        <v>51.47</v>
      </c>
      <c r="O257" s="105">
        <f t="shared" si="64"/>
        <v>51470</v>
      </c>
      <c r="P257" s="101" t="s">
        <v>362</v>
      </c>
      <c r="Q257" s="101" t="s">
        <v>716</v>
      </c>
      <c r="R257" s="105"/>
      <c r="S257" s="105"/>
      <c r="T257" s="144"/>
      <c r="U257" s="105">
        <v>6504</v>
      </c>
      <c r="V257" s="105">
        <f>(6504-6403)*1000</f>
        <v>101000</v>
      </c>
      <c r="W257" s="144">
        <f t="shared" si="69"/>
        <v>43553</v>
      </c>
      <c r="X257" s="104">
        <f t="shared" si="70"/>
        <v>49530</v>
      </c>
      <c r="Y257" s="197">
        <f t="shared" si="63"/>
        <v>6340000</v>
      </c>
      <c r="Z257" s="143" t="str">
        <f t="shared" si="67"/>
        <v/>
      </c>
      <c r="AA257" s="143" t="str">
        <f t="shared" si="68"/>
        <v>卖出</v>
      </c>
      <c r="AB257" s="203"/>
      <c r="AC257" s="321">
        <v>0.16300000000000001</v>
      </c>
      <c r="AD257" s="319"/>
      <c r="AE257" s="314"/>
      <c r="AF257" s="105"/>
    </row>
    <row r="258" spans="1:32" s="110" customFormat="1" ht="24" customHeight="1" x14ac:dyDescent="0.15">
      <c r="A258" s="142" t="s">
        <v>894</v>
      </c>
      <c r="B258" s="120" t="s">
        <v>764</v>
      </c>
      <c r="C258" s="142" t="str">
        <f t="shared" si="59"/>
        <v>到期</v>
      </c>
      <c r="D258" s="103" t="s">
        <v>1841</v>
      </c>
      <c r="E258" s="142" t="s">
        <v>298</v>
      </c>
      <c r="F258" s="144">
        <v>43543</v>
      </c>
      <c r="G258" s="144">
        <v>43571</v>
      </c>
      <c r="H258" s="143" t="s">
        <v>1016</v>
      </c>
      <c r="I258" s="143" t="s">
        <v>275</v>
      </c>
      <c r="J258" s="142" t="s">
        <v>56</v>
      </c>
      <c r="K258" s="105">
        <v>200</v>
      </c>
      <c r="L258" s="105">
        <v>51040</v>
      </c>
      <c r="M258" s="105">
        <v>49290</v>
      </c>
      <c r="N258" s="105">
        <f t="shared" ref="N258:N267" si="71">409.15/2</f>
        <v>204.57499999999999</v>
      </c>
      <c r="O258" s="105">
        <f t="shared" si="64"/>
        <v>40915</v>
      </c>
      <c r="P258" s="101" t="s">
        <v>363</v>
      </c>
      <c r="Q258" s="101" t="s">
        <v>579</v>
      </c>
      <c r="R258" s="105"/>
      <c r="S258" s="105"/>
      <c r="T258" s="144"/>
      <c r="U258" s="104">
        <v>49480</v>
      </c>
      <c r="V258" s="104">
        <v>0</v>
      </c>
      <c r="W258" s="48">
        <v>43571</v>
      </c>
      <c r="X258" s="104">
        <f t="shared" si="70"/>
        <v>40915</v>
      </c>
      <c r="Y258" s="197">
        <f t="shared" si="63"/>
        <v>9858000</v>
      </c>
      <c r="Z258" s="143" t="str">
        <f t="shared" si="67"/>
        <v/>
      </c>
      <c r="AA258" s="143" t="str">
        <f t="shared" ref="AA258:AA267" si="72">IF(I258="买入","卖出","买入第12期")</f>
        <v>买入第12期</v>
      </c>
      <c r="AB258" s="203"/>
      <c r="AC258" s="321">
        <v>0.152</v>
      </c>
      <c r="AD258" s="205">
        <v>0.152</v>
      </c>
      <c r="AE258" s="314"/>
      <c r="AF258" s="105"/>
    </row>
    <row r="259" spans="1:32" s="110" customFormat="1" ht="24" customHeight="1" x14ac:dyDescent="0.15">
      <c r="A259" s="142" t="s">
        <v>248</v>
      </c>
      <c r="B259" s="142" t="s">
        <v>297</v>
      </c>
      <c r="C259" s="142" t="str">
        <f t="shared" si="59"/>
        <v>到期</v>
      </c>
      <c r="D259" s="103" t="s">
        <v>1841</v>
      </c>
      <c r="E259" s="142" t="s">
        <v>298</v>
      </c>
      <c r="F259" s="144">
        <v>43543</v>
      </c>
      <c r="G259" s="144">
        <v>43571</v>
      </c>
      <c r="H259" s="143" t="s">
        <v>1016</v>
      </c>
      <c r="I259" s="143" t="s">
        <v>275</v>
      </c>
      <c r="J259" s="142" t="s">
        <v>59</v>
      </c>
      <c r="K259" s="105">
        <v>200</v>
      </c>
      <c r="L259" s="105">
        <v>47100</v>
      </c>
      <c r="M259" s="105">
        <v>49290</v>
      </c>
      <c r="N259" s="105">
        <f t="shared" si="71"/>
        <v>204.57499999999999</v>
      </c>
      <c r="O259" s="105">
        <f t="shared" si="64"/>
        <v>40915</v>
      </c>
      <c r="P259" s="101" t="s">
        <v>363</v>
      </c>
      <c r="Q259" s="101" t="s">
        <v>579</v>
      </c>
      <c r="R259" s="105"/>
      <c r="S259" s="105"/>
      <c r="T259" s="144"/>
      <c r="U259" s="105">
        <v>49480</v>
      </c>
      <c r="V259" s="105">
        <v>0</v>
      </c>
      <c r="W259" s="144">
        <v>43571</v>
      </c>
      <c r="X259" s="104">
        <f t="shared" si="70"/>
        <v>40915</v>
      </c>
      <c r="Y259" s="197">
        <f t="shared" si="63"/>
        <v>9858000</v>
      </c>
      <c r="Z259" s="143"/>
      <c r="AA259" s="143" t="str">
        <f t="shared" si="72"/>
        <v>买入第12期</v>
      </c>
      <c r="AB259" s="203"/>
      <c r="AC259" s="321">
        <v>0.152</v>
      </c>
      <c r="AD259" s="205">
        <v>0.152</v>
      </c>
      <c r="AE259" s="314"/>
      <c r="AF259" s="105"/>
    </row>
    <row r="260" spans="1:32" s="110" customFormat="1" ht="24" customHeight="1" x14ac:dyDescent="0.15">
      <c r="A260" s="142" t="s">
        <v>248</v>
      </c>
      <c r="B260" s="142" t="s">
        <v>297</v>
      </c>
      <c r="C260" s="142" t="str">
        <f t="shared" si="59"/>
        <v>到期</v>
      </c>
      <c r="D260" s="103" t="s">
        <v>1842</v>
      </c>
      <c r="E260" s="142" t="s">
        <v>298</v>
      </c>
      <c r="F260" s="144">
        <v>43543</v>
      </c>
      <c r="G260" s="144">
        <v>43571</v>
      </c>
      <c r="H260" s="143" t="s">
        <v>1016</v>
      </c>
      <c r="I260" s="143" t="s">
        <v>222</v>
      </c>
      <c r="J260" s="142" t="s">
        <v>56</v>
      </c>
      <c r="K260" s="105">
        <v>200</v>
      </c>
      <c r="L260" s="105">
        <v>51040</v>
      </c>
      <c r="M260" s="105">
        <v>49290</v>
      </c>
      <c r="N260" s="105">
        <f t="shared" si="71"/>
        <v>204.57499999999999</v>
      </c>
      <c r="O260" s="105">
        <f t="shared" si="64"/>
        <v>40915</v>
      </c>
      <c r="P260" s="101" t="s">
        <v>364</v>
      </c>
      <c r="Q260" s="101" t="s">
        <v>586</v>
      </c>
      <c r="R260" s="105"/>
      <c r="S260" s="105"/>
      <c r="T260" s="144"/>
      <c r="U260" s="105">
        <v>49480</v>
      </c>
      <c r="V260" s="105">
        <v>0</v>
      </c>
      <c r="W260" s="144">
        <v>43571</v>
      </c>
      <c r="X260" s="104">
        <f t="shared" si="70"/>
        <v>40915</v>
      </c>
      <c r="Y260" s="197">
        <f t="shared" si="63"/>
        <v>9858000</v>
      </c>
      <c r="Z260" s="143"/>
      <c r="AA260" s="143" t="str">
        <f t="shared" si="72"/>
        <v>买入第12期</v>
      </c>
      <c r="AB260" s="203"/>
      <c r="AC260" s="321">
        <v>0.152</v>
      </c>
      <c r="AD260" s="205">
        <v>0.152</v>
      </c>
      <c r="AE260" s="314"/>
      <c r="AF260" s="105"/>
    </row>
    <row r="261" spans="1:32" s="110" customFormat="1" ht="24" customHeight="1" x14ac:dyDescent="0.15">
      <c r="A261" s="142" t="s">
        <v>248</v>
      </c>
      <c r="B261" s="142" t="s">
        <v>297</v>
      </c>
      <c r="C261" s="142" t="str">
        <f t="shared" si="59"/>
        <v>到期</v>
      </c>
      <c r="D261" s="103" t="s">
        <v>1842</v>
      </c>
      <c r="E261" s="142" t="s">
        <v>298</v>
      </c>
      <c r="F261" s="144">
        <v>43543</v>
      </c>
      <c r="G261" s="144">
        <v>43571</v>
      </c>
      <c r="H261" s="143" t="s">
        <v>1016</v>
      </c>
      <c r="I261" s="143" t="s">
        <v>222</v>
      </c>
      <c r="J261" s="142" t="s">
        <v>59</v>
      </c>
      <c r="K261" s="105">
        <v>200</v>
      </c>
      <c r="L261" s="105">
        <v>47100</v>
      </c>
      <c r="M261" s="105">
        <v>49290</v>
      </c>
      <c r="N261" s="105">
        <f t="shared" si="71"/>
        <v>204.57499999999999</v>
      </c>
      <c r="O261" s="105">
        <f t="shared" si="64"/>
        <v>40915</v>
      </c>
      <c r="P261" s="101" t="s">
        <v>364</v>
      </c>
      <c r="Q261" s="101" t="s">
        <v>586</v>
      </c>
      <c r="R261" s="105"/>
      <c r="S261" s="105"/>
      <c r="T261" s="144"/>
      <c r="U261" s="105">
        <v>49480</v>
      </c>
      <c r="V261" s="105">
        <v>0</v>
      </c>
      <c r="W261" s="144">
        <v>43571</v>
      </c>
      <c r="X261" s="104">
        <f t="shared" si="70"/>
        <v>40915</v>
      </c>
      <c r="Y261" s="197">
        <f t="shared" si="63"/>
        <v>9858000</v>
      </c>
      <c r="Z261" s="143"/>
      <c r="AA261" s="143" t="str">
        <f t="shared" si="72"/>
        <v>买入第12期</v>
      </c>
      <c r="AB261" s="203"/>
      <c r="AC261" s="321">
        <v>0.152</v>
      </c>
      <c r="AD261" s="205">
        <v>0.152</v>
      </c>
      <c r="AE261" s="314"/>
      <c r="AF261" s="105"/>
    </row>
    <row r="262" spans="1:32" s="110" customFormat="1" ht="24" customHeight="1" x14ac:dyDescent="0.15">
      <c r="A262" s="142" t="s">
        <v>248</v>
      </c>
      <c r="B262" s="142" t="s">
        <v>297</v>
      </c>
      <c r="C262" s="142" t="str">
        <f t="shared" si="59"/>
        <v>到期</v>
      </c>
      <c r="D262" s="103" t="s">
        <v>1843</v>
      </c>
      <c r="E262" s="142" t="s">
        <v>298</v>
      </c>
      <c r="F262" s="144">
        <v>43543</v>
      </c>
      <c r="G262" s="144">
        <v>43571</v>
      </c>
      <c r="H262" s="143" t="s">
        <v>1016</v>
      </c>
      <c r="I262" s="143" t="s">
        <v>275</v>
      </c>
      <c r="J262" s="142" t="s">
        <v>56</v>
      </c>
      <c r="K262" s="105">
        <v>200</v>
      </c>
      <c r="L262" s="105">
        <v>51040</v>
      </c>
      <c r="M262" s="105">
        <v>49290</v>
      </c>
      <c r="N262" s="105">
        <f t="shared" si="71"/>
        <v>204.57499999999999</v>
      </c>
      <c r="O262" s="105">
        <f t="shared" si="64"/>
        <v>40915</v>
      </c>
      <c r="P262" s="101" t="s">
        <v>587</v>
      </c>
      <c r="Q262" s="101" t="s">
        <v>588</v>
      </c>
      <c r="R262" s="105"/>
      <c r="S262" s="105"/>
      <c r="T262" s="144"/>
      <c r="U262" s="105">
        <v>49480</v>
      </c>
      <c r="V262" s="105">
        <v>0</v>
      </c>
      <c r="W262" s="144">
        <v>43571</v>
      </c>
      <c r="X262" s="104">
        <f t="shared" si="70"/>
        <v>40915</v>
      </c>
      <c r="Y262" s="197">
        <f t="shared" si="63"/>
        <v>9858000</v>
      </c>
      <c r="Z262" s="143"/>
      <c r="AA262" s="143" t="str">
        <f t="shared" si="72"/>
        <v>买入第12期</v>
      </c>
      <c r="AB262" s="203"/>
      <c r="AC262" s="321">
        <v>0.152</v>
      </c>
      <c r="AD262" s="205">
        <v>0.152</v>
      </c>
      <c r="AE262" s="314"/>
      <c r="AF262" s="105"/>
    </row>
    <row r="263" spans="1:32" s="110" customFormat="1" ht="24" customHeight="1" x14ac:dyDescent="0.15">
      <c r="A263" s="142" t="s">
        <v>893</v>
      </c>
      <c r="B263" s="142" t="s">
        <v>297</v>
      </c>
      <c r="C263" s="142" t="str">
        <f t="shared" si="59"/>
        <v>到期</v>
      </c>
      <c r="D263" s="103" t="s">
        <v>1843</v>
      </c>
      <c r="E263" s="142" t="s">
        <v>298</v>
      </c>
      <c r="F263" s="144">
        <v>43543</v>
      </c>
      <c r="G263" s="144">
        <v>43571</v>
      </c>
      <c r="H263" s="143" t="s">
        <v>1016</v>
      </c>
      <c r="I263" s="143" t="s">
        <v>275</v>
      </c>
      <c r="J263" s="142" t="s">
        <v>59</v>
      </c>
      <c r="K263" s="105">
        <v>200</v>
      </c>
      <c r="L263" s="105">
        <v>47100</v>
      </c>
      <c r="M263" s="105">
        <v>49290</v>
      </c>
      <c r="N263" s="105">
        <f t="shared" si="71"/>
        <v>204.57499999999999</v>
      </c>
      <c r="O263" s="105">
        <f t="shared" si="64"/>
        <v>40915</v>
      </c>
      <c r="P263" s="101" t="s">
        <v>587</v>
      </c>
      <c r="Q263" s="101" t="s">
        <v>588</v>
      </c>
      <c r="R263" s="105"/>
      <c r="S263" s="105"/>
      <c r="T263" s="144"/>
      <c r="U263" s="104">
        <v>49480</v>
      </c>
      <c r="V263" s="104">
        <v>0</v>
      </c>
      <c r="W263" s="48">
        <v>43571</v>
      </c>
      <c r="X263" s="104">
        <f t="shared" si="70"/>
        <v>40915</v>
      </c>
      <c r="Y263" s="197">
        <f t="shared" si="63"/>
        <v>9858000</v>
      </c>
      <c r="Z263" s="143"/>
      <c r="AA263" s="143" t="str">
        <f t="shared" si="72"/>
        <v>买入第12期</v>
      </c>
      <c r="AB263" s="203"/>
      <c r="AC263" s="321">
        <v>0.152</v>
      </c>
      <c r="AD263" s="205">
        <v>0.152</v>
      </c>
      <c r="AE263" s="314"/>
      <c r="AF263" s="105"/>
    </row>
    <row r="264" spans="1:32" s="110" customFormat="1" ht="24" customHeight="1" x14ac:dyDescent="0.15">
      <c r="A264" s="142" t="s">
        <v>893</v>
      </c>
      <c r="B264" s="142" t="s">
        <v>297</v>
      </c>
      <c r="C264" s="142" t="str">
        <f t="shared" si="59"/>
        <v>到期</v>
      </c>
      <c r="D264" s="103" t="s">
        <v>1844</v>
      </c>
      <c r="E264" s="142" t="s">
        <v>298</v>
      </c>
      <c r="F264" s="144">
        <v>43543</v>
      </c>
      <c r="G264" s="144">
        <v>43571</v>
      </c>
      <c r="H264" s="143" t="s">
        <v>1016</v>
      </c>
      <c r="I264" s="143" t="s">
        <v>222</v>
      </c>
      <c r="J264" s="142" t="s">
        <v>56</v>
      </c>
      <c r="K264" s="105">
        <v>200</v>
      </c>
      <c r="L264" s="105">
        <v>51040</v>
      </c>
      <c r="M264" s="105">
        <v>49290</v>
      </c>
      <c r="N264" s="105">
        <f t="shared" si="71"/>
        <v>204.57499999999999</v>
      </c>
      <c r="O264" s="105">
        <f t="shared" si="64"/>
        <v>40915</v>
      </c>
      <c r="P264" s="101" t="s">
        <v>589</v>
      </c>
      <c r="Q264" s="101" t="s">
        <v>590</v>
      </c>
      <c r="R264" s="105"/>
      <c r="S264" s="105"/>
      <c r="T264" s="144"/>
      <c r="U264" s="105">
        <v>49480</v>
      </c>
      <c r="V264" s="105">
        <v>0</v>
      </c>
      <c r="W264" s="144">
        <v>43571</v>
      </c>
      <c r="X264" s="104">
        <f t="shared" si="70"/>
        <v>40915</v>
      </c>
      <c r="Y264" s="197">
        <f t="shared" si="63"/>
        <v>9858000</v>
      </c>
      <c r="Z264" s="143"/>
      <c r="AA264" s="143" t="str">
        <f t="shared" si="72"/>
        <v>买入第12期</v>
      </c>
      <c r="AB264" s="203"/>
      <c r="AC264" s="321">
        <v>0.152</v>
      </c>
      <c r="AD264" s="205">
        <v>0.152</v>
      </c>
      <c r="AE264" s="314"/>
      <c r="AF264" s="105"/>
    </row>
    <row r="265" spans="1:32" s="110" customFormat="1" ht="24" customHeight="1" x14ac:dyDescent="0.15">
      <c r="A265" s="142" t="s">
        <v>248</v>
      </c>
      <c r="B265" s="142" t="s">
        <v>297</v>
      </c>
      <c r="C265" s="142" t="str">
        <f t="shared" si="59"/>
        <v>到期</v>
      </c>
      <c r="D265" s="103" t="s">
        <v>1844</v>
      </c>
      <c r="E265" s="142" t="s">
        <v>298</v>
      </c>
      <c r="F265" s="144">
        <v>43543</v>
      </c>
      <c r="G265" s="144">
        <v>43571</v>
      </c>
      <c r="H265" s="143" t="s">
        <v>1016</v>
      </c>
      <c r="I265" s="143" t="s">
        <v>275</v>
      </c>
      <c r="J265" s="142" t="s">
        <v>59</v>
      </c>
      <c r="K265" s="105">
        <v>200</v>
      </c>
      <c r="L265" s="105">
        <v>47100</v>
      </c>
      <c r="M265" s="105">
        <v>49290</v>
      </c>
      <c r="N265" s="105">
        <f t="shared" si="71"/>
        <v>204.57499999999999</v>
      </c>
      <c r="O265" s="105">
        <f t="shared" si="64"/>
        <v>40915</v>
      </c>
      <c r="P265" s="101" t="s">
        <v>589</v>
      </c>
      <c r="Q265" s="101" t="s">
        <v>590</v>
      </c>
      <c r="R265" s="105"/>
      <c r="S265" s="105"/>
      <c r="T265" s="144"/>
      <c r="U265" s="105">
        <v>49480</v>
      </c>
      <c r="V265" s="105">
        <v>0</v>
      </c>
      <c r="W265" s="144">
        <v>43571</v>
      </c>
      <c r="X265" s="104">
        <f t="shared" si="70"/>
        <v>40915</v>
      </c>
      <c r="Y265" s="197">
        <f t="shared" si="63"/>
        <v>9858000</v>
      </c>
      <c r="Z265" s="143"/>
      <c r="AA265" s="143" t="str">
        <f t="shared" si="72"/>
        <v>买入第12期</v>
      </c>
      <c r="AB265" s="203"/>
      <c r="AC265" s="321">
        <v>0.152</v>
      </c>
      <c r="AD265" s="205">
        <v>0.152</v>
      </c>
      <c r="AE265" s="314"/>
      <c r="AF265" s="105"/>
    </row>
    <row r="266" spans="1:32" s="110" customFormat="1" ht="24" customHeight="1" x14ac:dyDescent="0.15">
      <c r="A266" s="142" t="s">
        <v>248</v>
      </c>
      <c r="B266" s="142" t="s">
        <v>297</v>
      </c>
      <c r="C266" s="142" t="str">
        <f t="shared" si="59"/>
        <v>到期</v>
      </c>
      <c r="D266" s="103" t="s">
        <v>1845</v>
      </c>
      <c r="E266" s="142" t="s">
        <v>298</v>
      </c>
      <c r="F266" s="144">
        <v>43543</v>
      </c>
      <c r="G266" s="144">
        <v>43571</v>
      </c>
      <c r="H266" s="143" t="s">
        <v>1016</v>
      </c>
      <c r="I266" s="143" t="s">
        <v>222</v>
      </c>
      <c r="J266" s="142" t="s">
        <v>56</v>
      </c>
      <c r="K266" s="105">
        <v>200</v>
      </c>
      <c r="L266" s="105">
        <v>51040</v>
      </c>
      <c r="M266" s="105">
        <v>49290</v>
      </c>
      <c r="N266" s="105">
        <f t="shared" si="71"/>
        <v>204.57499999999999</v>
      </c>
      <c r="O266" s="105">
        <f t="shared" si="64"/>
        <v>40915</v>
      </c>
      <c r="P266" s="101" t="s">
        <v>365</v>
      </c>
      <c r="Q266" s="101" t="s">
        <v>591</v>
      </c>
      <c r="R266" s="105"/>
      <c r="S266" s="105"/>
      <c r="T266" s="144"/>
      <c r="U266" s="105">
        <v>49480</v>
      </c>
      <c r="V266" s="105">
        <v>0</v>
      </c>
      <c r="W266" s="144">
        <v>43571</v>
      </c>
      <c r="X266" s="104">
        <f t="shared" si="70"/>
        <v>40915</v>
      </c>
      <c r="Y266" s="197">
        <f t="shared" si="63"/>
        <v>9858000</v>
      </c>
      <c r="Z266" s="143"/>
      <c r="AA266" s="143" t="str">
        <f t="shared" si="72"/>
        <v>买入第12期</v>
      </c>
      <c r="AB266" s="203"/>
      <c r="AC266" s="321">
        <v>0.152</v>
      </c>
      <c r="AD266" s="205">
        <v>0.152</v>
      </c>
      <c r="AE266" s="314"/>
      <c r="AF266" s="105"/>
    </row>
    <row r="267" spans="1:32" s="110" customFormat="1" ht="24" customHeight="1" x14ac:dyDescent="0.15">
      <c r="A267" s="142" t="s">
        <v>893</v>
      </c>
      <c r="B267" s="142" t="s">
        <v>297</v>
      </c>
      <c r="C267" s="142" t="str">
        <f t="shared" si="59"/>
        <v>到期</v>
      </c>
      <c r="D267" s="103" t="s">
        <v>1845</v>
      </c>
      <c r="E267" s="142" t="s">
        <v>298</v>
      </c>
      <c r="F267" s="144">
        <v>43543</v>
      </c>
      <c r="G267" s="144">
        <v>43571</v>
      </c>
      <c r="H267" s="143" t="s">
        <v>1016</v>
      </c>
      <c r="I267" s="143" t="s">
        <v>222</v>
      </c>
      <c r="J267" s="142" t="s">
        <v>59</v>
      </c>
      <c r="K267" s="105">
        <v>200</v>
      </c>
      <c r="L267" s="105">
        <v>47100</v>
      </c>
      <c r="M267" s="105">
        <v>49290</v>
      </c>
      <c r="N267" s="105">
        <f t="shared" si="71"/>
        <v>204.57499999999999</v>
      </c>
      <c r="O267" s="105">
        <f t="shared" si="64"/>
        <v>40915</v>
      </c>
      <c r="P267" s="101" t="s">
        <v>365</v>
      </c>
      <c r="Q267" s="101" t="s">
        <v>591</v>
      </c>
      <c r="R267" s="105"/>
      <c r="S267" s="105"/>
      <c r="T267" s="144"/>
      <c r="U267" s="104">
        <v>49480</v>
      </c>
      <c r="V267" s="104">
        <v>0</v>
      </c>
      <c r="W267" s="48">
        <v>43571</v>
      </c>
      <c r="X267" s="104">
        <f t="shared" si="70"/>
        <v>40915</v>
      </c>
      <c r="Y267" s="197">
        <f t="shared" si="63"/>
        <v>9858000</v>
      </c>
      <c r="Z267" s="143"/>
      <c r="AA267" s="143" t="str">
        <f t="shared" si="72"/>
        <v>买入第12期</v>
      </c>
      <c r="AB267" s="203"/>
      <c r="AC267" s="321">
        <v>0.152</v>
      </c>
      <c r="AD267" s="205">
        <v>0.152</v>
      </c>
      <c r="AE267" s="314"/>
      <c r="AF267" s="105"/>
    </row>
    <row r="268" spans="1:32" s="110" customFormat="1" ht="24" customHeight="1" x14ac:dyDescent="0.15">
      <c r="A268" s="142" t="s">
        <v>244</v>
      </c>
      <c r="B268" s="142" t="s">
        <v>295</v>
      </c>
      <c r="C268" s="142" t="str">
        <f t="shared" si="59"/>
        <v>到期</v>
      </c>
      <c r="D268" s="123" t="s">
        <v>1846</v>
      </c>
      <c r="E268" s="142" t="s">
        <v>255</v>
      </c>
      <c r="F268" s="144">
        <v>43543</v>
      </c>
      <c r="G268" s="144">
        <v>43563</v>
      </c>
      <c r="H268" s="143" t="s">
        <v>336</v>
      </c>
      <c r="I268" s="143" t="s">
        <v>241</v>
      </c>
      <c r="J268" s="142" t="s">
        <v>25</v>
      </c>
      <c r="K268" s="105">
        <v>20000</v>
      </c>
      <c r="L268" s="105">
        <v>280.43</v>
      </c>
      <c r="M268" s="105">
        <v>286.14999999999998</v>
      </c>
      <c r="N268" s="105">
        <v>0.34</v>
      </c>
      <c r="O268" s="105">
        <f t="shared" si="64"/>
        <v>6800.0000000000009</v>
      </c>
      <c r="P268" s="101" t="s">
        <v>367</v>
      </c>
      <c r="Q268" s="101" t="s">
        <v>639</v>
      </c>
      <c r="R268" s="105"/>
      <c r="S268" s="105"/>
      <c r="T268" s="144"/>
      <c r="U268" s="105">
        <v>284.14999999999998</v>
      </c>
      <c r="V268" s="105">
        <v>0</v>
      </c>
      <c r="W268" s="144">
        <f t="shared" ref="W268:W274" si="73">G268</f>
        <v>43563</v>
      </c>
      <c r="X268" s="104">
        <f t="shared" si="70"/>
        <v>-6800.0000000000009</v>
      </c>
      <c r="Y268" s="197">
        <f t="shared" si="63"/>
        <v>5723000</v>
      </c>
      <c r="Z268" s="143" t="str">
        <f t="shared" ref="Z268:Z290" si="74">IF(C268="存续",D268&amp;H268&amp;"-"&amp;AA268,"")</f>
        <v/>
      </c>
      <c r="AA268" s="143" t="str">
        <f t="shared" ref="AA268:AA289" si="75">IF(I268="买入","卖出","买入")</f>
        <v>卖出</v>
      </c>
      <c r="AB268" s="203"/>
      <c r="AC268" s="321">
        <v>7.9000000000000001E-2</v>
      </c>
      <c r="AD268" s="319"/>
      <c r="AE268" s="314"/>
      <c r="AF268" s="105"/>
    </row>
    <row r="269" spans="1:32" s="110" customFormat="1" ht="24" customHeight="1" x14ac:dyDescent="0.15">
      <c r="A269" s="142" t="s">
        <v>244</v>
      </c>
      <c r="B269" s="142" t="s">
        <v>295</v>
      </c>
      <c r="C269" s="142" t="str">
        <f t="shared" si="59"/>
        <v>到期</v>
      </c>
      <c r="D269" s="123" t="s">
        <v>266</v>
      </c>
      <c r="E269" s="142" t="s">
        <v>340</v>
      </c>
      <c r="F269" s="144">
        <v>43543</v>
      </c>
      <c r="G269" s="144">
        <v>43558</v>
      </c>
      <c r="H269" s="143" t="s">
        <v>376</v>
      </c>
      <c r="I269" s="143" t="s">
        <v>241</v>
      </c>
      <c r="J269" s="142" t="s">
        <v>59</v>
      </c>
      <c r="K269" s="105">
        <v>2000</v>
      </c>
      <c r="L269" s="105">
        <v>1813</v>
      </c>
      <c r="M269" s="105">
        <v>1850</v>
      </c>
      <c r="N269" s="105">
        <v>3.5</v>
      </c>
      <c r="O269" s="105">
        <f t="shared" si="64"/>
        <v>7000</v>
      </c>
      <c r="P269" s="101" t="s">
        <v>717</v>
      </c>
      <c r="Q269" s="101" t="s">
        <v>866</v>
      </c>
      <c r="R269" s="105"/>
      <c r="S269" s="105"/>
      <c r="T269" s="144"/>
      <c r="U269" s="105">
        <v>1826</v>
      </c>
      <c r="V269" s="105">
        <v>0</v>
      </c>
      <c r="W269" s="144">
        <f t="shared" si="73"/>
        <v>43558</v>
      </c>
      <c r="X269" s="104">
        <f t="shared" si="70"/>
        <v>-7000</v>
      </c>
      <c r="Y269" s="197">
        <f t="shared" si="63"/>
        <v>3700000</v>
      </c>
      <c r="Z269" s="143" t="str">
        <f t="shared" si="74"/>
        <v/>
      </c>
      <c r="AA269" s="143" t="str">
        <f t="shared" si="75"/>
        <v>卖出</v>
      </c>
      <c r="AB269" s="203"/>
      <c r="AC269" s="321">
        <v>0.1</v>
      </c>
      <c r="AD269" s="319"/>
      <c r="AE269" s="314"/>
      <c r="AF269" s="105"/>
    </row>
    <row r="270" spans="1:32" s="110" customFormat="1" ht="24" customHeight="1" x14ac:dyDescent="0.15">
      <c r="A270" s="142" t="s">
        <v>244</v>
      </c>
      <c r="B270" s="142" t="s">
        <v>295</v>
      </c>
      <c r="C270" s="142" t="str">
        <f t="shared" si="59"/>
        <v>到期</v>
      </c>
      <c r="D270" s="123" t="s">
        <v>266</v>
      </c>
      <c r="E270" s="142" t="s">
        <v>255</v>
      </c>
      <c r="F270" s="144">
        <v>43543</v>
      </c>
      <c r="G270" s="144">
        <v>43565</v>
      </c>
      <c r="H270" s="143" t="s">
        <v>368</v>
      </c>
      <c r="I270" s="143" t="s">
        <v>241</v>
      </c>
      <c r="J270" s="142" t="s">
        <v>56</v>
      </c>
      <c r="K270" s="105">
        <v>300</v>
      </c>
      <c r="L270" s="105">
        <v>17160</v>
      </c>
      <c r="M270" s="105">
        <v>16820</v>
      </c>
      <c r="N270" s="105">
        <v>75.44</v>
      </c>
      <c r="O270" s="105">
        <f t="shared" si="64"/>
        <v>22632</v>
      </c>
      <c r="P270" s="101" t="s">
        <v>718</v>
      </c>
      <c r="Q270" s="101" t="s">
        <v>867</v>
      </c>
      <c r="R270" s="105"/>
      <c r="S270" s="105"/>
      <c r="T270" s="144"/>
      <c r="U270" s="104">
        <v>16685</v>
      </c>
      <c r="V270" s="104">
        <v>0</v>
      </c>
      <c r="W270" s="48">
        <f t="shared" si="73"/>
        <v>43565</v>
      </c>
      <c r="X270" s="104">
        <f t="shared" si="70"/>
        <v>-22632</v>
      </c>
      <c r="Y270" s="197">
        <f t="shared" si="63"/>
        <v>5046000</v>
      </c>
      <c r="Z270" s="143" t="str">
        <f t="shared" si="74"/>
        <v/>
      </c>
      <c r="AA270" s="143" t="str">
        <f t="shared" si="75"/>
        <v>卖出</v>
      </c>
      <c r="AB270" s="203"/>
      <c r="AC270" s="321">
        <v>0.11899999999999999</v>
      </c>
      <c r="AD270" s="319"/>
      <c r="AE270" s="314"/>
      <c r="AF270" s="105"/>
    </row>
    <row r="271" spans="1:32" s="110" customFormat="1" ht="24" customHeight="1" x14ac:dyDescent="0.15">
      <c r="A271" s="142" t="s">
        <v>244</v>
      </c>
      <c r="B271" s="142" t="s">
        <v>295</v>
      </c>
      <c r="C271" s="142" t="str">
        <f t="shared" si="59"/>
        <v>到期</v>
      </c>
      <c r="D271" s="123" t="s">
        <v>1846</v>
      </c>
      <c r="E271" s="142" t="s">
        <v>255</v>
      </c>
      <c r="F271" s="144">
        <v>43544</v>
      </c>
      <c r="G271" s="144">
        <v>43572</v>
      </c>
      <c r="H271" s="143" t="s">
        <v>359</v>
      </c>
      <c r="I271" s="143" t="s">
        <v>241</v>
      </c>
      <c r="J271" s="142" t="s">
        <v>22</v>
      </c>
      <c r="K271" s="105">
        <v>10000</v>
      </c>
      <c r="L271" s="105">
        <v>671</v>
      </c>
      <c r="M271" s="105">
        <v>610</v>
      </c>
      <c r="N271" s="105">
        <v>3.35</v>
      </c>
      <c r="O271" s="105">
        <f t="shared" si="64"/>
        <v>33500</v>
      </c>
      <c r="P271" s="101" t="s">
        <v>370</v>
      </c>
      <c r="Q271" s="101" t="s">
        <v>581</v>
      </c>
      <c r="R271" s="105"/>
      <c r="S271" s="105"/>
      <c r="T271" s="144"/>
      <c r="U271" s="105">
        <v>691</v>
      </c>
      <c r="V271" s="105">
        <f>(U271-L271)*K271</f>
        <v>200000</v>
      </c>
      <c r="W271" s="144">
        <f t="shared" si="73"/>
        <v>43572</v>
      </c>
      <c r="X271" s="104">
        <f t="shared" si="70"/>
        <v>166500</v>
      </c>
      <c r="Y271" s="197">
        <f t="shared" si="63"/>
        <v>6100000</v>
      </c>
      <c r="Z271" s="143" t="str">
        <f t="shared" si="74"/>
        <v/>
      </c>
      <c r="AA271" s="143" t="str">
        <f t="shared" si="75"/>
        <v>卖出</v>
      </c>
      <c r="AB271" s="203"/>
      <c r="AC271" s="321">
        <v>0.3</v>
      </c>
      <c r="AD271" s="319"/>
      <c r="AE271" s="314"/>
      <c r="AF271" s="105"/>
    </row>
    <row r="272" spans="1:32" s="110" customFormat="1" ht="24" customHeight="1" x14ac:dyDescent="0.15">
      <c r="A272" s="142" t="s">
        <v>244</v>
      </c>
      <c r="B272" s="142" t="s">
        <v>295</v>
      </c>
      <c r="C272" s="142" t="str">
        <f t="shared" si="59"/>
        <v>到期</v>
      </c>
      <c r="D272" s="123" t="s">
        <v>266</v>
      </c>
      <c r="E272" s="142" t="s">
        <v>255</v>
      </c>
      <c r="F272" s="144">
        <v>43544</v>
      </c>
      <c r="G272" s="144">
        <v>43553</v>
      </c>
      <c r="H272" s="143" t="s">
        <v>279</v>
      </c>
      <c r="I272" s="143" t="s">
        <v>241</v>
      </c>
      <c r="J272" s="142" t="s">
        <v>56</v>
      </c>
      <c r="K272" s="105">
        <v>1000</v>
      </c>
      <c r="L272" s="105">
        <v>6312</v>
      </c>
      <c r="M272" s="105">
        <v>6250</v>
      </c>
      <c r="N272" s="105">
        <v>44.1</v>
      </c>
      <c r="O272" s="105">
        <f t="shared" si="64"/>
        <v>44100</v>
      </c>
      <c r="P272" s="101" t="s">
        <v>369</v>
      </c>
      <c r="Q272" s="101" t="s">
        <v>719</v>
      </c>
      <c r="R272" s="105"/>
      <c r="S272" s="105"/>
      <c r="T272" s="144"/>
      <c r="U272" s="105">
        <v>6504</v>
      </c>
      <c r="V272" s="105">
        <f>(6504-6312)*1000</f>
        <v>192000</v>
      </c>
      <c r="W272" s="144">
        <f t="shared" si="73"/>
        <v>43553</v>
      </c>
      <c r="X272" s="104">
        <f t="shared" si="70"/>
        <v>147900</v>
      </c>
      <c r="Y272" s="197">
        <f t="shared" si="63"/>
        <v>6250000</v>
      </c>
      <c r="Z272" s="143" t="str">
        <f t="shared" si="74"/>
        <v/>
      </c>
      <c r="AA272" s="143" t="str">
        <f t="shared" si="75"/>
        <v>卖出</v>
      </c>
      <c r="AB272" s="203"/>
      <c r="AC272" s="321">
        <v>0.16700000000000001</v>
      </c>
      <c r="AD272" s="319"/>
      <c r="AE272" s="314"/>
      <c r="AF272" s="105"/>
    </row>
    <row r="273" spans="1:32" s="110" customFormat="1" ht="24" customHeight="1" x14ac:dyDescent="0.15">
      <c r="A273" s="142" t="s">
        <v>244</v>
      </c>
      <c r="B273" s="142" t="s">
        <v>295</v>
      </c>
      <c r="C273" s="142" t="str">
        <f t="shared" si="59"/>
        <v>到期</v>
      </c>
      <c r="D273" s="123" t="s">
        <v>1846</v>
      </c>
      <c r="E273" s="142" t="s">
        <v>340</v>
      </c>
      <c r="F273" s="144">
        <v>43545</v>
      </c>
      <c r="G273" s="144">
        <v>43563</v>
      </c>
      <c r="H273" s="143" t="s">
        <v>336</v>
      </c>
      <c r="I273" s="143" t="s">
        <v>241</v>
      </c>
      <c r="J273" s="142" t="s">
        <v>25</v>
      </c>
      <c r="K273" s="105">
        <v>15000</v>
      </c>
      <c r="L273" s="105">
        <v>281.45999999999998</v>
      </c>
      <c r="M273" s="105">
        <v>287.2</v>
      </c>
      <c r="N273" s="105">
        <v>0.3</v>
      </c>
      <c r="O273" s="105">
        <f t="shared" si="64"/>
        <v>4500</v>
      </c>
      <c r="P273" s="101" t="s">
        <v>425</v>
      </c>
      <c r="Q273" s="101" t="s">
        <v>411</v>
      </c>
      <c r="R273" s="105"/>
      <c r="S273" s="105"/>
      <c r="T273" s="144"/>
      <c r="U273" s="105">
        <v>284.14999999999998</v>
      </c>
      <c r="V273" s="105">
        <v>0</v>
      </c>
      <c r="W273" s="144">
        <f t="shared" si="73"/>
        <v>43563</v>
      </c>
      <c r="X273" s="104">
        <f t="shared" si="70"/>
        <v>-4500</v>
      </c>
      <c r="Y273" s="197">
        <f t="shared" si="63"/>
        <v>4308000</v>
      </c>
      <c r="Z273" s="143" t="str">
        <f t="shared" si="74"/>
        <v/>
      </c>
      <c r="AA273" s="143" t="str">
        <f t="shared" si="75"/>
        <v>卖出</v>
      </c>
      <c r="AB273" s="203"/>
      <c r="AC273" s="321">
        <v>0.08</v>
      </c>
      <c r="AD273" s="319"/>
      <c r="AE273" s="314"/>
      <c r="AF273" s="105"/>
    </row>
    <row r="274" spans="1:32" s="110" customFormat="1" ht="24" customHeight="1" x14ac:dyDescent="0.15">
      <c r="A274" s="142" t="s">
        <v>244</v>
      </c>
      <c r="B274" s="142" t="s">
        <v>295</v>
      </c>
      <c r="C274" s="142" t="str">
        <f t="shared" si="59"/>
        <v>到期</v>
      </c>
      <c r="D274" s="123" t="s">
        <v>266</v>
      </c>
      <c r="E274" s="142" t="s">
        <v>137</v>
      </c>
      <c r="F274" s="144">
        <v>43545</v>
      </c>
      <c r="G274" s="144">
        <v>43558</v>
      </c>
      <c r="H274" s="143" t="s">
        <v>376</v>
      </c>
      <c r="I274" s="143" t="s">
        <v>241</v>
      </c>
      <c r="J274" s="142" t="s">
        <v>56</v>
      </c>
      <c r="K274" s="105">
        <v>1500</v>
      </c>
      <c r="L274" s="105">
        <v>1859</v>
      </c>
      <c r="M274" s="105">
        <v>1823</v>
      </c>
      <c r="N274" s="105">
        <v>3.05</v>
      </c>
      <c r="O274" s="105">
        <f t="shared" si="64"/>
        <v>4575</v>
      </c>
      <c r="P274" s="101" t="s">
        <v>720</v>
      </c>
      <c r="Q274" s="101" t="s">
        <v>868</v>
      </c>
      <c r="R274" s="105"/>
      <c r="S274" s="105"/>
      <c r="T274" s="144"/>
      <c r="U274" s="105">
        <v>1826</v>
      </c>
      <c r="V274" s="105">
        <v>0</v>
      </c>
      <c r="W274" s="144">
        <f t="shared" si="73"/>
        <v>43558</v>
      </c>
      <c r="X274" s="104">
        <f t="shared" si="70"/>
        <v>-4575</v>
      </c>
      <c r="Y274" s="197">
        <f t="shared" si="63"/>
        <v>2734500</v>
      </c>
      <c r="Z274" s="143" t="str">
        <f t="shared" si="74"/>
        <v/>
      </c>
      <c r="AA274" s="143" t="str">
        <f t="shared" si="75"/>
        <v>卖出</v>
      </c>
      <c r="AB274" s="203"/>
      <c r="AC274" s="321">
        <v>0.10349999999999999</v>
      </c>
      <c r="AD274" s="319"/>
      <c r="AE274" s="314"/>
      <c r="AF274" s="105"/>
    </row>
    <row r="275" spans="1:32" s="110" customFormat="1" ht="24" customHeight="1" x14ac:dyDescent="0.15">
      <c r="A275" s="142" t="s">
        <v>244</v>
      </c>
      <c r="B275" s="142" t="s">
        <v>295</v>
      </c>
      <c r="C275" s="142" t="str">
        <f t="shared" si="59"/>
        <v>到期</v>
      </c>
      <c r="D275" s="123" t="s">
        <v>1846</v>
      </c>
      <c r="E275" s="142" t="s">
        <v>137</v>
      </c>
      <c r="F275" s="144">
        <v>43546</v>
      </c>
      <c r="G275" s="144">
        <v>43577</v>
      </c>
      <c r="H275" s="143" t="s">
        <v>323</v>
      </c>
      <c r="I275" s="143" t="s">
        <v>241</v>
      </c>
      <c r="J275" s="142" t="s">
        <v>22</v>
      </c>
      <c r="K275" s="105">
        <v>2000</v>
      </c>
      <c r="L275" s="105">
        <v>3744.05</v>
      </c>
      <c r="M275" s="105">
        <v>3635</v>
      </c>
      <c r="N275" s="105">
        <v>12.36</v>
      </c>
      <c r="O275" s="105">
        <f t="shared" si="64"/>
        <v>24720</v>
      </c>
      <c r="P275" s="101" t="s">
        <v>380</v>
      </c>
      <c r="Q275" s="101" t="s">
        <v>633</v>
      </c>
      <c r="R275" s="105">
        <v>3.31</v>
      </c>
      <c r="S275" s="105">
        <f>R275*K275</f>
        <v>6620</v>
      </c>
      <c r="T275" s="144">
        <v>43565</v>
      </c>
      <c r="U275" s="104"/>
      <c r="V275" s="104"/>
      <c r="W275" s="48"/>
      <c r="X275" s="104">
        <f>IF(I275="买入",S275-O275,O275+S275)</f>
        <v>-18100</v>
      </c>
      <c r="Y275" s="197">
        <f t="shared" si="63"/>
        <v>7270000</v>
      </c>
      <c r="Z275" s="143" t="str">
        <f t="shared" si="74"/>
        <v/>
      </c>
      <c r="AA275" s="143" t="str">
        <f t="shared" si="75"/>
        <v>卖出</v>
      </c>
      <c r="AB275" s="203"/>
      <c r="AC275" s="321">
        <v>0.11600000000000001</v>
      </c>
      <c r="AD275" s="319"/>
      <c r="AE275" s="314"/>
      <c r="AF275" s="105"/>
    </row>
    <row r="276" spans="1:32" s="110" customFormat="1" ht="24" customHeight="1" x14ac:dyDescent="0.15">
      <c r="A276" s="142" t="s">
        <v>244</v>
      </c>
      <c r="B276" s="142" t="s">
        <v>295</v>
      </c>
      <c r="C276" s="142" t="str">
        <f t="shared" si="59"/>
        <v>到期</v>
      </c>
      <c r="D276" s="123" t="s">
        <v>1846</v>
      </c>
      <c r="E276" s="142" t="s">
        <v>137</v>
      </c>
      <c r="F276" s="144">
        <v>43546</v>
      </c>
      <c r="G276" s="144">
        <v>43577</v>
      </c>
      <c r="H276" s="143" t="s">
        <v>323</v>
      </c>
      <c r="I276" s="143" t="s">
        <v>241</v>
      </c>
      <c r="J276" s="142" t="s">
        <v>25</v>
      </c>
      <c r="K276" s="105">
        <v>2000</v>
      </c>
      <c r="L276" s="105">
        <v>3525.95</v>
      </c>
      <c r="M276" s="105">
        <v>3635</v>
      </c>
      <c r="N276" s="105">
        <v>11.55</v>
      </c>
      <c r="O276" s="105">
        <f t="shared" si="64"/>
        <v>23100</v>
      </c>
      <c r="P276" s="101" t="s">
        <v>380</v>
      </c>
      <c r="Q276" s="101" t="s">
        <v>633</v>
      </c>
      <c r="R276" s="105">
        <v>10.68</v>
      </c>
      <c r="S276" s="105">
        <f>R276*K276</f>
        <v>21360</v>
      </c>
      <c r="T276" s="144">
        <v>43565</v>
      </c>
      <c r="U276" s="105"/>
      <c r="V276" s="105"/>
      <c r="W276" s="144"/>
      <c r="X276" s="104">
        <f>IF(I276="买入",S276-O276,O276+S276)</f>
        <v>-1740</v>
      </c>
      <c r="Y276" s="197">
        <f t="shared" si="63"/>
        <v>7270000</v>
      </c>
      <c r="Z276" s="143" t="str">
        <f t="shared" si="74"/>
        <v/>
      </c>
      <c r="AA276" s="143" t="str">
        <f t="shared" si="75"/>
        <v>卖出</v>
      </c>
      <c r="AB276" s="203"/>
      <c r="AC276" s="321">
        <v>0.11600000000000001</v>
      </c>
      <c r="AD276" s="319"/>
      <c r="AE276" s="314"/>
      <c r="AF276" s="105"/>
    </row>
    <row r="277" spans="1:32" s="110" customFormat="1" ht="24" customHeight="1" x14ac:dyDescent="0.15">
      <c r="A277" s="142" t="s">
        <v>244</v>
      </c>
      <c r="B277" s="142" t="s">
        <v>295</v>
      </c>
      <c r="C277" s="142" t="str">
        <f t="shared" si="59"/>
        <v>到期</v>
      </c>
      <c r="D277" s="123" t="s">
        <v>266</v>
      </c>
      <c r="E277" s="142" t="s">
        <v>137</v>
      </c>
      <c r="F277" s="144">
        <v>43546</v>
      </c>
      <c r="G277" s="144">
        <v>43558</v>
      </c>
      <c r="H277" s="143" t="s">
        <v>376</v>
      </c>
      <c r="I277" s="143" t="s">
        <v>241</v>
      </c>
      <c r="J277" s="142" t="s">
        <v>56</v>
      </c>
      <c r="K277" s="105">
        <v>1200</v>
      </c>
      <c r="L277" s="105">
        <v>1832</v>
      </c>
      <c r="M277" s="105">
        <v>1814</v>
      </c>
      <c r="N277" s="105">
        <v>5.99</v>
      </c>
      <c r="O277" s="105">
        <f t="shared" si="64"/>
        <v>7188</v>
      </c>
      <c r="P277" s="101" t="s">
        <v>379</v>
      </c>
      <c r="Q277" s="101" t="s">
        <v>869</v>
      </c>
      <c r="R277" s="105"/>
      <c r="S277" s="105"/>
      <c r="T277" s="144"/>
      <c r="U277" s="105">
        <v>1826</v>
      </c>
      <c r="V277" s="105">
        <v>0</v>
      </c>
      <c r="W277" s="144">
        <f>G277</f>
        <v>43558</v>
      </c>
      <c r="X277" s="104">
        <f>IF(I277="买入",V277-O277,V277+O277)</f>
        <v>-7188</v>
      </c>
      <c r="Y277" s="197">
        <f t="shared" si="63"/>
        <v>2176800</v>
      </c>
      <c r="Z277" s="143" t="str">
        <f t="shared" si="74"/>
        <v/>
      </c>
      <c r="AA277" s="143" t="str">
        <f t="shared" si="75"/>
        <v>卖出</v>
      </c>
      <c r="AB277" s="203"/>
      <c r="AC277" s="321">
        <v>0.1</v>
      </c>
      <c r="AD277" s="319"/>
      <c r="AE277" s="314"/>
      <c r="AF277" s="105"/>
    </row>
    <row r="278" spans="1:32" s="110" customFormat="1" ht="24" customHeight="1" x14ac:dyDescent="0.15">
      <c r="A278" s="142" t="s">
        <v>244</v>
      </c>
      <c r="B278" s="142" t="s">
        <v>295</v>
      </c>
      <c r="C278" s="142" t="str">
        <f t="shared" si="59"/>
        <v>到期</v>
      </c>
      <c r="D278" s="123" t="s">
        <v>266</v>
      </c>
      <c r="E278" s="142" t="s">
        <v>255</v>
      </c>
      <c r="F278" s="144">
        <v>43546</v>
      </c>
      <c r="G278" s="144">
        <v>43567</v>
      </c>
      <c r="H278" s="143" t="s">
        <v>330</v>
      </c>
      <c r="I278" s="143" t="s">
        <v>241</v>
      </c>
      <c r="J278" s="142" t="s">
        <v>59</v>
      </c>
      <c r="K278" s="105">
        <v>1000</v>
      </c>
      <c r="L278" s="105">
        <v>6725</v>
      </c>
      <c r="M278" s="105">
        <v>7079</v>
      </c>
      <c r="N278" s="105">
        <v>10.220000000000001</v>
      </c>
      <c r="O278" s="105">
        <f t="shared" si="64"/>
        <v>10220</v>
      </c>
      <c r="P278" s="101" t="s">
        <v>721</v>
      </c>
      <c r="Q278" s="101" t="s">
        <v>857</v>
      </c>
      <c r="R278" s="105">
        <v>0.1</v>
      </c>
      <c r="S278" s="105">
        <f>R278*K278</f>
        <v>100</v>
      </c>
      <c r="T278" s="144">
        <v>43565</v>
      </c>
      <c r="U278" s="105"/>
      <c r="V278" s="105"/>
      <c r="W278" s="144"/>
      <c r="X278" s="104">
        <f>IF(I278="买入",S278-O278,O278+S278)</f>
        <v>-10120</v>
      </c>
      <c r="Y278" s="197">
        <f t="shared" si="63"/>
        <v>7079000</v>
      </c>
      <c r="Z278" s="143" t="str">
        <f t="shared" si="74"/>
        <v/>
      </c>
      <c r="AA278" s="143" t="str">
        <f t="shared" si="75"/>
        <v>卖出</v>
      </c>
      <c r="AB278" s="203"/>
      <c r="AC278" s="321">
        <v>0.157</v>
      </c>
      <c r="AD278" s="319"/>
      <c r="AE278" s="314"/>
      <c r="AF278" s="105"/>
    </row>
    <row r="279" spans="1:32" s="110" customFormat="1" ht="24" customHeight="1" x14ac:dyDescent="0.15">
      <c r="A279" s="142" t="s">
        <v>894</v>
      </c>
      <c r="B279" s="142" t="s">
        <v>297</v>
      </c>
      <c r="C279" s="142" t="str">
        <f t="shared" si="59"/>
        <v>到期</v>
      </c>
      <c r="D279" s="100" t="s">
        <v>1852</v>
      </c>
      <c r="E279" s="142" t="s">
        <v>298</v>
      </c>
      <c r="F279" s="144">
        <v>43546</v>
      </c>
      <c r="G279" s="144">
        <v>43570</v>
      </c>
      <c r="H279" s="143" t="s">
        <v>895</v>
      </c>
      <c r="I279" s="143" t="s">
        <v>275</v>
      </c>
      <c r="J279" s="142" t="s">
        <v>56</v>
      </c>
      <c r="K279" s="105">
        <v>20</v>
      </c>
      <c r="L279" s="105">
        <v>103830</v>
      </c>
      <c r="M279" s="105">
        <v>101830</v>
      </c>
      <c r="N279" s="105">
        <v>874.19</v>
      </c>
      <c r="O279" s="105">
        <f t="shared" si="64"/>
        <v>17483.800000000003</v>
      </c>
      <c r="P279" s="101" t="s">
        <v>600</v>
      </c>
      <c r="Q279" s="101" t="s">
        <v>601</v>
      </c>
      <c r="R279" s="105"/>
      <c r="S279" s="105"/>
      <c r="T279" s="144"/>
      <c r="U279" s="104">
        <v>101360</v>
      </c>
      <c r="V279" s="104">
        <v>0</v>
      </c>
      <c r="W279" s="48">
        <v>43570</v>
      </c>
      <c r="X279" s="104">
        <f t="shared" ref="X279:X286" si="76">IF(I279="买入",V279-O279,V279+O279)</f>
        <v>17483.800000000003</v>
      </c>
      <c r="Y279" s="197">
        <f t="shared" si="63"/>
        <v>2036600</v>
      </c>
      <c r="Z279" s="143" t="str">
        <f t="shared" si="74"/>
        <v/>
      </c>
      <c r="AA279" s="143" t="str">
        <f t="shared" si="75"/>
        <v>买入</v>
      </c>
      <c r="AB279" s="203"/>
      <c r="AC279" s="321">
        <v>0.15</v>
      </c>
      <c r="AD279" s="319"/>
      <c r="AE279" s="314"/>
      <c r="AF279" s="105"/>
    </row>
    <row r="280" spans="1:32" s="110" customFormat="1" ht="24" customHeight="1" x14ac:dyDescent="0.15">
      <c r="A280" s="142" t="s">
        <v>248</v>
      </c>
      <c r="B280" s="120" t="s">
        <v>295</v>
      </c>
      <c r="C280" s="142" t="str">
        <f t="shared" si="59"/>
        <v>到期</v>
      </c>
      <c r="D280" s="100" t="s">
        <v>1846</v>
      </c>
      <c r="E280" s="142" t="s">
        <v>255</v>
      </c>
      <c r="F280" s="144">
        <v>43546</v>
      </c>
      <c r="G280" s="144">
        <v>43570</v>
      </c>
      <c r="H280" s="143" t="s">
        <v>895</v>
      </c>
      <c r="I280" s="143" t="s">
        <v>241</v>
      </c>
      <c r="J280" s="140" t="s">
        <v>22</v>
      </c>
      <c r="K280" s="105">
        <v>20</v>
      </c>
      <c r="L280" s="105">
        <v>103830</v>
      </c>
      <c r="M280" s="105">
        <v>101830</v>
      </c>
      <c r="N280" s="105">
        <v>974.19</v>
      </c>
      <c r="O280" s="105">
        <f t="shared" si="64"/>
        <v>19483.800000000003</v>
      </c>
      <c r="P280" s="101" t="s">
        <v>642</v>
      </c>
      <c r="Q280" s="101" t="s">
        <v>628</v>
      </c>
      <c r="R280" s="105"/>
      <c r="S280" s="105"/>
      <c r="T280" s="144"/>
      <c r="U280" s="105">
        <v>101360</v>
      </c>
      <c r="V280" s="105">
        <v>0</v>
      </c>
      <c r="W280" s="144">
        <v>43570</v>
      </c>
      <c r="X280" s="104">
        <f t="shared" si="76"/>
        <v>-19483.800000000003</v>
      </c>
      <c r="Y280" s="197">
        <f t="shared" si="63"/>
        <v>2036600</v>
      </c>
      <c r="Z280" s="143" t="str">
        <f t="shared" si="74"/>
        <v/>
      </c>
      <c r="AA280" s="143" t="str">
        <f t="shared" si="75"/>
        <v>卖出</v>
      </c>
      <c r="AB280" s="203"/>
      <c r="AC280" s="321">
        <v>0.17499999999999999</v>
      </c>
      <c r="AD280" s="319"/>
      <c r="AE280" s="314"/>
      <c r="AF280" s="105"/>
    </row>
    <row r="281" spans="1:32" s="110" customFormat="1" ht="24" customHeight="1" x14ac:dyDescent="0.15">
      <c r="A281" s="142" t="s">
        <v>248</v>
      </c>
      <c r="B281" s="120" t="s">
        <v>297</v>
      </c>
      <c r="C281" s="142" t="str">
        <f t="shared" si="59"/>
        <v>到期</v>
      </c>
      <c r="D281" s="100" t="s">
        <v>1852</v>
      </c>
      <c r="E281" s="142" t="s">
        <v>298</v>
      </c>
      <c r="F281" s="144">
        <v>43546</v>
      </c>
      <c r="G281" s="144">
        <v>43570</v>
      </c>
      <c r="H281" s="143" t="s">
        <v>896</v>
      </c>
      <c r="I281" s="143" t="s">
        <v>222</v>
      </c>
      <c r="J281" s="142" t="s">
        <v>56</v>
      </c>
      <c r="K281" s="105">
        <v>200</v>
      </c>
      <c r="L281" s="105">
        <v>12135</v>
      </c>
      <c r="M281" s="105">
        <v>12135</v>
      </c>
      <c r="N281" s="105">
        <v>195.37</v>
      </c>
      <c r="O281" s="105">
        <f t="shared" si="64"/>
        <v>39074</v>
      </c>
      <c r="P281" s="101" t="s">
        <v>599</v>
      </c>
      <c r="Q281" s="101" t="s">
        <v>574</v>
      </c>
      <c r="R281" s="105"/>
      <c r="S281" s="105"/>
      <c r="T281" s="144"/>
      <c r="U281" s="105">
        <v>11840</v>
      </c>
      <c r="V281" s="105">
        <v>0</v>
      </c>
      <c r="W281" s="144">
        <v>43570</v>
      </c>
      <c r="X281" s="104">
        <f t="shared" si="76"/>
        <v>39074</v>
      </c>
      <c r="Y281" s="197">
        <f t="shared" si="63"/>
        <v>2427000</v>
      </c>
      <c r="Z281" s="143" t="str">
        <f t="shared" si="74"/>
        <v/>
      </c>
      <c r="AA281" s="143" t="str">
        <f t="shared" si="75"/>
        <v>买入</v>
      </c>
      <c r="AB281" s="203"/>
      <c r="AC281" s="321">
        <v>0.17499999999999999</v>
      </c>
      <c r="AD281" s="319"/>
      <c r="AE281" s="314"/>
      <c r="AF281" s="105"/>
    </row>
    <row r="282" spans="1:32" s="110" customFormat="1" ht="24" customHeight="1" x14ac:dyDescent="0.15">
      <c r="A282" s="142" t="s">
        <v>894</v>
      </c>
      <c r="B282" s="142" t="s">
        <v>295</v>
      </c>
      <c r="C282" s="142" t="str">
        <f t="shared" si="59"/>
        <v>到期</v>
      </c>
      <c r="D282" s="100" t="s">
        <v>266</v>
      </c>
      <c r="E282" s="142" t="s">
        <v>340</v>
      </c>
      <c r="F282" s="144">
        <v>43546</v>
      </c>
      <c r="G282" s="144">
        <v>43570</v>
      </c>
      <c r="H282" s="143" t="s">
        <v>896</v>
      </c>
      <c r="I282" s="143" t="s">
        <v>241</v>
      </c>
      <c r="J282" s="142" t="s">
        <v>56</v>
      </c>
      <c r="K282" s="105">
        <v>200</v>
      </c>
      <c r="L282" s="105">
        <v>12140</v>
      </c>
      <c r="M282" s="105">
        <v>12140</v>
      </c>
      <c r="N282" s="105">
        <v>203.4</v>
      </c>
      <c r="O282" s="105">
        <f t="shared" si="64"/>
        <v>40680</v>
      </c>
      <c r="P282" s="101" t="s">
        <v>722</v>
      </c>
      <c r="Q282" s="101" t="s">
        <v>575</v>
      </c>
      <c r="R282" s="105"/>
      <c r="S282" s="105"/>
      <c r="T282" s="144"/>
      <c r="U282" s="105">
        <v>11840</v>
      </c>
      <c r="V282" s="105">
        <v>0</v>
      </c>
      <c r="W282" s="144">
        <v>43570</v>
      </c>
      <c r="X282" s="104">
        <f t="shared" si="76"/>
        <v>-40680</v>
      </c>
      <c r="Y282" s="197">
        <f t="shared" si="63"/>
        <v>2428000</v>
      </c>
      <c r="Z282" s="143" t="str">
        <f t="shared" si="74"/>
        <v/>
      </c>
      <c r="AA282" s="143" t="str">
        <f t="shared" si="75"/>
        <v>卖出</v>
      </c>
      <c r="AB282" s="203"/>
      <c r="AC282" s="321">
        <v>0.18</v>
      </c>
      <c r="AD282" s="319"/>
      <c r="AE282" s="314"/>
      <c r="AF282" s="105"/>
    </row>
    <row r="283" spans="1:32" s="110" customFormat="1" ht="24" customHeight="1" x14ac:dyDescent="0.15">
      <c r="A283" s="142" t="s">
        <v>244</v>
      </c>
      <c r="B283" s="142" t="s">
        <v>295</v>
      </c>
      <c r="C283" s="142" t="str">
        <f t="shared" ref="C283:C346" si="77">IF(Q283="","存续","到期")</f>
        <v>到期</v>
      </c>
      <c r="D283" s="123" t="s">
        <v>266</v>
      </c>
      <c r="E283" s="142" t="s">
        <v>340</v>
      </c>
      <c r="F283" s="144">
        <v>43549</v>
      </c>
      <c r="G283" s="144">
        <v>43565</v>
      </c>
      <c r="H283" s="143" t="s">
        <v>897</v>
      </c>
      <c r="I283" s="143" t="s">
        <v>241</v>
      </c>
      <c r="J283" s="142" t="s">
        <v>56</v>
      </c>
      <c r="K283" s="105">
        <v>2500</v>
      </c>
      <c r="L283" s="105">
        <v>3531</v>
      </c>
      <c r="M283" s="105">
        <v>3300</v>
      </c>
      <c r="N283" s="105">
        <v>6.25</v>
      </c>
      <c r="O283" s="105">
        <f t="shared" si="64"/>
        <v>15625</v>
      </c>
      <c r="P283" s="101" t="s">
        <v>723</v>
      </c>
      <c r="Q283" s="101" t="s">
        <v>870</v>
      </c>
      <c r="R283" s="105"/>
      <c r="S283" s="105"/>
      <c r="T283" s="144"/>
      <c r="U283" s="104">
        <v>3478</v>
      </c>
      <c r="V283" s="104">
        <v>0</v>
      </c>
      <c r="W283" s="48">
        <f>G283</f>
        <v>43565</v>
      </c>
      <c r="X283" s="104">
        <f t="shared" si="76"/>
        <v>-15625</v>
      </c>
      <c r="Y283" s="197">
        <f t="shared" si="63"/>
        <v>8250000</v>
      </c>
      <c r="Z283" s="143" t="str">
        <f t="shared" si="74"/>
        <v/>
      </c>
      <c r="AA283" s="143" t="str">
        <f t="shared" si="75"/>
        <v>卖出</v>
      </c>
      <c r="AB283" s="203"/>
      <c r="AC283" s="321">
        <v>0.23</v>
      </c>
      <c r="AD283" s="319"/>
      <c r="AE283" s="314"/>
      <c r="AF283" s="105"/>
    </row>
    <row r="284" spans="1:32" s="110" customFormat="1" ht="24" customHeight="1" x14ac:dyDescent="0.15">
      <c r="A284" s="142" t="s">
        <v>244</v>
      </c>
      <c r="B284" s="142" t="s">
        <v>295</v>
      </c>
      <c r="C284" s="142" t="str">
        <f t="shared" si="77"/>
        <v>到期</v>
      </c>
      <c r="D284" s="123" t="s">
        <v>266</v>
      </c>
      <c r="E284" s="142" t="s">
        <v>340</v>
      </c>
      <c r="F284" s="144">
        <v>43549</v>
      </c>
      <c r="G284" s="144">
        <v>43563</v>
      </c>
      <c r="H284" s="143" t="s">
        <v>332</v>
      </c>
      <c r="I284" s="143" t="s">
        <v>241</v>
      </c>
      <c r="J284" s="142" t="s">
        <v>56</v>
      </c>
      <c r="K284" s="105">
        <v>1400</v>
      </c>
      <c r="L284" s="105">
        <v>4523</v>
      </c>
      <c r="M284" s="105">
        <v>4434</v>
      </c>
      <c r="N284" s="105">
        <v>13.13</v>
      </c>
      <c r="O284" s="105">
        <f t="shared" si="64"/>
        <v>18382</v>
      </c>
      <c r="P284" s="101" t="s">
        <v>724</v>
      </c>
      <c r="Q284" s="101" t="s">
        <v>871</v>
      </c>
      <c r="R284" s="105"/>
      <c r="S284" s="105"/>
      <c r="T284" s="144"/>
      <c r="U284" s="105">
        <v>4452</v>
      </c>
      <c r="V284" s="105">
        <v>0</v>
      </c>
      <c r="W284" s="144">
        <f>G284</f>
        <v>43563</v>
      </c>
      <c r="X284" s="104">
        <f t="shared" si="76"/>
        <v>-18382</v>
      </c>
      <c r="Y284" s="197">
        <f t="shared" si="63"/>
        <v>6207600</v>
      </c>
      <c r="Z284" s="143" t="str">
        <f t="shared" si="74"/>
        <v/>
      </c>
      <c r="AA284" s="143" t="str">
        <f t="shared" si="75"/>
        <v>卖出</v>
      </c>
      <c r="AB284" s="203"/>
      <c r="AC284" s="321">
        <v>0.128</v>
      </c>
      <c r="AD284" s="319"/>
      <c r="AE284" s="314"/>
      <c r="AF284" s="105"/>
    </row>
    <row r="285" spans="1:32" s="110" customFormat="1" ht="24" customHeight="1" x14ac:dyDescent="0.15">
      <c r="A285" s="142" t="s">
        <v>244</v>
      </c>
      <c r="B285" s="142" t="s">
        <v>295</v>
      </c>
      <c r="C285" s="142" t="str">
        <f t="shared" si="77"/>
        <v>到期</v>
      </c>
      <c r="D285" s="123" t="s">
        <v>1846</v>
      </c>
      <c r="E285" s="142" t="s">
        <v>340</v>
      </c>
      <c r="F285" s="144">
        <v>43549</v>
      </c>
      <c r="G285" s="144">
        <v>43563</v>
      </c>
      <c r="H285" s="143" t="s">
        <v>336</v>
      </c>
      <c r="I285" s="143" t="s">
        <v>241</v>
      </c>
      <c r="J285" s="142" t="s">
        <v>25</v>
      </c>
      <c r="K285" s="105">
        <v>10000</v>
      </c>
      <c r="L285" s="105">
        <v>284.97000000000003</v>
      </c>
      <c r="M285" s="105">
        <v>287.85000000000002</v>
      </c>
      <c r="N285" s="105">
        <v>0.69</v>
      </c>
      <c r="O285" s="105">
        <f t="shared" si="64"/>
        <v>6899.9999999999991</v>
      </c>
      <c r="P285" s="101" t="s">
        <v>381</v>
      </c>
      <c r="Q285" s="101" t="s">
        <v>638</v>
      </c>
      <c r="R285" s="105"/>
      <c r="S285" s="105"/>
      <c r="T285" s="144"/>
      <c r="U285" s="105">
        <v>284.14999999999998</v>
      </c>
      <c r="V285" s="105">
        <f>(284.97-284.15)*10000</f>
        <v>8200.0000000005002</v>
      </c>
      <c r="W285" s="144">
        <f>G285</f>
        <v>43563</v>
      </c>
      <c r="X285" s="104">
        <f t="shared" si="76"/>
        <v>1300.0000000005011</v>
      </c>
      <c r="Y285" s="197">
        <f t="shared" si="63"/>
        <v>2878500</v>
      </c>
      <c r="Z285" s="143" t="str">
        <f t="shared" si="74"/>
        <v/>
      </c>
      <c r="AA285" s="143" t="str">
        <f t="shared" si="75"/>
        <v>卖出</v>
      </c>
      <c r="AB285" s="203"/>
      <c r="AC285" s="321">
        <v>8.1000000000000003E-2</v>
      </c>
      <c r="AD285" s="319"/>
      <c r="AE285" s="314"/>
      <c r="AF285" s="105"/>
    </row>
    <row r="286" spans="1:32" ht="24" customHeight="1" x14ac:dyDescent="0.15">
      <c r="A286" s="142" t="s">
        <v>247</v>
      </c>
      <c r="B286" s="142" t="s">
        <v>295</v>
      </c>
      <c r="C286" s="142" t="str">
        <f t="shared" si="77"/>
        <v>到期</v>
      </c>
      <c r="D286" s="127" t="s">
        <v>1846</v>
      </c>
      <c r="E286" s="142" t="s">
        <v>255</v>
      </c>
      <c r="F286" s="144">
        <v>43549</v>
      </c>
      <c r="G286" s="48">
        <v>43579</v>
      </c>
      <c r="H286" s="143" t="s">
        <v>382</v>
      </c>
      <c r="I286" s="143" t="s">
        <v>241</v>
      </c>
      <c r="J286" s="142" t="s">
        <v>22</v>
      </c>
      <c r="K286" s="105">
        <v>2500</v>
      </c>
      <c r="L286" s="105">
        <v>2065</v>
      </c>
      <c r="M286" s="105">
        <v>1964</v>
      </c>
      <c r="N286" s="105">
        <v>20.54</v>
      </c>
      <c r="O286" s="105">
        <f t="shared" si="64"/>
        <v>51350</v>
      </c>
      <c r="P286" s="101" t="s">
        <v>426</v>
      </c>
      <c r="Q286" s="101" t="s">
        <v>609</v>
      </c>
      <c r="R286" s="105"/>
      <c r="S286" s="105"/>
      <c r="T286" s="144"/>
      <c r="U286" s="105">
        <v>2047</v>
      </c>
      <c r="V286" s="105">
        <v>0</v>
      </c>
      <c r="W286" s="144">
        <v>43579</v>
      </c>
      <c r="X286" s="104">
        <f t="shared" si="76"/>
        <v>-51350</v>
      </c>
      <c r="Y286" s="197">
        <f t="shared" si="63"/>
        <v>4910000</v>
      </c>
      <c r="Z286" s="143" t="str">
        <f t="shared" si="74"/>
        <v/>
      </c>
      <c r="AA286" s="143" t="str">
        <f t="shared" si="75"/>
        <v>卖出</v>
      </c>
      <c r="AB286" s="203"/>
      <c r="AC286" s="321"/>
      <c r="AD286" s="321"/>
      <c r="AE286" s="314"/>
      <c r="AF286" s="105"/>
    </row>
    <row r="287" spans="1:32" s="110" customFormat="1" ht="24" customHeight="1" x14ac:dyDescent="0.15">
      <c r="A287" s="142" t="s">
        <v>244</v>
      </c>
      <c r="B287" s="142" t="s">
        <v>295</v>
      </c>
      <c r="C287" s="142" t="str">
        <f t="shared" si="77"/>
        <v>到期</v>
      </c>
      <c r="D287" s="123" t="s">
        <v>1846</v>
      </c>
      <c r="E287" s="142" t="s">
        <v>137</v>
      </c>
      <c r="F287" s="144">
        <v>43550</v>
      </c>
      <c r="G287" s="144">
        <v>43581</v>
      </c>
      <c r="H287" s="143" t="s">
        <v>383</v>
      </c>
      <c r="I287" s="143" t="s">
        <v>241</v>
      </c>
      <c r="J287" s="142" t="s">
        <v>22</v>
      </c>
      <c r="K287" s="105">
        <v>1500</v>
      </c>
      <c r="L287" s="105">
        <v>3671.17</v>
      </c>
      <c r="M287" s="105">
        <v>3431</v>
      </c>
      <c r="N287" s="105">
        <v>14.65</v>
      </c>
      <c r="O287" s="105">
        <f t="shared" si="64"/>
        <v>21975</v>
      </c>
      <c r="P287" s="101" t="s">
        <v>427</v>
      </c>
      <c r="Q287" s="101" t="s">
        <v>629</v>
      </c>
      <c r="R287" s="105">
        <v>141.82</v>
      </c>
      <c r="S287" s="105">
        <f>R287*K287</f>
        <v>212730</v>
      </c>
      <c r="T287" s="144">
        <v>43566</v>
      </c>
      <c r="U287" s="104"/>
      <c r="V287" s="104"/>
      <c r="W287" s="48"/>
      <c r="X287" s="104">
        <f>IF(I287="买入",S287-O287,O287+S287)</f>
        <v>190755</v>
      </c>
      <c r="Y287" s="197">
        <f t="shared" si="63"/>
        <v>5146500</v>
      </c>
      <c r="Z287" s="143" t="str">
        <f t="shared" si="74"/>
        <v/>
      </c>
      <c r="AA287" s="143" t="str">
        <f t="shared" si="75"/>
        <v>卖出</v>
      </c>
      <c r="AB287" s="203"/>
      <c r="AC287" s="321">
        <v>0.20699999999999999</v>
      </c>
      <c r="AD287" s="319"/>
      <c r="AE287" s="314"/>
      <c r="AF287" s="105"/>
    </row>
    <row r="288" spans="1:32" s="110" customFormat="1" ht="24" customHeight="1" x14ac:dyDescent="0.15">
      <c r="A288" s="142" t="s">
        <v>244</v>
      </c>
      <c r="B288" s="142" t="s">
        <v>295</v>
      </c>
      <c r="C288" s="142" t="str">
        <f t="shared" si="77"/>
        <v>到期</v>
      </c>
      <c r="D288" s="123" t="s">
        <v>1846</v>
      </c>
      <c r="E288" s="142" t="s">
        <v>137</v>
      </c>
      <c r="F288" s="144">
        <v>43550</v>
      </c>
      <c r="G288" s="144">
        <v>43581</v>
      </c>
      <c r="H288" s="143" t="s">
        <v>383</v>
      </c>
      <c r="I288" s="143" t="s">
        <v>241</v>
      </c>
      <c r="J288" s="142" t="s">
        <v>25</v>
      </c>
      <c r="K288" s="105">
        <v>1500</v>
      </c>
      <c r="L288" s="105">
        <v>3225.14</v>
      </c>
      <c r="M288" s="105">
        <v>3431</v>
      </c>
      <c r="N288" s="105">
        <v>17.39</v>
      </c>
      <c r="O288" s="105">
        <f t="shared" si="64"/>
        <v>26085</v>
      </c>
      <c r="P288" s="101" t="s">
        <v>427</v>
      </c>
      <c r="Q288" s="101" t="s">
        <v>629</v>
      </c>
      <c r="R288" s="105">
        <v>0.08</v>
      </c>
      <c r="S288" s="105">
        <f>R288*K288</f>
        <v>120</v>
      </c>
      <c r="T288" s="144">
        <v>43566</v>
      </c>
      <c r="U288" s="105"/>
      <c r="V288" s="105"/>
      <c r="W288" s="144"/>
      <c r="X288" s="104">
        <f>IF(I288="买入",S288-O288,O288+S288)</f>
        <v>-25965</v>
      </c>
      <c r="Y288" s="197">
        <f t="shared" si="63"/>
        <v>5146500</v>
      </c>
      <c r="Z288" s="143" t="str">
        <f t="shared" si="74"/>
        <v/>
      </c>
      <c r="AA288" s="143" t="str">
        <f t="shared" si="75"/>
        <v>卖出</v>
      </c>
      <c r="AB288" s="203"/>
      <c r="AC288" s="321">
        <v>0.20699999999999999</v>
      </c>
      <c r="AD288" s="319"/>
      <c r="AE288" s="314"/>
      <c r="AF288" s="105"/>
    </row>
    <row r="289" spans="1:32" ht="24" customHeight="1" x14ac:dyDescent="0.15">
      <c r="A289" s="142" t="s">
        <v>247</v>
      </c>
      <c r="B289" s="142" t="s">
        <v>295</v>
      </c>
      <c r="C289" s="142" t="str">
        <f t="shared" si="77"/>
        <v>到期</v>
      </c>
      <c r="D289" s="127" t="s">
        <v>1840</v>
      </c>
      <c r="E289" s="142" t="s">
        <v>340</v>
      </c>
      <c r="F289" s="144">
        <v>43550</v>
      </c>
      <c r="G289" s="144">
        <v>43579</v>
      </c>
      <c r="H289" s="143" t="s">
        <v>382</v>
      </c>
      <c r="I289" s="143" t="s">
        <v>241</v>
      </c>
      <c r="J289" s="142" t="s">
        <v>25</v>
      </c>
      <c r="K289" s="105">
        <v>2500</v>
      </c>
      <c r="L289" s="105">
        <v>1850</v>
      </c>
      <c r="M289" s="105">
        <v>1944</v>
      </c>
      <c r="N289" s="105">
        <v>18.39</v>
      </c>
      <c r="O289" s="105">
        <f t="shared" si="64"/>
        <v>45975</v>
      </c>
      <c r="P289" s="101" t="s">
        <v>1025</v>
      </c>
      <c r="Q289" s="101" t="s">
        <v>610</v>
      </c>
      <c r="R289" s="105"/>
      <c r="S289" s="105"/>
      <c r="T289" s="144"/>
      <c r="U289" s="105">
        <v>2047</v>
      </c>
      <c r="V289" s="105">
        <v>0</v>
      </c>
      <c r="W289" s="144">
        <v>43579</v>
      </c>
      <c r="X289" s="104">
        <f t="shared" ref="X289:X299" si="78">IF(I289="买入",V289-O289,V289+O289)</f>
        <v>-45975</v>
      </c>
      <c r="Y289" s="197">
        <f t="shared" si="63"/>
        <v>4860000</v>
      </c>
      <c r="Z289" s="143"/>
      <c r="AA289" s="143" t="str">
        <f t="shared" si="75"/>
        <v>卖出</v>
      </c>
      <c r="AB289" s="203"/>
      <c r="AC289" s="321"/>
      <c r="AD289" s="321"/>
      <c r="AE289" s="314"/>
      <c r="AF289" s="105"/>
    </row>
    <row r="290" spans="1:32" ht="24" customHeight="1" x14ac:dyDescent="0.15">
      <c r="A290" s="142" t="s">
        <v>894</v>
      </c>
      <c r="B290" s="142" t="s">
        <v>297</v>
      </c>
      <c r="C290" s="142" t="str">
        <f t="shared" si="77"/>
        <v>到期</v>
      </c>
      <c r="D290" s="103" t="s">
        <v>1841</v>
      </c>
      <c r="E290" s="142" t="s">
        <v>298</v>
      </c>
      <c r="F290" s="144">
        <v>43550</v>
      </c>
      <c r="G290" s="144">
        <v>43578</v>
      </c>
      <c r="H290" s="143" t="s">
        <v>1016</v>
      </c>
      <c r="I290" s="143" t="s">
        <v>275</v>
      </c>
      <c r="J290" s="142" t="s">
        <v>56</v>
      </c>
      <c r="K290" s="105">
        <v>200</v>
      </c>
      <c r="L290" s="105">
        <v>50530</v>
      </c>
      <c r="M290" s="105">
        <v>48310</v>
      </c>
      <c r="N290" s="105">
        <f t="shared" ref="N290:N299" si="79">401.01/2</f>
        <v>200.505</v>
      </c>
      <c r="O290" s="105">
        <f t="shared" si="64"/>
        <v>40101</v>
      </c>
      <c r="P290" s="101" t="s">
        <v>560</v>
      </c>
      <c r="Q290" s="101" t="s">
        <v>606</v>
      </c>
      <c r="R290" s="105"/>
      <c r="S290" s="105"/>
      <c r="T290" s="144"/>
      <c r="U290" s="104">
        <v>49160</v>
      </c>
      <c r="V290" s="104">
        <v>0</v>
      </c>
      <c r="W290" s="48">
        <v>43578</v>
      </c>
      <c r="X290" s="104">
        <f t="shared" si="78"/>
        <v>40101</v>
      </c>
      <c r="Y290" s="197">
        <f t="shared" si="63"/>
        <v>9662000</v>
      </c>
      <c r="Z290" s="143" t="str">
        <f t="shared" si="74"/>
        <v/>
      </c>
      <c r="AA290" s="143" t="str">
        <f t="shared" ref="AA290:AA299" si="80">IF(I290="买入","卖出","买入第13期")</f>
        <v>买入第13期</v>
      </c>
      <c r="AB290" s="203"/>
      <c r="AC290" s="321">
        <v>0.152</v>
      </c>
      <c r="AD290" s="205">
        <v>0.152</v>
      </c>
      <c r="AE290" s="314"/>
      <c r="AF290" s="105"/>
    </row>
    <row r="291" spans="1:32" ht="24" customHeight="1" x14ac:dyDescent="0.15">
      <c r="A291" s="142" t="s">
        <v>248</v>
      </c>
      <c r="B291" s="142" t="s">
        <v>297</v>
      </c>
      <c r="C291" s="142" t="str">
        <f t="shared" si="77"/>
        <v>到期</v>
      </c>
      <c r="D291" s="103" t="s">
        <v>1841</v>
      </c>
      <c r="E291" s="142" t="s">
        <v>298</v>
      </c>
      <c r="F291" s="144">
        <v>43550</v>
      </c>
      <c r="G291" s="144">
        <v>43578</v>
      </c>
      <c r="H291" s="143" t="s">
        <v>1016</v>
      </c>
      <c r="I291" s="143" t="s">
        <v>222</v>
      </c>
      <c r="J291" s="142" t="s">
        <v>59</v>
      </c>
      <c r="K291" s="105">
        <v>200</v>
      </c>
      <c r="L291" s="105">
        <v>46670</v>
      </c>
      <c r="M291" s="105">
        <v>48310</v>
      </c>
      <c r="N291" s="105">
        <f t="shared" si="79"/>
        <v>200.505</v>
      </c>
      <c r="O291" s="105">
        <f t="shared" si="64"/>
        <v>40101</v>
      </c>
      <c r="P291" s="101" t="s">
        <v>560</v>
      </c>
      <c r="Q291" s="101" t="s">
        <v>606</v>
      </c>
      <c r="R291" s="105"/>
      <c r="S291" s="105"/>
      <c r="T291" s="144"/>
      <c r="U291" s="105">
        <v>49160</v>
      </c>
      <c r="V291" s="105">
        <v>0</v>
      </c>
      <c r="W291" s="144">
        <v>43578</v>
      </c>
      <c r="X291" s="104">
        <f t="shared" si="78"/>
        <v>40101</v>
      </c>
      <c r="Y291" s="197">
        <f t="shared" si="63"/>
        <v>9662000</v>
      </c>
      <c r="Z291" s="143"/>
      <c r="AA291" s="143" t="str">
        <f t="shared" si="80"/>
        <v>买入第13期</v>
      </c>
      <c r="AB291" s="203"/>
      <c r="AC291" s="321">
        <v>0.152</v>
      </c>
      <c r="AD291" s="205">
        <v>0.152</v>
      </c>
      <c r="AE291" s="314"/>
      <c r="AF291" s="105"/>
    </row>
    <row r="292" spans="1:32" ht="24" customHeight="1" x14ac:dyDescent="0.15">
      <c r="A292" s="142" t="s">
        <v>894</v>
      </c>
      <c r="B292" s="142" t="s">
        <v>297</v>
      </c>
      <c r="C292" s="142" t="str">
        <f t="shared" si="77"/>
        <v>到期</v>
      </c>
      <c r="D292" s="103" t="s">
        <v>1842</v>
      </c>
      <c r="E292" s="142" t="s">
        <v>298</v>
      </c>
      <c r="F292" s="144">
        <v>43550</v>
      </c>
      <c r="G292" s="144">
        <v>43578</v>
      </c>
      <c r="H292" s="143" t="s">
        <v>1016</v>
      </c>
      <c r="I292" s="143" t="s">
        <v>222</v>
      </c>
      <c r="J292" s="142" t="s">
        <v>56</v>
      </c>
      <c r="K292" s="105">
        <v>200</v>
      </c>
      <c r="L292" s="105">
        <v>50530</v>
      </c>
      <c r="M292" s="105">
        <v>48310</v>
      </c>
      <c r="N292" s="105">
        <f t="shared" si="79"/>
        <v>200.505</v>
      </c>
      <c r="O292" s="105">
        <f t="shared" si="64"/>
        <v>40101</v>
      </c>
      <c r="P292" s="101" t="s">
        <v>561</v>
      </c>
      <c r="Q292" s="101" t="s">
        <v>805</v>
      </c>
      <c r="R292" s="105"/>
      <c r="S292" s="105"/>
      <c r="T292" s="144"/>
      <c r="U292" s="105">
        <v>49160</v>
      </c>
      <c r="V292" s="105">
        <v>0</v>
      </c>
      <c r="W292" s="144">
        <v>43578</v>
      </c>
      <c r="X292" s="104">
        <f t="shared" si="78"/>
        <v>40101</v>
      </c>
      <c r="Y292" s="197">
        <f t="shared" ref="Y292:Y355" si="81">M292*K292</f>
        <v>9662000</v>
      </c>
      <c r="Z292" s="143"/>
      <c r="AA292" s="143" t="str">
        <f t="shared" si="80"/>
        <v>买入第13期</v>
      </c>
      <c r="AB292" s="203"/>
      <c r="AC292" s="321">
        <v>0.152</v>
      </c>
      <c r="AD292" s="205">
        <v>0.152</v>
      </c>
      <c r="AE292" s="314"/>
      <c r="AF292" s="105"/>
    </row>
    <row r="293" spans="1:32" ht="24" customHeight="1" x14ac:dyDescent="0.15">
      <c r="A293" s="142" t="s">
        <v>248</v>
      </c>
      <c r="B293" s="142" t="s">
        <v>764</v>
      </c>
      <c r="C293" s="142" t="str">
        <f t="shared" si="77"/>
        <v>到期</v>
      </c>
      <c r="D293" s="103" t="s">
        <v>1842</v>
      </c>
      <c r="E293" s="142" t="s">
        <v>298</v>
      </c>
      <c r="F293" s="144">
        <v>43550</v>
      </c>
      <c r="G293" s="144">
        <v>43578</v>
      </c>
      <c r="H293" s="143" t="s">
        <v>1016</v>
      </c>
      <c r="I293" s="143" t="s">
        <v>222</v>
      </c>
      <c r="J293" s="142" t="s">
        <v>59</v>
      </c>
      <c r="K293" s="105">
        <v>200</v>
      </c>
      <c r="L293" s="105">
        <v>46670</v>
      </c>
      <c r="M293" s="105">
        <v>48310</v>
      </c>
      <c r="N293" s="105">
        <f t="shared" si="79"/>
        <v>200.505</v>
      </c>
      <c r="O293" s="105">
        <f t="shared" ref="O293:O356" si="82">N293*K293</f>
        <v>40101</v>
      </c>
      <c r="P293" s="101" t="s">
        <v>561</v>
      </c>
      <c r="Q293" s="101" t="s">
        <v>805</v>
      </c>
      <c r="R293" s="105"/>
      <c r="S293" s="105"/>
      <c r="T293" s="144"/>
      <c r="U293" s="105">
        <v>49160</v>
      </c>
      <c r="V293" s="105">
        <v>0</v>
      </c>
      <c r="W293" s="144">
        <v>43578</v>
      </c>
      <c r="X293" s="104">
        <f t="shared" si="78"/>
        <v>40101</v>
      </c>
      <c r="Y293" s="197">
        <f t="shared" si="81"/>
        <v>9662000</v>
      </c>
      <c r="Z293" s="143"/>
      <c r="AA293" s="143" t="str">
        <f t="shared" si="80"/>
        <v>买入第13期</v>
      </c>
      <c r="AB293" s="203"/>
      <c r="AC293" s="321">
        <v>0.152</v>
      </c>
      <c r="AD293" s="205">
        <v>0.152</v>
      </c>
      <c r="AE293" s="314"/>
      <c r="AF293" s="105"/>
    </row>
    <row r="294" spans="1:32" ht="24" customHeight="1" x14ac:dyDescent="0.15">
      <c r="A294" s="142" t="s">
        <v>248</v>
      </c>
      <c r="B294" s="142" t="s">
        <v>764</v>
      </c>
      <c r="C294" s="142" t="str">
        <f t="shared" si="77"/>
        <v>到期</v>
      </c>
      <c r="D294" s="103" t="s">
        <v>1843</v>
      </c>
      <c r="E294" s="142" t="s">
        <v>298</v>
      </c>
      <c r="F294" s="144">
        <v>43550</v>
      </c>
      <c r="G294" s="144">
        <v>43578</v>
      </c>
      <c r="H294" s="143" t="s">
        <v>1016</v>
      </c>
      <c r="I294" s="143" t="s">
        <v>275</v>
      </c>
      <c r="J294" s="142" t="s">
        <v>56</v>
      </c>
      <c r="K294" s="105">
        <v>200</v>
      </c>
      <c r="L294" s="105">
        <v>50530</v>
      </c>
      <c r="M294" s="105">
        <v>48310</v>
      </c>
      <c r="N294" s="105">
        <f t="shared" si="79"/>
        <v>200.505</v>
      </c>
      <c r="O294" s="105">
        <f t="shared" si="82"/>
        <v>40101</v>
      </c>
      <c r="P294" s="101" t="s">
        <v>607</v>
      </c>
      <c r="Q294" s="101" t="s">
        <v>806</v>
      </c>
      <c r="R294" s="105"/>
      <c r="S294" s="105"/>
      <c r="T294" s="144"/>
      <c r="U294" s="105">
        <v>49160</v>
      </c>
      <c r="V294" s="105">
        <v>0</v>
      </c>
      <c r="W294" s="144">
        <v>43578</v>
      </c>
      <c r="X294" s="104">
        <f t="shared" si="78"/>
        <v>40101</v>
      </c>
      <c r="Y294" s="197">
        <f t="shared" si="81"/>
        <v>9662000</v>
      </c>
      <c r="Z294" s="143"/>
      <c r="AA294" s="143" t="str">
        <f t="shared" si="80"/>
        <v>买入第13期</v>
      </c>
      <c r="AB294" s="203"/>
      <c r="AC294" s="321">
        <v>0.152</v>
      </c>
      <c r="AD294" s="205">
        <v>0.152</v>
      </c>
      <c r="AE294" s="314"/>
      <c r="AF294" s="105"/>
    </row>
    <row r="295" spans="1:32" ht="24" customHeight="1" x14ac:dyDescent="0.15">
      <c r="A295" s="142" t="s">
        <v>894</v>
      </c>
      <c r="B295" s="142" t="s">
        <v>764</v>
      </c>
      <c r="C295" s="142" t="str">
        <f t="shared" si="77"/>
        <v>到期</v>
      </c>
      <c r="D295" s="103" t="s">
        <v>1843</v>
      </c>
      <c r="E295" s="142" t="s">
        <v>298</v>
      </c>
      <c r="F295" s="144">
        <v>43550</v>
      </c>
      <c r="G295" s="144">
        <v>43578</v>
      </c>
      <c r="H295" s="143" t="s">
        <v>1016</v>
      </c>
      <c r="I295" s="143" t="s">
        <v>222</v>
      </c>
      <c r="J295" s="142" t="s">
        <v>59</v>
      </c>
      <c r="K295" s="105">
        <v>200</v>
      </c>
      <c r="L295" s="105">
        <v>46670</v>
      </c>
      <c r="M295" s="105">
        <v>48310</v>
      </c>
      <c r="N295" s="105">
        <f t="shared" si="79"/>
        <v>200.505</v>
      </c>
      <c r="O295" s="105">
        <f t="shared" si="82"/>
        <v>40101</v>
      </c>
      <c r="P295" s="101" t="s">
        <v>607</v>
      </c>
      <c r="Q295" s="101" t="s">
        <v>806</v>
      </c>
      <c r="R295" s="105"/>
      <c r="S295" s="105"/>
      <c r="T295" s="144"/>
      <c r="U295" s="104">
        <v>49160</v>
      </c>
      <c r="V295" s="104">
        <v>0</v>
      </c>
      <c r="W295" s="48">
        <v>43578</v>
      </c>
      <c r="X295" s="104">
        <f t="shared" si="78"/>
        <v>40101</v>
      </c>
      <c r="Y295" s="197">
        <f t="shared" si="81"/>
        <v>9662000</v>
      </c>
      <c r="Z295" s="143"/>
      <c r="AA295" s="143" t="str">
        <f t="shared" si="80"/>
        <v>买入第13期</v>
      </c>
      <c r="AB295" s="203"/>
      <c r="AC295" s="321">
        <v>0.152</v>
      </c>
      <c r="AD295" s="205">
        <v>0.152</v>
      </c>
      <c r="AE295" s="314"/>
      <c r="AF295" s="105"/>
    </row>
    <row r="296" spans="1:32" ht="24" customHeight="1" x14ac:dyDescent="0.15">
      <c r="A296" s="142" t="s">
        <v>248</v>
      </c>
      <c r="B296" s="142" t="s">
        <v>764</v>
      </c>
      <c r="C296" s="142" t="str">
        <f t="shared" si="77"/>
        <v>到期</v>
      </c>
      <c r="D296" s="103" t="s">
        <v>1844</v>
      </c>
      <c r="E296" s="142" t="s">
        <v>298</v>
      </c>
      <c r="F296" s="144">
        <v>43550</v>
      </c>
      <c r="G296" s="144">
        <v>43578</v>
      </c>
      <c r="H296" s="143" t="s">
        <v>1016</v>
      </c>
      <c r="I296" s="143" t="s">
        <v>222</v>
      </c>
      <c r="J296" s="142" t="s">
        <v>56</v>
      </c>
      <c r="K296" s="105">
        <v>200</v>
      </c>
      <c r="L296" s="105">
        <v>50530</v>
      </c>
      <c r="M296" s="105">
        <v>48310</v>
      </c>
      <c r="N296" s="105">
        <f t="shared" si="79"/>
        <v>200.505</v>
      </c>
      <c r="O296" s="105">
        <f t="shared" si="82"/>
        <v>40101</v>
      </c>
      <c r="P296" s="101" t="s">
        <v>608</v>
      </c>
      <c r="Q296" s="101" t="s">
        <v>807</v>
      </c>
      <c r="R296" s="105"/>
      <c r="S296" s="105"/>
      <c r="T296" s="144"/>
      <c r="U296" s="105">
        <v>49160</v>
      </c>
      <c r="V296" s="105">
        <v>0</v>
      </c>
      <c r="W296" s="144">
        <v>43578</v>
      </c>
      <c r="X296" s="104">
        <f t="shared" si="78"/>
        <v>40101</v>
      </c>
      <c r="Y296" s="197">
        <f t="shared" si="81"/>
        <v>9662000</v>
      </c>
      <c r="Z296" s="143"/>
      <c r="AA296" s="143" t="str">
        <f t="shared" si="80"/>
        <v>买入第13期</v>
      </c>
      <c r="AB296" s="203"/>
      <c r="AC296" s="321">
        <v>0.152</v>
      </c>
      <c r="AD296" s="205">
        <v>0.152</v>
      </c>
      <c r="AE296" s="314"/>
      <c r="AF296" s="105"/>
    </row>
    <row r="297" spans="1:32" ht="24" customHeight="1" x14ac:dyDescent="0.15">
      <c r="A297" s="142" t="s">
        <v>894</v>
      </c>
      <c r="B297" s="142" t="s">
        <v>764</v>
      </c>
      <c r="C297" s="142" t="str">
        <f t="shared" si="77"/>
        <v>到期</v>
      </c>
      <c r="D297" s="103" t="s">
        <v>1844</v>
      </c>
      <c r="E297" s="142" t="s">
        <v>298</v>
      </c>
      <c r="F297" s="144">
        <v>43550</v>
      </c>
      <c r="G297" s="144">
        <v>43578</v>
      </c>
      <c r="H297" s="143" t="s">
        <v>1016</v>
      </c>
      <c r="I297" s="143" t="s">
        <v>275</v>
      </c>
      <c r="J297" s="142" t="s">
        <v>59</v>
      </c>
      <c r="K297" s="105">
        <v>200</v>
      </c>
      <c r="L297" s="105">
        <v>46670</v>
      </c>
      <c r="M297" s="105">
        <v>48310</v>
      </c>
      <c r="N297" s="105">
        <f t="shared" si="79"/>
        <v>200.505</v>
      </c>
      <c r="O297" s="105">
        <f t="shared" si="82"/>
        <v>40101</v>
      </c>
      <c r="P297" s="101" t="s">
        <v>608</v>
      </c>
      <c r="Q297" s="101" t="s">
        <v>807</v>
      </c>
      <c r="R297" s="105"/>
      <c r="S297" s="105"/>
      <c r="T297" s="144"/>
      <c r="U297" s="105">
        <v>49160</v>
      </c>
      <c r="V297" s="105">
        <v>0</v>
      </c>
      <c r="W297" s="144">
        <v>43578</v>
      </c>
      <c r="X297" s="104">
        <f t="shared" si="78"/>
        <v>40101</v>
      </c>
      <c r="Y297" s="197">
        <f t="shared" si="81"/>
        <v>9662000</v>
      </c>
      <c r="Z297" s="143"/>
      <c r="AA297" s="143" t="str">
        <f t="shared" si="80"/>
        <v>买入第13期</v>
      </c>
      <c r="AB297" s="203"/>
      <c r="AC297" s="321">
        <v>0.152</v>
      </c>
      <c r="AD297" s="205">
        <v>0.152</v>
      </c>
      <c r="AE297" s="314"/>
      <c r="AF297" s="105"/>
    </row>
    <row r="298" spans="1:32" ht="24" customHeight="1" x14ac:dyDescent="0.15">
      <c r="A298" s="142" t="s">
        <v>248</v>
      </c>
      <c r="B298" s="142" t="s">
        <v>764</v>
      </c>
      <c r="C298" s="142" t="str">
        <f t="shared" si="77"/>
        <v>到期</v>
      </c>
      <c r="D298" s="103" t="s">
        <v>1845</v>
      </c>
      <c r="E298" s="142" t="s">
        <v>298</v>
      </c>
      <c r="F298" s="144">
        <v>43550</v>
      </c>
      <c r="G298" s="144">
        <v>43578</v>
      </c>
      <c r="H298" s="143" t="s">
        <v>1016</v>
      </c>
      <c r="I298" s="143" t="s">
        <v>275</v>
      </c>
      <c r="J298" s="142" t="s">
        <v>56</v>
      </c>
      <c r="K298" s="105">
        <v>200</v>
      </c>
      <c r="L298" s="105">
        <v>50530</v>
      </c>
      <c r="M298" s="105">
        <v>48310</v>
      </c>
      <c r="N298" s="105">
        <f t="shared" si="79"/>
        <v>200.505</v>
      </c>
      <c r="O298" s="105">
        <f t="shared" si="82"/>
        <v>40101</v>
      </c>
      <c r="P298" s="101" t="s">
        <v>562</v>
      </c>
      <c r="Q298" s="101" t="s">
        <v>808</v>
      </c>
      <c r="R298" s="105"/>
      <c r="S298" s="105"/>
      <c r="T298" s="144"/>
      <c r="U298" s="105">
        <v>49160</v>
      </c>
      <c r="V298" s="105">
        <v>0</v>
      </c>
      <c r="W298" s="144">
        <v>43578</v>
      </c>
      <c r="X298" s="104">
        <f t="shared" si="78"/>
        <v>40101</v>
      </c>
      <c r="Y298" s="197">
        <f t="shared" si="81"/>
        <v>9662000</v>
      </c>
      <c r="Z298" s="143"/>
      <c r="AA298" s="143" t="str">
        <f t="shared" si="80"/>
        <v>买入第13期</v>
      </c>
      <c r="AB298" s="203"/>
      <c r="AC298" s="321">
        <v>0.152</v>
      </c>
      <c r="AD298" s="205">
        <v>0.152</v>
      </c>
      <c r="AE298" s="314"/>
      <c r="AF298" s="105"/>
    </row>
    <row r="299" spans="1:32" ht="24" customHeight="1" x14ac:dyDescent="0.15">
      <c r="A299" s="142" t="s">
        <v>894</v>
      </c>
      <c r="B299" s="142" t="s">
        <v>764</v>
      </c>
      <c r="C299" s="142" t="str">
        <f t="shared" si="77"/>
        <v>到期</v>
      </c>
      <c r="D299" s="103" t="s">
        <v>1845</v>
      </c>
      <c r="E299" s="142" t="s">
        <v>298</v>
      </c>
      <c r="F299" s="144">
        <v>43550</v>
      </c>
      <c r="G299" s="144">
        <v>43578</v>
      </c>
      <c r="H299" s="143" t="s">
        <v>1016</v>
      </c>
      <c r="I299" s="143" t="s">
        <v>222</v>
      </c>
      <c r="J299" s="142" t="s">
        <v>59</v>
      </c>
      <c r="K299" s="105">
        <v>200</v>
      </c>
      <c r="L299" s="105">
        <v>46670</v>
      </c>
      <c r="M299" s="105">
        <v>48310</v>
      </c>
      <c r="N299" s="105">
        <f t="shared" si="79"/>
        <v>200.505</v>
      </c>
      <c r="O299" s="105">
        <f t="shared" si="82"/>
        <v>40101</v>
      </c>
      <c r="P299" s="101" t="s">
        <v>562</v>
      </c>
      <c r="Q299" s="101" t="s">
        <v>808</v>
      </c>
      <c r="R299" s="105"/>
      <c r="S299" s="105"/>
      <c r="T299" s="144"/>
      <c r="U299" s="104">
        <v>49160</v>
      </c>
      <c r="V299" s="104">
        <v>0</v>
      </c>
      <c r="W299" s="48">
        <v>43578</v>
      </c>
      <c r="X299" s="104">
        <f t="shared" si="78"/>
        <v>40101</v>
      </c>
      <c r="Y299" s="197">
        <f t="shared" si="81"/>
        <v>9662000</v>
      </c>
      <c r="Z299" s="143"/>
      <c r="AA299" s="143" t="str">
        <f t="shared" si="80"/>
        <v>买入第13期</v>
      </c>
      <c r="AB299" s="203"/>
      <c r="AC299" s="321">
        <v>0.152</v>
      </c>
      <c r="AD299" s="205">
        <v>0.152</v>
      </c>
      <c r="AE299" s="314"/>
      <c r="AF299" s="105"/>
    </row>
    <row r="300" spans="1:32" s="110" customFormat="1" ht="24" customHeight="1" x14ac:dyDescent="0.15">
      <c r="A300" s="142" t="s">
        <v>244</v>
      </c>
      <c r="B300" s="142" t="s">
        <v>295</v>
      </c>
      <c r="C300" s="142" t="str">
        <f t="shared" si="77"/>
        <v>到期</v>
      </c>
      <c r="D300" s="123" t="s">
        <v>266</v>
      </c>
      <c r="E300" s="142" t="s">
        <v>255</v>
      </c>
      <c r="F300" s="144">
        <v>43551</v>
      </c>
      <c r="G300" s="144">
        <v>43567</v>
      </c>
      <c r="H300" s="143" t="s">
        <v>330</v>
      </c>
      <c r="I300" s="143" t="s">
        <v>241</v>
      </c>
      <c r="J300" s="142" t="s">
        <v>59</v>
      </c>
      <c r="K300" s="105">
        <v>900</v>
      </c>
      <c r="L300" s="105">
        <v>6957</v>
      </c>
      <c r="M300" s="105">
        <v>7172</v>
      </c>
      <c r="N300" s="105">
        <v>23.16</v>
      </c>
      <c r="O300" s="105">
        <f t="shared" si="82"/>
        <v>20844</v>
      </c>
      <c r="P300" s="101" t="s">
        <v>391</v>
      </c>
      <c r="Q300" s="101" t="s">
        <v>858</v>
      </c>
      <c r="R300" s="105">
        <v>16.03</v>
      </c>
      <c r="S300" s="105">
        <f>R300*K300</f>
        <v>14427.000000000002</v>
      </c>
      <c r="T300" s="144">
        <v>43565</v>
      </c>
      <c r="U300" s="105"/>
      <c r="V300" s="105"/>
      <c r="W300" s="144"/>
      <c r="X300" s="104">
        <f>IF(I300="买入",S300-O300,O300+S300)</f>
        <v>-6416.9999999999982</v>
      </c>
      <c r="Y300" s="197">
        <f t="shared" si="81"/>
        <v>6454800</v>
      </c>
      <c r="Z300" s="143" t="str">
        <f>IF(C300="存续",D300&amp;H300&amp;"-"&amp;AA300,"")</f>
        <v/>
      </c>
      <c r="AA300" s="143" t="str">
        <f t="shared" ref="AA300:AA331" si="83">IF(I300="买入","卖出","买入")</f>
        <v>卖出</v>
      </c>
      <c r="AB300" s="203"/>
      <c r="AC300" s="321">
        <v>0.158</v>
      </c>
      <c r="AD300" s="319"/>
      <c r="AE300" s="314"/>
      <c r="AF300" s="104"/>
    </row>
    <row r="301" spans="1:32" s="110" customFormat="1" ht="24" customHeight="1" x14ac:dyDescent="0.15">
      <c r="A301" s="142" t="s">
        <v>244</v>
      </c>
      <c r="B301" s="142" t="s">
        <v>295</v>
      </c>
      <c r="C301" s="142" t="str">
        <f t="shared" si="77"/>
        <v>到期</v>
      </c>
      <c r="D301" s="123" t="s">
        <v>266</v>
      </c>
      <c r="E301" s="142" t="s">
        <v>340</v>
      </c>
      <c r="F301" s="144">
        <v>43551</v>
      </c>
      <c r="G301" s="144">
        <v>43563</v>
      </c>
      <c r="H301" s="143" t="s">
        <v>332</v>
      </c>
      <c r="I301" s="143" t="s">
        <v>241</v>
      </c>
      <c r="J301" s="142" t="s">
        <v>56</v>
      </c>
      <c r="K301" s="105">
        <v>1000</v>
      </c>
      <c r="L301" s="105">
        <v>4516</v>
      </c>
      <c r="M301" s="105">
        <v>4428</v>
      </c>
      <c r="N301" s="105">
        <v>9.65</v>
      </c>
      <c r="O301" s="105">
        <f t="shared" si="82"/>
        <v>9650</v>
      </c>
      <c r="P301" s="101" t="s">
        <v>725</v>
      </c>
      <c r="Q301" s="101" t="s">
        <v>872</v>
      </c>
      <c r="R301" s="105"/>
      <c r="S301" s="105"/>
      <c r="T301" s="144"/>
      <c r="U301" s="105">
        <v>4452</v>
      </c>
      <c r="V301" s="105">
        <v>0</v>
      </c>
      <c r="W301" s="144">
        <f>G301</f>
        <v>43563</v>
      </c>
      <c r="X301" s="104">
        <f t="shared" ref="X301:X308" si="84">IF(I301="买入",V301-O301,V301+O301)</f>
        <v>-9650</v>
      </c>
      <c r="Y301" s="197">
        <f t="shared" si="81"/>
        <v>4428000</v>
      </c>
      <c r="Z301" s="143" t="str">
        <f>IF(C301="存续",D301&amp;H301&amp;"-"&amp;AA301,"")</f>
        <v/>
      </c>
      <c r="AA301" s="143" t="str">
        <f t="shared" si="83"/>
        <v>卖出</v>
      </c>
      <c r="AB301" s="203"/>
      <c r="AC301" s="321">
        <v>0.129</v>
      </c>
      <c r="AD301" s="319"/>
      <c r="AE301" s="314"/>
      <c r="AF301" s="104"/>
    </row>
    <row r="302" spans="1:32" ht="24" customHeight="1" x14ac:dyDescent="0.15">
      <c r="A302" s="142" t="s">
        <v>247</v>
      </c>
      <c r="B302" s="142" t="s">
        <v>295</v>
      </c>
      <c r="C302" s="142" t="str">
        <f t="shared" si="77"/>
        <v>到期</v>
      </c>
      <c r="D302" s="127" t="s">
        <v>1840</v>
      </c>
      <c r="E302" s="142" t="s">
        <v>340</v>
      </c>
      <c r="F302" s="144">
        <v>43551</v>
      </c>
      <c r="G302" s="144">
        <v>43581</v>
      </c>
      <c r="H302" s="143" t="s">
        <v>393</v>
      </c>
      <c r="I302" s="143" t="s">
        <v>241</v>
      </c>
      <c r="J302" s="142" t="s">
        <v>25</v>
      </c>
      <c r="K302" s="105">
        <v>3000</v>
      </c>
      <c r="L302" s="105">
        <v>1820</v>
      </c>
      <c r="M302" s="105">
        <v>1844</v>
      </c>
      <c r="N302" s="105">
        <v>10.82</v>
      </c>
      <c r="O302" s="105">
        <f t="shared" si="82"/>
        <v>32460</v>
      </c>
      <c r="P302" s="101" t="s">
        <v>1026</v>
      </c>
      <c r="Q302" s="101" t="s">
        <v>1027</v>
      </c>
      <c r="R302" s="105"/>
      <c r="S302" s="105"/>
      <c r="T302" s="144"/>
      <c r="U302" s="104">
        <v>1902</v>
      </c>
      <c r="V302" s="104">
        <v>0</v>
      </c>
      <c r="W302" s="48">
        <v>43581</v>
      </c>
      <c r="X302" s="104">
        <f t="shared" si="84"/>
        <v>-32460</v>
      </c>
      <c r="Y302" s="197">
        <f t="shared" si="81"/>
        <v>5532000</v>
      </c>
      <c r="Z302" s="143" t="str">
        <f>IF(C302="存续",D302&amp;H302&amp;"-"&amp;AA302,"")</f>
        <v/>
      </c>
      <c r="AA302" s="143" t="str">
        <f t="shared" si="83"/>
        <v>卖出</v>
      </c>
      <c r="AB302" s="203"/>
      <c r="AC302" s="321">
        <v>9.7000000000000003E-2</v>
      </c>
      <c r="AD302" s="319"/>
      <c r="AE302" s="314"/>
      <c r="AF302" s="104"/>
    </row>
    <row r="303" spans="1:32" ht="24" customHeight="1" x14ac:dyDescent="0.15">
      <c r="A303" s="142" t="s">
        <v>394</v>
      </c>
      <c r="B303" s="120" t="s">
        <v>295</v>
      </c>
      <c r="C303" s="142" t="str">
        <f t="shared" si="77"/>
        <v>到期</v>
      </c>
      <c r="D303" s="128" t="s">
        <v>266</v>
      </c>
      <c r="E303" s="142" t="s">
        <v>340</v>
      </c>
      <c r="F303" s="144">
        <v>43551</v>
      </c>
      <c r="G303" s="144">
        <v>43563</v>
      </c>
      <c r="H303" s="143" t="s">
        <v>330</v>
      </c>
      <c r="I303" s="143" t="s">
        <v>241</v>
      </c>
      <c r="J303" s="142" t="s">
        <v>59</v>
      </c>
      <c r="K303" s="105">
        <v>300</v>
      </c>
      <c r="L303" s="105">
        <v>7176</v>
      </c>
      <c r="M303" s="105">
        <v>7176</v>
      </c>
      <c r="N303" s="105">
        <v>72.650000000000006</v>
      </c>
      <c r="O303" s="105">
        <f t="shared" si="82"/>
        <v>21795</v>
      </c>
      <c r="P303" s="101" t="s">
        <v>726</v>
      </c>
      <c r="Q303" s="101" t="s">
        <v>873</v>
      </c>
      <c r="R303" s="105"/>
      <c r="S303" s="105"/>
      <c r="T303" s="144"/>
      <c r="U303" s="105">
        <v>7056</v>
      </c>
      <c r="V303" s="105">
        <f>300*(7176-7056)</f>
        <v>36000</v>
      </c>
      <c r="W303" s="144">
        <v>43563</v>
      </c>
      <c r="X303" s="104">
        <f t="shared" si="84"/>
        <v>14205</v>
      </c>
      <c r="Y303" s="197">
        <f t="shared" si="81"/>
        <v>2152800</v>
      </c>
      <c r="Z303" s="143" t="str">
        <f>IF(C303="存续",D303&amp;H303&amp;"-"&amp;AA303,"")</f>
        <v/>
      </c>
      <c r="AA303" s="143" t="str">
        <f t="shared" si="83"/>
        <v>卖出</v>
      </c>
      <c r="AB303" s="203"/>
      <c r="AC303" s="321"/>
      <c r="AD303" s="321"/>
      <c r="AE303" s="314"/>
      <c r="AF303" s="104"/>
    </row>
    <row r="304" spans="1:32" ht="24" customHeight="1" x14ac:dyDescent="0.15">
      <c r="A304" s="142" t="s">
        <v>394</v>
      </c>
      <c r="B304" s="120" t="s">
        <v>764</v>
      </c>
      <c r="C304" s="142" t="str">
        <f t="shared" si="77"/>
        <v>到期</v>
      </c>
      <c r="D304" s="128" t="s">
        <v>266</v>
      </c>
      <c r="E304" s="142" t="s">
        <v>340</v>
      </c>
      <c r="F304" s="144">
        <v>43551</v>
      </c>
      <c r="G304" s="144">
        <v>43581</v>
      </c>
      <c r="H304" s="143" t="s">
        <v>898</v>
      </c>
      <c r="I304" s="143" t="s">
        <v>275</v>
      </c>
      <c r="J304" s="142" t="s">
        <v>59</v>
      </c>
      <c r="K304" s="105">
        <v>50</v>
      </c>
      <c r="L304" s="105">
        <v>15700</v>
      </c>
      <c r="M304" s="105">
        <v>15700</v>
      </c>
      <c r="N304" s="105">
        <v>213.38</v>
      </c>
      <c r="O304" s="105">
        <f t="shared" si="82"/>
        <v>10669</v>
      </c>
      <c r="P304" s="101" t="s">
        <v>727</v>
      </c>
      <c r="Q304" s="101" t="s">
        <v>621</v>
      </c>
      <c r="R304" s="105"/>
      <c r="S304" s="105"/>
      <c r="T304" s="144"/>
      <c r="U304" s="105">
        <v>15625</v>
      </c>
      <c r="V304" s="105">
        <f>-MAX(L304-U304,0)*K304</f>
        <v>-3750</v>
      </c>
      <c r="W304" s="144">
        <v>43581</v>
      </c>
      <c r="X304" s="104">
        <f t="shared" si="84"/>
        <v>6919</v>
      </c>
      <c r="Y304" s="197">
        <f t="shared" si="81"/>
        <v>785000</v>
      </c>
      <c r="Z304" s="143" t="str">
        <f>IF(C304="存续",D304&amp;H304&amp;"-"&amp;AA304,"")</f>
        <v/>
      </c>
      <c r="AA304" s="143" t="str">
        <f t="shared" si="83"/>
        <v>买入</v>
      </c>
      <c r="AB304" s="203"/>
      <c r="AC304" s="321">
        <v>0.11890000000000001</v>
      </c>
      <c r="AD304" s="319"/>
      <c r="AE304" s="314"/>
      <c r="AF304" s="104"/>
    </row>
    <row r="305" spans="1:32" ht="24" customHeight="1" x14ac:dyDescent="0.15">
      <c r="A305" s="142" t="s">
        <v>394</v>
      </c>
      <c r="B305" s="142" t="s">
        <v>297</v>
      </c>
      <c r="C305" s="142" t="str">
        <f t="shared" si="77"/>
        <v>到期</v>
      </c>
      <c r="D305" s="128" t="s">
        <v>266</v>
      </c>
      <c r="E305" s="142" t="s">
        <v>255</v>
      </c>
      <c r="F305" s="144">
        <v>43551</v>
      </c>
      <c r="G305" s="48">
        <v>43581</v>
      </c>
      <c r="H305" s="143" t="s">
        <v>825</v>
      </c>
      <c r="I305" s="48" t="s">
        <v>222</v>
      </c>
      <c r="J305" s="142" t="s">
        <v>56</v>
      </c>
      <c r="K305" s="105">
        <v>50</v>
      </c>
      <c r="L305" s="105">
        <v>15700</v>
      </c>
      <c r="M305" s="105">
        <v>15700</v>
      </c>
      <c r="N305" s="105">
        <v>213.38</v>
      </c>
      <c r="O305" s="105">
        <f t="shared" si="82"/>
        <v>10669</v>
      </c>
      <c r="P305" s="101" t="s">
        <v>728</v>
      </c>
      <c r="Q305" s="101" t="s">
        <v>621</v>
      </c>
      <c r="R305" s="105"/>
      <c r="S305" s="105"/>
      <c r="T305" s="144"/>
      <c r="U305" s="105">
        <v>15625</v>
      </c>
      <c r="V305" s="105">
        <f>-MAX(U305-L305,0)*K305</f>
        <v>0</v>
      </c>
      <c r="W305" s="144">
        <v>43581</v>
      </c>
      <c r="X305" s="104">
        <f t="shared" si="84"/>
        <v>10669</v>
      </c>
      <c r="Y305" s="197">
        <f t="shared" si="81"/>
        <v>785000</v>
      </c>
      <c r="Z305" s="143"/>
      <c r="AA305" s="143" t="str">
        <f t="shared" si="83"/>
        <v>买入</v>
      </c>
      <c r="AB305" s="203"/>
      <c r="AC305" s="321">
        <v>0.11890000000000001</v>
      </c>
      <c r="AD305" s="319"/>
      <c r="AE305" s="314"/>
      <c r="AF305" s="104"/>
    </row>
    <row r="306" spans="1:32" ht="24" customHeight="1" x14ac:dyDescent="0.15">
      <c r="A306" s="142" t="s">
        <v>394</v>
      </c>
      <c r="B306" s="142" t="s">
        <v>764</v>
      </c>
      <c r="C306" s="142" t="str">
        <f t="shared" si="77"/>
        <v>到期</v>
      </c>
      <c r="D306" s="128" t="s">
        <v>266</v>
      </c>
      <c r="E306" s="142" t="s">
        <v>255</v>
      </c>
      <c r="F306" s="144">
        <v>43551</v>
      </c>
      <c r="G306" s="48">
        <v>43581</v>
      </c>
      <c r="H306" s="143" t="s">
        <v>825</v>
      </c>
      <c r="I306" s="48" t="s">
        <v>222</v>
      </c>
      <c r="J306" s="142" t="s">
        <v>59</v>
      </c>
      <c r="K306" s="105">
        <v>500</v>
      </c>
      <c r="L306" s="105">
        <v>15625</v>
      </c>
      <c r="M306" s="105">
        <v>15625</v>
      </c>
      <c r="N306" s="105">
        <v>204.69</v>
      </c>
      <c r="O306" s="105">
        <f t="shared" si="82"/>
        <v>102345</v>
      </c>
      <c r="P306" s="101" t="s">
        <v>729</v>
      </c>
      <c r="Q306" s="101" t="s">
        <v>622</v>
      </c>
      <c r="R306" s="105"/>
      <c r="S306" s="105"/>
      <c r="T306" s="144"/>
      <c r="U306" s="105">
        <v>15625</v>
      </c>
      <c r="V306" s="105">
        <f>-MAX(L306-U306,0)*K306</f>
        <v>0</v>
      </c>
      <c r="W306" s="144">
        <v>43581</v>
      </c>
      <c r="X306" s="104">
        <f t="shared" si="84"/>
        <v>102345</v>
      </c>
      <c r="Y306" s="197">
        <f t="shared" si="81"/>
        <v>7812500</v>
      </c>
      <c r="Z306" s="143" t="str">
        <f>IF(C306="存续",D306&amp;H306&amp;"-"&amp;AA306,"")</f>
        <v/>
      </c>
      <c r="AA306" s="143" t="str">
        <f t="shared" si="83"/>
        <v>买入</v>
      </c>
      <c r="AB306" s="203"/>
      <c r="AC306" s="321">
        <v>0.1147</v>
      </c>
      <c r="AD306" s="319"/>
      <c r="AE306" s="314"/>
      <c r="AF306" s="104"/>
    </row>
    <row r="307" spans="1:32" ht="24" customHeight="1" x14ac:dyDescent="0.15">
      <c r="A307" s="142" t="s">
        <v>394</v>
      </c>
      <c r="B307" s="142" t="s">
        <v>764</v>
      </c>
      <c r="C307" s="142" t="str">
        <f t="shared" si="77"/>
        <v>到期</v>
      </c>
      <c r="D307" s="128" t="s">
        <v>266</v>
      </c>
      <c r="E307" s="142" t="s">
        <v>255</v>
      </c>
      <c r="F307" s="144">
        <v>43551</v>
      </c>
      <c r="G307" s="48">
        <v>43581</v>
      </c>
      <c r="H307" s="143" t="s">
        <v>825</v>
      </c>
      <c r="I307" s="48" t="s">
        <v>222</v>
      </c>
      <c r="J307" s="142" t="s">
        <v>56</v>
      </c>
      <c r="K307" s="105">
        <v>500</v>
      </c>
      <c r="L307" s="105">
        <v>15625</v>
      </c>
      <c r="M307" s="105">
        <v>15625</v>
      </c>
      <c r="N307" s="105">
        <v>204.69</v>
      </c>
      <c r="O307" s="105">
        <f t="shared" si="82"/>
        <v>102345</v>
      </c>
      <c r="P307" s="101" t="s">
        <v>730</v>
      </c>
      <c r="Q307" s="101" t="s">
        <v>622</v>
      </c>
      <c r="R307" s="105"/>
      <c r="S307" s="105"/>
      <c r="T307" s="144"/>
      <c r="U307" s="104">
        <v>15625</v>
      </c>
      <c r="V307" s="104">
        <f>-MAX(U307-L307,0)*K307</f>
        <v>0</v>
      </c>
      <c r="W307" s="48">
        <v>43581</v>
      </c>
      <c r="X307" s="104">
        <f t="shared" si="84"/>
        <v>102345</v>
      </c>
      <c r="Y307" s="197">
        <f t="shared" si="81"/>
        <v>7812500</v>
      </c>
      <c r="Z307" s="143"/>
      <c r="AA307" s="143" t="str">
        <f t="shared" si="83"/>
        <v>买入</v>
      </c>
      <c r="AB307" s="203"/>
      <c r="AC307" s="321">
        <v>0.1147</v>
      </c>
      <c r="AD307" s="319"/>
      <c r="AE307" s="314"/>
      <c r="AF307" s="104"/>
    </row>
    <row r="308" spans="1:32" s="110" customFormat="1" ht="24" customHeight="1" x14ac:dyDescent="0.15">
      <c r="A308" s="142" t="s">
        <v>244</v>
      </c>
      <c r="B308" s="142" t="s">
        <v>295</v>
      </c>
      <c r="C308" s="142" t="str">
        <f t="shared" si="77"/>
        <v>到期</v>
      </c>
      <c r="D308" s="123" t="s">
        <v>266</v>
      </c>
      <c r="E308" s="142" t="s">
        <v>137</v>
      </c>
      <c r="F308" s="144">
        <v>43552</v>
      </c>
      <c r="G308" s="144">
        <v>43563</v>
      </c>
      <c r="H308" s="143" t="s">
        <v>332</v>
      </c>
      <c r="I308" s="143" t="s">
        <v>241</v>
      </c>
      <c r="J308" s="142" t="s">
        <v>56</v>
      </c>
      <c r="K308" s="105">
        <v>800</v>
      </c>
      <c r="L308" s="105">
        <v>4390</v>
      </c>
      <c r="M308" s="105">
        <v>4390</v>
      </c>
      <c r="N308" s="105">
        <v>32.94</v>
      </c>
      <c r="O308" s="105">
        <f t="shared" si="82"/>
        <v>26352</v>
      </c>
      <c r="P308" s="101" t="s">
        <v>731</v>
      </c>
      <c r="Q308" s="101" t="s">
        <v>410</v>
      </c>
      <c r="R308" s="105"/>
      <c r="S308" s="105"/>
      <c r="T308" s="144"/>
      <c r="U308" s="105">
        <v>4452</v>
      </c>
      <c r="V308" s="105">
        <f>(4452-4390)*800</f>
        <v>49600</v>
      </c>
      <c r="W308" s="144">
        <f>G308</f>
        <v>43563</v>
      </c>
      <c r="X308" s="104">
        <f t="shared" si="84"/>
        <v>23248</v>
      </c>
      <c r="Y308" s="197">
        <f t="shared" si="81"/>
        <v>3512000</v>
      </c>
      <c r="Z308" s="143" t="str">
        <f t="shared" ref="Z308:Z332" si="85">IF(C308="存续",D308&amp;H308&amp;"-"&amp;AA308,"")</f>
        <v/>
      </c>
      <c r="AA308" s="143" t="str">
        <f t="shared" si="83"/>
        <v>卖出</v>
      </c>
      <c r="AB308" s="203"/>
      <c r="AC308" s="321">
        <v>0.12</v>
      </c>
      <c r="AD308" s="319"/>
      <c r="AE308" s="314"/>
      <c r="AF308" s="104"/>
    </row>
    <row r="309" spans="1:32" s="110" customFormat="1" ht="24" customHeight="1" x14ac:dyDescent="0.15">
      <c r="A309" s="142" t="s">
        <v>244</v>
      </c>
      <c r="B309" s="142" t="s">
        <v>295</v>
      </c>
      <c r="C309" s="142" t="str">
        <f t="shared" si="77"/>
        <v>到期</v>
      </c>
      <c r="D309" s="123" t="s">
        <v>266</v>
      </c>
      <c r="E309" s="142" t="s">
        <v>137</v>
      </c>
      <c r="F309" s="144">
        <v>43552</v>
      </c>
      <c r="G309" s="144">
        <v>43577</v>
      </c>
      <c r="H309" s="143" t="s">
        <v>323</v>
      </c>
      <c r="I309" s="143" t="s">
        <v>241</v>
      </c>
      <c r="J309" s="142" t="s">
        <v>56</v>
      </c>
      <c r="K309" s="105">
        <v>1500</v>
      </c>
      <c r="L309" s="105">
        <v>3698</v>
      </c>
      <c r="M309" s="105">
        <v>3590</v>
      </c>
      <c r="N309" s="105">
        <v>7.73</v>
      </c>
      <c r="O309" s="105">
        <f t="shared" si="82"/>
        <v>11595</v>
      </c>
      <c r="P309" s="101" t="s">
        <v>732</v>
      </c>
      <c r="Q309" s="101" t="s">
        <v>859</v>
      </c>
      <c r="R309" s="105">
        <v>4.8099999999999996</v>
      </c>
      <c r="S309" s="105">
        <f>R309*K309</f>
        <v>7214.9999999999991</v>
      </c>
      <c r="T309" s="144">
        <v>43565</v>
      </c>
      <c r="U309" s="105"/>
      <c r="V309" s="105"/>
      <c r="W309" s="144"/>
      <c r="X309" s="104">
        <f>IF(I309="买入",S309-O309,O309+S309)</f>
        <v>-4380.0000000000009</v>
      </c>
      <c r="Y309" s="197">
        <f t="shared" si="81"/>
        <v>5385000</v>
      </c>
      <c r="Z309" s="143" t="str">
        <f t="shared" si="85"/>
        <v/>
      </c>
      <c r="AA309" s="143" t="str">
        <f t="shared" si="83"/>
        <v>卖出</v>
      </c>
      <c r="AB309" s="203"/>
      <c r="AC309" s="321">
        <v>0.11</v>
      </c>
      <c r="AD309" s="319"/>
      <c r="AE309" s="314"/>
      <c r="AF309" s="104"/>
    </row>
    <row r="310" spans="1:32" s="110" customFormat="1" ht="24" customHeight="1" x14ac:dyDescent="0.15">
      <c r="A310" s="142" t="s">
        <v>244</v>
      </c>
      <c r="B310" s="142" t="s">
        <v>295</v>
      </c>
      <c r="C310" s="142" t="str">
        <f t="shared" si="77"/>
        <v>到期</v>
      </c>
      <c r="D310" s="123" t="s">
        <v>266</v>
      </c>
      <c r="E310" s="142" t="s">
        <v>137</v>
      </c>
      <c r="F310" s="144">
        <v>43552</v>
      </c>
      <c r="G310" s="144">
        <v>43565</v>
      </c>
      <c r="H310" s="143" t="s">
        <v>368</v>
      </c>
      <c r="I310" s="143" t="s">
        <v>241</v>
      </c>
      <c r="J310" s="142" t="s">
        <v>56</v>
      </c>
      <c r="K310" s="105">
        <v>200</v>
      </c>
      <c r="L310" s="105">
        <v>16913</v>
      </c>
      <c r="M310" s="105">
        <v>16745</v>
      </c>
      <c r="N310" s="105">
        <v>60.8</v>
      </c>
      <c r="O310" s="105">
        <f t="shared" si="82"/>
        <v>12160</v>
      </c>
      <c r="P310" s="101" t="s">
        <v>733</v>
      </c>
      <c r="Q310" s="101" t="s">
        <v>874</v>
      </c>
      <c r="R310" s="105"/>
      <c r="S310" s="105"/>
      <c r="T310" s="144"/>
      <c r="U310" s="105">
        <v>16685</v>
      </c>
      <c r="V310" s="105">
        <v>0</v>
      </c>
      <c r="W310" s="144">
        <f>G310</f>
        <v>43565</v>
      </c>
      <c r="X310" s="104">
        <f t="shared" ref="X310:X315" si="86">IF(I310="买入",V310-O310,V310+O310)</f>
        <v>-12160</v>
      </c>
      <c r="Y310" s="197">
        <f t="shared" si="81"/>
        <v>3349000</v>
      </c>
      <c r="Z310" s="143" t="str">
        <f t="shared" si="85"/>
        <v/>
      </c>
      <c r="AA310" s="143" t="str">
        <f t="shared" si="83"/>
        <v>卖出</v>
      </c>
      <c r="AB310" s="203"/>
      <c r="AC310" s="321">
        <v>0.105</v>
      </c>
      <c r="AD310" s="319"/>
      <c r="AE310" s="314"/>
      <c r="AF310" s="105"/>
    </row>
    <row r="311" spans="1:32" s="110" customFormat="1" ht="24" customHeight="1" x14ac:dyDescent="0.15">
      <c r="A311" s="142" t="s">
        <v>244</v>
      </c>
      <c r="B311" s="142" t="s">
        <v>295</v>
      </c>
      <c r="C311" s="142" t="str">
        <f t="shared" si="77"/>
        <v>到期</v>
      </c>
      <c r="D311" s="123" t="s">
        <v>1846</v>
      </c>
      <c r="E311" s="142" t="s">
        <v>137</v>
      </c>
      <c r="F311" s="144">
        <v>43552</v>
      </c>
      <c r="G311" s="144">
        <v>43570</v>
      </c>
      <c r="H311" s="143" t="s">
        <v>755</v>
      </c>
      <c r="I311" s="143" t="s">
        <v>241</v>
      </c>
      <c r="J311" s="142" t="s">
        <v>22</v>
      </c>
      <c r="K311" s="105">
        <v>600</v>
      </c>
      <c r="L311" s="105">
        <v>8403.2000000000007</v>
      </c>
      <c r="M311" s="105">
        <v>8320</v>
      </c>
      <c r="N311" s="105">
        <v>42.33</v>
      </c>
      <c r="O311" s="105">
        <f t="shared" si="82"/>
        <v>25398</v>
      </c>
      <c r="P311" s="101" t="s">
        <v>396</v>
      </c>
      <c r="Q311" s="101" t="s">
        <v>572</v>
      </c>
      <c r="R311" s="105"/>
      <c r="S311" s="105"/>
      <c r="T311" s="144"/>
      <c r="U311" s="104">
        <v>8570</v>
      </c>
      <c r="V311" s="104">
        <f>(U311-L311)*K311</f>
        <v>100079.99999999956</v>
      </c>
      <c r="W311" s="48">
        <f>G311</f>
        <v>43570</v>
      </c>
      <c r="X311" s="104">
        <f t="shared" si="86"/>
        <v>74681.999999999563</v>
      </c>
      <c r="Y311" s="197">
        <f t="shared" si="81"/>
        <v>4992000</v>
      </c>
      <c r="Z311" s="143" t="str">
        <f t="shared" si="85"/>
        <v/>
      </c>
      <c r="AA311" s="143" t="str">
        <f t="shared" si="83"/>
        <v>卖出</v>
      </c>
      <c r="AB311" s="203"/>
      <c r="AC311" s="321">
        <v>0.109</v>
      </c>
      <c r="AD311" s="319"/>
      <c r="AE311" s="314"/>
      <c r="AF311" s="105"/>
    </row>
    <row r="312" spans="1:32" ht="24" customHeight="1" x14ac:dyDescent="0.15">
      <c r="A312" s="142" t="s">
        <v>247</v>
      </c>
      <c r="B312" s="142" t="s">
        <v>295</v>
      </c>
      <c r="C312" s="142" t="str">
        <f t="shared" si="77"/>
        <v>到期</v>
      </c>
      <c r="D312" s="127" t="s">
        <v>266</v>
      </c>
      <c r="E312" s="142" t="s">
        <v>255</v>
      </c>
      <c r="F312" s="144">
        <v>43552</v>
      </c>
      <c r="G312" s="48">
        <v>43584</v>
      </c>
      <c r="H312" s="143" t="s">
        <v>397</v>
      </c>
      <c r="I312" s="143" t="s">
        <v>241</v>
      </c>
      <c r="J312" s="142" t="s">
        <v>59</v>
      </c>
      <c r="K312" s="105">
        <v>2000</v>
      </c>
      <c r="L312" s="105">
        <v>3360</v>
      </c>
      <c r="M312" s="105">
        <v>3436</v>
      </c>
      <c r="N312" s="105">
        <v>17.649999999999999</v>
      </c>
      <c r="O312" s="105">
        <f t="shared" si="82"/>
        <v>35300</v>
      </c>
      <c r="P312" s="101" t="s">
        <v>734</v>
      </c>
      <c r="Q312" s="101" t="s">
        <v>875</v>
      </c>
      <c r="R312" s="105"/>
      <c r="S312" s="105"/>
      <c r="T312" s="144"/>
      <c r="U312" s="105">
        <v>3370</v>
      </c>
      <c r="V312" s="105">
        <v>0</v>
      </c>
      <c r="W312" s="144">
        <v>43584</v>
      </c>
      <c r="X312" s="104">
        <f t="shared" si="86"/>
        <v>-35300</v>
      </c>
      <c r="Y312" s="197">
        <f t="shared" si="81"/>
        <v>6872000</v>
      </c>
      <c r="Z312" s="143" t="str">
        <f t="shared" si="85"/>
        <v/>
      </c>
      <c r="AA312" s="143" t="str">
        <f t="shared" si="83"/>
        <v>卖出</v>
      </c>
      <c r="AB312" s="203"/>
      <c r="AC312" s="321">
        <v>0.11899999999999999</v>
      </c>
      <c r="AD312" s="319"/>
      <c r="AE312" s="314"/>
      <c r="AF312" s="105"/>
    </row>
    <row r="313" spans="1:32" ht="24" customHeight="1" x14ac:dyDescent="0.15">
      <c r="A313" s="142" t="s">
        <v>894</v>
      </c>
      <c r="B313" s="142" t="s">
        <v>764</v>
      </c>
      <c r="C313" s="142" t="str">
        <f t="shared" si="77"/>
        <v>到期</v>
      </c>
      <c r="D313" s="100" t="s">
        <v>1852</v>
      </c>
      <c r="E313" s="142" t="s">
        <v>298</v>
      </c>
      <c r="F313" s="48">
        <v>43552</v>
      </c>
      <c r="G313" s="48">
        <v>43563</v>
      </c>
      <c r="H313" s="48" t="s">
        <v>757</v>
      </c>
      <c r="I313" s="48" t="s">
        <v>222</v>
      </c>
      <c r="J313" s="142" t="s">
        <v>59</v>
      </c>
      <c r="K313" s="104">
        <v>20</v>
      </c>
      <c r="L313" s="104">
        <v>98130</v>
      </c>
      <c r="M313" s="104">
        <v>100130</v>
      </c>
      <c r="N313" s="104">
        <v>225.43</v>
      </c>
      <c r="O313" s="104">
        <f t="shared" si="82"/>
        <v>4508.6000000000004</v>
      </c>
      <c r="P313" s="101" t="s">
        <v>563</v>
      </c>
      <c r="Q313" s="101" t="s">
        <v>826</v>
      </c>
      <c r="R313" s="105"/>
      <c r="S313" s="105"/>
      <c r="T313" s="144"/>
      <c r="U313" s="105">
        <v>102800</v>
      </c>
      <c r="V313" s="105">
        <v>0</v>
      </c>
      <c r="W313" s="48">
        <v>43563</v>
      </c>
      <c r="X313" s="104">
        <f t="shared" si="86"/>
        <v>4508.6000000000004</v>
      </c>
      <c r="Y313" s="197">
        <f t="shared" si="81"/>
        <v>2002600</v>
      </c>
      <c r="Z313" s="143" t="str">
        <f t="shared" si="85"/>
        <v/>
      </c>
      <c r="AA313" s="143" t="str">
        <f t="shared" si="83"/>
        <v>买入</v>
      </c>
      <c r="AB313" s="203"/>
      <c r="AC313" s="321">
        <v>0.1492</v>
      </c>
      <c r="AD313" s="319"/>
      <c r="AE313" s="314"/>
      <c r="AF313" s="105"/>
    </row>
    <row r="314" spans="1:32" ht="24" customHeight="1" x14ac:dyDescent="0.15">
      <c r="A314" s="142" t="s">
        <v>248</v>
      </c>
      <c r="B314" s="142" t="s">
        <v>295</v>
      </c>
      <c r="C314" s="142" t="str">
        <f t="shared" si="77"/>
        <v>到期</v>
      </c>
      <c r="D314" s="100" t="s">
        <v>266</v>
      </c>
      <c r="E314" s="142" t="s">
        <v>255</v>
      </c>
      <c r="F314" s="48">
        <v>43552</v>
      </c>
      <c r="G314" s="48">
        <v>43563</v>
      </c>
      <c r="H314" s="48" t="s">
        <v>757</v>
      </c>
      <c r="I314" s="48" t="s">
        <v>241</v>
      </c>
      <c r="J314" s="142" t="s">
        <v>59</v>
      </c>
      <c r="K314" s="104">
        <v>20</v>
      </c>
      <c r="L314" s="104">
        <v>98130</v>
      </c>
      <c r="M314" s="104">
        <v>100130</v>
      </c>
      <c r="N314" s="104">
        <v>327.43</v>
      </c>
      <c r="O314" s="104">
        <f t="shared" si="82"/>
        <v>6548.6</v>
      </c>
      <c r="P314" s="101" t="s">
        <v>735</v>
      </c>
      <c r="Q314" s="101" t="s">
        <v>876</v>
      </c>
      <c r="R314" s="105"/>
      <c r="S314" s="105"/>
      <c r="T314" s="144"/>
      <c r="U314" s="105">
        <v>102800</v>
      </c>
      <c r="V314" s="105">
        <v>0</v>
      </c>
      <c r="W314" s="48">
        <v>43563</v>
      </c>
      <c r="X314" s="104">
        <f t="shared" si="86"/>
        <v>-6548.6</v>
      </c>
      <c r="Y314" s="197">
        <f t="shared" si="81"/>
        <v>2002600</v>
      </c>
      <c r="Z314" s="143" t="str">
        <f t="shared" si="85"/>
        <v/>
      </c>
      <c r="AA314" s="143" t="str">
        <f t="shared" si="83"/>
        <v>卖出</v>
      </c>
      <c r="AB314" s="203"/>
      <c r="AC314" s="321">
        <v>0.16520000000000001</v>
      </c>
      <c r="AD314" s="319"/>
      <c r="AE314" s="314"/>
      <c r="AF314" s="105"/>
    </row>
    <row r="315" spans="1:32" s="110" customFormat="1" ht="24" customHeight="1" x14ac:dyDescent="0.15">
      <c r="A315" s="142" t="s">
        <v>244</v>
      </c>
      <c r="B315" s="142" t="s">
        <v>295</v>
      </c>
      <c r="C315" s="142" t="str">
        <f t="shared" si="77"/>
        <v>到期</v>
      </c>
      <c r="D315" s="123" t="s">
        <v>266</v>
      </c>
      <c r="E315" s="142" t="s">
        <v>137</v>
      </c>
      <c r="F315" s="144">
        <v>43553</v>
      </c>
      <c r="G315" s="144">
        <v>43565</v>
      </c>
      <c r="H315" s="143" t="s">
        <v>287</v>
      </c>
      <c r="I315" s="143" t="s">
        <v>241</v>
      </c>
      <c r="J315" s="142" t="s">
        <v>59</v>
      </c>
      <c r="K315" s="105">
        <v>2000</v>
      </c>
      <c r="L315" s="105">
        <v>3275.52</v>
      </c>
      <c r="M315" s="105">
        <v>3412</v>
      </c>
      <c r="N315" s="105">
        <v>7.32</v>
      </c>
      <c r="O315" s="105">
        <f t="shared" si="82"/>
        <v>14640</v>
      </c>
      <c r="P315" s="101" t="s">
        <v>736</v>
      </c>
      <c r="Q315" s="101" t="s">
        <v>438</v>
      </c>
      <c r="R315" s="105"/>
      <c r="S315" s="105"/>
      <c r="T315" s="144"/>
      <c r="U315" s="105">
        <v>3478</v>
      </c>
      <c r="V315" s="105">
        <v>0</v>
      </c>
      <c r="W315" s="144">
        <f>G315</f>
        <v>43565</v>
      </c>
      <c r="X315" s="104">
        <f t="shared" si="86"/>
        <v>-14640</v>
      </c>
      <c r="Y315" s="197">
        <f t="shared" si="81"/>
        <v>6824000</v>
      </c>
      <c r="Z315" s="143" t="str">
        <f t="shared" si="85"/>
        <v/>
      </c>
      <c r="AA315" s="143" t="str">
        <f t="shared" si="83"/>
        <v>卖出</v>
      </c>
      <c r="AB315" s="203"/>
      <c r="AC315" s="321">
        <v>0.20799999999999999</v>
      </c>
      <c r="AD315" s="319"/>
      <c r="AE315" s="314"/>
      <c r="AF315" s="105"/>
    </row>
    <row r="316" spans="1:32" s="110" customFormat="1" ht="24" customHeight="1" x14ac:dyDescent="0.15">
      <c r="A316" s="142" t="s">
        <v>244</v>
      </c>
      <c r="B316" s="142" t="s">
        <v>295</v>
      </c>
      <c r="C316" s="142" t="str">
        <f t="shared" si="77"/>
        <v>到期</v>
      </c>
      <c r="D316" s="123" t="s">
        <v>266</v>
      </c>
      <c r="E316" s="142" t="s">
        <v>137</v>
      </c>
      <c r="F316" s="144">
        <v>43553</v>
      </c>
      <c r="G316" s="144">
        <v>43577</v>
      </c>
      <c r="H316" s="143" t="s">
        <v>323</v>
      </c>
      <c r="I316" s="143" t="s">
        <v>241</v>
      </c>
      <c r="J316" s="142" t="s">
        <v>56</v>
      </c>
      <c r="K316" s="105">
        <v>1200</v>
      </c>
      <c r="L316" s="105">
        <v>3575</v>
      </c>
      <c r="M316" s="105">
        <v>3540</v>
      </c>
      <c r="N316" s="105">
        <v>23.49</v>
      </c>
      <c r="O316" s="105">
        <f t="shared" si="82"/>
        <v>28187.999999999996</v>
      </c>
      <c r="P316" s="101" t="s">
        <v>737</v>
      </c>
      <c r="Q316" s="101" t="s">
        <v>860</v>
      </c>
      <c r="R316" s="105">
        <v>45.68</v>
      </c>
      <c r="S316" s="105">
        <f>R316*K316</f>
        <v>54816</v>
      </c>
      <c r="T316" s="144">
        <v>43565</v>
      </c>
      <c r="U316" s="105"/>
      <c r="V316" s="105"/>
      <c r="W316" s="144"/>
      <c r="X316" s="104">
        <f t="shared" ref="X316:X317" si="87">IF(I316="买入",S316-O316,O316+S316)</f>
        <v>26628.000000000004</v>
      </c>
      <c r="Y316" s="197">
        <f t="shared" si="81"/>
        <v>4248000</v>
      </c>
      <c r="Z316" s="143" t="str">
        <f t="shared" si="85"/>
        <v/>
      </c>
      <c r="AA316" s="143" t="str">
        <f t="shared" si="83"/>
        <v>卖出</v>
      </c>
      <c r="AB316" s="203"/>
      <c r="AC316" s="321">
        <v>0.11</v>
      </c>
      <c r="AD316" s="319"/>
      <c r="AE316" s="314"/>
      <c r="AF316" s="105"/>
    </row>
    <row r="317" spans="1:32" s="110" customFormat="1" ht="24" customHeight="1" x14ac:dyDescent="0.15">
      <c r="A317" s="142" t="s">
        <v>244</v>
      </c>
      <c r="B317" s="142" t="s">
        <v>295</v>
      </c>
      <c r="C317" s="142" t="str">
        <f t="shared" si="77"/>
        <v>到期</v>
      </c>
      <c r="D317" s="123" t="s">
        <v>266</v>
      </c>
      <c r="E317" s="142" t="s">
        <v>137</v>
      </c>
      <c r="F317" s="144">
        <v>43553</v>
      </c>
      <c r="G317" s="144">
        <v>43567</v>
      </c>
      <c r="H317" s="143" t="s">
        <v>330</v>
      </c>
      <c r="I317" s="143" t="s">
        <v>241</v>
      </c>
      <c r="J317" s="142" t="s">
        <v>56</v>
      </c>
      <c r="K317" s="105">
        <v>800</v>
      </c>
      <c r="L317" s="105">
        <v>6932</v>
      </c>
      <c r="M317" s="105">
        <v>6932</v>
      </c>
      <c r="N317" s="105">
        <v>70.900000000000006</v>
      </c>
      <c r="O317" s="105">
        <f t="shared" si="82"/>
        <v>56720.000000000007</v>
      </c>
      <c r="P317" s="101" t="s">
        <v>398</v>
      </c>
      <c r="Q317" s="101" t="s">
        <v>861</v>
      </c>
      <c r="R317" s="105">
        <v>119.84</v>
      </c>
      <c r="S317" s="105">
        <f>R317*K317</f>
        <v>95872</v>
      </c>
      <c r="T317" s="144">
        <v>43565</v>
      </c>
      <c r="U317" s="105"/>
      <c r="V317" s="105"/>
      <c r="W317" s="144"/>
      <c r="X317" s="104">
        <f t="shared" si="87"/>
        <v>39151.999999999993</v>
      </c>
      <c r="Y317" s="197">
        <f t="shared" si="81"/>
        <v>5545600</v>
      </c>
      <c r="Z317" s="143" t="str">
        <f t="shared" si="85"/>
        <v/>
      </c>
      <c r="AA317" s="143" t="str">
        <f t="shared" si="83"/>
        <v>卖出</v>
      </c>
      <c r="AB317" s="203"/>
      <c r="AC317" s="321">
        <v>0.13400000000000001</v>
      </c>
      <c r="AD317" s="319"/>
      <c r="AE317" s="314"/>
      <c r="AF317" s="105"/>
    </row>
    <row r="318" spans="1:32" ht="24" customHeight="1" x14ac:dyDescent="0.15">
      <c r="A318" s="142" t="s">
        <v>247</v>
      </c>
      <c r="B318" s="142" t="s">
        <v>295</v>
      </c>
      <c r="C318" s="142" t="str">
        <f t="shared" si="77"/>
        <v>到期</v>
      </c>
      <c r="D318" s="127" t="s">
        <v>1840</v>
      </c>
      <c r="E318" s="142" t="s">
        <v>255</v>
      </c>
      <c r="F318" s="48">
        <v>43553</v>
      </c>
      <c r="G318" s="48">
        <v>43584</v>
      </c>
      <c r="H318" s="143" t="s">
        <v>748</v>
      </c>
      <c r="I318" s="143" t="s">
        <v>275</v>
      </c>
      <c r="J318" s="612" t="s">
        <v>22</v>
      </c>
      <c r="K318" s="105">
        <v>800</v>
      </c>
      <c r="L318" s="105">
        <v>2488</v>
      </c>
      <c r="M318" s="105">
        <v>2488</v>
      </c>
      <c r="N318" s="105">
        <v>66.430000000000007</v>
      </c>
      <c r="O318" s="105">
        <f t="shared" si="82"/>
        <v>53144.000000000007</v>
      </c>
      <c r="P318" s="101" t="s">
        <v>399</v>
      </c>
      <c r="Q318" s="101" t="s">
        <v>862</v>
      </c>
      <c r="R318" s="105"/>
      <c r="S318" s="105"/>
      <c r="T318" s="144"/>
      <c r="U318" s="105">
        <v>2408</v>
      </c>
      <c r="V318" s="105">
        <v>0</v>
      </c>
      <c r="W318" s="144">
        <v>43584</v>
      </c>
      <c r="X318" s="104">
        <f t="shared" ref="X318:X326" si="88">IF(I318="买入",V318-O318,V318+O318)</f>
        <v>53144.000000000007</v>
      </c>
      <c r="Y318" s="197">
        <f t="shared" si="81"/>
        <v>1990400</v>
      </c>
      <c r="Z318" s="143" t="str">
        <f t="shared" si="85"/>
        <v/>
      </c>
      <c r="AA318" s="143" t="str">
        <f t="shared" si="83"/>
        <v>买入</v>
      </c>
      <c r="AB318" s="203"/>
      <c r="AC318" s="321">
        <v>0.24099999999999999</v>
      </c>
      <c r="AD318" s="319"/>
      <c r="AE318" s="314"/>
      <c r="AF318" s="105"/>
    </row>
    <row r="319" spans="1:32" ht="24" customHeight="1" x14ac:dyDescent="0.15">
      <c r="A319" s="142" t="s">
        <v>247</v>
      </c>
      <c r="B319" s="142" t="s">
        <v>295</v>
      </c>
      <c r="C319" s="142" t="str">
        <f t="shared" si="77"/>
        <v>到期</v>
      </c>
      <c r="D319" s="127" t="s">
        <v>1840</v>
      </c>
      <c r="E319" s="142" t="s">
        <v>255</v>
      </c>
      <c r="F319" s="48">
        <v>43553</v>
      </c>
      <c r="G319" s="48">
        <v>43584</v>
      </c>
      <c r="H319" s="143" t="s">
        <v>748</v>
      </c>
      <c r="I319" s="143" t="s">
        <v>275</v>
      </c>
      <c r="J319" s="142" t="s">
        <v>25</v>
      </c>
      <c r="K319" s="105">
        <v>800</v>
      </c>
      <c r="L319" s="105">
        <v>2488</v>
      </c>
      <c r="M319" s="105">
        <v>2488</v>
      </c>
      <c r="N319" s="105">
        <v>66.430000000000007</v>
      </c>
      <c r="O319" s="105">
        <f t="shared" si="82"/>
        <v>53144.000000000007</v>
      </c>
      <c r="P319" s="101" t="s">
        <v>399</v>
      </c>
      <c r="Q319" s="101" t="s">
        <v>862</v>
      </c>
      <c r="R319" s="105"/>
      <c r="S319" s="105"/>
      <c r="T319" s="144"/>
      <c r="U319" s="105">
        <v>2408</v>
      </c>
      <c r="V319" s="109">
        <f>(U319-L319)*K319</f>
        <v>-64000</v>
      </c>
      <c r="W319" s="144">
        <v>43584</v>
      </c>
      <c r="X319" s="104">
        <f t="shared" si="88"/>
        <v>-10855.999999999993</v>
      </c>
      <c r="Y319" s="197">
        <f t="shared" si="81"/>
        <v>1990400</v>
      </c>
      <c r="Z319" s="143" t="str">
        <f t="shared" si="85"/>
        <v/>
      </c>
      <c r="AA319" s="143" t="str">
        <f t="shared" si="83"/>
        <v>买入</v>
      </c>
      <c r="AB319" s="203"/>
      <c r="AC319" s="321">
        <v>0.24099999999999999</v>
      </c>
      <c r="AD319" s="319"/>
      <c r="AE319" s="314"/>
      <c r="AF319" s="105"/>
    </row>
    <row r="320" spans="1:32" ht="24" customHeight="1" x14ac:dyDescent="0.15">
      <c r="A320" s="142" t="s">
        <v>247</v>
      </c>
      <c r="B320" s="142" t="s">
        <v>295</v>
      </c>
      <c r="C320" s="142" t="str">
        <f t="shared" si="77"/>
        <v>到期</v>
      </c>
      <c r="D320" s="127" t="s">
        <v>1840</v>
      </c>
      <c r="E320" s="142" t="s">
        <v>255</v>
      </c>
      <c r="F320" s="144">
        <v>43553</v>
      </c>
      <c r="G320" s="48">
        <v>43584</v>
      </c>
      <c r="H320" s="143" t="s">
        <v>393</v>
      </c>
      <c r="I320" s="143" t="s">
        <v>241</v>
      </c>
      <c r="J320" s="142" t="s">
        <v>22</v>
      </c>
      <c r="K320" s="105">
        <v>3000</v>
      </c>
      <c r="L320" s="105">
        <v>1865</v>
      </c>
      <c r="M320" s="105">
        <v>1842.5</v>
      </c>
      <c r="N320" s="105">
        <v>10.99</v>
      </c>
      <c r="O320" s="105">
        <f t="shared" si="82"/>
        <v>32970</v>
      </c>
      <c r="P320" s="101" t="s">
        <v>1030</v>
      </c>
      <c r="Q320" s="101" t="s">
        <v>1031</v>
      </c>
      <c r="R320" s="105"/>
      <c r="S320" s="105"/>
      <c r="T320" s="144"/>
      <c r="U320" s="105">
        <v>1917</v>
      </c>
      <c r="V320" s="109">
        <f>(U320-L320)*K320</f>
        <v>156000</v>
      </c>
      <c r="W320" s="144">
        <v>43584</v>
      </c>
      <c r="X320" s="104">
        <f t="shared" si="88"/>
        <v>123030</v>
      </c>
      <c r="Y320" s="197">
        <f t="shared" si="81"/>
        <v>5527500</v>
      </c>
      <c r="Z320" s="143" t="str">
        <f t="shared" si="85"/>
        <v/>
      </c>
      <c r="AA320" s="143" t="str">
        <f t="shared" si="83"/>
        <v>卖出</v>
      </c>
      <c r="AB320" s="203"/>
      <c r="AC320" s="321">
        <v>9.7000000000000003E-2</v>
      </c>
      <c r="AD320" s="319"/>
      <c r="AE320" s="314"/>
      <c r="AF320" s="105"/>
    </row>
    <row r="321" spans="1:32" ht="24" customHeight="1" x14ac:dyDescent="0.15">
      <c r="A321" s="142" t="s">
        <v>244</v>
      </c>
      <c r="B321" s="142" t="s">
        <v>295</v>
      </c>
      <c r="C321" s="142" t="str">
        <f t="shared" si="77"/>
        <v>到期</v>
      </c>
      <c r="D321" s="123" t="s">
        <v>1840</v>
      </c>
      <c r="E321" s="142" t="s">
        <v>255</v>
      </c>
      <c r="F321" s="48">
        <v>43556</v>
      </c>
      <c r="G321" s="48">
        <v>43584</v>
      </c>
      <c r="H321" s="143" t="s">
        <v>401</v>
      </c>
      <c r="I321" s="143" t="s">
        <v>241</v>
      </c>
      <c r="J321" s="142" t="s">
        <v>22</v>
      </c>
      <c r="K321" s="105">
        <v>1500</v>
      </c>
      <c r="L321" s="105">
        <v>5718</v>
      </c>
      <c r="M321" s="105">
        <v>5552</v>
      </c>
      <c r="N321" s="105">
        <v>18.11</v>
      </c>
      <c r="O321" s="105">
        <f t="shared" si="82"/>
        <v>27165</v>
      </c>
      <c r="P321" s="101" t="s">
        <v>1028</v>
      </c>
      <c r="Q321" s="101" t="s">
        <v>1029</v>
      </c>
      <c r="R321" s="105"/>
      <c r="S321" s="105"/>
      <c r="T321" s="144"/>
      <c r="U321" s="105">
        <v>5358</v>
      </c>
      <c r="V321" s="109">
        <v>0</v>
      </c>
      <c r="W321" s="144">
        <f>G321</f>
        <v>43584</v>
      </c>
      <c r="X321" s="104">
        <f t="shared" si="88"/>
        <v>-27165</v>
      </c>
      <c r="Y321" s="197">
        <f t="shared" si="81"/>
        <v>8328000</v>
      </c>
      <c r="Z321" s="143" t="str">
        <f t="shared" si="85"/>
        <v/>
      </c>
      <c r="AA321" s="143" t="str">
        <f t="shared" si="83"/>
        <v>卖出</v>
      </c>
      <c r="AB321" s="203"/>
      <c r="AC321" s="321">
        <v>0.11899999999999999</v>
      </c>
      <c r="AD321" s="319"/>
      <c r="AE321" s="314"/>
      <c r="AF321" s="105"/>
    </row>
    <row r="322" spans="1:32" ht="24" customHeight="1" x14ac:dyDescent="0.15">
      <c r="A322" s="142" t="s">
        <v>244</v>
      </c>
      <c r="B322" s="142" t="s">
        <v>295</v>
      </c>
      <c r="C322" s="142" t="str">
        <f t="shared" si="77"/>
        <v>到期</v>
      </c>
      <c r="D322" s="123" t="s">
        <v>1840</v>
      </c>
      <c r="E322" s="142" t="s">
        <v>255</v>
      </c>
      <c r="F322" s="48">
        <v>43556</v>
      </c>
      <c r="G322" s="48">
        <v>43584</v>
      </c>
      <c r="H322" s="143" t="s">
        <v>401</v>
      </c>
      <c r="I322" s="143" t="s">
        <v>241</v>
      </c>
      <c r="J322" s="142" t="s">
        <v>25</v>
      </c>
      <c r="K322" s="105">
        <v>1500</v>
      </c>
      <c r="L322" s="105">
        <v>5385</v>
      </c>
      <c r="M322" s="105">
        <v>5552</v>
      </c>
      <c r="N322" s="105">
        <v>16.52</v>
      </c>
      <c r="O322" s="105">
        <f t="shared" si="82"/>
        <v>24780</v>
      </c>
      <c r="P322" s="101" t="s">
        <v>1028</v>
      </c>
      <c r="Q322" s="101" t="s">
        <v>1029</v>
      </c>
      <c r="R322" s="105"/>
      <c r="S322" s="105"/>
      <c r="T322" s="144"/>
      <c r="U322" s="105">
        <v>5358</v>
      </c>
      <c r="V322" s="105">
        <f>(5385-5358)*1500</f>
        <v>40500</v>
      </c>
      <c r="W322" s="144">
        <f>G322</f>
        <v>43584</v>
      </c>
      <c r="X322" s="104">
        <f t="shared" si="88"/>
        <v>15720</v>
      </c>
      <c r="Y322" s="197">
        <f t="shared" si="81"/>
        <v>8328000</v>
      </c>
      <c r="Z322" s="143" t="str">
        <f t="shared" si="85"/>
        <v/>
      </c>
      <c r="AA322" s="143" t="str">
        <f t="shared" si="83"/>
        <v>卖出</v>
      </c>
      <c r="AB322" s="203"/>
      <c r="AC322" s="321">
        <v>0.11899999999999999</v>
      </c>
      <c r="AD322" s="319"/>
      <c r="AE322" s="314"/>
      <c r="AF322" s="105"/>
    </row>
    <row r="323" spans="1:32" s="110" customFormat="1" ht="24" customHeight="1" x14ac:dyDescent="0.15">
      <c r="A323" s="142" t="s">
        <v>244</v>
      </c>
      <c r="B323" s="142" t="s">
        <v>295</v>
      </c>
      <c r="C323" s="142" t="str">
        <f t="shared" si="77"/>
        <v>到期</v>
      </c>
      <c r="D323" s="123" t="s">
        <v>1846</v>
      </c>
      <c r="E323" s="142" t="s">
        <v>137</v>
      </c>
      <c r="F323" s="144">
        <v>43556</v>
      </c>
      <c r="G323" s="144">
        <v>43572</v>
      </c>
      <c r="H323" s="143" t="s">
        <v>359</v>
      </c>
      <c r="I323" s="143" t="s">
        <v>241</v>
      </c>
      <c r="J323" s="142" t="s">
        <v>25</v>
      </c>
      <c r="K323" s="105">
        <v>5000</v>
      </c>
      <c r="L323" s="105">
        <v>612.96</v>
      </c>
      <c r="M323" s="105">
        <v>638.5</v>
      </c>
      <c r="N323" s="105">
        <v>5.91</v>
      </c>
      <c r="O323" s="105">
        <f t="shared" si="82"/>
        <v>29550</v>
      </c>
      <c r="P323" s="101" t="s">
        <v>402</v>
      </c>
      <c r="Q323" s="101" t="s">
        <v>582</v>
      </c>
      <c r="R323" s="105"/>
      <c r="S323" s="105"/>
      <c r="T323" s="144"/>
      <c r="U323" s="105">
        <v>691</v>
      </c>
      <c r="V323" s="105">
        <v>0</v>
      </c>
      <c r="W323" s="144">
        <f>G323</f>
        <v>43572</v>
      </c>
      <c r="X323" s="104">
        <f t="shared" si="88"/>
        <v>-29550</v>
      </c>
      <c r="Y323" s="197">
        <f t="shared" si="81"/>
        <v>3192500</v>
      </c>
      <c r="Z323" s="143" t="str">
        <f t="shared" si="85"/>
        <v/>
      </c>
      <c r="AA323" s="143" t="str">
        <f t="shared" si="83"/>
        <v>卖出</v>
      </c>
      <c r="AB323" s="203"/>
      <c r="AC323" s="321">
        <v>0.28000000000000003</v>
      </c>
      <c r="AD323" s="319"/>
      <c r="AE323" s="314"/>
      <c r="AF323" s="105"/>
    </row>
    <row r="324" spans="1:32" s="110" customFormat="1" ht="24" customHeight="1" x14ac:dyDescent="0.15">
      <c r="A324" s="142" t="s">
        <v>244</v>
      </c>
      <c r="B324" s="142" t="s">
        <v>295</v>
      </c>
      <c r="C324" s="142" t="str">
        <f t="shared" si="77"/>
        <v>到期</v>
      </c>
      <c r="D324" s="123" t="s">
        <v>266</v>
      </c>
      <c r="E324" s="142" t="s">
        <v>137</v>
      </c>
      <c r="F324" s="144">
        <v>43556</v>
      </c>
      <c r="G324" s="144">
        <v>43570</v>
      </c>
      <c r="H324" s="143" t="s">
        <v>755</v>
      </c>
      <c r="I324" s="143" t="s">
        <v>241</v>
      </c>
      <c r="J324" s="142" t="s">
        <v>59</v>
      </c>
      <c r="K324" s="105">
        <v>500</v>
      </c>
      <c r="L324" s="105">
        <v>8445</v>
      </c>
      <c r="M324" s="105">
        <v>8445</v>
      </c>
      <c r="N324" s="105">
        <v>69.069999999999993</v>
      </c>
      <c r="O324" s="105">
        <f t="shared" si="82"/>
        <v>34535</v>
      </c>
      <c r="P324" s="101" t="s">
        <v>854</v>
      </c>
      <c r="Q324" s="101" t="s">
        <v>573</v>
      </c>
      <c r="R324" s="105"/>
      <c r="S324" s="105"/>
      <c r="T324" s="144"/>
      <c r="U324" s="105">
        <v>8570</v>
      </c>
      <c r="V324" s="105">
        <v>0</v>
      </c>
      <c r="W324" s="144">
        <f>G324</f>
        <v>43570</v>
      </c>
      <c r="X324" s="104">
        <f t="shared" si="88"/>
        <v>-34535</v>
      </c>
      <c r="Y324" s="197">
        <f t="shared" si="81"/>
        <v>4222500</v>
      </c>
      <c r="Z324" s="143" t="str">
        <f t="shared" si="85"/>
        <v/>
      </c>
      <c r="AA324" s="143" t="str">
        <f t="shared" si="83"/>
        <v>卖出</v>
      </c>
      <c r="AB324" s="203"/>
      <c r="AC324" s="321">
        <v>0.107</v>
      </c>
      <c r="AD324" s="319"/>
      <c r="AE324" s="314"/>
      <c r="AF324" s="105"/>
    </row>
    <row r="325" spans="1:32" ht="24" customHeight="1" x14ac:dyDescent="0.15">
      <c r="A325" s="142" t="s">
        <v>394</v>
      </c>
      <c r="B325" s="142" t="s">
        <v>295</v>
      </c>
      <c r="C325" s="142" t="str">
        <f t="shared" si="77"/>
        <v>到期</v>
      </c>
      <c r="D325" s="128" t="s">
        <v>1901</v>
      </c>
      <c r="E325" s="142" t="s">
        <v>137</v>
      </c>
      <c r="F325" s="144">
        <v>43556</v>
      </c>
      <c r="G325" s="144">
        <v>43585</v>
      </c>
      <c r="H325" s="143" t="s">
        <v>336</v>
      </c>
      <c r="I325" s="143" t="s">
        <v>241</v>
      </c>
      <c r="J325" s="142" t="s">
        <v>59</v>
      </c>
      <c r="K325" s="105">
        <v>17500</v>
      </c>
      <c r="L325" s="105">
        <v>282.2</v>
      </c>
      <c r="M325" s="105">
        <v>282.2</v>
      </c>
      <c r="N325" s="105">
        <v>2.6749999999999998</v>
      </c>
      <c r="O325" s="105">
        <f t="shared" si="82"/>
        <v>46812.5</v>
      </c>
      <c r="P325" s="101" t="s">
        <v>422</v>
      </c>
      <c r="Q325" s="101" t="s">
        <v>781</v>
      </c>
      <c r="R325" s="105"/>
      <c r="S325" s="105"/>
      <c r="T325" s="144"/>
      <c r="U325" s="105">
        <v>281.55</v>
      </c>
      <c r="V325" s="105">
        <f>MAX(-U325+L325,0)*K325</f>
        <v>11374.999999999602</v>
      </c>
      <c r="W325" s="144">
        <v>43585</v>
      </c>
      <c r="X325" s="104">
        <f t="shared" si="88"/>
        <v>-35437.5000000004</v>
      </c>
      <c r="Y325" s="197">
        <f t="shared" si="81"/>
        <v>4938500</v>
      </c>
      <c r="Z325" s="143" t="str">
        <f t="shared" si="85"/>
        <v/>
      </c>
      <c r="AA325" s="143" t="str">
        <f t="shared" si="83"/>
        <v>卖出</v>
      </c>
      <c r="AB325" s="203"/>
      <c r="AC325" s="321">
        <v>9.5299999999999996E-2</v>
      </c>
      <c r="AD325" s="319"/>
      <c r="AE325" s="314"/>
      <c r="AF325" s="105"/>
    </row>
    <row r="326" spans="1:32" ht="24" customHeight="1" x14ac:dyDescent="0.15">
      <c r="A326" s="142" t="s">
        <v>394</v>
      </c>
      <c r="B326" s="120" t="s">
        <v>295</v>
      </c>
      <c r="C326" s="142" t="str">
        <f t="shared" si="77"/>
        <v>到期</v>
      </c>
      <c r="D326" s="128" t="s">
        <v>1853</v>
      </c>
      <c r="E326" s="142" t="s">
        <v>137</v>
      </c>
      <c r="F326" s="144">
        <v>43556</v>
      </c>
      <c r="G326" s="144">
        <v>43585</v>
      </c>
      <c r="H326" s="143" t="s">
        <v>336</v>
      </c>
      <c r="I326" s="143" t="s">
        <v>241</v>
      </c>
      <c r="J326" s="142" t="s">
        <v>56</v>
      </c>
      <c r="K326" s="105">
        <v>17500</v>
      </c>
      <c r="L326" s="105">
        <v>282.2</v>
      </c>
      <c r="M326" s="105">
        <v>282.2</v>
      </c>
      <c r="N326" s="105">
        <v>2.6749999999999998</v>
      </c>
      <c r="O326" s="105">
        <f t="shared" si="82"/>
        <v>46812.5</v>
      </c>
      <c r="P326" s="101" t="s">
        <v>422</v>
      </c>
      <c r="Q326" s="101" t="s">
        <v>781</v>
      </c>
      <c r="R326" s="105"/>
      <c r="S326" s="105"/>
      <c r="T326" s="144"/>
      <c r="U326" s="105">
        <v>281.55</v>
      </c>
      <c r="V326" s="105">
        <f>MAX(U326-L326,0)*K326</f>
        <v>0</v>
      </c>
      <c r="W326" s="144">
        <v>43585</v>
      </c>
      <c r="X326" s="104">
        <f t="shared" si="88"/>
        <v>-46812.5</v>
      </c>
      <c r="Y326" s="197">
        <f t="shared" si="81"/>
        <v>4938500</v>
      </c>
      <c r="Z326" s="143" t="str">
        <f t="shared" si="85"/>
        <v/>
      </c>
      <c r="AA326" s="143" t="str">
        <f t="shared" si="83"/>
        <v>卖出</v>
      </c>
      <c r="AB326" s="203"/>
      <c r="AC326" s="321">
        <v>9.5299999999999996E-2</v>
      </c>
      <c r="AD326" s="319"/>
      <c r="AE326" s="314"/>
      <c r="AF326" s="105"/>
    </row>
    <row r="327" spans="1:32" s="110" customFormat="1" ht="24" customHeight="1" x14ac:dyDescent="0.15">
      <c r="A327" s="142" t="s">
        <v>244</v>
      </c>
      <c r="B327" s="120" t="s">
        <v>295</v>
      </c>
      <c r="C327" s="142" t="str">
        <f t="shared" si="77"/>
        <v>到期</v>
      </c>
      <c r="D327" s="123" t="s">
        <v>1846</v>
      </c>
      <c r="E327" s="142" t="s">
        <v>137</v>
      </c>
      <c r="F327" s="144">
        <v>43556</v>
      </c>
      <c r="G327" s="144">
        <v>43581</v>
      </c>
      <c r="H327" s="143" t="s">
        <v>383</v>
      </c>
      <c r="I327" s="143" t="s">
        <v>241</v>
      </c>
      <c r="J327" s="142" t="s">
        <v>25</v>
      </c>
      <c r="K327" s="105">
        <v>700</v>
      </c>
      <c r="L327" s="105">
        <v>3278.72</v>
      </c>
      <c r="M327" s="105">
        <v>3488</v>
      </c>
      <c r="N327" s="105">
        <v>10.66</v>
      </c>
      <c r="O327" s="105">
        <f t="shared" si="82"/>
        <v>7462</v>
      </c>
      <c r="P327" s="101" t="s">
        <v>403</v>
      </c>
      <c r="Q327" s="101" t="s">
        <v>630</v>
      </c>
      <c r="R327" s="105">
        <v>0.19</v>
      </c>
      <c r="S327" s="105">
        <f>R327*K327</f>
        <v>133</v>
      </c>
      <c r="T327" s="144">
        <v>43566</v>
      </c>
      <c r="U327" s="105"/>
      <c r="V327" s="105"/>
      <c r="W327" s="144"/>
      <c r="X327" s="104">
        <f>IF(I327="买入",S327-O327,O327+S327)</f>
        <v>-7329</v>
      </c>
      <c r="Y327" s="197">
        <f t="shared" si="81"/>
        <v>2441600</v>
      </c>
      <c r="Z327" s="143" t="str">
        <f t="shared" si="85"/>
        <v/>
      </c>
      <c r="AA327" s="143" t="str">
        <f t="shared" si="83"/>
        <v>卖出</v>
      </c>
      <c r="AB327" s="203"/>
      <c r="AC327" s="321">
        <v>0.2</v>
      </c>
      <c r="AD327" s="319"/>
      <c r="AE327" s="314"/>
      <c r="AF327" s="105"/>
    </row>
    <row r="328" spans="1:32" ht="24" customHeight="1" x14ac:dyDescent="0.15">
      <c r="A328" s="142" t="s">
        <v>247</v>
      </c>
      <c r="B328" s="142" t="s">
        <v>295</v>
      </c>
      <c r="C328" s="142" t="str">
        <f t="shared" si="77"/>
        <v>到期</v>
      </c>
      <c r="D328" s="127" t="s">
        <v>1840</v>
      </c>
      <c r="E328" s="142" t="s">
        <v>255</v>
      </c>
      <c r="F328" s="144">
        <v>43556</v>
      </c>
      <c r="G328" s="48">
        <v>43585</v>
      </c>
      <c r="H328" s="143" t="s">
        <v>404</v>
      </c>
      <c r="I328" s="143" t="s">
        <v>241</v>
      </c>
      <c r="J328" s="142" t="s">
        <v>22</v>
      </c>
      <c r="K328" s="105">
        <v>4980</v>
      </c>
      <c r="L328" s="105">
        <v>1390</v>
      </c>
      <c r="M328" s="105">
        <v>1336</v>
      </c>
      <c r="N328" s="105">
        <v>12.15</v>
      </c>
      <c r="O328" s="105">
        <f t="shared" si="82"/>
        <v>60507</v>
      </c>
      <c r="P328" s="101" t="s">
        <v>1032</v>
      </c>
      <c r="Q328" s="101" t="s">
        <v>1033</v>
      </c>
      <c r="R328" s="105"/>
      <c r="S328" s="105"/>
      <c r="T328" s="144"/>
      <c r="U328" s="105">
        <v>1352</v>
      </c>
      <c r="V328" s="105">
        <v>0</v>
      </c>
      <c r="W328" s="144">
        <v>43585</v>
      </c>
      <c r="X328" s="104">
        <f>IF(I328="买入",V328-O328,V328+O328)</f>
        <v>-60507</v>
      </c>
      <c r="Y328" s="197">
        <f t="shared" si="81"/>
        <v>6653280</v>
      </c>
      <c r="Z328" s="143" t="str">
        <f t="shared" si="85"/>
        <v/>
      </c>
      <c r="AA328" s="143" t="str">
        <f t="shared" si="83"/>
        <v>卖出</v>
      </c>
      <c r="AB328" s="203"/>
      <c r="AC328" s="321">
        <v>0.219</v>
      </c>
      <c r="AD328" s="319"/>
      <c r="AE328" s="314"/>
      <c r="AF328" s="105"/>
    </row>
    <row r="329" spans="1:32" ht="24" customHeight="1" x14ac:dyDescent="0.15">
      <c r="A329" s="142" t="s">
        <v>244</v>
      </c>
      <c r="B329" s="142" t="s">
        <v>295</v>
      </c>
      <c r="C329" s="142" t="str">
        <f t="shared" si="77"/>
        <v>到期</v>
      </c>
      <c r="D329" s="123" t="s">
        <v>1840</v>
      </c>
      <c r="E329" s="142" t="s">
        <v>255</v>
      </c>
      <c r="F329" s="144">
        <v>43557</v>
      </c>
      <c r="G329" s="48">
        <v>43581</v>
      </c>
      <c r="H329" s="143" t="s">
        <v>383</v>
      </c>
      <c r="I329" s="143" t="s">
        <v>241</v>
      </c>
      <c r="J329" s="142" t="s">
        <v>25</v>
      </c>
      <c r="K329" s="105">
        <v>600</v>
      </c>
      <c r="L329" s="105">
        <v>3435</v>
      </c>
      <c r="M329" s="105">
        <v>3541</v>
      </c>
      <c r="N329" s="105">
        <v>21.95</v>
      </c>
      <c r="O329" s="105">
        <f t="shared" si="82"/>
        <v>13170</v>
      </c>
      <c r="P329" s="101" t="s">
        <v>1034</v>
      </c>
      <c r="Q329" s="101" t="s">
        <v>466</v>
      </c>
      <c r="R329" s="105">
        <v>0.36</v>
      </c>
      <c r="S329" s="105">
        <f>R329*K329</f>
        <v>216</v>
      </c>
      <c r="T329" s="144">
        <v>43566</v>
      </c>
      <c r="U329" s="105"/>
      <c r="V329" s="105"/>
      <c r="W329" s="144"/>
      <c r="X329" s="104">
        <f t="shared" ref="X329" si="89">IF(I329="买入",S329-O329,O329+S329)</f>
        <v>-12954</v>
      </c>
      <c r="Y329" s="197">
        <f t="shared" si="81"/>
        <v>2124600</v>
      </c>
      <c r="Z329" s="143" t="str">
        <f t="shared" si="85"/>
        <v/>
      </c>
      <c r="AA329" s="143" t="str">
        <f t="shared" si="83"/>
        <v>卖出</v>
      </c>
      <c r="AB329" s="203"/>
      <c r="AC329" s="321">
        <v>0.16900000000000001</v>
      </c>
      <c r="AD329" s="319"/>
      <c r="AE329" s="314"/>
      <c r="AF329" s="105"/>
    </row>
    <row r="330" spans="1:32" s="110" customFormat="1" ht="24" customHeight="1" x14ac:dyDescent="0.15">
      <c r="A330" s="142" t="s">
        <v>244</v>
      </c>
      <c r="B330" s="142" t="s">
        <v>295</v>
      </c>
      <c r="C330" s="142" t="str">
        <f t="shared" si="77"/>
        <v>到期</v>
      </c>
      <c r="D330" s="124" t="s">
        <v>266</v>
      </c>
      <c r="E330" s="142" t="s">
        <v>137</v>
      </c>
      <c r="F330" s="144">
        <v>43557</v>
      </c>
      <c r="G330" s="144">
        <v>43572</v>
      </c>
      <c r="H330" s="143" t="s">
        <v>359</v>
      </c>
      <c r="I330" s="143" t="s">
        <v>241</v>
      </c>
      <c r="J330" s="142" t="s">
        <v>59</v>
      </c>
      <c r="K330" s="105">
        <v>4000</v>
      </c>
      <c r="L330" s="105">
        <v>660</v>
      </c>
      <c r="M330" s="105">
        <v>660</v>
      </c>
      <c r="N330" s="105">
        <v>14.06</v>
      </c>
      <c r="O330" s="105">
        <f t="shared" si="82"/>
        <v>56240</v>
      </c>
      <c r="P330" s="101" t="s">
        <v>405</v>
      </c>
      <c r="Q330" s="101" t="s">
        <v>877</v>
      </c>
      <c r="R330" s="105"/>
      <c r="S330" s="105"/>
      <c r="T330" s="144"/>
      <c r="U330" s="105">
        <v>691</v>
      </c>
      <c r="V330" s="105">
        <v>0</v>
      </c>
      <c r="W330" s="144">
        <f>G330</f>
        <v>43572</v>
      </c>
      <c r="X330" s="104">
        <f t="shared" ref="X330:X345" si="90">IF(I330="买入",V330-O330,V330+O330)</f>
        <v>-56240</v>
      </c>
      <c r="Y330" s="197">
        <f t="shared" si="81"/>
        <v>2640000</v>
      </c>
      <c r="Z330" s="143" t="str">
        <f t="shared" si="85"/>
        <v/>
      </c>
      <c r="AA330" s="143" t="str">
        <f t="shared" si="83"/>
        <v>卖出</v>
      </c>
      <c r="AB330" s="203"/>
      <c r="AC330" s="321">
        <v>0.26500000000000001</v>
      </c>
      <c r="AD330" s="319"/>
      <c r="AE330" s="314"/>
      <c r="AF330" s="105"/>
    </row>
    <row r="331" spans="1:32" ht="24" customHeight="1" x14ac:dyDescent="0.15">
      <c r="A331" s="142" t="s">
        <v>247</v>
      </c>
      <c r="B331" s="142" t="s">
        <v>295</v>
      </c>
      <c r="C331" s="142" t="str">
        <f t="shared" si="77"/>
        <v>到期</v>
      </c>
      <c r="D331" s="127" t="s">
        <v>1848</v>
      </c>
      <c r="E331" s="143" t="s">
        <v>340</v>
      </c>
      <c r="F331" s="48">
        <v>43557</v>
      </c>
      <c r="G331" s="48">
        <v>43585</v>
      </c>
      <c r="H331" s="143" t="s">
        <v>397</v>
      </c>
      <c r="I331" s="143" t="s">
        <v>241</v>
      </c>
      <c r="J331" s="142" t="s">
        <v>56</v>
      </c>
      <c r="K331" s="105">
        <v>2000</v>
      </c>
      <c r="L331" s="105">
        <v>3490</v>
      </c>
      <c r="M331" s="105">
        <v>3428</v>
      </c>
      <c r="N331" s="105">
        <v>18.8</v>
      </c>
      <c r="O331" s="105">
        <f t="shared" si="82"/>
        <v>37600</v>
      </c>
      <c r="P331" s="101" t="s">
        <v>602</v>
      </c>
      <c r="Q331" s="101" t="s">
        <v>626</v>
      </c>
      <c r="R331" s="105"/>
      <c r="S331" s="105"/>
      <c r="T331" s="144"/>
      <c r="U331" s="105">
        <v>3378</v>
      </c>
      <c r="V331" s="105">
        <v>0</v>
      </c>
      <c r="W331" s="144">
        <v>43585</v>
      </c>
      <c r="X331" s="104">
        <f t="shared" si="90"/>
        <v>-37600</v>
      </c>
      <c r="Y331" s="197">
        <f t="shared" si="81"/>
        <v>6856000</v>
      </c>
      <c r="Z331" s="143" t="str">
        <f t="shared" si="85"/>
        <v/>
      </c>
      <c r="AA331" s="143" t="str">
        <f t="shared" si="83"/>
        <v>卖出</v>
      </c>
      <c r="AB331" s="203"/>
      <c r="AC331" s="321">
        <v>0.11899999999999999</v>
      </c>
      <c r="AD331" s="319"/>
      <c r="AE331" s="314"/>
      <c r="AF331" s="105"/>
    </row>
    <row r="332" spans="1:32" ht="24" customHeight="1" x14ac:dyDescent="0.15">
      <c r="A332" s="142" t="s">
        <v>248</v>
      </c>
      <c r="B332" s="142" t="s">
        <v>297</v>
      </c>
      <c r="C332" s="142" t="str">
        <f t="shared" si="77"/>
        <v>到期</v>
      </c>
      <c r="D332" s="103" t="s">
        <v>1841</v>
      </c>
      <c r="E332" s="142" t="s">
        <v>298</v>
      </c>
      <c r="F332" s="144">
        <v>43557</v>
      </c>
      <c r="G332" s="144">
        <v>43585</v>
      </c>
      <c r="H332" s="143" t="s">
        <v>1016</v>
      </c>
      <c r="I332" s="143" t="s">
        <v>222</v>
      </c>
      <c r="J332" s="142" t="s">
        <v>56</v>
      </c>
      <c r="K332" s="105">
        <v>200</v>
      </c>
      <c r="L332" s="105">
        <v>51440</v>
      </c>
      <c r="M332" s="105">
        <v>49290</v>
      </c>
      <c r="N332" s="105">
        <f t="shared" ref="N332:N341" si="91">409.15/2</f>
        <v>204.57499999999999</v>
      </c>
      <c r="O332" s="105">
        <f t="shared" si="82"/>
        <v>40915</v>
      </c>
      <c r="P332" s="101" t="s">
        <v>827</v>
      </c>
      <c r="Q332" s="101" t="s">
        <v>828</v>
      </c>
      <c r="R332" s="105"/>
      <c r="S332" s="105"/>
      <c r="T332" s="144"/>
      <c r="U332" s="104">
        <v>48930</v>
      </c>
      <c r="V332" s="104">
        <v>0</v>
      </c>
      <c r="W332" s="48">
        <v>43585</v>
      </c>
      <c r="X332" s="104">
        <f t="shared" si="90"/>
        <v>40915</v>
      </c>
      <c r="Y332" s="197">
        <f t="shared" si="81"/>
        <v>9858000</v>
      </c>
      <c r="Z332" s="143" t="str">
        <f t="shared" si="85"/>
        <v/>
      </c>
      <c r="AA332" s="143" t="str">
        <f t="shared" ref="AA332:AA341" si="92">IF(I332="买入","卖出","买入第14期")</f>
        <v>买入第14期</v>
      </c>
      <c r="AB332" s="203"/>
      <c r="AC332" s="321">
        <v>0.152</v>
      </c>
      <c r="AD332" s="205">
        <v>0.152</v>
      </c>
      <c r="AE332" s="314"/>
      <c r="AF332" s="105"/>
    </row>
    <row r="333" spans="1:32" ht="24" customHeight="1" x14ac:dyDescent="0.15">
      <c r="A333" s="142" t="s">
        <v>248</v>
      </c>
      <c r="B333" s="142" t="s">
        <v>764</v>
      </c>
      <c r="C333" s="142" t="str">
        <f t="shared" si="77"/>
        <v>到期</v>
      </c>
      <c r="D333" s="103" t="s">
        <v>1841</v>
      </c>
      <c r="E333" s="142" t="s">
        <v>298</v>
      </c>
      <c r="F333" s="144">
        <v>43557</v>
      </c>
      <c r="G333" s="144">
        <v>43585</v>
      </c>
      <c r="H333" s="143" t="s">
        <v>1016</v>
      </c>
      <c r="I333" s="143" t="s">
        <v>222</v>
      </c>
      <c r="J333" s="142" t="s">
        <v>59</v>
      </c>
      <c r="K333" s="105">
        <v>200</v>
      </c>
      <c r="L333" s="105">
        <v>47500</v>
      </c>
      <c r="M333" s="105">
        <v>49290</v>
      </c>
      <c r="N333" s="105">
        <f t="shared" si="91"/>
        <v>204.57499999999999</v>
      </c>
      <c r="O333" s="105">
        <f t="shared" si="82"/>
        <v>40915</v>
      </c>
      <c r="P333" s="101" t="s">
        <v>827</v>
      </c>
      <c r="Q333" s="101" t="s">
        <v>828</v>
      </c>
      <c r="R333" s="105"/>
      <c r="S333" s="105"/>
      <c r="T333" s="144"/>
      <c r="U333" s="105">
        <v>48930</v>
      </c>
      <c r="V333" s="105">
        <v>0</v>
      </c>
      <c r="W333" s="144">
        <v>43585</v>
      </c>
      <c r="X333" s="104">
        <f t="shared" si="90"/>
        <v>40915</v>
      </c>
      <c r="Y333" s="197">
        <f t="shared" si="81"/>
        <v>9858000</v>
      </c>
      <c r="Z333" s="143"/>
      <c r="AA333" s="143" t="str">
        <f t="shared" si="92"/>
        <v>买入第14期</v>
      </c>
      <c r="AB333" s="203"/>
      <c r="AC333" s="321">
        <v>0.152</v>
      </c>
      <c r="AD333" s="205">
        <v>0.152</v>
      </c>
      <c r="AE333" s="314"/>
      <c r="AF333" s="105"/>
    </row>
    <row r="334" spans="1:32" ht="24" customHeight="1" x14ac:dyDescent="0.15">
      <c r="A334" s="142" t="s">
        <v>248</v>
      </c>
      <c r="B334" s="142" t="s">
        <v>297</v>
      </c>
      <c r="C334" s="142" t="str">
        <f t="shared" si="77"/>
        <v>到期</v>
      </c>
      <c r="D334" s="103" t="s">
        <v>1842</v>
      </c>
      <c r="E334" s="142" t="s">
        <v>298</v>
      </c>
      <c r="F334" s="144">
        <v>43557</v>
      </c>
      <c r="G334" s="144">
        <v>43585</v>
      </c>
      <c r="H334" s="143" t="s">
        <v>1016</v>
      </c>
      <c r="I334" s="143" t="s">
        <v>275</v>
      </c>
      <c r="J334" s="142" t="s">
        <v>56</v>
      </c>
      <c r="K334" s="105">
        <v>200</v>
      </c>
      <c r="L334" s="105">
        <v>51440</v>
      </c>
      <c r="M334" s="105">
        <v>49290</v>
      </c>
      <c r="N334" s="105">
        <f t="shared" si="91"/>
        <v>204.57499999999999</v>
      </c>
      <c r="O334" s="105">
        <f t="shared" si="82"/>
        <v>40915</v>
      </c>
      <c r="P334" s="101" t="s">
        <v>657</v>
      </c>
      <c r="Q334" s="101" t="s">
        <v>829</v>
      </c>
      <c r="R334" s="105"/>
      <c r="S334" s="105"/>
      <c r="T334" s="144"/>
      <c r="U334" s="105">
        <v>48930</v>
      </c>
      <c r="V334" s="105">
        <v>0</v>
      </c>
      <c r="W334" s="144">
        <v>43585</v>
      </c>
      <c r="X334" s="104">
        <f t="shared" si="90"/>
        <v>40915</v>
      </c>
      <c r="Y334" s="197">
        <f t="shared" si="81"/>
        <v>9858000</v>
      </c>
      <c r="Z334" s="143"/>
      <c r="AA334" s="143" t="str">
        <f t="shared" si="92"/>
        <v>买入第14期</v>
      </c>
      <c r="AB334" s="203"/>
      <c r="AC334" s="321">
        <v>0.152</v>
      </c>
      <c r="AD334" s="205">
        <v>0.152</v>
      </c>
      <c r="AE334" s="314"/>
      <c r="AF334" s="105"/>
    </row>
    <row r="335" spans="1:32" ht="24" customHeight="1" x14ac:dyDescent="0.15">
      <c r="A335" s="142" t="s">
        <v>894</v>
      </c>
      <c r="B335" s="142" t="s">
        <v>297</v>
      </c>
      <c r="C335" s="142" t="str">
        <f t="shared" si="77"/>
        <v>到期</v>
      </c>
      <c r="D335" s="103" t="s">
        <v>1842</v>
      </c>
      <c r="E335" s="142" t="s">
        <v>298</v>
      </c>
      <c r="F335" s="144">
        <v>43557</v>
      </c>
      <c r="G335" s="144">
        <v>43585</v>
      </c>
      <c r="H335" s="143" t="s">
        <v>1016</v>
      </c>
      <c r="I335" s="143" t="s">
        <v>222</v>
      </c>
      <c r="J335" s="142" t="s">
        <v>59</v>
      </c>
      <c r="K335" s="105">
        <v>200</v>
      </c>
      <c r="L335" s="105">
        <v>47500</v>
      </c>
      <c r="M335" s="105">
        <v>49290</v>
      </c>
      <c r="N335" s="105">
        <f t="shared" si="91"/>
        <v>204.57499999999999</v>
      </c>
      <c r="O335" s="105">
        <f t="shared" si="82"/>
        <v>40915</v>
      </c>
      <c r="P335" s="101" t="s">
        <v>830</v>
      </c>
      <c r="Q335" s="101" t="s">
        <v>829</v>
      </c>
      <c r="R335" s="105"/>
      <c r="S335" s="105"/>
      <c r="T335" s="144"/>
      <c r="U335" s="105">
        <v>48930</v>
      </c>
      <c r="V335" s="105">
        <v>0</v>
      </c>
      <c r="W335" s="144">
        <v>43585</v>
      </c>
      <c r="X335" s="104">
        <f t="shared" si="90"/>
        <v>40915</v>
      </c>
      <c r="Y335" s="197">
        <f t="shared" si="81"/>
        <v>9858000</v>
      </c>
      <c r="Z335" s="143"/>
      <c r="AA335" s="143" t="str">
        <f t="shared" si="92"/>
        <v>买入第14期</v>
      </c>
      <c r="AB335" s="203"/>
      <c r="AC335" s="321">
        <v>0.152</v>
      </c>
      <c r="AD335" s="205">
        <v>0.152</v>
      </c>
      <c r="AE335" s="314"/>
      <c r="AF335" s="105"/>
    </row>
    <row r="336" spans="1:32" ht="24" customHeight="1" x14ac:dyDescent="0.15">
      <c r="A336" s="142" t="s">
        <v>248</v>
      </c>
      <c r="B336" s="142" t="s">
        <v>764</v>
      </c>
      <c r="C336" s="142" t="str">
        <f t="shared" si="77"/>
        <v>到期</v>
      </c>
      <c r="D336" s="103" t="s">
        <v>1843</v>
      </c>
      <c r="E336" s="142" t="s">
        <v>298</v>
      </c>
      <c r="F336" s="144">
        <v>43557</v>
      </c>
      <c r="G336" s="144">
        <v>43585</v>
      </c>
      <c r="H336" s="143" t="s">
        <v>1016</v>
      </c>
      <c r="I336" s="143" t="s">
        <v>222</v>
      </c>
      <c r="J336" s="142" t="s">
        <v>56</v>
      </c>
      <c r="K336" s="105">
        <v>200</v>
      </c>
      <c r="L336" s="105">
        <v>51440</v>
      </c>
      <c r="M336" s="105">
        <v>49290</v>
      </c>
      <c r="N336" s="105">
        <f t="shared" si="91"/>
        <v>204.57499999999999</v>
      </c>
      <c r="O336" s="105">
        <f t="shared" si="82"/>
        <v>40915</v>
      </c>
      <c r="P336" s="101" t="s">
        <v>831</v>
      </c>
      <c r="Q336" s="101" t="s">
        <v>832</v>
      </c>
      <c r="R336" s="105"/>
      <c r="S336" s="105"/>
      <c r="T336" s="144"/>
      <c r="U336" s="104">
        <v>48930</v>
      </c>
      <c r="V336" s="104">
        <v>0</v>
      </c>
      <c r="W336" s="48">
        <v>43585</v>
      </c>
      <c r="X336" s="104">
        <f t="shared" si="90"/>
        <v>40915</v>
      </c>
      <c r="Y336" s="197">
        <f t="shared" si="81"/>
        <v>9858000</v>
      </c>
      <c r="Z336" s="143"/>
      <c r="AA336" s="143" t="str">
        <f t="shared" si="92"/>
        <v>买入第14期</v>
      </c>
      <c r="AB336" s="203"/>
      <c r="AC336" s="321">
        <v>0.152</v>
      </c>
      <c r="AD336" s="205">
        <v>0.152</v>
      </c>
      <c r="AE336" s="314"/>
      <c r="AF336" s="105"/>
    </row>
    <row r="337" spans="1:32" ht="24" customHeight="1" x14ac:dyDescent="0.15">
      <c r="A337" s="142" t="s">
        <v>894</v>
      </c>
      <c r="B337" s="142" t="s">
        <v>764</v>
      </c>
      <c r="C337" s="142" t="str">
        <f t="shared" si="77"/>
        <v>到期</v>
      </c>
      <c r="D337" s="103" t="s">
        <v>1843</v>
      </c>
      <c r="E337" s="142" t="s">
        <v>298</v>
      </c>
      <c r="F337" s="144">
        <v>43557</v>
      </c>
      <c r="G337" s="144">
        <v>43585</v>
      </c>
      <c r="H337" s="143" t="s">
        <v>1016</v>
      </c>
      <c r="I337" s="143" t="s">
        <v>222</v>
      </c>
      <c r="J337" s="142" t="s">
        <v>59</v>
      </c>
      <c r="K337" s="105">
        <v>200</v>
      </c>
      <c r="L337" s="105">
        <v>47500</v>
      </c>
      <c r="M337" s="105">
        <v>49290</v>
      </c>
      <c r="N337" s="105">
        <f t="shared" si="91"/>
        <v>204.57499999999999</v>
      </c>
      <c r="O337" s="105">
        <f t="shared" si="82"/>
        <v>40915</v>
      </c>
      <c r="P337" s="101" t="s">
        <v>833</v>
      </c>
      <c r="Q337" s="101" t="s">
        <v>832</v>
      </c>
      <c r="R337" s="105"/>
      <c r="S337" s="105"/>
      <c r="T337" s="144"/>
      <c r="U337" s="105">
        <v>48930</v>
      </c>
      <c r="V337" s="105">
        <v>0</v>
      </c>
      <c r="W337" s="144">
        <v>43585</v>
      </c>
      <c r="X337" s="104">
        <f t="shared" si="90"/>
        <v>40915</v>
      </c>
      <c r="Y337" s="197">
        <f t="shared" si="81"/>
        <v>9858000</v>
      </c>
      <c r="Z337" s="143"/>
      <c r="AA337" s="143" t="str">
        <f t="shared" si="92"/>
        <v>买入第14期</v>
      </c>
      <c r="AB337" s="203"/>
      <c r="AC337" s="321">
        <v>0.152</v>
      </c>
      <c r="AD337" s="205">
        <v>0.152</v>
      </c>
      <c r="AE337" s="314"/>
      <c r="AF337" s="105"/>
    </row>
    <row r="338" spans="1:32" ht="24" customHeight="1" x14ac:dyDescent="0.15">
      <c r="A338" s="142" t="s">
        <v>894</v>
      </c>
      <c r="B338" s="142" t="s">
        <v>764</v>
      </c>
      <c r="C338" s="142" t="str">
        <f t="shared" si="77"/>
        <v>到期</v>
      </c>
      <c r="D338" s="103" t="s">
        <v>1844</v>
      </c>
      <c r="E338" s="142" t="s">
        <v>298</v>
      </c>
      <c r="F338" s="144">
        <v>43557</v>
      </c>
      <c r="G338" s="144">
        <v>43585</v>
      </c>
      <c r="H338" s="143" t="s">
        <v>1016</v>
      </c>
      <c r="I338" s="143" t="s">
        <v>222</v>
      </c>
      <c r="J338" s="142" t="s">
        <v>56</v>
      </c>
      <c r="K338" s="105">
        <v>200</v>
      </c>
      <c r="L338" s="105">
        <v>51440</v>
      </c>
      <c r="M338" s="105">
        <v>49290</v>
      </c>
      <c r="N338" s="105">
        <f t="shared" si="91"/>
        <v>204.57499999999999</v>
      </c>
      <c r="O338" s="105">
        <f t="shared" si="82"/>
        <v>40915</v>
      </c>
      <c r="P338" s="101" t="s">
        <v>834</v>
      </c>
      <c r="Q338" s="101" t="s">
        <v>659</v>
      </c>
      <c r="R338" s="105"/>
      <c r="S338" s="105"/>
      <c r="T338" s="144"/>
      <c r="U338" s="105">
        <v>48930</v>
      </c>
      <c r="V338" s="105">
        <v>0</v>
      </c>
      <c r="W338" s="144">
        <v>43585</v>
      </c>
      <c r="X338" s="104">
        <f t="shared" si="90"/>
        <v>40915</v>
      </c>
      <c r="Y338" s="197">
        <f t="shared" si="81"/>
        <v>9858000</v>
      </c>
      <c r="Z338" s="143"/>
      <c r="AA338" s="143" t="str">
        <f t="shared" si="92"/>
        <v>买入第14期</v>
      </c>
      <c r="AB338" s="203"/>
      <c r="AC338" s="321">
        <v>0.152</v>
      </c>
      <c r="AD338" s="205">
        <v>0.152</v>
      </c>
      <c r="AE338" s="314"/>
      <c r="AF338" s="105"/>
    </row>
    <row r="339" spans="1:32" ht="24" customHeight="1" x14ac:dyDescent="0.15">
      <c r="A339" s="142" t="s">
        <v>894</v>
      </c>
      <c r="B339" s="142" t="s">
        <v>764</v>
      </c>
      <c r="C339" s="142" t="str">
        <f t="shared" si="77"/>
        <v>到期</v>
      </c>
      <c r="D339" s="103" t="s">
        <v>1844</v>
      </c>
      <c r="E339" s="142" t="s">
        <v>298</v>
      </c>
      <c r="F339" s="144">
        <v>43557</v>
      </c>
      <c r="G339" s="144">
        <v>43585</v>
      </c>
      <c r="H339" s="143" t="s">
        <v>1016</v>
      </c>
      <c r="I339" s="143" t="s">
        <v>275</v>
      </c>
      <c r="J339" s="142" t="s">
        <v>59</v>
      </c>
      <c r="K339" s="105">
        <v>200</v>
      </c>
      <c r="L339" s="105">
        <v>47500</v>
      </c>
      <c r="M339" s="105">
        <v>49290</v>
      </c>
      <c r="N339" s="105">
        <f t="shared" si="91"/>
        <v>204.57499999999999</v>
      </c>
      <c r="O339" s="105">
        <f t="shared" si="82"/>
        <v>40915</v>
      </c>
      <c r="P339" s="101" t="s">
        <v>658</v>
      </c>
      <c r="Q339" s="101" t="s">
        <v>659</v>
      </c>
      <c r="R339" s="105"/>
      <c r="S339" s="105"/>
      <c r="T339" s="144"/>
      <c r="U339" s="105">
        <v>48930</v>
      </c>
      <c r="V339" s="105">
        <v>0</v>
      </c>
      <c r="W339" s="144">
        <v>43585</v>
      </c>
      <c r="X339" s="104">
        <f t="shared" si="90"/>
        <v>40915</v>
      </c>
      <c r="Y339" s="197">
        <f t="shared" si="81"/>
        <v>9858000</v>
      </c>
      <c r="Z339" s="143"/>
      <c r="AA339" s="143" t="str">
        <f t="shared" si="92"/>
        <v>买入第14期</v>
      </c>
      <c r="AB339" s="203"/>
      <c r="AC339" s="321">
        <v>0.152</v>
      </c>
      <c r="AD339" s="205">
        <v>0.152</v>
      </c>
      <c r="AE339" s="314"/>
      <c r="AF339" s="105"/>
    </row>
    <row r="340" spans="1:32" ht="24" customHeight="1" x14ac:dyDescent="0.15">
      <c r="A340" s="142" t="s">
        <v>248</v>
      </c>
      <c r="B340" s="142" t="s">
        <v>764</v>
      </c>
      <c r="C340" s="142" t="str">
        <f t="shared" si="77"/>
        <v>到期</v>
      </c>
      <c r="D340" s="103" t="s">
        <v>1845</v>
      </c>
      <c r="E340" s="142" t="s">
        <v>298</v>
      </c>
      <c r="F340" s="144">
        <v>43557</v>
      </c>
      <c r="G340" s="144">
        <v>43585</v>
      </c>
      <c r="H340" s="143" t="s">
        <v>1016</v>
      </c>
      <c r="I340" s="143" t="s">
        <v>275</v>
      </c>
      <c r="J340" s="142" t="s">
        <v>56</v>
      </c>
      <c r="K340" s="105">
        <v>200</v>
      </c>
      <c r="L340" s="105">
        <v>51440</v>
      </c>
      <c r="M340" s="105">
        <v>49290</v>
      </c>
      <c r="N340" s="105">
        <f t="shared" si="91"/>
        <v>204.57499999999999</v>
      </c>
      <c r="O340" s="105">
        <f t="shared" si="82"/>
        <v>40915</v>
      </c>
      <c r="P340" s="101" t="s">
        <v>835</v>
      </c>
      <c r="Q340" s="101" t="s">
        <v>660</v>
      </c>
      <c r="R340" s="105"/>
      <c r="S340" s="105"/>
      <c r="T340" s="144"/>
      <c r="U340" s="105">
        <v>48930</v>
      </c>
      <c r="V340" s="105">
        <v>0</v>
      </c>
      <c r="W340" s="144">
        <v>43585</v>
      </c>
      <c r="X340" s="104">
        <f t="shared" si="90"/>
        <v>40915</v>
      </c>
      <c r="Y340" s="197">
        <f t="shared" si="81"/>
        <v>9858000</v>
      </c>
      <c r="Z340" s="143"/>
      <c r="AA340" s="143" t="str">
        <f t="shared" si="92"/>
        <v>买入第14期</v>
      </c>
      <c r="AB340" s="203"/>
      <c r="AC340" s="321">
        <v>0.152</v>
      </c>
      <c r="AD340" s="205">
        <v>0.152</v>
      </c>
      <c r="AE340" s="314"/>
      <c r="AF340" s="105"/>
    </row>
    <row r="341" spans="1:32" ht="24" customHeight="1" x14ac:dyDescent="0.15">
      <c r="A341" s="142" t="s">
        <v>248</v>
      </c>
      <c r="B341" s="142" t="s">
        <v>764</v>
      </c>
      <c r="C341" s="142" t="str">
        <f t="shared" si="77"/>
        <v>到期</v>
      </c>
      <c r="D341" s="103" t="s">
        <v>1845</v>
      </c>
      <c r="E341" s="142" t="s">
        <v>298</v>
      </c>
      <c r="F341" s="144">
        <v>43557</v>
      </c>
      <c r="G341" s="144">
        <v>43585</v>
      </c>
      <c r="H341" s="143" t="s">
        <v>1016</v>
      </c>
      <c r="I341" s="143" t="s">
        <v>275</v>
      </c>
      <c r="J341" s="142" t="s">
        <v>59</v>
      </c>
      <c r="K341" s="105">
        <v>200</v>
      </c>
      <c r="L341" s="105">
        <v>47500</v>
      </c>
      <c r="M341" s="105">
        <v>49290</v>
      </c>
      <c r="N341" s="105">
        <f t="shared" si="91"/>
        <v>204.57499999999999</v>
      </c>
      <c r="O341" s="105">
        <f t="shared" si="82"/>
        <v>40915</v>
      </c>
      <c r="P341" s="101" t="s">
        <v>835</v>
      </c>
      <c r="Q341" s="101" t="s">
        <v>660</v>
      </c>
      <c r="R341" s="105"/>
      <c r="S341" s="105"/>
      <c r="T341" s="144"/>
      <c r="U341" s="104">
        <v>48930</v>
      </c>
      <c r="V341" s="104">
        <v>0</v>
      </c>
      <c r="W341" s="48">
        <v>43585</v>
      </c>
      <c r="X341" s="104">
        <f t="shared" si="90"/>
        <v>40915</v>
      </c>
      <c r="Y341" s="197">
        <f t="shared" si="81"/>
        <v>9858000</v>
      </c>
      <c r="Z341" s="143"/>
      <c r="AA341" s="143" t="str">
        <f t="shared" si="92"/>
        <v>买入第14期</v>
      </c>
      <c r="AB341" s="203"/>
      <c r="AC341" s="321">
        <v>0.152</v>
      </c>
      <c r="AD341" s="205">
        <v>0.152</v>
      </c>
      <c r="AE341" s="314"/>
      <c r="AF341" s="105"/>
    </row>
    <row r="342" spans="1:32" ht="24" customHeight="1" x14ac:dyDescent="0.15">
      <c r="A342" s="142" t="s">
        <v>244</v>
      </c>
      <c r="B342" s="142" t="s">
        <v>297</v>
      </c>
      <c r="C342" s="142" t="str">
        <f t="shared" si="77"/>
        <v>到期</v>
      </c>
      <c r="D342" s="123" t="s">
        <v>1021</v>
      </c>
      <c r="E342" s="142" t="s">
        <v>255</v>
      </c>
      <c r="F342" s="144">
        <v>43558</v>
      </c>
      <c r="G342" s="144">
        <v>43578</v>
      </c>
      <c r="H342" s="143" t="s">
        <v>752</v>
      </c>
      <c r="I342" s="143" t="s">
        <v>275</v>
      </c>
      <c r="J342" s="142" t="s">
        <v>22</v>
      </c>
      <c r="K342" s="105">
        <v>1000</v>
      </c>
      <c r="L342" s="105">
        <v>8600</v>
      </c>
      <c r="M342" s="105">
        <v>8501</v>
      </c>
      <c r="N342" s="105">
        <v>65.72</v>
      </c>
      <c r="O342" s="105">
        <f t="shared" si="82"/>
        <v>65720</v>
      </c>
      <c r="P342" s="101" t="s">
        <v>656</v>
      </c>
      <c r="Q342" s="101" t="s">
        <v>738</v>
      </c>
      <c r="R342" s="105"/>
      <c r="S342" s="105"/>
      <c r="T342" s="144"/>
      <c r="U342" s="105">
        <v>8690</v>
      </c>
      <c r="V342" s="105">
        <f>(8600-8690)*K342</f>
        <v>-90000</v>
      </c>
      <c r="W342" s="144">
        <f>G342</f>
        <v>43578</v>
      </c>
      <c r="X342" s="104">
        <f t="shared" si="90"/>
        <v>-24280</v>
      </c>
      <c r="Y342" s="197">
        <f t="shared" si="81"/>
        <v>8501000</v>
      </c>
      <c r="Z342" s="143" t="str">
        <f t="shared" ref="Z342:Z350" si="93">IF(C342="存续",D342&amp;H342&amp;"-"&amp;AA342,"")</f>
        <v/>
      </c>
      <c r="AA342" s="143" t="str">
        <f t="shared" ref="AA342:AA349" si="94">IF(I342="买入","卖出","买入")</f>
        <v>买入</v>
      </c>
      <c r="AB342" s="203"/>
      <c r="AC342" s="321">
        <v>0.13600000000000001</v>
      </c>
      <c r="AD342" s="319"/>
      <c r="AE342" s="314"/>
      <c r="AF342" s="105"/>
    </row>
    <row r="343" spans="1:32" s="110" customFormat="1" ht="24" customHeight="1" x14ac:dyDescent="0.15">
      <c r="A343" s="142" t="s">
        <v>244</v>
      </c>
      <c r="B343" s="142" t="s">
        <v>295</v>
      </c>
      <c r="C343" s="142" t="str">
        <f t="shared" si="77"/>
        <v>到期</v>
      </c>
      <c r="D343" s="124" t="s">
        <v>1846</v>
      </c>
      <c r="E343" s="142" t="s">
        <v>340</v>
      </c>
      <c r="F343" s="144">
        <v>43558</v>
      </c>
      <c r="G343" s="144">
        <v>43578</v>
      </c>
      <c r="H343" s="143" t="s">
        <v>752</v>
      </c>
      <c r="I343" s="143" t="s">
        <v>241</v>
      </c>
      <c r="J343" s="142" t="s">
        <v>22</v>
      </c>
      <c r="K343" s="105">
        <v>1500</v>
      </c>
      <c r="L343" s="105">
        <v>8650</v>
      </c>
      <c r="M343" s="105">
        <v>8523</v>
      </c>
      <c r="N343" s="105">
        <v>51.58</v>
      </c>
      <c r="O343" s="105">
        <f t="shared" si="82"/>
        <v>77370</v>
      </c>
      <c r="P343" s="101" t="s">
        <v>643</v>
      </c>
      <c r="Q343" s="101" t="s">
        <v>604</v>
      </c>
      <c r="R343" s="105"/>
      <c r="S343" s="105"/>
      <c r="T343" s="144"/>
      <c r="U343" s="105">
        <v>8690</v>
      </c>
      <c r="V343" s="105">
        <f>(8690-8650)*1500</f>
        <v>60000</v>
      </c>
      <c r="W343" s="144">
        <f>G343</f>
        <v>43578</v>
      </c>
      <c r="X343" s="104">
        <f t="shared" si="90"/>
        <v>-17370</v>
      </c>
      <c r="Y343" s="197">
        <f t="shared" si="81"/>
        <v>12784500</v>
      </c>
      <c r="Z343" s="143" t="str">
        <f t="shared" si="93"/>
        <v/>
      </c>
      <c r="AA343" s="143" t="str">
        <f t="shared" si="94"/>
        <v>卖出</v>
      </c>
      <c r="AB343" s="203"/>
      <c r="AC343" s="321">
        <v>0.13600000000000001</v>
      </c>
      <c r="AD343" s="319"/>
      <c r="AE343" s="314"/>
      <c r="AF343" s="105"/>
    </row>
    <row r="344" spans="1:32" s="110" customFormat="1" ht="24" customHeight="1" x14ac:dyDescent="0.15">
      <c r="A344" s="142" t="s">
        <v>244</v>
      </c>
      <c r="B344" s="142" t="s">
        <v>295</v>
      </c>
      <c r="C344" s="142" t="str">
        <f t="shared" si="77"/>
        <v>到期</v>
      </c>
      <c r="D344" s="124" t="s">
        <v>1846</v>
      </c>
      <c r="E344" s="142" t="s">
        <v>255</v>
      </c>
      <c r="F344" s="144">
        <v>43558</v>
      </c>
      <c r="G344" s="144">
        <v>43572</v>
      </c>
      <c r="H344" s="143" t="s">
        <v>359</v>
      </c>
      <c r="I344" s="143" t="s">
        <v>241</v>
      </c>
      <c r="J344" s="142" t="s">
        <v>25</v>
      </c>
      <c r="K344" s="105">
        <v>3000</v>
      </c>
      <c r="L344" s="105">
        <v>679.5</v>
      </c>
      <c r="M344" s="105">
        <v>679.5</v>
      </c>
      <c r="N344" s="105">
        <v>15.36</v>
      </c>
      <c r="O344" s="105">
        <f t="shared" si="82"/>
        <v>46080</v>
      </c>
      <c r="P344" s="101" t="s">
        <v>644</v>
      </c>
      <c r="Q344" s="101" t="s">
        <v>627</v>
      </c>
      <c r="R344" s="105"/>
      <c r="S344" s="105"/>
      <c r="T344" s="144"/>
      <c r="U344" s="105">
        <v>691</v>
      </c>
      <c r="V344" s="105">
        <v>0</v>
      </c>
      <c r="W344" s="144">
        <f>G344</f>
        <v>43572</v>
      </c>
      <c r="X344" s="104">
        <f t="shared" si="90"/>
        <v>-46080</v>
      </c>
      <c r="Y344" s="197">
        <f t="shared" si="81"/>
        <v>2038500</v>
      </c>
      <c r="Z344" s="143" t="str">
        <f t="shared" si="93"/>
        <v/>
      </c>
      <c r="AA344" s="143" t="str">
        <f t="shared" si="94"/>
        <v>卖出</v>
      </c>
      <c r="AB344" s="203"/>
      <c r="AC344" s="321">
        <v>0.28000000000000003</v>
      </c>
      <c r="AD344" s="319"/>
      <c r="AE344" s="314"/>
      <c r="AF344" s="105"/>
    </row>
    <row r="345" spans="1:32" s="110" customFormat="1" ht="24" customHeight="1" x14ac:dyDescent="0.15">
      <c r="A345" s="142" t="s">
        <v>244</v>
      </c>
      <c r="B345" s="142" t="s">
        <v>295</v>
      </c>
      <c r="C345" s="142" t="str">
        <f t="shared" si="77"/>
        <v>到期</v>
      </c>
      <c r="D345" s="124" t="s">
        <v>266</v>
      </c>
      <c r="E345" s="142" t="s">
        <v>255</v>
      </c>
      <c r="F345" s="144">
        <v>43558</v>
      </c>
      <c r="G345" s="144">
        <v>43584</v>
      </c>
      <c r="H345" s="143" t="s">
        <v>401</v>
      </c>
      <c r="I345" s="143" t="s">
        <v>241</v>
      </c>
      <c r="J345" s="142" t="s">
        <v>59</v>
      </c>
      <c r="K345" s="105">
        <v>1000</v>
      </c>
      <c r="L345" s="105">
        <v>5448</v>
      </c>
      <c r="M345" s="105">
        <v>5616</v>
      </c>
      <c r="N345" s="105">
        <v>12.95</v>
      </c>
      <c r="O345" s="105">
        <f t="shared" si="82"/>
        <v>12950</v>
      </c>
      <c r="P345" s="101" t="s">
        <v>855</v>
      </c>
      <c r="Q345" s="101" t="s">
        <v>623</v>
      </c>
      <c r="R345" s="105"/>
      <c r="S345" s="105"/>
      <c r="T345" s="144"/>
      <c r="U345" s="104">
        <v>5358</v>
      </c>
      <c r="V345" s="104">
        <f>(5448-5358)*1000</f>
        <v>90000</v>
      </c>
      <c r="W345" s="48">
        <f>G345</f>
        <v>43584</v>
      </c>
      <c r="X345" s="104">
        <f t="shared" si="90"/>
        <v>77050</v>
      </c>
      <c r="Y345" s="197">
        <f t="shared" si="81"/>
        <v>5616000</v>
      </c>
      <c r="Z345" s="143" t="str">
        <f t="shared" si="93"/>
        <v/>
      </c>
      <c r="AA345" s="143" t="str">
        <f t="shared" si="94"/>
        <v>卖出</v>
      </c>
      <c r="AB345" s="203"/>
      <c r="AC345" s="321">
        <v>0.11900000000000001</v>
      </c>
      <c r="AD345" s="319"/>
      <c r="AE345" s="314"/>
      <c r="AF345" s="105"/>
    </row>
    <row r="346" spans="1:32" s="110" customFormat="1" ht="24" customHeight="1" x14ac:dyDescent="0.15">
      <c r="A346" s="142" t="s">
        <v>244</v>
      </c>
      <c r="B346" s="142" t="s">
        <v>295</v>
      </c>
      <c r="C346" s="142" t="str">
        <f t="shared" si="77"/>
        <v>到期</v>
      </c>
      <c r="D346" s="124" t="s">
        <v>266</v>
      </c>
      <c r="E346" s="142" t="s">
        <v>255</v>
      </c>
      <c r="F346" s="144">
        <v>43558</v>
      </c>
      <c r="G346" s="144">
        <v>43581</v>
      </c>
      <c r="H346" s="143" t="s">
        <v>383</v>
      </c>
      <c r="I346" s="143" t="s">
        <v>241</v>
      </c>
      <c r="J346" s="142" t="s">
        <v>59</v>
      </c>
      <c r="K346" s="105">
        <v>500</v>
      </c>
      <c r="L346" s="105">
        <v>3510</v>
      </c>
      <c r="M346" s="105">
        <v>3582</v>
      </c>
      <c r="N346" s="105">
        <v>39.4</v>
      </c>
      <c r="O346" s="105">
        <f t="shared" si="82"/>
        <v>19700</v>
      </c>
      <c r="P346" s="101" t="s">
        <v>407</v>
      </c>
      <c r="Q346" s="101" t="s">
        <v>863</v>
      </c>
      <c r="R346" s="105">
        <v>4.0599999999999996</v>
      </c>
      <c r="S346" s="105">
        <f>R346*K346</f>
        <v>2029.9999999999998</v>
      </c>
      <c r="T346" s="144">
        <v>43566</v>
      </c>
      <c r="U346" s="105"/>
      <c r="V346" s="105"/>
      <c r="W346" s="144"/>
      <c r="X346" s="104">
        <f t="shared" ref="X346" si="95">IF(I346="买入",S346-O346,O346+S346)</f>
        <v>-17670</v>
      </c>
      <c r="Y346" s="197">
        <f t="shared" si="81"/>
        <v>1791000</v>
      </c>
      <c r="Z346" s="143" t="str">
        <f t="shared" si="93"/>
        <v/>
      </c>
      <c r="AA346" s="143" t="str">
        <f t="shared" si="94"/>
        <v>卖出</v>
      </c>
      <c r="AB346" s="203"/>
      <c r="AC346" s="321">
        <v>0.19500000000000001</v>
      </c>
      <c r="AD346" s="319"/>
      <c r="AE346" s="314"/>
      <c r="AF346" s="105"/>
    </row>
    <row r="347" spans="1:32" ht="24" customHeight="1" x14ac:dyDescent="0.15">
      <c r="A347" s="142" t="s">
        <v>244</v>
      </c>
      <c r="B347" s="142" t="s">
        <v>295</v>
      </c>
      <c r="C347" s="142" t="str">
        <f t="shared" ref="C347:C410" si="96">IF(Q347="","存续","到期")</f>
        <v>到期</v>
      </c>
      <c r="D347" s="124" t="s">
        <v>1840</v>
      </c>
      <c r="E347" s="142" t="s">
        <v>255</v>
      </c>
      <c r="F347" s="144">
        <v>43558</v>
      </c>
      <c r="G347" s="144">
        <v>43578</v>
      </c>
      <c r="H347" s="143" t="s">
        <v>752</v>
      </c>
      <c r="I347" s="143" t="s">
        <v>241</v>
      </c>
      <c r="J347" s="142" t="s">
        <v>25</v>
      </c>
      <c r="K347" s="105">
        <v>700</v>
      </c>
      <c r="L347" s="105">
        <v>8224</v>
      </c>
      <c r="M347" s="105">
        <v>8567</v>
      </c>
      <c r="N347" s="105">
        <v>11.13</v>
      </c>
      <c r="O347" s="105">
        <f t="shared" si="82"/>
        <v>7791.0000000000009</v>
      </c>
      <c r="P347" s="101" t="s">
        <v>1035</v>
      </c>
      <c r="Q347" s="101" t="s">
        <v>605</v>
      </c>
      <c r="R347" s="105"/>
      <c r="S347" s="105"/>
      <c r="T347" s="144"/>
      <c r="U347" s="105">
        <v>8690</v>
      </c>
      <c r="V347" s="105">
        <v>0</v>
      </c>
      <c r="W347" s="144">
        <f>G347</f>
        <v>43578</v>
      </c>
      <c r="X347" s="104">
        <f t="shared" ref="X347:X348" si="97">IF(I347="买入",V347-O347,V347+O347)</f>
        <v>-7791.0000000000009</v>
      </c>
      <c r="Y347" s="197">
        <f t="shared" si="81"/>
        <v>5996900</v>
      </c>
      <c r="Z347" s="143" t="str">
        <f t="shared" si="93"/>
        <v/>
      </c>
      <c r="AA347" s="143" t="str">
        <f t="shared" si="94"/>
        <v>卖出</v>
      </c>
      <c r="AB347" s="203"/>
      <c r="AC347" s="321">
        <v>0.13600000000000001</v>
      </c>
      <c r="AD347" s="319"/>
      <c r="AE347" s="314"/>
      <c r="AF347" s="105"/>
    </row>
    <row r="348" spans="1:32" ht="24" customHeight="1" x14ac:dyDescent="0.15">
      <c r="A348" s="142" t="s">
        <v>247</v>
      </c>
      <c r="B348" s="142" t="s">
        <v>295</v>
      </c>
      <c r="C348" s="142" t="str">
        <f t="shared" si="96"/>
        <v>到期</v>
      </c>
      <c r="D348" s="127" t="s">
        <v>1846</v>
      </c>
      <c r="E348" s="143" t="s">
        <v>340</v>
      </c>
      <c r="F348" s="48">
        <v>43558</v>
      </c>
      <c r="G348" s="48">
        <v>43585</v>
      </c>
      <c r="H348" s="143" t="s">
        <v>404</v>
      </c>
      <c r="I348" s="143" t="s">
        <v>241</v>
      </c>
      <c r="J348" s="142" t="s">
        <v>25</v>
      </c>
      <c r="K348" s="105">
        <v>4980</v>
      </c>
      <c r="L348" s="105">
        <v>1280</v>
      </c>
      <c r="M348" s="105">
        <v>1326.5</v>
      </c>
      <c r="N348" s="105">
        <v>11.99</v>
      </c>
      <c r="O348" s="105">
        <f t="shared" si="82"/>
        <v>59710.200000000004</v>
      </c>
      <c r="P348" s="101" t="s">
        <v>408</v>
      </c>
      <c r="Q348" s="101" t="s">
        <v>625</v>
      </c>
      <c r="R348" s="105"/>
      <c r="S348" s="105"/>
      <c r="T348" s="144"/>
      <c r="U348" s="105">
        <v>1352</v>
      </c>
      <c r="V348" s="105">
        <v>0</v>
      </c>
      <c r="W348" s="144">
        <v>43585</v>
      </c>
      <c r="X348" s="104">
        <f t="shared" si="97"/>
        <v>-59710.200000000004</v>
      </c>
      <c r="Y348" s="197">
        <f t="shared" si="81"/>
        <v>6605970</v>
      </c>
      <c r="Z348" s="143" t="str">
        <f t="shared" si="93"/>
        <v/>
      </c>
      <c r="AA348" s="143" t="str">
        <f t="shared" si="94"/>
        <v>卖出</v>
      </c>
      <c r="AB348" s="203"/>
      <c r="AC348" s="321">
        <v>0.221</v>
      </c>
      <c r="AD348" s="319"/>
      <c r="AE348" s="314"/>
      <c r="AF348" s="105"/>
    </row>
    <row r="349" spans="1:32" ht="24" customHeight="1" x14ac:dyDescent="0.15">
      <c r="A349" s="142" t="s">
        <v>244</v>
      </c>
      <c r="B349" s="120" t="s">
        <v>764</v>
      </c>
      <c r="C349" s="142" t="str">
        <f t="shared" si="96"/>
        <v>到期</v>
      </c>
      <c r="D349" s="123" t="s">
        <v>1854</v>
      </c>
      <c r="E349" s="142" t="s">
        <v>298</v>
      </c>
      <c r="F349" s="144">
        <v>43563</v>
      </c>
      <c r="G349" s="48">
        <v>43592</v>
      </c>
      <c r="H349" s="143" t="s">
        <v>754</v>
      </c>
      <c r="I349" s="143" t="s">
        <v>241</v>
      </c>
      <c r="J349" s="142" t="s">
        <v>25</v>
      </c>
      <c r="K349" s="105">
        <v>300</v>
      </c>
      <c r="L349" s="105">
        <v>8500</v>
      </c>
      <c r="M349" s="105">
        <v>8500</v>
      </c>
      <c r="N349" s="105">
        <v>132.86000000000001</v>
      </c>
      <c r="O349" s="105">
        <f t="shared" si="82"/>
        <v>39858.000000000007</v>
      </c>
      <c r="P349" s="101" t="s">
        <v>569</v>
      </c>
      <c r="Q349" s="101" t="s">
        <v>1077</v>
      </c>
      <c r="R349" s="105">
        <v>107.34</v>
      </c>
      <c r="S349" s="105">
        <f>R349*K349</f>
        <v>32202</v>
      </c>
      <c r="T349" s="144">
        <v>43572</v>
      </c>
      <c r="U349" s="104"/>
      <c r="V349" s="104"/>
      <c r="W349" s="48"/>
      <c r="X349" s="104">
        <f t="shared" ref="X349" si="98">IF(I349="买入",S349-O349,O349+S349)</f>
        <v>-7656.0000000000073</v>
      </c>
      <c r="Y349" s="197">
        <f t="shared" si="81"/>
        <v>2550000</v>
      </c>
      <c r="Z349" s="143" t="str">
        <f t="shared" si="93"/>
        <v/>
      </c>
      <c r="AA349" s="143" t="str">
        <f t="shared" si="94"/>
        <v>卖出</v>
      </c>
      <c r="AB349" s="203"/>
      <c r="AC349" s="321">
        <v>0.14499999999999999</v>
      </c>
      <c r="AD349" s="319"/>
      <c r="AE349" s="314" t="s">
        <v>1335</v>
      </c>
      <c r="AF349" s="105"/>
    </row>
    <row r="350" spans="1:32" s="110" customFormat="1" ht="24" customHeight="1" x14ac:dyDescent="0.15">
      <c r="A350" s="142" t="s">
        <v>248</v>
      </c>
      <c r="B350" s="120" t="s">
        <v>297</v>
      </c>
      <c r="C350" s="142" t="str">
        <f t="shared" si="96"/>
        <v>到期</v>
      </c>
      <c r="D350" s="103" t="s">
        <v>1841</v>
      </c>
      <c r="E350" s="142" t="s">
        <v>298</v>
      </c>
      <c r="F350" s="144">
        <v>43564</v>
      </c>
      <c r="G350" s="144">
        <v>43592</v>
      </c>
      <c r="H350" s="143" t="s">
        <v>1016</v>
      </c>
      <c r="I350" s="143" t="s">
        <v>222</v>
      </c>
      <c r="J350" s="142" t="s">
        <v>56</v>
      </c>
      <c r="K350" s="105">
        <v>200</v>
      </c>
      <c r="L350" s="105">
        <v>51600</v>
      </c>
      <c r="M350" s="105">
        <v>49500</v>
      </c>
      <c r="N350" s="105">
        <f t="shared" ref="N350:N359" si="99">410.89/2</f>
        <v>205.44499999999999</v>
      </c>
      <c r="O350" s="105">
        <f t="shared" si="82"/>
        <v>41089</v>
      </c>
      <c r="P350" s="101" t="s">
        <v>836</v>
      </c>
      <c r="Q350" s="101" t="s">
        <v>1078</v>
      </c>
      <c r="R350" s="105"/>
      <c r="S350" s="105"/>
      <c r="T350" s="144"/>
      <c r="U350" s="105">
        <v>48290</v>
      </c>
      <c r="V350" s="105">
        <v>0</v>
      </c>
      <c r="W350" s="144">
        <v>43592</v>
      </c>
      <c r="X350" s="104">
        <f t="shared" ref="X350:X362" si="100">IF(I350="买入",V350-O350,V350+O350)</f>
        <v>41089</v>
      </c>
      <c r="Y350" s="197">
        <f t="shared" si="81"/>
        <v>9900000</v>
      </c>
      <c r="Z350" s="143" t="str">
        <f t="shared" si="93"/>
        <v/>
      </c>
      <c r="AA350" s="143" t="str">
        <f t="shared" ref="AA350:AA359" si="101">IF(I350="买入","卖出","买入第15期")</f>
        <v>买入第15期</v>
      </c>
      <c r="AB350" s="203"/>
      <c r="AC350" s="321">
        <v>0.152</v>
      </c>
      <c r="AD350" s="205">
        <v>0.152</v>
      </c>
      <c r="AE350" s="314"/>
      <c r="AF350" s="105"/>
    </row>
    <row r="351" spans="1:32" s="110" customFormat="1" ht="24" customHeight="1" x14ac:dyDescent="0.15">
      <c r="A351" s="142" t="s">
        <v>894</v>
      </c>
      <c r="B351" s="142" t="s">
        <v>764</v>
      </c>
      <c r="C351" s="142" t="str">
        <f t="shared" si="96"/>
        <v>到期</v>
      </c>
      <c r="D351" s="103" t="s">
        <v>1841</v>
      </c>
      <c r="E351" s="142" t="s">
        <v>298</v>
      </c>
      <c r="F351" s="144">
        <v>43564</v>
      </c>
      <c r="G351" s="144">
        <v>43592</v>
      </c>
      <c r="H351" s="143" t="s">
        <v>1016</v>
      </c>
      <c r="I351" s="143" t="s">
        <v>222</v>
      </c>
      <c r="J351" s="142" t="s">
        <v>59</v>
      </c>
      <c r="K351" s="105">
        <v>200</v>
      </c>
      <c r="L351" s="105">
        <v>47640</v>
      </c>
      <c r="M351" s="105">
        <v>49500</v>
      </c>
      <c r="N351" s="105">
        <f t="shared" si="99"/>
        <v>205.44499999999999</v>
      </c>
      <c r="O351" s="105">
        <f t="shared" si="82"/>
        <v>41089</v>
      </c>
      <c r="P351" s="101" t="s">
        <v>837</v>
      </c>
      <c r="Q351" s="101" t="s">
        <v>1079</v>
      </c>
      <c r="R351" s="105"/>
      <c r="S351" s="105"/>
      <c r="T351" s="144"/>
      <c r="U351" s="105">
        <v>48290</v>
      </c>
      <c r="V351" s="105">
        <v>0</v>
      </c>
      <c r="W351" s="144">
        <v>43592</v>
      </c>
      <c r="X351" s="104">
        <f t="shared" si="100"/>
        <v>41089</v>
      </c>
      <c r="Y351" s="197">
        <f t="shared" si="81"/>
        <v>9900000</v>
      </c>
      <c r="Z351" s="143"/>
      <c r="AA351" s="143" t="str">
        <f t="shared" si="101"/>
        <v>买入第15期</v>
      </c>
      <c r="AB351" s="203"/>
      <c r="AC351" s="321">
        <v>0.152</v>
      </c>
      <c r="AD351" s="205">
        <v>0.152</v>
      </c>
      <c r="AE351" s="314"/>
      <c r="AF351" s="105"/>
    </row>
    <row r="352" spans="1:32" s="110" customFormat="1" ht="24" customHeight="1" x14ac:dyDescent="0.15">
      <c r="A352" s="142" t="s">
        <v>248</v>
      </c>
      <c r="B352" s="142" t="s">
        <v>297</v>
      </c>
      <c r="C352" s="142" t="str">
        <f t="shared" si="96"/>
        <v>到期</v>
      </c>
      <c r="D352" s="103" t="s">
        <v>1842</v>
      </c>
      <c r="E352" s="142" t="s">
        <v>298</v>
      </c>
      <c r="F352" s="144">
        <v>43564</v>
      </c>
      <c r="G352" s="144">
        <v>43592</v>
      </c>
      <c r="H352" s="143" t="s">
        <v>1016</v>
      </c>
      <c r="I352" s="143" t="s">
        <v>222</v>
      </c>
      <c r="J352" s="142" t="s">
        <v>56</v>
      </c>
      <c r="K352" s="105">
        <v>200</v>
      </c>
      <c r="L352" s="105">
        <v>51600</v>
      </c>
      <c r="M352" s="105">
        <v>49500</v>
      </c>
      <c r="N352" s="105">
        <f t="shared" si="99"/>
        <v>205.44499999999999</v>
      </c>
      <c r="O352" s="105">
        <f t="shared" si="82"/>
        <v>41089</v>
      </c>
      <c r="P352" s="101" t="s">
        <v>838</v>
      </c>
      <c r="Q352" s="101" t="s">
        <v>1080</v>
      </c>
      <c r="R352" s="105"/>
      <c r="S352" s="105"/>
      <c r="T352" s="144"/>
      <c r="U352" s="105">
        <v>48290</v>
      </c>
      <c r="V352" s="105">
        <v>0</v>
      </c>
      <c r="W352" s="144">
        <v>43592</v>
      </c>
      <c r="X352" s="104">
        <f t="shared" si="100"/>
        <v>41089</v>
      </c>
      <c r="Y352" s="197">
        <f t="shared" si="81"/>
        <v>9900000</v>
      </c>
      <c r="Z352" s="143"/>
      <c r="AA352" s="143" t="str">
        <f t="shared" si="101"/>
        <v>买入第15期</v>
      </c>
      <c r="AB352" s="203"/>
      <c r="AC352" s="321">
        <v>0.152</v>
      </c>
      <c r="AD352" s="205">
        <v>0.152</v>
      </c>
      <c r="AE352" s="314"/>
      <c r="AF352" s="105"/>
    </row>
    <row r="353" spans="1:32" s="110" customFormat="1" ht="24" customHeight="1" x14ac:dyDescent="0.15">
      <c r="A353" s="142" t="s">
        <v>894</v>
      </c>
      <c r="B353" s="142" t="s">
        <v>764</v>
      </c>
      <c r="C353" s="142" t="str">
        <f t="shared" si="96"/>
        <v>到期</v>
      </c>
      <c r="D353" s="103" t="s">
        <v>1842</v>
      </c>
      <c r="E353" s="142" t="s">
        <v>298</v>
      </c>
      <c r="F353" s="144">
        <v>43564</v>
      </c>
      <c r="G353" s="144">
        <v>43592</v>
      </c>
      <c r="H353" s="143" t="s">
        <v>1016</v>
      </c>
      <c r="I353" s="143" t="s">
        <v>275</v>
      </c>
      <c r="J353" s="142" t="s">
        <v>59</v>
      </c>
      <c r="K353" s="105">
        <v>200</v>
      </c>
      <c r="L353" s="105">
        <v>47640</v>
      </c>
      <c r="M353" s="105">
        <v>49500</v>
      </c>
      <c r="N353" s="105">
        <f t="shared" si="99"/>
        <v>205.44499999999999</v>
      </c>
      <c r="O353" s="105">
        <f t="shared" si="82"/>
        <v>41089</v>
      </c>
      <c r="P353" s="101" t="s">
        <v>838</v>
      </c>
      <c r="Q353" s="101" t="s">
        <v>1080</v>
      </c>
      <c r="R353" s="105"/>
      <c r="S353" s="105"/>
      <c r="T353" s="144"/>
      <c r="U353" s="104">
        <v>48290</v>
      </c>
      <c r="V353" s="104">
        <v>0</v>
      </c>
      <c r="W353" s="48">
        <v>43592</v>
      </c>
      <c r="X353" s="104">
        <f t="shared" si="100"/>
        <v>41089</v>
      </c>
      <c r="Y353" s="197">
        <f t="shared" si="81"/>
        <v>9900000</v>
      </c>
      <c r="Z353" s="143"/>
      <c r="AA353" s="143" t="str">
        <f t="shared" si="101"/>
        <v>买入第15期</v>
      </c>
      <c r="AB353" s="203"/>
      <c r="AC353" s="321">
        <v>0.152</v>
      </c>
      <c r="AD353" s="205">
        <v>0.152</v>
      </c>
      <c r="AE353" s="314"/>
      <c r="AF353" s="105"/>
    </row>
    <row r="354" spans="1:32" s="110" customFormat="1" ht="24" customHeight="1" x14ac:dyDescent="0.15">
      <c r="A354" s="142" t="s">
        <v>894</v>
      </c>
      <c r="B354" s="142" t="s">
        <v>764</v>
      </c>
      <c r="C354" s="142" t="str">
        <f t="shared" si="96"/>
        <v>到期</v>
      </c>
      <c r="D354" s="103" t="s">
        <v>1843</v>
      </c>
      <c r="E354" s="142" t="s">
        <v>298</v>
      </c>
      <c r="F354" s="144">
        <v>43564</v>
      </c>
      <c r="G354" s="144">
        <v>43592</v>
      </c>
      <c r="H354" s="143" t="s">
        <v>1016</v>
      </c>
      <c r="I354" s="143" t="s">
        <v>275</v>
      </c>
      <c r="J354" s="142" t="s">
        <v>56</v>
      </c>
      <c r="K354" s="105">
        <v>200</v>
      </c>
      <c r="L354" s="105">
        <v>51600</v>
      </c>
      <c r="M354" s="105">
        <v>49500</v>
      </c>
      <c r="N354" s="105">
        <f t="shared" si="99"/>
        <v>205.44499999999999</v>
      </c>
      <c r="O354" s="105">
        <f t="shared" si="82"/>
        <v>41089</v>
      </c>
      <c r="P354" s="101" t="s">
        <v>439</v>
      </c>
      <c r="Q354" s="101" t="s">
        <v>1081</v>
      </c>
      <c r="R354" s="105"/>
      <c r="S354" s="105"/>
      <c r="T354" s="144"/>
      <c r="U354" s="105">
        <v>48290</v>
      </c>
      <c r="V354" s="105">
        <v>0</v>
      </c>
      <c r="W354" s="144">
        <v>43592</v>
      </c>
      <c r="X354" s="104">
        <f t="shared" si="100"/>
        <v>41089</v>
      </c>
      <c r="Y354" s="197">
        <f t="shared" si="81"/>
        <v>9900000</v>
      </c>
      <c r="Z354" s="143"/>
      <c r="AA354" s="143" t="str">
        <f t="shared" si="101"/>
        <v>买入第15期</v>
      </c>
      <c r="AB354" s="203"/>
      <c r="AC354" s="321">
        <v>0.152</v>
      </c>
      <c r="AD354" s="205">
        <v>0.152</v>
      </c>
      <c r="AE354" s="314"/>
      <c r="AF354" s="105"/>
    </row>
    <row r="355" spans="1:32" s="110" customFormat="1" ht="24" customHeight="1" x14ac:dyDescent="0.15">
      <c r="A355" s="142" t="s">
        <v>894</v>
      </c>
      <c r="B355" s="142" t="s">
        <v>297</v>
      </c>
      <c r="C355" s="142" t="str">
        <f t="shared" si="96"/>
        <v>到期</v>
      </c>
      <c r="D355" s="103" t="s">
        <v>1843</v>
      </c>
      <c r="E355" s="142" t="s">
        <v>298</v>
      </c>
      <c r="F355" s="144">
        <v>43564</v>
      </c>
      <c r="G355" s="144">
        <v>43592</v>
      </c>
      <c r="H355" s="143" t="s">
        <v>1016</v>
      </c>
      <c r="I355" s="143" t="s">
        <v>275</v>
      </c>
      <c r="J355" s="142" t="s">
        <v>59</v>
      </c>
      <c r="K355" s="105">
        <v>200</v>
      </c>
      <c r="L355" s="105">
        <v>47640</v>
      </c>
      <c r="M355" s="105">
        <v>49500</v>
      </c>
      <c r="N355" s="105">
        <f t="shared" si="99"/>
        <v>205.44499999999999</v>
      </c>
      <c r="O355" s="105">
        <f t="shared" si="82"/>
        <v>41089</v>
      </c>
      <c r="P355" s="101" t="s">
        <v>839</v>
      </c>
      <c r="Q355" s="101" t="s">
        <v>1081</v>
      </c>
      <c r="R355" s="105"/>
      <c r="S355" s="105"/>
      <c r="T355" s="144"/>
      <c r="U355" s="105">
        <v>48290</v>
      </c>
      <c r="V355" s="105">
        <v>0</v>
      </c>
      <c r="W355" s="144">
        <v>43592</v>
      </c>
      <c r="X355" s="104">
        <f t="shared" si="100"/>
        <v>41089</v>
      </c>
      <c r="Y355" s="197">
        <f t="shared" si="81"/>
        <v>9900000</v>
      </c>
      <c r="Z355" s="143"/>
      <c r="AA355" s="143" t="str">
        <f t="shared" si="101"/>
        <v>买入第15期</v>
      </c>
      <c r="AB355" s="203"/>
      <c r="AC355" s="321">
        <v>0.152</v>
      </c>
      <c r="AD355" s="205">
        <v>0.152</v>
      </c>
      <c r="AE355" s="314"/>
      <c r="AF355" s="105"/>
    </row>
    <row r="356" spans="1:32" s="110" customFormat="1" ht="24" customHeight="1" x14ac:dyDescent="0.15">
      <c r="A356" s="142" t="s">
        <v>894</v>
      </c>
      <c r="B356" s="142" t="s">
        <v>764</v>
      </c>
      <c r="C356" s="142" t="str">
        <f t="shared" si="96"/>
        <v>到期</v>
      </c>
      <c r="D356" s="103" t="s">
        <v>1844</v>
      </c>
      <c r="E356" s="142" t="s">
        <v>298</v>
      </c>
      <c r="F356" s="144">
        <v>43564</v>
      </c>
      <c r="G356" s="144">
        <v>43592</v>
      </c>
      <c r="H356" s="143" t="s">
        <v>1016</v>
      </c>
      <c r="I356" s="143" t="s">
        <v>222</v>
      </c>
      <c r="J356" s="142" t="s">
        <v>56</v>
      </c>
      <c r="K356" s="105">
        <v>200</v>
      </c>
      <c r="L356" s="105">
        <v>51600</v>
      </c>
      <c r="M356" s="105">
        <v>49500</v>
      </c>
      <c r="N356" s="105">
        <f t="shared" si="99"/>
        <v>205.44499999999999</v>
      </c>
      <c r="O356" s="105">
        <f t="shared" si="82"/>
        <v>41089</v>
      </c>
      <c r="P356" s="101" t="s">
        <v>840</v>
      </c>
      <c r="Q356" s="101" t="s">
        <v>1082</v>
      </c>
      <c r="R356" s="105"/>
      <c r="S356" s="105"/>
      <c r="T356" s="144"/>
      <c r="U356" s="104">
        <v>48290</v>
      </c>
      <c r="V356" s="104">
        <v>0</v>
      </c>
      <c r="W356" s="48">
        <v>43592</v>
      </c>
      <c r="X356" s="104">
        <f t="shared" si="100"/>
        <v>41089</v>
      </c>
      <c r="Y356" s="197">
        <f t="shared" ref="Y356:Y419" si="102">M356*K356</f>
        <v>9900000</v>
      </c>
      <c r="Z356" s="143"/>
      <c r="AA356" s="143" t="str">
        <f t="shared" si="101"/>
        <v>买入第15期</v>
      </c>
      <c r="AB356" s="203"/>
      <c r="AC356" s="321">
        <v>0.152</v>
      </c>
      <c r="AD356" s="205">
        <v>0.152</v>
      </c>
      <c r="AE356" s="314"/>
      <c r="AF356" s="105"/>
    </row>
    <row r="357" spans="1:32" s="110" customFormat="1" ht="24" customHeight="1" x14ac:dyDescent="0.15">
      <c r="A357" s="142" t="s">
        <v>248</v>
      </c>
      <c r="B357" s="142" t="s">
        <v>764</v>
      </c>
      <c r="C357" s="142" t="str">
        <f t="shared" si="96"/>
        <v>到期</v>
      </c>
      <c r="D357" s="103" t="s">
        <v>1844</v>
      </c>
      <c r="E357" s="142" t="s">
        <v>298</v>
      </c>
      <c r="F357" s="144">
        <v>43564</v>
      </c>
      <c r="G357" s="144">
        <v>43592</v>
      </c>
      <c r="H357" s="143" t="s">
        <v>1016</v>
      </c>
      <c r="I357" s="143" t="s">
        <v>222</v>
      </c>
      <c r="J357" s="142" t="s">
        <v>59</v>
      </c>
      <c r="K357" s="105">
        <v>200</v>
      </c>
      <c r="L357" s="105">
        <v>47640</v>
      </c>
      <c r="M357" s="105">
        <v>49500</v>
      </c>
      <c r="N357" s="105">
        <f t="shared" si="99"/>
        <v>205.44499999999999</v>
      </c>
      <c r="O357" s="105">
        <f t="shared" ref="O357:O361" si="103">N357*K357</f>
        <v>41089</v>
      </c>
      <c r="P357" s="101" t="s">
        <v>840</v>
      </c>
      <c r="Q357" s="101" t="s">
        <v>1082</v>
      </c>
      <c r="R357" s="105"/>
      <c r="S357" s="105"/>
      <c r="T357" s="144"/>
      <c r="U357" s="105">
        <v>48290</v>
      </c>
      <c r="V357" s="105">
        <v>0</v>
      </c>
      <c r="W357" s="144">
        <v>43592</v>
      </c>
      <c r="X357" s="104">
        <f t="shared" si="100"/>
        <v>41089</v>
      </c>
      <c r="Y357" s="197">
        <f t="shared" si="102"/>
        <v>9900000</v>
      </c>
      <c r="Z357" s="143"/>
      <c r="AA357" s="143" t="str">
        <f t="shared" si="101"/>
        <v>买入第15期</v>
      </c>
      <c r="AB357" s="203"/>
      <c r="AC357" s="321">
        <v>0.152</v>
      </c>
      <c r="AD357" s="205">
        <v>0.152</v>
      </c>
      <c r="AE357" s="314"/>
      <c r="AF357" s="105"/>
    </row>
    <row r="358" spans="1:32" s="110" customFormat="1" ht="24" customHeight="1" x14ac:dyDescent="0.15">
      <c r="A358" s="142" t="s">
        <v>894</v>
      </c>
      <c r="B358" s="142" t="s">
        <v>297</v>
      </c>
      <c r="C358" s="142" t="str">
        <f t="shared" si="96"/>
        <v>到期</v>
      </c>
      <c r="D358" s="103" t="s">
        <v>1845</v>
      </c>
      <c r="E358" s="142" t="s">
        <v>298</v>
      </c>
      <c r="F358" s="144">
        <v>43564</v>
      </c>
      <c r="G358" s="144">
        <v>43592</v>
      </c>
      <c r="H358" s="143" t="s">
        <v>1016</v>
      </c>
      <c r="I358" s="143" t="s">
        <v>275</v>
      </c>
      <c r="J358" s="142" t="s">
        <v>56</v>
      </c>
      <c r="K358" s="105">
        <v>200</v>
      </c>
      <c r="L358" s="105">
        <v>51600</v>
      </c>
      <c r="M358" s="105">
        <v>49500</v>
      </c>
      <c r="N358" s="105">
        <f t="shared" si="99"/>
        <v>205.44499999999999</v>
      </c>
      <c r="O358" s="105">
        <f t="shared" si="103"/>
        <v>41089</v>
      </c>
      <c r="P358" s="101" t="s">
        <v>576</v>
      </c>
      <c r="Q358" s="101" t="s">
        <v>1083</v>
      </c>
      <c r="R358" s="105"/>
      <c r="S358" s="105"/>
      <c r="T358" s="144"/>
      <c r="U358" s="105">
        <v>48290</v>
      </c>
      <c r="V358" s="105">
        <v>0</v>
      </c>
      <c r="W358" s="144">
        <v>43592</v>
      </c>
      <c r="X358" s="104">
        <f t="shared" si="100"/>
        <v>41089</v>
      </c>
      <c r="Y358" s="197">
        <f t="shared" si="102"/>
        <v>9900000</v>
      </c>
      <c r="Z358" s="143"/>
      <c r="AA358" s="143" t="str">
        <f t="shared" si="101"/>
        <v>买入第15期</v>
      </c>
      <c r="AB358" s="203"/>
      <c r="AC358" s="321">
        <v>0.152</v>
      </c>
      <c r="AD358" s="205">
        <v>0.152</v>
      </c>
      <c r="AE358" s="314"/>
      <c r="AF358" s="105"/>
    </row>
    <row r="359" spans="1:32" s="110" customFormat="1" ht="24" customHeight="1" x14ac:dyDescent="0.15">
      <c r="A359" s="142" t="s">
        <v>894</v>
      </c>
      <c r="B359" s="142" t="s">
        <v>297</v>
      </c>
      <c r="C359" s="142" t="str">
        <f t="shared" si="96"/>
        <v>到期</v>
      </c>
      <c r="D359" s="103" t="s">
        <v>1845</v>
      </c>
      <c r="E359" s="142" t="s">
        <v>298</v>
      </c>
      <c r="F359" s="144">
        <v>43564</v>
      </c>
      <c r="G359" s="144">
        <v>43592</v>
      </c>
      <c r="H359" s="143" t="s">
        <v>1016</v>
      </c>
      <c r="I359" s="143" t="s">
        <v>222</v>
      </c>
      <c r="J359" s="142" t="s">
        <v>59</v>
      </c>
      <c r="K359" s="105">
        <v>200</v>
      </c>
      <c r="L359" s="105">
        <v>47640</v>
      </c>
      <c r="M359" s="105">
        <v>49500</v>
      </c>
      <c r="N359" s="105">
        <f t="shared" si="99"/>
        <v>205.44499999999999</v>
      </c>
      <c r="O359" s="105">
        <f t="shared" si="103"/>
        <v>41089</v>
      </c>
      <c r="P359" s="101" t="s">
        <v>576</v>
      </c>
      <c r="Q359" s="101" t="s">
        <v>1084</v>
      </c>
      <c r="R359" s="105"/>
      <c r="S359" s="105"/>
      <c r="T359" s="144"/>
      <c r="U359" s="105">
        <v>48290</v>
      </c>
      <c r="V359" s="105">
        <v>0</v>
      </c>
      <c r="W359" s="144">
        <v>43592</v>
      </c>
      <c r="X359" s="104">
        <f t="shared" si="100"/>
        <v>41089</v>
      </c>
      <c r="Y359" s="197">
        <f t="shared" si="102"/>
        <v>9900000</v>
      </c>
      <c r="Z359" s="143"/>
      <c r="AA359" s="143" t="str">
        <f t="shared" si="101"/>
        <v>买入第15期</v>
      </c>
      <c r="AB359" s="203"/>
      <c r="AC359" s="321">
        <v>0.152</v>
      </c>
      <c r="AD359" s="205">
        <v>0.152</v>
      </c>
      <c r="AE359" s="314"/>
      <c r="AF359" s="105"/>
    </row>
    <row r="360" spans="1:32" ht="24" customHeight="1" x14ac:dyDescent="0.15">
      <c r="A360" s="142" t="s">
        <v>394</v>
      </c>
      <c r="B360" s="142" t="s">
        <v>764</v>
      </c>
      <c r="C360" s="142" t="str">
        <f t="shared" si="96"/>
        <v>到期</v>
      </c>
      <c r="D360" s="128" t="s">
        <v>1855</v>
      </c>
      <c r="E360" s="142" t="s">
        <v>298</v>
      </c>
      <c r="F360" s="144">
        <v>43565</v>
      </c>
      <c r="G360" s="144">
        <v>43594</v>
      </c>
      <c r="H360" s="143" t="s">
        <v>899</v>
      </c>
      <c r="I360" s="143" t="s">
        <v>241</v>
      </c>
      <c r="J360" s="142" t="s">
        <v>56</v>
      </c>
      <c r="K360" s="105">
        <v>200</v>
      </c>
      <c r="L360" s="105">
        <v>11955</v>
      </c>
      <c r="M360" s="105">
        <v>11955</v>
      </c>
      <c r="N360" s="105">
        <v>250</v>
      </c>
      <c r="O360" s="105">
        <f t="shared" si="103"/>
        <v>50000</v>
      </c>
      <c r="P360" s="101" t="s">
        <v>583</v>
      </c>
      <c r="Q360" s="101" t="s">
        <v>760</v>
      </c>
      <c r="R360" s="105"/>
      <c r="S360" s="105"/>
      <c r="T360" s="144"/>
      <c r="U360" s="105">
        <v>13540</v>
      </c>
      <c r="V360" s="105">
        <f>(U360-L360)*200</f>
        <v>317000</v>
      </c>
      <c r="W360" s="144">
        <v>43594</v>
      </c>
      <c r="X360" s="104">
        <f t="shared" si="100"/>
        <v>267000</v>
      </c>
      <c r="Y360" s="197">
        <f t="shared" si="102"/>
        <v>2391000</v>
      </c>
      <c r="Z360" s="143" t="str">
        <f t="shared" ref="Z360:Z386" si="104">IF(C360="存续",D360&amp;H360&amp;"-"&amp;AA360,"")</f>
        <v/>
      </c>
      <c r="AA360" s="143" t="str">
        <f t="shared" ref="AA360:AA367" si="105">IF(I360="买入","卖出","买入")</f>
        <v>卖出</v>
      </c>
      <c r="AB360" s="203"/>
      <c r="AC360" s="321">
        <v>0.19309999999999999</v>
      </c>
      <c r="AD360" s="319"/>
      <c r="AE360" s="314"/>
      <c r="AF360" s="105"/>
    </row>
    <row r="361" spans="1:32" ht="24" customHeight="1" x14ac:dyDescent="0.15">
      <c r="A361" s="142" t="s">
        <v>394</v>
      </c>
      <c r="B361" s="142" t="s">
        <v>295</v>
      </c>
      <c r="C361" s="142" t="str">
        <f t="shared" si="96"/>
        <v>到期</v>
      </c>
      <c r="D361" s="128" t="s">
        <v>1853</v>
      </c>
      <c r="E361" s="142" t="s">
        <v>340</v>
      </c>
      <c r="F361" s="144">
        <v>43565</v>
      </c>
      <c r="G361" s="144">
        <v>43595</v>
      </c>
      <c r="H361" s="143" t="s">
        <v>899</v>
      </c>
      <c r="I361" s="143" t="s">
        <v>275</v>
      </c>
      <c r="J361" s="142" t="s">
        <v>56</v>
      </c>
      <c r="K361" s="105">
        <v>200</v>
      </c>
      <c r="L361" s="105">
        <v>11961</v>
      </c>
      <c r="M361" s="105">
        <v>11961</v>
      </c>
      <c r="N361" s="105">
        <v>239.22</v>
      </c>
      <c r="O361" s="105">
        <f t="shared" si="103"/>
        <v>47844</v>
      </c>
      <c r="P361" s="101" t="s">
        <v>436</v>
      </c>
      <c r="Q361" s="101" t="s">
        <v>1085</v>
      </c>
      <c r="R361" s="105"/>
      <c r="S361" s="105"/>
      <c r="T361" s="144"/>
      <c r="U361" s="104">
        <v>13635</v>
      </c>
      <c r="V361" s="104">
        <f>-(U361-L361)*200</f>
        <v>-334800</v>
      </c>
      <c r="W361" s="48">
        <v>43595</v>
      </c>
      <c r="X361" s="104">
        <f t="shared" si="100"/>
        <v>-286956</v>
      </c>
      <c r="Y361" s="197">
        <f t="shared" si="102"/>
        <v>2392200</v>
      </c>
      <c r="Z361" s="143" t="str">
        <f t="shared" si="104"/>
        <v/>
      </c>
      <c r="AA361" s="143" t="str">
        <f t="shared" si="105"/>
        <v>买入</v>
      </c>
      <c r="AB361" s="203"/>
      <c r="AC361" s="321">
        <v>0.1799</v>
      </c>
      <c r="AD361" s="319"/>
      <c r="AE361" s="314"/>
      <c r="AF361" s="105"/>
    </row>
    <row r="362" spans="1:32" ht="24" customHeight="1" x14ac:dyDescent="0.15">
      <c r="A362" s="142" t="s">
        <v>394</v>
      </c>
      <c r="B362" s="142" t="s">
        <v>764</v>
      </c>
      <c r="C362" s="142" t="str">
        <f t="shared" si="96"/>
        <v>到期</v>
      </c>
      <c r="D362" s="128" t="s">
        <v>1855</v>
      </c>
      <c r="E362" s="142" t="s">
        <v>298</v>
      </c>
      <c r="F362" s="144">
        <v>43566</v>
      </c>
      <c r="G362" s="144">
        <v>43595</v>
      </c>
      <c r="H362" s="143" t="s">
        <v>899</v>
      </c>
      <c r="I362" s="143" t="s">
        <v>241</v>
      </c>
      <c r="J362" s="142" t="s">
        <v>56</v>
      </c>
      <c r="K362" s="105">
        <v>200</v>
      </c>
      <c r="L362" s="105">
        <v>11967</v>
      </c>
      <c r="M362" s="105">
        <v>11967</v>
      </c>
      <c r="N362" s="105">
        <v>253.5</v>
      </c>
      <c r="O362" s="105">
        <v>50700</v>
      </c>
      <c r="P362" s="101" t="s">
        <v>584</v>
      </c>
      <c r="Q362" s="101" t="s">
        <v>1086</v>
      </c>
      <c r="R362" s="105"/>
      <c r="S362" s="105"/>
      <c r="T362" s="144"/>
      <c r="U362" s="105">
        <v>13635</v>
      </c>
      <c r="V362" s="105">
        <f>(U362-L362)*200</f>
        <v>333600</v>
      </c>
      <c r="W362" s="144">
        <v>43595</v>
      </c>
      <c r="X362" s="104">
        <f t="shared" si="100"/>
        <v>282900</v>
      </c>
      <c r="Y362" s="197">
        <f t="shared" si="102"/>
        <v>2393400</v>
      </c>
      <c r="Z362" s="143" t="str">
        <f t="shared" si="104"/>
        <v/>
      </c>
      <c r="AA362" s="143" t="str">
        <f t="shared" si="105"/>
        <v>卖出</v>
      </c>
      <c r="AB362" s="203"/>
      <c r="AC362" s="321">
        <v>0.1799</v>
      </c>
      <c r="AD362" s="319"/>
      <c r="AE362" s="314"/>
      <c r="AF362" s="105"/>
    </row>
    <row r="363" spans="1:32" ht="24" customHeight="1" x14ac:dyDescent="0.15">
      <c r="A363" s="142" t="s">
        <v>244</v>
      </c>
      <c r="B363" s="142" t="s">
        <v>297</v>
      </c>
      <c r="C363" s="142" t="str">
        <f t="shared" si="96"/>
        <v>到期</v>
      </c>
      <c r="D363" s="123" t="s">
        <v>1854</v>
      </c>
      <c r="E363" s="142" t="s">
        <v>298</v>
      </c>
      <c r="F363" s="144">
        <v>43567</v>
      </c>
      <c r="G363" s="144">
        <v>43595</v>
      </c>
      <c r="H363" s="143" t="s">
        <v>900</v>
      </c>
      <c r="I363" s="143" t="s">
        <v>241</v>
      </c>
      <c r="J363" s="142" t="s">
        <v>25</v>
      </c>
      <c r="K363" s="105">
        <v>300</v>
      </c>
      <c r="L363" s="105">
        <v>8225</v>
      </c>
      <c r="M363" s="105">
        <v>8525</v>
      </c>
      <c r="N363" s="105">
        <v>28.7</v>
      </c>
      <c r="O363" s="105">
        <f>N363*K363</f>
        <v>8610</v>
      </c>
      <c r="P363" s="101" t="s">
        <v>585</v>
      </c>
      <c r="Q363" s="101" t="s">
        <v>1087</v>
      </c>
      <c r="R363" s="105">
        <v>17.91</v>
      </c>
      <c r="S363" s="105">
        <f>R363*K363</f>
        <v>5373</v>
      </c>
      <c r="T363" s="144">
        <v>43572</v>
      </c>
      <c r="U363" s="105"/>
      <c r="V363" s="105"/>
      <c r="W363" s="144"/>
      <c r="X363" s="104">
        <f t="shared" ref="X363" si="106">IF(I363="买入",S363-O363,O363+S363)</f>
        <v>-3237</v>
      </c>
      <c r="Y363" s="197">
        <f t="shared" si="102"/>
        <v>2557500</v>
      </c>
      <c r="Z363" s="143" t="str">
        <f t="shared" si="104"/>
        <v/>
      </c>
      <c r="AA363" s="143" t="str">
        <f t="shared" si="105"/>
        <v>卖出</v>
      </c>
      <c r="AB363" s="203"/>
      <c r="AC363" s="321">
        <v>0.14000000000000001</v>
      </c>
      <c r="AD363" s="319"/>
      <c r="AE363" s="324" t="s">
        <v>1335</v>
      </c>
      <c r="AF363" s="105"/>
    </row>
    <row r="364" spans="1:32" ht="24" customHeight="1" x14ac:dyDescent="0.15">
      <c r="A364" s="142" t="s">
        <v>394</v>
      </c>
      <c r="B364" s="142" t="s">
        <v>764</v>
      </c>
      <c r="C364" s="142" t="str">
        <f t="shared" si="96"/>
        <v>到期</v>
      </c>
      <c r="D364" s="128" t="s">
        <v>1855</v>
      </c>
      <c r="E364" s="142" t="s">
        <v>298</v>
      </c>
      <c r="F364" s="144">
        <v>43567</v>
      </c>
      <c r="G364" s="144">
        <v>43598</v>
      </c>
      <c r="H364" s="143" t="s">
        <v>899</v>
      </c>
      <c r="I364" s="143" t="s">
        <v>241</v>
      </c>
      <c r="J364" s="142" t="s">
        <v>56</v>
      </c>
      <c r="K364" s="105">
        <v>200</v>
      </c>
      <c r="L364" s="105">
        <v>11900</v>
      </c>
      <c r="M364" s="105">
        <v>11900</v>
      </c>
      <c r="N364" s="105">
        <v>251.2</v>
      </c>
      <c r="O364" s="105">
        <v>50240</v>
      </c>
      <c r="P364" s="101" t="s">
        <v>468</v>
      </c>
      <c r="Q364" s="101" t="s">
        <v>1088</v>
      </c>
      <c r="R364" s="105"/>
      <c r="S364" s="105"/>
      <c r="T364" s="144"/>
      <c r="U364" s="105">
        <v>14115</v>
      </c>
      <c r="V364" s="105">
        <f>(U364-L364)*200</f>
        <v>443000</v>
      </c>
      <c r="W364" s="144">
        <v>43598</v>
      </c>
      <c r="X364" s="104">
        <f t="shared" ref="X364:X366" si="107">IF(I364="买入",V364-O364,V364+O364)</f>
        <v>392760</v>
      </c>
      <c r="Y364" s="197">
        <f t="shared" si="102"/>
        <v>2380000</v>
      </c>
      <c r="Z364" s="143" t="str">
        <f t="shared" si="104"/>
        <v/>
      </c>
      <c r="AA364" s="143" t="str">
        <f t="shared" si="105"/>
        <v>卖出</v>
      </c>
      <c r="AB364" s="203"/>
      <c r="AC364" s="321">
        <v>0.1797</v>
      </c>
      <c r="AD364" s="319"/>
      <c r="AE364" s="314"/>
      <c r="AF364" s="105"/>
    </row>
    <row r="365" spans="1:32" ht="24" customHeight="1" x14ac:dyDescent="0.15">
      <c r="A365" s="142" t="s">
        <v>394</v>
      </c>
      <c r="B365" s="142" t="s">
        <v>295</v>
      </c>
      <c r="C365" s="142" t="str">
        <f t="shared" si="96"/>
        <v>到期</v>
      </c>
      <c r="D365" s="128" t="s">
        <v>196</v>
      </c>
      <c r="E365" s="142" t="s">
        <v>340</v>
      </c>
      <c r="F365" s="144">
        <v>43570</v>
      </c>
      <c r="G365" s="144">
        <v>43581</v>
      </c>
      <c r="H365" s="143" t="s">
        <v>570</v>
      </c>
      <c r="I365" s="143" t="s">
        <v>275</v>
      </c>
      <c r="J365" s="142" t="s">
        <v>56</v>
      </c>
      <c r="K365" s="105">
        <v>1000</v>
      </c>
      <c r="L365" s="105">
        <v>16170</v>
      </c>
      <c r="M365" s="105">
        <v>16170</v>
      </c>
      <c r="N365" s="105">
        <v>150.381</v>
      </c>
      <c r="O365" s="105">
        <f t="shared" ref="O365:O387" si="108">N365*K365</f>
        <v>150381</v>
      </c>
      <c r="P365" s="101" t="s">
        <v>598</v>
      </c>
      <c r="Q365" s="101" t="s">
        <v>1089</v>
      </c>
      <c r="R365" s="105"/>
      <c r="S365" s="105"/>
      <c r="T365" s="144"/>
      <c r="U365" s="104">
        <v>15625</v>
      </c>
      <c r="V365" s="104">
        <f>-MAX(U365-L365,0)*K365</f>
        <v>0</v>
      </c>
      <c r="W365" s="48">
        <v>43581</v>
      </c>
      <c r="X365" s="104">
        <f t="shared" si="107"/>
        <v>150381</v>
      </c>
      <c r="Y365" s="197">
        <f t="shared" si="102"/>
        <v>16170000</v>
      </c>
      <c r="Z365" s="143" t="str">
        <f t="shared" si="104"/>
        <v/>
      </c>
      <c r="AA365" s="143" t="str">
        <f t="shared" si="105"/>
        <v>买入</v>
      </c>
      <c r="AB365" s="203"/>
      <c r="AC365" s="321">
        <v>0.1207</v>
      </c>
      <c r="AD365" s="319"/>
      <c r="AE365" s="314"/>
      <c r="AF365" s="105"/>
    </row>
    <row r="366" spans="1:32" ht="24" customHeight="1" x14ac:dyDescent="0.15">
      <c r="A366" s="142" t="s">
        <v>394</v>
      </c>
      <c r="B366" s="142" t="s">
        <v>295</v>
      </c>
      <c r="C366" s="142" t="str">
        <f t="shared" si="96"/>
        <v>到期</v>
      </c>
      <c r="D366" s="128" t="s">
        <v>266</v>
      </c>
      <c r="E366" s="142" t="s">
        <v>137</v>
      </c>
      <c r="F366" s="144">
        <v>43570</v>
      </c>
      <c r="G366" s="144">
        <v>43581</v>
      </c>
      <c r="H366" s="143" t="s">
        <v>570</v>
      </c>
      <c r="I366" s="143" t="s">
        <v>241</v>
      </c>
      <c r="J366" s="142" t="s">
        <v>56</v>
      </c>
      <c r="K366" s="105">
        <v>1000</v>
      </c>
      <c r="L366" s="105">
        <v>16158.87</v>
      </c>
      <c r="M366" s="105">
        <v>16158.87</v>
      </c>
      <c r="N366" s="105">
        <v>160</v>
      </c>
      <c r="O366" s="105">
        <f t="shared" si="108"/>
        <v>160000</v>
      </c>
      <c r="P366" s="101" t="s">
        <v>856</v>
      </c>
      <c r="Q366" s="101" t="s">
        <v>1090</v>
      </c>
      <c r="R366" s="105"/>
      <c r="S366" s="105"/>
      <c r="T366" s="144"/>
      <c r="U366" s="105">
        <v>15625</v>
      </c>
      <c r="V366" s="105">
        <f>MAX(U366-L366,0)*K366</f>
        <v>0</v>
      </c>
      <c r="W366" s="144">
        <v>43581</v>
      </c>
      <c r="X366" s="104">
        <f t="shared" si="107"/>
        <v>-160000</v>
      </c>
      <c r="Y366" s="197">
        <f t="shared" si="102"/>
        <v>16158870</v>
      </c>
      <c r="Z366" s="143" t="str">
        <f t="shared" si="104"/>
        <v/>
      </c>
      <c r="AA366" s="143" t="str">
        <f t="shared" si="105"/>
        <v>卖出</v>
      </c>
      <c r="AB366" s="203"/>
      <c r="AC366" s="321">
        <v>0.12859999999999999</v>
      </c>
      <c r="AD366" s="319"/>
      <c r="AE366" s="314"/>
      <c r="AF366" s="105"/>
    </row>
    <row r="367" spans="1:32" ht="24.95" customHeight="1" x14ac:dyDescent="0.15">
      <c r="A367" s="142" t="s">
        <v>247</v>
      </c>
      <c r="B367" s="142" t="s">
        <v>764</v>
      </c>
      <c r="C367" s="142" t="str">
        <f t="shared" si="96"/>
        <v>到期</v>
      </c>
      <c r="D367" s="127" t="s">
        <v>1856</v>
      </c>
      <c r="E367" s="142" t="s">
        <v>298</v>
      </c>
      <c r="F367" s="48">
        <v>43571</v>
      </c>
      <c r="G367" s="48">
        <v>43591</v>
      </c>
      <c r="H367" s="143" t="s">
        <v>578</v>
      </c>
      <c r="I367" s="143" t="s">
        <v>222</v>
      </c>
      <c r="J367" s="142" t="s">
        <v>22</v>
      </c>
      <c r="K367" s="105">
        <v>2000</v>
      </c>
      <c r="L367" s="105">
        <v>3695</v>
      </c>
      <c r="M367" s="105">
        <v>3695</v>
      </c>
      <c r="N367" s="105">
        <v>60</v>
      </c>
      <c r="O367" s="105">
        <f t="shared" si="108"/>
        <v>120000</v>
      </c>
      <c r="P367" s="101" t="s">
        <v>603</v>
      </c>
      <c r="Q367" s="101" t="s">
        <v>1091</v>
      </c>
      <c r="R367" s="105">
        <v>41.13</v>
      </c>
      <c r="S367" s="104">
        <f>-R367*K367</f>
        <v>-82260</v>
      </c>
      <c r="T367" s="144">
        <v>43574</v>
      </c>
      <c r="U367" s="105"/>
      <c r="V367" s="105"/>
      <c r="W367" s="144"/>
      <c r="X367" s="104">
        <f>IF(I367="买入",S367-O367,O367+S367)</f>
        <v>37740</v>
      </c>
      <c r="Y367" s="197">
        <f t="shared" si="102"/>
        <v>7390000</v>
      </c>
      <c r="Z367" s="143" t="str">
        <f t="shared" si="104"/>
        <v/>
      </c>
      <c r="AA367" s="143" t="str">
        <f t="shared" si="105"/>
        <v>买入</v>
      </c>
      <c r="AB367" s="203"/>
      <c r="AC367" s="321"/>
      <c r="AD367" s="321"/>
      <c r="AE367" s="324" t="s">
        <v>1335</v>
      </c>
      <c r="AF367" s="105"/>
    </row>
    <row r="368" spans="1:32" ht="24.95" customHeight="1" x14ac:dyDescent="0.15">
      <c r="A368" s="142" t="s">
        <v>248</v>
      </c>
      <c r="B368" s="142" t="s">
        <v>764</v>
      </c>
      <c r="C368" s="142" t="str">
        <f t="shared" si="96"/>
        <v>到期</v>
      </c>
      <c r="D368" s="103" t="s">
        <v>1841</v>
      </c>
      <c r="E368" s="142" t="s">
        <v>298</v>
      </c>
      <c r="F368" s="144">
        <v>43571</v>
      </c>
      <c r="G368" s="144">
        <v>43599</v>
      </c>
      <c r="H368" s="143" t="s">
        <v>1017</v>
      </c>
      <c r="I368" s="143" t="s">
        <v>222</v>
      </c>
      <c r="J368" s="142" t="s">
        <v>56</v>
      </c>
      <c r="K368" s="105">
        <v>200</v>
      </c>
      <c r="L368" s="105">
        <v>51370</v>
      </c>
      <c r="M368" s="105">
        <v>49440</v>
      </c>
      <c r="N368" s="105">
        <f t="shared" ref="N368:N377" si="109">410.39/2</f>
        <v>205.19499999999999</v>
      </c>
      <c r="O368" s="105">
        <f t="shared" si="108"/>
        <v>41039</v>
      </c>
      <c r="P368" s="101" t="s">
        <v>592</v>
      </c>
      <c r="Q368" s="101" t="s">
        <v>1092</v>
      </c>
      <c r="R368" s="105"/>
      <c r="S368" s="105"/>
      <c r="T368" s="144"/>
      <c r="U368" s="104">
        <v>47490</v>
      </c>
      <c r="V368" s="104">
        <v>0</v>
      </c>
      <c r="W368" s="48">
        <v>43599</v>
      </c>
      <c r="X368" s="104">
        <f t="shared" ref="X368:X399" si="110">IF(I368="买入",V368-O368,V368+O368)</f>
        <v>41039</v>
      </c>
      <c r="Y368" s="197">
        <f t="shared" si="102"/>
        <v>9888000</v>
      </c>
      <c r="Z368" s="143" t="str">
        <f t="shared" si="104"/>
        <v/>
      </c>
      <c r="AA368" s="143" t="str">
        <f t="shared" ref="AA368:AA377" si="111">IF(I368="买入","卖出","买入第16期")</f>
        <v>买入第16期</v>
      </c>
      <c r="AB368" s="203"/>
      <c r="AC368" s="321">
        <v>0.152</v>
      </c>
      <c r="AD368" s="205">
        <v>0.152</v>
      </c>
      <c r="AE368" s="314"/>
      <c r="AF368" s="105"/>
    </row>
    <row r="369" spans="1:32" ht="24.95" customHeight="1" x14ac:dyDescent="0.15">
      <c r="A369" s="142" t="s">
        <v>248</v>
      </c>
      <c r="B369" s="142" t="s">
        <v>297</v>
      </c>
      <c r="C369" s="142" t="str">
        <f t="shared" si="96"/>
        <v>到期</v>
      </c>
      <c r="D369" s="103" t="s">
        <v>1841</v>
      </c>
      <c r="E369" s="142" t="s">
        <v>298</v>
      </c>
      <c r="F369" s="144">
        <v>43571</v>
      </c>
      <c r="G369" s="144">
        <v>43599</v>
      </c>
      <c r="H369" s="143" t="s">
        <v>1017</v>
      </c>
      <c r="I369" s="143" t="s">
        <v>222</v>
      </c>
      <c r="J369" s="142" t="s">
        <v>59</v>
      </c>
      <c r="K369" s="105">
        <v>200</v>
      </c>
      <c r="L369" s="105">
        <v>47420</v>
      </c>
      <c r="M369" s="105">
        <v>49440</v>
      </c>
      <c r="N369" s="105">
        <f t="shared" si="109"/>
        <v>205.19499999999999</v>
      </c>
      <c r="O369" s="105">
        <f t="shared" si="108"/>
        <v>41039</v>
      </c>
      <c r="P369" s="101" t="s">
        <v>592</v>
      </c>
      <c r="Q369" s="101" t="s">
        <v>1092</v>
      </c>
      <c r="R369" s="105"/>
      <c r="S369" s="105"/>
      <c r="T369" s="144"/>
      <c r="U369" s="105">
        <v>47490</v>
      </c>
      <c r="V369" s="105">
        <v>0</v>
      </c>
      <c r="W369" s="144">
        <v>43599</v>
      </c>
      <c r="X369" s="104">
        <f t="shared" si="110"/>
        <v>41039</v>
      </c>
      <c r="Y369" s="197">
        <f t="shared" si="102"/>
        <v>9888000</v>
      </c>
      <c r="Z369" s="143" t="str">
        <f t="shared" si="104"/>
        <v/>
      </c>
      <c r="AA369" s="143" t="str">
        <f t="shared" si="111"/>
        <v>买入第16期</v>
      </c>
      <c r="AB369" s="203"/>
      <c r="AC369" s="321">
        <v>0.152</v>
      </c>
      <c r="AD369" s="205">
        <v>0.152</v>
      </c>
      <c r="AE369" s="314"/>
      <c r="AF369" s="105"/>
    </row>
    <row r="370" spans="1:32" ht="24.95" customHeight="1" x14ac:dyDescent="0.15">
      <c r="A370" s="142" t="s">
        <v>894</v>
      </c>
      <c r="B370" s="142" t="s">
        <v>297</v>
      </c>
      <c r="C370" s="142" t="str">
        <f t="shared" si="96"/>
        <v>到期</v>
      </c>
      <c r="D370" s="103" t="s">
        <v>1842</v>
      </c>
      <c r="E370" s="143" t="s">
        <v>298</v>
      </c>
      <c r="F370" s="48">
        <v>43571</v>
      </c>
      <c r="G370" s="48">
        <v>43599</v>
      </c>
      <c r="H370" s="143" t="s">
        <v>1017</v>
      </c>
      <c r="I370" s="143" t="s">
        <v>222</v>
      </c>
      <c r="J370" s="142" t="s">
        <v>56</v>
      </c>
      <c r="K370" s="105">
        <v>200</v>
      </c>
      <c r="L370" s="105">
        <v>51370</v>
      </c>
      <c r="M370" s="105">
        <v>49440</v>
      </c>
      <c r="N370" s="105">
        <f t="shared" si="109"/>
        <v>205.19499999999999</v>
      </c>
      <c r="O370" s="105">
        <f t="shared" si="108"/>
        <v>41039</v>
      </c>
      <c r="P370" s="101" t="s">
        <v>593</v>
      </c>
      <c r="Q370" s="101" t="s">
        <v>1093</v>
      </c>
      <c r="R370" s="105"/>
      <c r="S370" s="105"/>
      <c r="T370" s="144"/>
      <c r="U370" s="105">
        <v>47490</v>
      </c>
      <c r="V370" s="105">
        <v>0</v>
      </c>
      <c r="W370" s="144">
        <v>43599</v>
      </c>
      <c r="X370" s="104">
        <f t="shared" si="110"/>
        <v>41039</v>
      </c>
      <c r="Y370" s="197">
        <f t="shared" si="102"/>
        <v>9888000</v>
      </c>
      <c r="Z370" s="143" t="str">
        <f t="shared" si="104"/>
        <v/>
      </c>
      <c r="AA370" s="143" t="str">
        <f t="shared" si="111"/>
        <v>买入第16期</v>
      </c>
      <c r="AB370" s="203"/>
      <c r="AC370" s="321">
        <v>0.152</v>
      </c>
      <c r="AD370" s="205">
        <v>0.152</v>
      </c>
      <c r="AE370" s="314"/>
      <c r="AF370" s="105"/>
    </row>
    <row r="371" spans="1:32" ht="24.95" customHeight="1" x14ac:dyDescent="0.15">
      <c r="A371" s="142" t="s">
        <v>894</v>
      </c>
      <c r="B371" s="142" t="s">
        <v>297</v>
      </c>
      <c r="C371" s="142" t="str">
        <f t="shared" si="96"/>
        <v>到期</v>
      </c>
      <c r="D371" s="103" t="s">
        <v>1842</v>
      </c>
      <c r="E371" s="142" t="s">
        <v>298</v>
      </c>
      <c r="F371" s="144">
        <v>43571</v>
      </c>
      <c r="G371" s="48">
        <v>43599</v>
      </c>
      <c r="H371" s="143" t="s">
        <v>1017</v>
      </c>
      <c r="I371" s="143" t="s">
        <v>275</v>
      </c>
      <c r="J371" s="142" t="s">
        <v>59</v>
      </c>
      <c r="K371" s="105">
        <v>200</v>
      </c>
      <c r="L371" s="105">
        <v>47420</v>
      </c>
      <c r="M371" s="105">
        <v>49440</v>
      </c>
      <c r="N371" s="105">
        <f t="shared" si="109"/>
        <v>205.19499999999999</v>
      </c>
      <c r="O371" s="105">
        <f t="shared" si="108"/>
        <v>41039</v>
      </c>
      <c r="P371" s="101" t="s">
        <v>593</v>
      </c>
      <c r="Q371" s="101" t="s">
        <v>1094</v>
      </c>
      <c r="R371" s="105"/>
      <c r="S371" s="105"/>
      <c r="T371" s="144"/>
      <c r="U371" s="105">
        <v>47490</v>
      </c>
      <c r="V371" s="105">
        <v>0</v>
      </c>
      <c r="W371" s="144">
        <v>43599</v>
      </c>
      <c r="X371" s="104">
        <f t="shared" si="110"/>
        <v>41039</v>
      </c>
      <c r="Y371" s="197">
        <f t="shared" si="102"/>
        <v>9888000</v>
      </c>
      <c r="Z371" s="143" t="str">
        <f t="shared" si="104"/>
        <v/>
      </c>
      <c r="AA371" s="143" t="str">
        <f t="shared" si="111"/>
        <v>买入第16期</v>
      </c>
      <c r="AB371" s="203"/>
      <c r="AC371" s="321">
        <v>0.152</v>
      </c>
      <c r="AD371" s="205">
        <v>0.152</v>
      </c>
      <c r="AE371" s="314"/>
      <c r="AF371" s="105"/>
    </row>
    <row r="372" spans="1:32" ht="24.95" customHeight="1" x14ac:dyDescent="0.15">
      <c r="A372" s="142" t="s">
        <v>248</v>
      </c>
      <c r="B372" s="120" t="s">
        <v>764</v>
      </c>
      <c r="C372" s="142" t="str">
        <f t="shared" si="96"/>
        <v>到期</v>
      </c>
      <c r="D372" s="103" t="s">
        <v>1843</v>
      </c>
      <c r="E372" s="142" t="s">
        <v>298</v>
      </c>
      <c r="F372" s="144">
        <v>43571</v>
      </c>
      <c r="G372" s="144">
        <v>43599</v>
      </c>
      <c r="H372" s="143" t="s">
        <v>1017</v>
      </c>
      <c r="I372" s="143" t="s">
        <v>275</v>
      </c>
      <c r="J372" s="142" t="s">
        <v>56</v>
      </c>
      <c r="K372" s="105">
        <v>200</v>
      </c>
      <c r="L372" s="105">
        <v>51370</v>
      </c>
      <c r="M372" s="105">
        <v>49440</v>
      </c>
      <c r="N372" s="105">
        <f t="shared" si="109"/>
        <v>205.19499999999999</v>
      </c>
      <c r="O372" s="105">
        <f t="shared" si="108"/>
        <v>41039</v>
      </c>
      <c r="P372" s="101" t="s">
        <v>594</v>
      </c>
      <c r="Q372" s="101" t="s">
        <v>782</v>
      </c>
      <c r="R372" s="105"/>
      <c r="S372" s="105"/>
      <c r="T372" s="144"/>
      <c r="U372" s="105">
        <v>47490</v>
      </c>
      <c r="V372" s="105">
        <v>0</v>
      </c>
      <c r="W372" s="144">
        <v>43599</v>
      </c>
      <c r="X372" s="104">
        <f t="shared" si="110"/>
        <v>41039</v>
      </c>
      <c r="Y372" s="197">
        <f t="shared" si="102"/>
        <v>9888000</v>
      </c>
      <c r="Z372" s="143" t="str">
        <f t="shared" si="104"/>
        <v/>
      </c>
      <c r="AA372" s="143" t="str">
        <f t="shared" si="111"/>
        <v>买入第16期</v>
      </c>
      <c r="AB372" s="203"/>
      <c r="AC372" s="321">
        <v>0.152</v>
      </c>
      <c r="AD372" s="205">
        <v>0.152</v>
      </c>
      <c r="AE372" s="314"/>
      <c r="AF372" s="105"/>
    </row>
    <row r="373" spans="1:32" ht="24.95" customHeight="1" x14ac:dyDescent="0.15">
      <c r="A373" s="142" t="s">
        <v>894</v>
      </c>
      <c r="B373" s="120" t="s">
        <v>297</v>
      </c>
      <c r="C373" s="142" t="str">
        <f t="shared" si="96"/>
        <v>到期</v>
      </c>
      <c r="D373" s="103" t="s">
        <v>1843</v>
      </c>
      <c r="E373" s="142" t="s">
        <v>298</v>
      </c>
      <c r="F373" s="144">
        <v>43571</v>
      </c>
      <c r="G373" s="144">
        <v>43599</v>
      </c>
      <c r="H373" s="143" t="s">
        <v>1017</v>
      </c>
      <c r="I373" s="143" t="s">
        <v>222</v>
      </c>
      <c r="J373" s="142" t="s">
        <v>59</v>
      </c>
      <c r="K373" s="105">
        <v>200</v>
      </c>
      <c r="L373" s="105">
        <v>47420</v>
      </c>
      <c r="M373" s="105">
        <v>49440</v>
      </c>
      <c r="N373" s="105">
        <f t="shared" si="109"/>
        <v>205.19499999999999</v>
      </c>
      <c r="O373" s="105">
        <f t="shared" si="108"/>
        <v>41039</v>
      </c>
      <c r="P373" s="101" t="s">
        <v>594</v>
      </c>
      <c r="Q373" s="101" t="s">
        <v>1095</v>
      </c>
      <c r="R373" s="105"/>
      <c r="S373" s="105"/>
      <c r="T373" s="144"/>
      <c r="U373" s="104">
        <v>47490</v>
      </c>
      <c r="V373" s="104">
        <v>0</v>
      </c>
      <c r="W373" s="48">
        <v>43599</v>
      </c>
      <c r="X373" s="104">
        <f t="shared" si="110"/>
        <v>41039</v>
      </c>
      <c r="Y373" s="197">
        <f t="shared" si="102"/>
        <v>9888000</v>
      </c>
      <c r="Z373" s="143" t="str">
        <f t="shared" si="104"/>
        <v/>
      </c>
      <c r="AA373" s="143" t="str">
        <f t="shared" si="111"/>
        <v>买入第16期</v>
      </c>
      <c r="AB373" s="203"/>
      <c r="AC373" s="321">
        <v>0.152</v>
      </c>
      <c r="AD373" s="205">
        <v>0.152</v>
      </c>
      <c r="AE373" s="314"/>
      <c r="AF373" s="105"/>
    </row>
    <row r="374" spans="1:32" ht="24.95" customHeight="1" x14ac:dyDescent="0.15">
      <c r="A374" s="142" t="s">
        <v>894</v>
      </c>
      <c r="B374" s="142" t="s">
        <v>764</v>
      </c>
      <c r="C374" s="142" t="str">
        <f t="shared" si="96"/>
        <v>到期</v>
      </c>
      <c r="D374" s="103" t="s">
        <v>1844</v>
      </c>
      <c r="E374" s="142" t="s">
        <v>298</v>
      </c>
      <c r="F374" s="144">
        <v>43571</v>
      </c>
      <c r="G374" s="144">
        <v>43599</v>
      </c>
      <c r="H374" s="143" t="s">
        <v>1017</v>
      </c>
      <c r="I374" s="143" t="s">
        <v>275</v>
      </c>
      <c r="J374" s="142" t="s">
        <v>56</v>
      </c>
      <c r="K374" s="105">
        <v>200</v>
      </c>
      <c r="L374" s="105">
        <v>51370</v>
      </c>
      <c r="M374" s="105">
        <v>49440</v>
      </c>
      <c r="N374" s="105">
        <f t="shared" si="109"/>
        <v>205.19499999999999</v>
      </c>
      <c r="O374" s="105">
        <f t="shared" si="108"/>
        <v>41039</v>
      </c>
      <c r="P374" s="101" t="s">
        <v>595</v>
      </c>
      <c r="Q374" s="101" t="s">
        <v>1096</v>
      </c>
      <c r="R374" s="105"/>
      <c r="S374" s="105"/>
      <c r="T374" s="144"/>
      <c r="U374" s="105">
        <v>47490</v>
      </c>
      <c r="V374" s="105">
        <v>0</v>
      </c>
      <c r="W374" s="144">
        <v>43599</v>
      </c>
      <c r="X374" s="104">
        <f t="shared" si="110"/>
        <v>41039</v>
      </c>
      <c r="Y374" s="197">
        <f t="shared" si="102"/>
        <v>9888000</v>
      </c>
      <c r="Z374" s="143" t="str">
        <f t="shared" si="104"/>
        <v/>
      </c>
      <c r="AA374" s="143" t="str">
        <f t="shared" si="111"/>
        <v>买入第16期</v>
      </c>
      <c r="AB374" s="203"/>
      <c r="AC374" s="321">
        <v>0.152</v>
      </c>
      <c r="AD374" s="205">
        <v>0.152</v>
      </c>
      <c r="AE374" s="314"/>
      <c r="AF374" s="105"/>
    </row>
    <row r="375" spans="1:32" ht="24.95" customHeight="1" x14ac:dyDescent="0.15">
      <c r="A375" s="142" t="s">
        <v>894</v>
      </c>
      <c r="B375" s="142" t="s">
        <v>764</v>
      </c>
      <c r="C375" s="142" t="str">
        <f t="shared" si="96"/>
        <v>到期</v>
      </c>
      <c r="D375" s="103" t="s">
        <v>1844</v>
      </c>
      <c r="E375" s="142" t="s">
        <v>298</v>
      </c>
      <c r="F375" s="144">
        <v>43571</v>
      </c>
      <c r="G375" s="144">
        <v>43599</v>
      </c>
      <c r="H375" s="143" t="s">
        <v>1017</v>
      </c>
      <c r="I375" s="143" t="s">
        <v>222</v>
      </c>
      <c r="J375" s="142" t="s">
        <v>59</v>
      </c>
      <c r="K375" s="105">
        <v>200</v>
      </c>
      <c r="L375" s="105">
        <v>47420</v>
      </c>
      <c r="M375" s="105">
        <v>49440</v>
      </c>
      <c r="N375" s="105">
        <f t="shared" si="109"/>
        <v>205.19499999999999</v>
      </c>
      <c r="O375" s="105">
        <f t="shared" si="108"/>
        <v>41039</v>
      </c>
      <c r="P375" s="101" t="s">
        <v>595</v>
      </c>
      <c r="Q375" s="101" t="s">
        <v>783</v>
      </c>
      <c r="R375" s="105"/>
      <c r="S375" s="105"/>
      <c r="T375" s="144"/>
      <c r="U375" s="105">
        <v>47490</v>
      </c>
      <c r="V375" s="105">
        <v>0</v>
      </c>
      <c r="W375" s="144">
        <v>43599</v>
      </c>
      <c r="X375" s="104">
        <f t="shared" si="110"/>
        <v>41039</v>
      </c>
      <c r="Y375" s="197">
        <f t="shared" si="102"/>
        <v>9888000</v>
      </c>
      <c r="Z375" s="143" t="str">
        <f t="shared" si="104"/>
        <v/>
      </c>
      <c r="AA375" s="143" t="str">
        <f t="shared" si="111"/>
        <v>买入第16期</v>
      </c>
      <c r="AB375" s="203"/>
      <c r="AC375" s="321">
        <v>0.152</v>
      </c>
      <c r="AD375" s="205">
        <v>0.152</v>
      </c>
      <c r="AE375" s="314"/>
      <c r="AF375" s="105"/>
    </row>
    <row r="376" spans="1:32" ht="24.95" customHeight="1" x14ac:dyDescent="0.15">
      <c r="A376" s="142" t="s">
        <v>248</v>
      </c>
      <c r="B376" s="142" t="s">
        <v>297</v>
      </c>
      <c r="C376" s="142" t="str">
        <f t="shared" si="96"/>
        <v>到期</v>
      </c>
      <c r="D376" s="103" t="s">
        <v>1845</v>
      </c>
      <c r="E376" s="142" t="s">
        <v>298</v>
      </c>
      <c r="F376" s="144">
        <v>43571</v>
      </c>
      <c r="G376" s="144">
        <v>43599</v>
      </c>
      <c r="H376" s="143" t="s">
        <v>1017</v>
      </c>
      <c r="I376" s="143" t="s">
        <v>275</v>
      </c>
      <c r="J376" s="142" t="s">
        <v>56</v>
      </c>
      <c r="K376" s="105">
        <v>200</v>
      </c>
      <c r="L376" s="105">
        <v>51370</v>
      </c>
      <c r="M376" s="105">
        <v>49440</v>
      </c>
      <c r="N376" s="105">
        <f t="shared" si="109"/>
        <v>205.19499999999999</v>
      </c>
      <c r="O376" s="105">
        <f t="shared" si="108"/>
        <v>41039</v>
      </c>
      <c r="P376" s="101" t="s">
        <v>596</v>
      </c>
      <c r="Q376" s="101" t="s">
        <v>784</v>
      </c>
      <c r="R376" s="105"/>
      <c r="S376" s="105"/>
      <c r="T376" s="144"/>
      <c r="U376" s="105">
        <v>47490</v>
      </c>
      <c r="V376" s="105">
        <v>0</v>
      </c>
      <c r="W376" s="144">
        <v>43599</v>
      </c>
      <c r="X376" s="104">
        <f t="shared" si="110"/>
        <v>41039</v>
      </c>
      <c r="Y376" s="197">
        <f t="shared" si="102"/>
        <v>9888000</v>
      </c>
      <c r="Z376" s="143" t="str">
        <f t="shared" si="104"/>
        <v/>
      </c>
      <c r="AA376" s="143" t="str">
        <f t="shared" si="111"/>
        <v>买入第16期</v>
      </c>
      <c r="AB376" s="203"/>
      <c r="AC376" s="321">
        <v>0.152</v>
      </c>
      <c r="AD376" s="205">
        <v>0.152</v>
      </c>
      <c r="AE376" s="314"/>
      <c r="AF376" s="105"/>
    </row>
    <row r="377" spans="1:32" ht="24.95" customHeight="1" x14ac:dyDescent="0.15">
      <c r="A377" s="142" t="s">
        <v>894</v>
      </c>
      <c r="B377" s="142" t="s">
        <v>764</v>
      </c>
      <c r="C377" s="142" t="str">
        <f t="shared" si="96"/>
        <v>到期</v>
      </c>
      <c r="D377" s="103" t="s">
        <v>1845</v>
      </c>
      <c r="E377" s="142" t="s">
        <v>298</v>
      </c>
      <c r="F377" s="144">
        <v>43571</v>
      </c>
      <c r="G377" s="144">
        <v>43599</v>
      </c>
      <c r="H377" s="143" t="s">
        <v>1017</v>
      </c>
      <c r="I377" s="143" t="s">
        <v>275</v>
      </c>
      <c r="J377" s="142" t="s">
        <v>59</v>
      </c>
      <c r="K377" s="105">
        <v>200</v>
      </c>
      <c r="L377" s="105">
        <v>47420</v>
      </c>
      <c r="M377" s="105">
        <v>49440</v>
      </c>
      <c r="N377" s="105">
        <f t="shared" si="109"/>
        <v>205.19499999999999</v>
      </c>
      <c r="O377" s="105">
        <f t="shared" si="108"/>
        <v>41039</v>
      </c>
      <c r="P377" s="101" t="s">
        <v>596</v>
      </c>
      <c r="Q377" s="101" t="s">
        <v>1097</v>
      </c>
      <c r="R377" s="105"/>
      <c r="S377" s="105"/>
      <c r="T377" s="144"/>
      <c r="U377" s="104">
        <v>47490</v>
      </c>
      <c r="V377" s="104">
        <v>0</v>
      </c>
      <c r="W377" s="48">
        <v>43599</v>
      </c>
      <c r="X377" s="104">
        <f t="shared" si="110"/>
        <v>41039</v>
      </c>
      <c r="Y377" s="197">
        <f t="shared" si="102"/>
        <v>9888000</v>
      </c>
      <c r="Z377" s="143" t="str">
        <f t="shared" si="104"/>
        <v/>
      </c>
      <c r="AA377" s="143" t="str">
        <f t="shared" si="111"/>
        <v>买入第16期</v>
      </c>
      <c r="AB377" s="203"/>
      <c r="AC377" s="321">
        <v>0.152</v>
      </c>
      <c r="AD377" s="205">
        <v>0.152</v>
      </c>
      <c r="AE377" s="314"/>
      <c r="AF377" s="104"/>
    </row>
    <row r="378" spans="1:32" ht="24.95" customHeight="1" x14ac:dyDescent="0.15">
      <c r="A378" s="142" t="s">
        <v>894</v>
      </c>
      <c r="B378" s="142" t="s">
        <v>764</v>
      </c>
      <c r="C378" s="142" t="str">
        <f t="shared" si="96"/>
        <v>到期</v>
      </c>
      <c r="D378" s="103" t="s">
        <v>1841</v>
      </c>
      <c r="E378" s="142" t="s">
        <v>298</v>
      </c>
      <c r="F378" s="144">
        <v>43578</v>
      </c>
      <c r="G378" s="144">
        <v>43606</v>
      </c>
      <c r="H378" s="143" t="s">
        <v>1017</v>
      </c>
      <c r="I378" s="143" t="s">
        <v>222</v>
      </c>
      <c r="J378" s="142" t="s">
        <v>56</v>
      </c>
      <c r="K378" s="105">
        <v>200</v>
      </c>
      <c r="L378" s="105">
        <v>51100</v>
      </c>
      <c r="M378" s="105">
        <v>49120</v>
      </c>
      <c r="N378" s="105">
        <f t="shared" ref="N378:N387" si="112">407.74/2</f>
        <v>203.87</v>
      </c>
      <c r="O378" s="105">
        <f t="shared" si="108"/>
        <v>40774</v>
      </c>
      <c r="P378" s="101" t="s">
        <v>616</v>
      </c>
      <c r="Q378" s="101" t="s">
        <v>1098</v>
      </c>
      <c r="R378" s="105"/>
      <c r="S378" s="105"/>
      <c r="T378" s="144"/>
      <c r="U378" s="105">
        <v>47700</v>
      </c>
      <c r="V378" s="105">
        <v>0</v>
      </c>
      <c r="W378" s="144">
        <v>43606</v>
      </c>
      <c r="X378" s="104">
        <f t="shared" si="110"/>
        <v>40774</v>
      </c>
      <c r="Y378" s="197">
        <f t="shared" si="102"/>
        <v>9824000</v>
      </c>
      <c r="Z378" s="143" t="str">
        <f t="shared" si="104"/>
        <v/>
      </c>
      <c r="AA378" s="143" t="str">
        <f t="shared" ref="AA378:AA387" si="113">IF(I378="买入","卖出","买入第17期")</f>
        <v>买入第17期</v>
      </c>
      <c r="AB378" s="203"/>
      <c r="AC378" s="321">
        <v>0.152</v>
      </c>
      <c r="AD378" s="205">
        <v>0.152</v>
      </c>
      <c r="AE378" s="314"/>
      <c r="AF378" s="104"/>
    </row>
    <row r="379" spans="1:32" ht="24.95" customHeight="1" x14ac:dyDescent="0.15">
      <c r="A379" s="142" t="s">
        <v>894</v>
      </c>
      <c r="B379" s="142" t="s">
        <v>297</v>
      </c>
      <c r="C379" s="142" t="str">
        <f t="shared" si="96"/>
        <v>到期</v>
      </c>
      <c r="D379" s="103" t="s">
        <v>1841</v>
      </c>
      <c r="E379" s="142" t="s">
        <v>298</v>
      </c>
      <c r="F379" s="144">
        <v>43578</v>
      </c>
      <c r="G379" s="144">
        <v>43606</v>
      </c>
      <c r="H379" s="143" t="s">
        <v>1017</v>
      </c>
      <c r="I379" s="143" t="s">
        <v>222</v>
      </c>
      <c r="J379" s="142" t="s">
        <v>59</v>
      </c>
      <c r="K379" s="105">
        <v>200</v>
      </c>
      <c r="L379" s="105">
        <v>47170</v>
      </c>
      <c r="M379" s="105">
        <v>49120</v>
      </c>
      <c r="N379" s="105">
        <f t="shared" si="112"/>
        <v>203.87</v>
      </c>
      <c r="O379" s="105">
        <f t="shared" si="108"/>
        <v>40774</v>
      </c>
      <c r="P379" s="101" t="s">
        <v>616</v>
      </c>
      <c r="Q379" s="101" t="s">
        <v>1099</v>
      </c>
      <c r="R379" s="105"/>
      <c r="S379" s="105"/>
      <c r="T379" s="144"/>
      <c r="U379" s="105">
        <v>47700</v>
      </c>
      <c r="V379" s="105">
        <v>0</v>
      </c>
      <c r="W379" s="144">
        <v>43606</v>
      </c>
      <c r="X379" s="104">
        <f t="shared" si="110"/>
        <v>40774</v>
      </c>
      <c r="Y379" s="197">
        <f t="shared" si="102"/>
        <v>9824000</v>
      </c>
      <c r="Z379" s="143" t="str">
        <f t="shared" si="104"/>
        <v/>
      </c>
      <c r="AA379" s="143" t="str">
        <f t="shared" si="113"/>
        <v>买入第17期</v>
      </c>
      <c r="AB379" s="203"/>
      <c r="AC379" s="321">
        <v>0.152</v>
      </c>
      <c r="AD379" s="205">
        <v>0.152</v>
      </c>
      <c r="AE379" s="314"/>
      <c r="AF379" s="104"/>
    </row>
    <row r="380" spans="1:32" ht="24.95" customHeight="1" x14ac:dyDescent="0.15">
      <c r="A380" s="142" t="s">
        <v>248</v>
      </c>
      <c r="B380" s="142" t="s">
        <v>297</v>
      </c>
      <c r="C380" s="142" t="str">
        <f t="shared" si="96"/>
        <v>到期</v>
      </c>
      <c r="D380" s="103" t="s">
        <v>1842</v>
      </c>
      <c r="E380" s="142" t="s">
        <v>298</v>
      </c>
      <c r="F380" s="144">
        <v>43578</v>
      </c>
      <c r="G380" s="144">
        <v>43606</v>
      </c>
      <c r="H380" s="143" t="s">
        <v>1017</v>
      </c>
      <c r="I380" s="143" t="s">
        <v>222</v>
      </c>
      <c r="J380" s="142" t="s">
        <v>56</v>
      </c>
      <c r="K380" s="105">
        <v>200</v>
      </c>
      <c r="L380" s="105">
        <v>51100</v>
      </c>
      <c r="M380" s="105">
        <v>49120</v>
      </c>
      <c r="N380" s="105">
        <f t="shared" si="112"/>
        <v>203.87</v>
      </c>
      <c r="O380" s="105">
        <f t="shared" si="108"/>
        <v>40774</v>
      </c>
      <c r="P380" s="101" t="s">
        <v>617</v>
      </c>
      <c r="Q380" s="101" t="s">
        <v>1100</v>
      </c>
      <c r="R380" s="105"/>
      <c r="S380" s="105"/>
      <c r="T380" s="144"/>
      <c r="U380" s="104">
        <v>47700</v>
      </c>
      <c r="V380" s="104">
        <v>0</v>
      </c>
      <c r="W380" s="48">
        <v>43606</v>
      </c>
      <c r="X380" s="104">
        <f t="shared" si="110"/>
        <v>40774</v>
      </c>
      <c r="Y380" s="197">
        <f t="shared" si="102"/>
        <v>9824000</v>
      </c>
      <c r="Z380" s="143" t="str">
        <f t="shared" si="104"/>
        <v/>
      </c>
      <c r="AA380" s="143" t="str">
        <f t="shared" si="113"/>
        <v>买入第17期</v>
      </c>
      <c r="AB380" s="203"/>
      <c r="AC380" s="321">
        <v>0.152</v>
      </c>
      <c r="AD380" s="205">
        <v>0.152</v>
      </c>
      <c r="AE380" s="314"/>
      <c r="AF380" s="104"/>
    </row>
    <row r="381" spans="1:32" ht="24.95" customHeight="1" x14ac:dyDescent="0.15">
      <c r="A381" s="142" t="s">
        <v>894</v>
      </c>
      <c r="B381" s="142" t="s">
        <v>764</v>
      </c>
      <c r="C381" s="142" t="str">
        <f t="shared" si="96"/>
        <v>到期</v>
      </c>
      <c r="D381" s="103" t="s">
        <v>1842</v>
      </c>
      <c r="E381" s="142" t="s">
        <v>298</v>
      </c>
      <c r="F381" s="144">
        <v>43578</v>
      </c>
      <c r="G381" s="144">
        <v>43606</v>
      </c>
      <c r="H381" s="143" t="s">
        <v>1017</v>
      </c>
      <c r="I381" s="143" t="s">
        <v>222</v>
      </c>
      <c r="J381" s="142" t="s">
        <v>59</v>
      </c>
      <c r="K381" s="105">
        <v>200</v>
      </c>
      <c r="L381" s="105">
        <v>47170</v>
      </c>
      <c r="M381" s="105">
        <v>49120</v>
      </c>
      <c r="N381" s="105">
        <f t="shared" si="112"/>
        <v>203.87</v>
      </c>
      <c r="O381" s="105">
        <f t="shared" si="108"/>
        <v>40774</v>
      </c>
      <c r="P381" s="101" t="s">
        <v>617</v>
      </c>
      <c r="Q381" s="101" t="s">
        <v>785</v>
      </c>
      <c r="R381" s="105"/>
      <c r="S381" s="105"/>
      <c r="T381" s="144"/>
      <c r="U381" s="105">
        <v>47700</v>
      </c>
      <c r="V381" s="105">
        <v>0</v>
      </c>
      <c r="W381" s="144">
        <v>43606</v>
      </c>
      <c r="X381" s="104">
        <f t="shared" si="110"/>
        <v>40774</v>
      </c>
      <c r="Y381" s="197">
        <f t="shared" si="102"/>
        <v>9824000</v>
      </c>
      <c r="Z381" s="143" t="str">
        <f t="shared" si="104"/>
        <v/>
      </c>
      <c r="AA381" s="143" t="str">
        <f t="shared" si="113"/>
        <v>买入第17期</v>
      </c>
      <c r="AB381" s="203"/>
      <c r="AC381" s="321">
        <v>0.152</v>
      </c>
      <c r="AD381" s="205">
        <v>0.152</v>
      </c>
      <c r="AE381" s="314"/>
      <c r="AF381" s="104"/>
    </row>
    <row r="382" spans="1:32" ht="24.95" customHeight="1" x14ac:dyDescent="0.15">
      <c r="A382" s="142" t="s">
        <v>248</v>
      </c>
      <c r="B382" s="142" t="s">
        <v>297</v>
      </c>
      <c r="C382" s="142" t="str">
        <f t="shared" si="96"/>
        <v>到期</v>
      </c>
      <c r="D382" s="103" t="s">
        <v>1843</v>
      </c>
      <c r="E382" s="142" t="s">
        <v>298</v>
      </c>
      <c r="F382" s="144">
        <v>43578</v>
      </c>
      <c r="G382" s="144">
        <v>43606</v>
      </c>
      <c r="H382" s="143" t="s">
        <v>1017</v>
      </c>
      <c r="I382" s="143" t="s">
        <v>275</v>
      </c>
      <c r="J382" s="142" t="s">
        <v>56</v>
      </c>
      <c r="K382" s="105">
        <v>200</v>
      </c>
      <c r="L382" s="105">
        <v>51100</v>
      </c>
      <c r="M382" s="105">
        <v>49120</v>
      </c>
      <c r="N382" s="105">
        <f t="shared" si="112"/>
        <v>203.87</v>
      </c>
      <c r="O382" s="105">
        <f t="shared" si="108"/>
        <v>40774</v>
      </c>
      <c r="P382" s="101" t="s">
        <v>618</v>
      </c>
      <c r="Q382" s="101" t="s">
        <v>1101</v>
      </c>
      <c r="R382" s="105"/>
      <c r="S382" s="105"/>
      <c r="T382" s="144"/>
      <c r="U382" s="105">
        <v>47700</v>
      </c>
      <c r="V382" s="105">
        <v>0</v>
      </c>
      <c r="W382" s="144">
        <v>43606</v>
      </c>
      <c r="X382" s="104">
        <f t="shared" si="110"/>
        <v>40774</v>
      </c>
      <c r="Y382" s="197">
        <f t="shared" si="102"/>
        <v>9824000</v>
      </c>
      <c r="Z382" s="143" t="str">
        <f t="shared" si="104"/>
        <v/>
      </c>
      <c r="AA382" s="143" t="str">
        <f t="shared" si="113"/>
        <v>买入第17期</v>
      </c>
      <c r="AB382" s="203"/>
      <c r="AC382" s="321">
        <v>0.152</v>
      </c>
      <c r="AD382" s="205">
        <v>0.152</v>
      </c>
      <c r="AE382" s="314"/>
      <c r="AF382" s="104"/>
    </row>
    <row r="383" spans="1:32" ht="24.95" customHeight="1" x14ac:dyDescent="0.15">
      <c r="A383" s="142" t="s">
        <v>894</v>
      </c>
      <c r="B383" s="142" t="s">
        <v>764</v>
      </c>
      <c r="C383" s="142" t="str">
        <f t="shared" si="96"/>
        <v>到期</v>
      </c>
      <c r="D383" s="103" t="s">
        <v>1843</v>
      </c>
      <c r="E383" s="142" t="s">
        <v>298</v>
      </c>
      <c r="F383" s="144">
        <v>43578</v>
      </c>
      <c r="G383" s="144">
        <v>43606</v>
      </c>
      <c r="H383" s="143" t="s">
        <v>1017</v>
      </c>
      <c r="I383" s="143" t="s">
        <v>222</v>
      </c>
      <c r="J383" s="142" t="s">
        <v>59</v>
      </c>
      <c r="K383" s="105">
        <v>200</v>
      </c>
      <c r="L383" s="105">
        <v>47170</v>
      </c>
      <c r="M383" s="105">
        <v>49120</v>
      </c>
      <c r="N383" s="105">
        <f t="shared" si="112"/>
        <v>203.87</v>
      </c>
      <c r="O383" s="105">
        <f t="shared" si="108"/>
        <v>40774</v>
      </c>
      <c r="P383" s="101" t="s">
        <v>618</v>
      </c>
      <c r="Q383" s="101" t="s">
        <v>1101</v>
      </c>
      <c r="R383" s="105"/>
      <c r="S383" s="105"/>
      <c r="T383" s="144"/>
      <c r="U383" s="105">
        <v>47700</v>
      </c>
      <c r="V383" s="105">
        <v>0</v>
      </c>
      <c r="W383" s="144">
        <v>43606</v>
      </c>
      <c r="X383" s="104">
        <f t="shared" si="110"/>
        <v>40774</v>
      </c>
      <c r="Y383" s="197">
        <f t="shared" si="102"/>
        <v>9824000</v>
      </c>
      <c r="Z383" s="143" t="str">
        <f t="shared" si="104"/>
        <v/>
      </c>
      <c r="AA383" s="143" t="str">
        <f t="shared" si="113"/>
        <v>买入第17期</v>
      </c>
      <c r="AB383" s="203"/>
      <c r="AC383" s="321">
        <v>0.152</v>
      </c>
      <c r="AD383" s="205">
        <v>0.152</v>
      </c>
      <c r="AE383" s="314"/>
      <c r="AF383" s="104"/>
    </row>
    <row r="384" spans="1:32" ht="24.95" customHeight="1" x14ac:dyDescent="0.15">
      <c r="A384" s="142" t="s">
        <v>894</v>
      </c>
      <c r="B384" s="142" t="s">
        <v>764</v>
      </c>
      <c r="C384" s="142" t="str">
        <f t="shared" si="96"/>
        <v>到期</v>
      </c>
      <c r="D384" s="103" t="s">
        <v>1844</v>
      </c>
      <c r="E384" s="142" t="s">
        <v>298</v>
      </c>
      <c r="F384" s="144">
        <v>43578</v>
      </c>
      <c r="G384" s="144">
        <v>43606</v>
      </c>
      <c r="H384" s="143" t="s">
        <v>1017</v>
      </c>
      <c r="I384" s="143" t="s">
        <v>222</v>
      </c>
      <c r="J384" s="142" t="s">
        <v>56</v>
      </c>
      <c r="K384" s="105">
        <v>200</v>
      </c>
      <c r="L384" s="105">
        <v>51100</v>
      </c>
      <c r="M384" s="105">
        <v>49120</v>
      </c>
      <c r="N384" s="105">
        <f t="shared" si="112"/>
        <v>203.87</v>
      </c>
      <c r="O384" s="105">
        <f t="shared" si="108"/>
        <v>40774</v>
      </c>
      <c r="P384" s="101" t="s">
        <v>619</v>
      </c>
      <c r="Q384" s="101" t="s">
        <v>1102</v>
      </c>
      <c r="R384" s="105"/>
      <c r="S384" s="105"/>
      <c r="T384" s="144"/>
      <c r="U384" s="104">
        <v>47700</v>
      </c>
      <c r="V384" s="104">
        <v>0</v>
      </c>
      <c r="W384" s="48">
        <v>43606</v>
      </c>
      <c r="X384" s="104">
        <f t="shared" si="110"/>
        <v>40774</v>
      </c>
      <c r="Y384" s="197">
        <f t="shared" si="102"/>
        <v>9824000</v>
      </c>
      <c r="Z384" s="143" t="str">
        <f t="shared" si="104"/>
        <v/>
      </c>
      <c r="AA384" s="143" t="str">
        <f t="shared" si="113"/>
        <v>买入第17期</v>
      </c>
      <c r="AB384" s="203"/>
      <c r="AC384" s="321">
        <v>0.152</v>
      </c>
      <c r="AD384" s="205">
        <v>0.152</v>
      </c>
      <c r="AE384" s="314"/>
      <c r="AF384" s="104"/>
    </row>
    <row r="385" spans="1:32" ht="24.95" customHeight="1" x14ac:dyDescent="0.15">
      <c r="A385" s="142" t="s">
        <v>894</v>
      </c>
      <c r="B385" s="142" t="s">
        <v>297</v>
      </c>
      <c r="C385" s="142" t="str">
        <f t="shared" si="96"/>
        <v>到期</v>
      </c>
      <c r="D385" s="103" t="s">
        <v>1844</v>
      </c>
      <c r="E385" s="142" t="s">
        <v>298</v>
      </c>
      <c r="F385" s="144">
        <v>43578</v>
      </c>
      <c r="G385" s="144">
        <v>43606</v>
      </c>
      <c r="H385" s="143" t="s">
        <v>1017</v>
      </c>
      <c r="I385" s="143" t="s">
        <v>222</v>
      </c>
      <c r="J385" s="142" t="s">
        <v>59</v>
      </c>
      <c r="K385" s="105">
        <v>200</v>
      </c>
      <c r="L385" s="105">
        <v>47170</v>
      </c>
      <c r="M385" s="105">
        <v>49120</v>
      </c>
      <c r="N385" s="105">
        <f t="shared" si="112"/>
        <v>203.87</v>
      </c>
      <c r="O385" s="105">
        <f t="shared" si="108"/>
        <v>40774</v>
      </c>
      <c r="P385" s="101" t="s">
        <v>619</v>
      </c>
      <c r="Q385" s="101" t="s">
        <v>786</v>
      </c>
      <c r="R385" s="105"/>
      <c r="S385" s="105"/>
      <c r="T385" s="144"/>
      <c r="U385" s="105">
        <v>47700</v>
      </c>
      <c r="V385" s="105">
        <v>0</v>
      </c>
      <c r="W385" s="144">
        <v>43606</v>
      </c>
      <c r="X385" s="104">
        <f t="shared" si="110"/>
        <v>40774</v>
      </c>
      <c r="Y385" s="197">
        <f t="shared" si="102"/>
        <v>9824000</v>
      </c>
      <c r="Z385" s="143" t="str">
        <f t="shared" si="104"/>
        <v/>
      </c>
      <c r="AA385" s="143" t="str">
        <f t="shared" si="113"/>
        <v>买入第17期</v>
      </c>
      <c r="AB385" s="203"/>
      <c r="AC385" s="321">
        <v>0.152</v>
      </c>
      <c r="AD385" s="205">
        <v>0.152</v>
      </c>
      <c r="AE385" s="314"/>
      <c r="AF385" s="104"/>
    </row>
    <row r="386" spans="1:32" ht="24.95" customHeight="1" x14ac:dyDescent="0.15">
      <c r="A386" s="142" t="s">
        <v>894</v>
      </c>
      <c r="B386" s="142" t="s">
        <v>297</v>
      </c>
      <c r="C386" s="142" t="str">
        <f t="shared" si="96"/>
        <v>到期</v>
      </c>
      <c r="D386" s="103" t="s">
        <v>1845</v>
      </c>
      <c r="E386" s="142" t="s">
        <v>298</v>
      </c>
      <c r="F386" s="144">
        <v>43578</v>
      </c>
      <c r="G386" s="144">
        <v>43606</v>
      </c>
      <c r="H386" s="143" t="s">
        <v>1017</v>
      </c>
      <c r="I386" s="143" t="s">
        <v>222</v>
      </c>
      <c r="J386" s="142" t="s">
        <v>56</v>
      </c>
      <c r="K386" s="105">
        <v>200</v>
      </c>
      <c r="L386" s="105">
        <v>51100</v>
      </c>
      <c r="M386" s="105">
        <v>49120</v>
      </c>
      <c r="N386" s="105">
        <f t="shared" si="112"/>
        <v>203.87</v>
      </c>
      <c r="O386" s="105">
        <f t="shared" si="108"/>
        <v>40774</v>
      </c>
      <c r="P386" s="101" t="s">
        <v>620</v>
      </c>
      <c r="Q386" s="101" t="s">
        <v>787</v>
      </c>
      <c r="R386" s="105"/>
      <c r="S386" s="105"/>
      <c r="T386" s="144"/>
      <c r="U386" s="105">
        <v>47700</v>
      </c>
      <c r="V386" s="105">
        <v>0</v>
      </c>
      <c r="W386" s="144">
        <v>43606</v>
      </c>
      <c r="X386" s="104">
        <f t="shared" si="110"/>
        <v>40774</v>
      </c>
      <c r="Y386" s="197">
        <f t="shared" si="102"/>
        <v>9824000</v>
      </c>
      <c r="Z386" s="143" t="str">
        <f t="shared" si="104"/>
        <v/>
      </c>
      <c r="AA386" s="143" t="str">
        <f t="shared" si="113"/>
        <v>买入第17期</v>
      </c>
      <c r="AB386" s="203"/>
      <c r="AC386" s="321">
        <v>0.152</v>
      </c>
      <c r="AD386" s="205">
        <v>0.152</v>
      </c>
      <c r="AE386" s="314"/>
      <c r="AF386" s="104"/>
    </row>
    <row r="387" spans="1:32" ht="24.95" customHeight="1" x14ac:dyDescent="0.15">
      <c r="A387" s="142" t="s">
        <v>248</v>
      </c>
      <c r="B387" s="142" t="s">
        <v>764</v>
      </c>
      <c r="C387" s="142" t="str">
        <f t="shared" si="96"/>
        <v>到期</v>
      </c>
      <c r="D387" s="103" t="s">
        <v>1845</v>
      </c>
      <c r="E387" s="142" t="s">
        <v>298</v>
      </c>
      <c r="F387" s="144">
        <v>43578</v>
      </c>
      <c r="G387" s="144">
        <v>43606</v>
      </c>
      <c r="H387" s="143" t="s">
        <v>1017</v>
      </c>
      <c r="I387" s="143" t="s">
        <v>222</v>
      </c>
      <c r="J387" s="142" t="s">
        <v>59</v>
      </c>
      <c r="K387" s="105">
        <v>200</v>
      </c>
      <c r="L387" s="105">
        <v>47170</v>
      </c>
      <c r="M387" s="105">
        <v>49120</v>
      </c>
      <c r="N387" s="105">
        <f t="shared" si="112"/>
        <v>203.87</v>
      </c>
      <c r="O387" s="105">
        <f t="shared" si="108"/>
        <v>40774</v>
      </c>
      <c r="P387" s="101" t="s">
        <v>620</v>
      </c>
      <c r="Q387" s="101" t="s">
        <v>1103</v>
      </c>
      <c r="R387" s="105"/>
      <c r="S387" s="105"/>
      <c r="T387" s="144"/>
      <c r="U387" s="105">
        <v>47700</v>
      </c>
      <c r="V387" s="105">
        <v>0</v>
      </c>
      <c r="W387" s="144">
        <v>43606</v>
      </c>
      <c r="X387" s="104">
        <f t="shared" si="110"/>
        <v>40774</v>
      </c>
      <c r="Y387" s="197">
        <f t="shared" si="102"/>
        <v>9824000</v>
      </c>
      <c r="Z387" s="143" t="str">
        <f>IF(C387="存续",D387&amp;H387&amp;"-"&amp;AA387,"")</f>
        <v/>
      </c>
      <c r="AA387" s="143" t="str">
        <f t="shared" si="113"/>
        <v>买入第17期</v>
      </c>
      <c r="AB387" s="203"/>
      <c r="AC387" s="321">
        <v>0.152</v>
      </c>
      <c r="AD387" s="205">
        <v>0.152</v>
      </c>
      <c r="AE387" s="314"/>
      <c r="AF387" s="105"/>
    </row>
    <row r="388" spans="1:32" ht="24" customHeight="1" x14ac:dyDescent="0.15">
      <c r="A388" s="142" t="s">
        <v>394</v>
      </c>
      <c r="B388" s="142" t="s">
        <v>297</v>
      </c>
      <c r="C388" s="142" t="str">
        <f t="shared" si="96"/>
        <v>到期</v>
      </c>
      <c r="D388" s="128" t="s">
        <v>1855</v>
      </c>
      <c r="E388" s="142" t="s">
        <v>298</v>
      </c>
      <c r="F388" s="144">
        <v>43580</v>
      </c>
      <c r="G388" s="144">
        <v>43609</v>
      </c>
      <c r="H388" s="143" t="s">
        <v>899</v>
      </c>
      <c r="I388" s="143" t="s">
        <v>241</v>
      </c>
      <c r="J388" s="142" t="s">
        <v>56</v>
      </c>
      <c r="K388" s="105">
        <v>160</v>
      </c>
      <c r="L388" s="105">
        <v>12409.56</v>
      </c>
      <c r="M388" s="105">
        <v>12409.56</v>
      </c>
      <c r="N388" s="105">
        <v>306.625</v>
      </c>
      <c r="O388" s="105">
        <v>49060</v>
      </c>
      <c r="P388" s="101" t="s">
        <v>611</v>
      </c>
      <c r="Q388" s="101" t="s">
        <v>1104</v>
      </c>
      <c r="R388" s="105"/>
      <c r="S388" s="105"/>
      <c r="T388" s="144"/>
      <c r="U388" s="104">
        <v>14685</v>
      </c>
      <c r="V388" s="104">
        <f>MAX(U388-L388,0)*K388</f>
        <v>364070.40000000008</v>
      </c>
      <c r="W388" s="48">
        <v>43609</v>
      </c>
      <c r="X388" s="104">
        <f t="shared" si="110"/>
        <v>315010.40000000008</v>
      </c>
      <c r="Y388" s="197">
        <f t="shared" si="102"/>
        <v>1985529.5999999999</v>
      </c>
      <c r="Z388" s="143" t="str">
        <f t="shared" ref="Z388" si="114">IF(C388="存续",D388&amp;H388&amp;"-"&amp;AA388,"")</f>
        <v/>
      </c>
      <c r="AA388" s="143" t="str">
        <f t="shared" ref="AA388" si="115">IF(I388="买入","卖出","买入")</f>
        <v>卖出</v>
      </c>
      <c r="AB388" s="203"/>
      <c r="AC388" s="321">
        <v>0.16700000000000001</v>
      </c>
      <c r="AD388" s="319"/>
      <c r="AE388" s="314"/>
      <c r="AF388" s="105"/>
    </row>
    <row r="389" spans="1:32" ht="24.95" customHeight="1" x14ac:dyDescent="0.15">
      <c r="A389" s="142" t="s">
        <v>248</v>
      </c>
      <c r="B389" s="142" t="s">
        <v>297</v>
      </c>
      <c r="C389" s="142" t="str">
        <f t="shared" si="96"/>
        <v>到期</v>
      </c>
      <c r="D389" s="103" t="s">
        <v>1841</v>
      </c>
      <c r="E389" s="142" t="s">
        <v>298</v>
      </c>
      <c r="F389" s="144">
        <v>43585</v>
      </c>
      <c r="G389" s="144">
        <v>43613</v>
      </c>
      <c r="H389" s="143" t="s">
        <v>1017</v>
      </c>
      <c r="I389" s="143" t="s">
        <v>222</v>
      </c>
      <c r="J389" s="142" t="s">
        <v>56</v>
      </c>
      <c r="K389" s="105">
        <v>200</v>
      </c>
      <c r="L389" s="105">
        <v>50930</v>
      </c>
      <c r="M389" s="105">
        <v>48950</v>
      </c>
      <c r="N389" s="105">
        <f>406.32/2</f>
        <v>203.16</v>
      </c>
      <c r="O389" s="105">
        <f t="shared" ref="O389:O434" si="116">N389*K389</f>
        <v>40632</v>
      </c>
      <c r="P389" s="101" t="s">
        <v>645</v>
      </c>
      <c r="Q389" s="101" t="s">
        <v>796</v>
      </c>
      <c r="R389" s="105"/>
      <c r="S389" s="105"/>
      <c r="T389" s="144"/>
      <c r="U389" s="105">
        <v>47130</v>
      </c>
      <c r="V389" s="105">
        <v>0</v>
      </c>
      <c r="W389" s="144">
        <v>43613</v>
      </c>
      <c r="X389" s="104">
        <f t="shared" si="110"/>
        <v>40632</v>
      </c>
      <c r="Y389" s="197">
        <f t="shared" si="102"/>
        <v>9790000</v>
      </c>
      <c r="Z389" s="143" t="str">
        <f>IF(C389="存续",D389&amp;H389&amp;"-"&amp;AA389,"")</f>
        <v/>
      </c>
      <c r="AA389" s="143" t="str">
        <f>IF(I389="买入","卖出","买入第18期")</f>
        <v>买入第18期</v>
      </c>
      <c r="AB389" s="203"/>
      <c r="AC389" s="321">
        <v>0.152</v>
      </c>
      <c r="AD389" s="205">
        <v>0.152</v>
      </c>
      <c r="AE389" s="314"/>
      <c r="AF389" s="105"/>
    </row>
    <row r="390" spans="1:32" ht="24.95" customHeight="1" x14ac:dyDescent="0.15">
      <c r="A390" s="142" t="s">
        <v>894</v>
      </c>
      <c r="B390" s="142" t="s">
        <v>764</v>
      </c>
      <c r="C390" s="142" t="str">
        <f t="shared" si="96"/>
        <v>到期</v>
      </c>
      <c r="D390" s="103" t="s">
        <v>1841</v>
      </c>
      <c r="E390" s="142" t="s">
        <v>298</v>
      </c>
      <c r="F390" s="144">
        <v>43585</v>
      </c>
      <c r="G390" s="144">
        <v>43613</v>
      </c>
      <c r="H390" s="143" t="s">
        <v>1017</v>
      </c>
      <c r="I390" s="143" t="s">
        <v>275</v>
      </c>
      <c r="J390" s="142" t="s">
        <v>59</v>
      </c>
      <c r="K390" s="105">
        <v>200</v>
      </c>
      <c r="L390" s="105">
        <v>47010</v>
      </c>
      <c r="M390" s="105">
        <v>48950</v>
      </c>
      <c r="N390" s="105">
        <f t="shared" ref="N390:N398" si="117">406.32/2</f>
        <v>203.16</v>
      </c>
      <c r="O390" s="105">
        <f t="shared" si="116"/>
        <v>40632</v>
      </c>
      <c r="P390" s="101" t="s">
        <v>645</v>
      </c>
      <c r="Q390" s="101" t="s">
        <v>1105</v>
      </c>
      <c r="R390" s="105"/>
      <c r="S390" s="105"/>
      <c r="T390" s="144"/>
      <c r="U390" s="105">
        <v>47130</v>
      </c>
      <c r="V390" s="105">
        <v>0</v>
      </c>
      <c r="W390" s="144">
        <v>43613</v>
      </c>
      <c r="X390" s="104">
        <f t="shared" si="110"/>
        <v>40632</v>
      </c>
      <c r="Y390" s="197">
        <f t="shared" si="102"/>
        <v>9790000</v>
      </c>
      <c r="Z390" s="143" t="str">
        <f t="shared" ref="Z390:Z398" si="118">IF(C390="存续",D390&amp;H390&amp;"-"&amp;AA390,"")</f>
        <v/>
      </c>
      <c r="AA390" s="143" t="str">
        <f t="shared" ref="AA390:AA398" si="119">IF(I390="买入","卖出","买入第18期")</f>
        <v>买入第18期</v>
      </c>
      <c r="AB390" s="203"/>
      <c r="AC390" s="321">
        <v>0.152</v>
      </c>
      <c r="AD390" s="205">
        <v>0.152</v>
      </c>
      <c r="AE390" s="314"/>
      <c r="AF390" s="105"/>
    </row>
    <row r="391" spans="1:32" ht="24.95" customHeight="1" x14ac:dyDescent="0.15">
      <c r="A391" s="142" t="s">
        <v>248</v>
      </c>
      <c r="B391" s="142" t="s">
        <v>297</v>
      </c>
      <c r="C391" s="142" t="str">
        <f t="shared" si="96"/>
        <v>到期</v>
      </c>
      <c r="D391" s="103" t="s">
        <v>1842</v>
      </c>
      <c r="E391" s="143" t="s">
        <v>298</v>
      </c>
      <c r="F391" s="48">
        <v>43585</v>
      </c>
      <c r="G391" s="48">
        <v>43613</v>
      </c>
      <c r="H391" s="143" t="s">
        <v>1017</v>
      </c>
      <c r="I391" s="143" t="s">
        <v>275</v>
      </c>
      <c r="J391" s="142" t="s">
        <v>56</v>
      </c>
      <c r="K391" s="105">
        <v>200</v>
      </c>
      <c r="L391" s="105">
        <v>50930</v>
      </c>
      <c r="M391" s="105">
        <v>48950</v>
      </c>
      <c r="N391" s="105">
        <f t="shared" si="117"/>
        <v>203.16</v>
      </c>
      <c r="O391" s="105">
        <f t="shared" si="116"/>
        <v>40632</v>
      </c>
      <c r="P391" s="101" t="s">
        <v>646</v>
      </c>
      <c r="Q391" s="101" t="s">
        <v>797</v>
      </c>
      <c r="R391" s="105"/>
      <c r="S391" s="105"/>
      <c r="T391" s="144"/>
      <c r="U391" s="105">
        <v>47130</v>
      </c>
      <c r="V391" s="105">
        <v>0</v>
      </c>
      <c r="W391" s="144">
        <v>43613</v>
      </c>
      <c r="X391" s="104">
        <f t="shared" si="110"/>
        <v>40632</v>
      </c>
      <c r="Y391" s="197">
        <f t="shared" si="102"/>
        <v>9790000</v>
      </c>
      <c r="Z391" s="143" t="str">
        <f t="shared" si="118"/>
        <v/>
      </c>
      <c r="AA391" s="143" t="str">
        <f t="shared" si="119"/>
        <v>买入第18期</v>
      </c>
      <c r="AB391" s="203"/>
      <c r="AC391" s="321">
        <v>0.152</v>
      </c>
      <c r="AD391" s="205">
        <v>0.152</v>
      </c>
      <c r="AE391" s="314"/>
      <c r="AF391" s="105"/>
    </row>
    <row r="392" spans="1:32" ht="24.95" customHeight="1" x14ac:dyDescent="0.15">
      <c r="A392" s="142" t="s">
        <v>248</v>
      </c>
      <c r="B392" s="142" t="s">
        <v>297</v>
      </c>
      <c r="C392" s="142" t="str">
        <f t="shared" si="96"/>
        <v>到期</v>
      </c>
      <c r="D392" s="103" t="s">
        <v>1842</v>
      </c>
      <c r="E392" s="142" t="s">
        <v>298</v>
      </c>
      <c r="F392" s="144">
        <v>43585</v>
      </c>
      <c r="G392" s="48">
        <v>43613</v>
      </c>
      <c r="H392" s="143" t="s">
        <v>1017</v>
      </c>
      <c r="I392" s="143" t="s">
        <v>275</v>
      </c>
      <c r="J392" s="142" t="s">
        <v>59</v>
      </c>
      <c r="K392" s="105">
        <v>200</v>
      </c>
      <c r="L392" s="105">
        <v>47010</v>
      </c>
      <c r="M392" s="105">
        <v>48950</v>
      </c>
      <c r="N392" s="105">
        <f t="shared" si="117"/>
        <v>203.16</v>
      </c>
      <c r="O392" s="105">
        <f t="shared" si="116"/>
        <v>40632</v>
      </c>
      <c r="P392" s="101" t="s">
        <v>646</v>
      </c>
      <c r="Q392" s="101" t="s">
        <v>1106</v>
      </c>
      <c r="R392" s="105"/>
      <c r="S392" s="105"/>
      <c r="T392" s="144"/>
      <c r="U392" s="104">
        <v>47130</v>
      </c>
      <c r="V392" s="104">
        <v>0</v>
      </c>
      <c r="W392" s="48">
        <v>43613</v>
      </c>
      <c r="X392" s="104">
        <f t="shared" si="110"/>
        <v>40632</v>
      </c>
      <c r="Y392" s="197">
        <f t="shared" si="102"/>
        <v>9790000</v>
      </c>
      <c r="Z392" s="143" t="str">
        <f t="shared" si="118"/>
        <v/>
      </c>
      <c r="AA392" s="143" t="str">
        <f t="shared" si="119"/>
        <v>买入第18期</v>
      </c>
      <c r="AB392" s="203"/>
      <c r="AC392" s="321">
        <v>0.152</v>
      </c>
      <c r="AD392" s="205">
        <v>0.152</v>
      </c>
      <c r="AE392" s="314"/>
      <c r="AF392" s="105"/>
    </row>
    <row r="393" spans="1:32" ht="24.95" customHeight="1" x14ac:dyDescent="0.15">
      <c r="A393" s="142" t="s">
        <v>248</v>
      </c>
      <c r="B393" s="142" t="s">
        <v>297</v>
      </c>
      <c r="C393" s="142" t="str">
        <f t="shared" si="96"/>
        <v>到期</v>
      </c>
      <c r="D393" s="103" t="s">
        <v>1843</v>
      </c>
      <c r="E393" s="142" t="s">
        <v>298</v>
      </c>
      <c r="F393" s="144">
        <v>43585</v>
      </c>
      <c r="G393" s="144">
        <v>43613</v>
      </c>
      <c r="H393" s="143" t="s">
        <v>1017</v>
      </c>
      <c r="I393" s="143" t="s">
        <v>275</v>
      </c>
      <c r="J393" s="142" t="s">
        <v>56</v>
      </c>
      <c r="K393" s="105">
        <v>200</v>
      </c>
      <c r="L393" s="105">
        <v>50930</v>
      </c>
      <c r="M393" s="105">
        <v>48950</v>
      </c>
      <c r="N393" s="105">
        <f t="shared" si="117"/>
        <v>203.16</v>
      </c>
      <c r="O393" s="105">
        <f t="shared" si="116"/>
        <v>40632</v>
      </c>
      <c r="P393" s="101" t="s">
        <v>647</v>
      </c>
      <c r="Q393" s="101" t="s">
        <v>1107</v>
      </c>
      <c r="R393" s="105"/>
      <c r="S393" s="105"/>
      <c r="T393" s="144"/>
      <c r="U393" s="105">
        <v>47130</v>
      </c>
      <c r="V393" s="105">
        <v>0</v>
      </c>
      <c r="W393" s="144">
        <v>43613</v>
      </c>
      <c r="X393" s="104">
        <f t="shared" si="110"/>
        <v>40632</v>
      </c>
      <c r="Y393" s="197">
        <f t="shared" si="102"/>
        <v>9790000</v>
      </c>
      <c r="Z393" s="143" t="str">
        <f t="shared" si="118"/>
        <v/>
      </c>
      <c r="AA393" s="143" t="str">
        <f t="shared" si="119"/>
        <v>买入第18期</v>
      </c>
      <c r="AB393" s="203"/>
      <c r="AC393" s="321">
        <v>0.152</v>
      </c>
      <c r="AD393" s="205">
        <v>0.152</v>
      </c>
      <c r="AE393" s="314"/>
      <c r="AF393" s="105"/>
    </row>
    <row r="394" spans="1:32" ht="24.95" customHeight="1" x14ac:dyDescent="0.15">
      <c r="A394" s="142" t="s">
        <v>894</v>
      </c>
      <c r="B394" s="142" t="s">
        <v>764</v>
      </c>
      <c r="C394" s="142" t="str">
        <f t="shared" si="96"/>
        <v>到期</v>
      </c>
      <c r="D394" s="103" t="s">
        <v>1843</v>
      </c>
      <c r="E394" s="142" t="s">
        <v>298</v>
      </c>
      <c r="F394" s="144">
        <v>43585</v>
      </c>
      <c r="G394" s="144">
        <v>43613</v>
      </c>
      <c r="H394" s="143" t="s">
        <v>1017</v>
      </c>
      <c r="I394" s="143" t="s">
        <v>275</v>
      </c>
      <c r="J394" s="142" t="s">
        <v>59</v>
      </c>
      <c r="K394" s="105">
        <v>200</v>
      </c>
      <c r="L394" s="105">
        <v>47010</v>
      </c>
      <c r="M394" s="105">
        <v>48950</v>
      </c>
      <c r="N394" s="105">
        <f t="shared" si="117"/>
        <v>203.16</v>
      </c>
      <c r="O394" s="105">
        <f t="shared" si="116"/>
        <v>40632</v>
      </c>
      <c r="P394" s="101" t="s">
        <v>647</v>
      </c>
      <c r="Q394" s="101" t="s">
        <v>1108</v>
      </c>
      <c r="R394" s="105"/>
      <c r="S394" s="105"/>
      <c r="T394" s="144"/>
      <c r="U394" s="105">
        <v>47130</v>
      </c>
      <c r="V394" s="105">
        <v>0</v>
      </c>
      <c r="W394" s="144">
        <v>43613</v>
      </c>
      <c r="X394" s="104">
        <f t="shared" si="110"/>
        <v>40632</v>
      </c>
      <c r="Y394" s="197">
        <f t="shared" si="102"/>
        <v>9790000</v>
      </c>
      <c r="Z394" s="143" t="str">
        <f t="shared" si="118"/>
        <v/>
      </c>
      <c r="AA394" s="143" t="str">
        <f t="shared" si="119"/>
        <v>买入第18期</v>
      </c>
      <c r="AB394" s="203"/>
      <c r="AC394" s="321">
        <v>0.152</v>
      </c>
      <c r="AD394" s="205">
        <v>0.152</v>
      </c>
      <c r="AE394" s="314"/>
      <c r="AF394" s="105"/>
    </row>
    <row r="395" spans="1:32" ht="24.95" customHeight="1" x14ac:dyDescent="0.15">
      <c r="A395" s="142" t="s">
        <v>248</v>
      </c>
      <c r="B395" s="120" t="s">
        <v>764</v>
      </c>
      <c r="C395" s="142" t="str">
        <f t="shared" si="96"/>
        <v>到期</v>
      </c>
      <c r="D395" s="103" t="s">
        <v>1844</v>
      </c>
      <c r="E395" s="142" t="s">
        <v>298</v>
      </c>
      <c r="F395" s="144">
        <v>43585</v>
      </c>
      <c r="G395" s="144">
        <v>43613</v>
      </c>
      <c r="H395" s="143" t="s">
        <v>1017</v>
      </c>
      <c r="I395" s="143" t="s">
        <v>222</v>
      </c>
      <c r="J395" s="142" t="s">
        <v>56</v>
      </c>
      <c r="K395" s="105">
        <v>200</v>
      </c>
      <c r="L395" s="105">
        <v>50930</v>
      </c>
      <c r="M395" s="105">
        <v>48950</v>
      </c>
      <c r="N395" s="105">
        <f t="shared" si="117"/>
        <v>203.16</v>
      </c>
      <c r="O395" s="105">
        <f t="shared" si="116"/>
        <v>40632</v>
      </c>
      <c r="P395" s="101" t="s">
        <v>648</v>
      </c>
      <c r="Q395" s="101" t="s">
        <v>1109</v>
      </c>
      <c r="R395" s="105"/>
      <c r="S395" s="105"/>
      <c r="T395" s="144"/>
      <c r="U395" s="104">
        <v>47130</v>
      </c>
      <c r="V395" s="104">
        <v>0</v>
      </c>
      <c r="W395" s="48">
        <v>43613</v>
      </c>
      <c r="X395" s="104">
        <f t="shared" si="110"/>
        <v>40632</v>
      </c>
      <c r="Y395" s="197">
        <f t="shared" si="102"/>
        <v>9790000</v>
      </c>
      <c r="Z395" s="143" t="str">
        <f t="shared" si="118"/>
        <v/>
      </c>
      <c r="AA395" s="143" t="str">
        <f t="shared" si="119"/>
        <v>买入第18期</v>
      </c>
      <c r="AB395" s="203"/>
      <c r="AC395" s="321">
        <v>0.152</v>
      </c>
      <c r="AD395" s="205">
        <v>0.152</v>
      </c>
      <c r="AE395" s="314"/>
      <c r="AF395" s="105"/>
    </row>
    <row r="396" spans="1:32" ht="24.95" customHeight="1" x14ac:dyDescent="0.15">
      <c r="A396" s="142" t="s">
        <v>248</v>
      </c>
      <c r="B396" s="120" t="s">
        <v>764</v>
      </c>
      <c r="C396" s="142" t="str">
        <f t="shared" si="96"/>
        <v>到期</v>
      </c>
      <c r="D396" s="103" t="s">
        <v>1844</v>
      </c>
      <c r="E396" s="142" t="s">
        <v>298</v>
      </c>
      <c r="F396" s="144">
        <v>43585</v>
      </c>
      <c r="G396" s="144">
        <v>43613</v>
      </c>
      <c r="H396" s="143" t="s">
        <v>1017</v>
      </c>
      <c r="I396" s="143" t="s">
        <v>222</v>
      </c>
      <c r="J396" s="142" t="s">
        <v>59</v>
      </c>
      <c r="K396" s="105">
        <v>200</v>
      </c>
      <c r="L396" s="105">
        <v>47010</v>
      </c>
      <c r="M396" s="105">
        <v>48950</v>
      </c>
      <c r="N396" s="105">
        <f t="shared" si="117"/>
        <v>203.16</v>
      </c>
      <c r="O396" s="105">
        <f t="shared" si="116"/>
        <v>40632</v>
      </c>
      <c r="P396" s="101" t="s">
        <v>648</v>
      </c>
      <c r="Q396" s="101" t="s">
        <v>1109</v>
      </c>
      <c r="R396" s="105"/>
      <c r="S396" s="105"/>
      <c r="T396" s="144"/>
      <c r="U396" s="105">
        <v>47130</v>
      </c>
      <c r="V396" s="105">
        <v>0</v>
      </c>
      <c r="W396" s="144">
        <v>43613</v>
      </c>
      <c r="X396" s="104">
        <f t="shared" si="110"/>
        <v>40632</v>
      </c>
      <c r="Y396" s="197">
        <f t="shared" si="102"/>
        <v>9790000</v>
      </c>
      <c r="Z396" s="143" t="str">
        <f t="shared" si="118"/>
        <v/>
      </c>
      <c r="AA396" s="143" t="str">
        <f t="shared" si="119"/>
        <v>买入第18期</v>
      </c>
      <c r="AB396" s="203"/>
      <c r="AC396" s="321">
        <v>0.152</v>
      </c>
      <c r="AD396" s="205">
        <v>0.152</v>
      </c>
      <c r="AE396" s="314"/>
      <c r="AF396" s="105"/>
    </row>
    <row r="397" spans="1:32" ht="24.95" customHeight="1" x14ac:dyDescent="0.15">
      <c r="A397" s="142" t="s">
        <v>248</v>
      </c>
      <c r="B397" s="142" t="s">
        <v>764</v>
      </c>
      <c r="C397" s="142" t="str">
        <f t="shared" si="96"/>
        <v>到期</v>
      </c>
      <c r="D397" s="103" t="s">
        <v>1845</v>
      </c>
      <c r="E397" s="142" t="s">
        <v>298</v>
      </c>
      <c r="F397" s="144">
        <v>43585</v>
      </c>
      <c r="G397" s="144">
        <v>43613</v>
      </c>
      <c r="H397" s="143" t="s">
        <v>1017</v>
      </c>
      <c r="I397" s="143" t="s">
        <v>275</v>
      </c>
      <c r="J397" s="142" t="s">
        <v>56</v>
      </c>
      <c r="K397" s="105">
        <v>200</v>
      </c>
      <c r="L397" s="105">
        <v>50930</v>
      </c>
      <c r="M397" s="105">
        <v>48950</v>
      </c>
      <c r="N397" s="105">
        <f t="shared" si="117"/>
        <v>203.16</v>
      </c>
      <c r="O397" s="105">
        <f t="shared" si="116"/>
        <v>40632</v>
      </c>
      <c r="P397" s="101" t="s">
        <v>649</v>
      </c>
      <c r="Q397" s="101" t="s">
        <v>798</v>
      </c>
      <c r="R397" s="105"/>
      <c r="S397" s="105"/>
      <c r="T397" s="144"/>
      <c r="U397" s="105">
        <v>47130</v>
      </c>
      <c r="V397" s="105">
        <v>0</v>
      </c>
      <c r="W397" s="144">
        <v>43613</v>
      </c>
      <c r="X397" s="104">
        <f t="shared" si="110"/>
        <v>40632</v>
      </c>
      <c r="Y397" s="197">
        <f t="shared" si="102"/>
        <v>9790000</v>
      </c>
      <c r="Z397" s="143" t="str">
        <f t="shared" si="118"/>
        <v/>
      </c>
      <c r="AA397" s="143" t="str">
        <f t="shared" si="119"/>
        <v>买入第18期</v>
      </c>
      <c r="AB397" s="203"/>
      <c r="AC397" s="321">
        <v>0.152</v>
      </c>
      <c r="AD397" s="205">
        <v>0.152</v>
      </c>
      <c r="AE397" s="314"/>
      <c r="AF397" s="105"/>
    </row>
    <row r="398" spans="1:32" ht="24.95" customHeight="1" x14ac:dyDescent="0.15">
      <c r="A398" s="142" t="s">
        <v>894</v>
      </c>
      <c r="B398" s="142" t="s">
        <v>297</v>
      </c>
      <c r="C398" s="142" t="str">
        <f t="shared" si="96"/>
        <v>到期</v>
      </c>
      <c r="D398" s="103" t="s">
        <v>1845</v>
      </c>
      <c r="E398" s="142" t="s">
        <v>298</v>
      </c>
      <c r="F398" s="144">
        <v>43585</v>
      </c>
      <c r="G398" s="144">
        <v>43613</v>
      </c>
      <c r="H398" s="143" t="s">
        <v>1017</v>
      </c>
      <c r="I398" s="143" t="s">
        <v>222</v>
      </c>
      <c r="J398" s="142" t="s">
        <v>59</v>
      </c>
      <c r="K398" s="105">
        <v>200</v>
      </c>
      <c r="L398" s="105">
        <v>47010</v>
      </c>
      <c r="M398" s="105">
        <v>48950</v>
      </c>
      <c r="N398" s="105">
        <f t="shared" si="117"/>
        <v>203.16</v>
      </c>
      <c r="O398" s="105">
        <f t="shared" si="116"/>
        <v>40632</v>
      </c>
      <c r="P398" s="101" t="s">
        <v>649</v>
      </c>
      <c r="Q398" s="101" t="s">
        <v>1110</v>
      </c>
      <c r="R398" s="105"/>
      <c r="S398" s="105"/>
      <c r="T398" s="144"/>
      <c r="U398" s="105">
        <v>47130</v>
      </c>
      <c r="V398" s="105">
        <v>0</v>
      </c>
      <c r="W398" s="144">
        <v>43613</v>
      </c>
      <c r="X398" s="104">
        <f t="shared" si="110"/>
        <v>40632</v>
      </c>
      <c r="Y398" s="197">
        <f t="shared" si="102"/>
        <v>9790000</v>
      </c>
      <c r="Z398" s="143" t="str">
        <f t="shared" si="118"/>
        <v/>
      </c>
      <c r="AA398" s="143" t="str">
        <f t="shared" si="119"/>
        <v>买入第18期</v>
      </c>
      <c r="AB398" s="203"/>
      <c r="AC398" s="321">
        <v>0.152</v>
      </c>
      <c r="AD398" s="205">
        <v>0.152</v>
      </c>
      <c r="AE398" s="314"/>
      <c r="AF398" s="105"/>
    </row>
    <row r="399" spans="1:32" ht="24" customHeight="1" x14ac:dyDescent="0.15">
      <c r="A399" s="142" t="s">
        <v>394</v>
      </c>
      <c r="B399" s="142" t="s">
        <v>295</v>
      </c>
      <c r="C399" s="142" t="str">
        <f t="shared" si="96"/>
        <v>到期</v>
      </c>
      <c r="D399" s="128" t="s">
        <v>196</v>
      </c>
      <c r="E399" s="142" t="s">
        <v>255</v>
      </c>
      <c r="F399" s="144">
        <v>43591</v>
      </c>
      <c r="G399" s="144">
        <v>43682</v>
      </c>
      <c r="H399" s="143" t="s">
        <v>570</v>
      </c>
      <c r="I399" s="143" t="s">
        <v>275</v>
      </c>
      <c r="J399" s="142" t="s">
        <v>56</v>
      </c>
      <c r="K399" s="105">
        <v>500</v>
      </c>
      <c r="L399" s="105">
        <v>17200</v>
      </c>
      <c r="M399" s="105">
        <v>15350</v>
      </c>
      <c r="N399" s="105">
        <v>51.883000000000003</v>
      </c>
      <c r="O399" s="105">
        <f t="shared" si="116"/>
        <v>25941.5</v>
      </c>
      <c r="P399" s="101" t="s">
        <v>739</v>
      </c>
      <c r="Q399" s="101" t="s">
        <v>1464</v>
      </c>
      <c r="R399" s="105"/>
      <c r="S399" s="105"/>
      <c r="T399" s="144"/>
      <c r="U399" s="105">
        <v>12225</v>
      </c>
      <c r="V399" s="104">
        <v>0</v>
      </c>
      <c r="W399" s="242">
        <v>43682</v>
      </c>
      <c r="X399" s="104">
        <f t="shared" si="110"/>
        <v>25941.5</v>
      </c>
      <c r="Y399" s="197">
        <f t="shared" si="102"/>
        <v>7675000</v>
      </c>
      <c r="Z399" s="143" t="str">
        <f>IF(C399="存续",D399&amp;H399&amp;"-"&amp;AA399,"")</f>
        <v/>
      </c>
      <c r="AA399" s="143" t="str">
        <f t="shared" ref="AA399:AA401" si="120">IF(I399="买入","卖出","买入")</f>
        <v>买入</v>
      </c>
      <c r="AB399" s="203">
        <v>1</v>
      </c>
      <c r="AC399" s="321">
        <v>0.16700000000000001</v>
      </c>
      <c r="AD399" s="319"/>
      <c r="AE399" s="314"/>
      <c r="AF399" s="105"/>
    </row>
    <row r="400" spans="1:32" ht="24.95" customHeight="1" x14ac:dyDescent="0.15">
      <c r="A400" s="142" t="s">
        <v>247</v>
      </c>
      <c r="B400" s="142" t="s">
        <v>297</v>
      </c>
      <c r="C400" s="142" t="str">
        <f t="shared" si="96"/>
        <v>到期</v>
      </c>
      <c r="D400" s="127" t="s">
        <v>1852</v>
      </c>
      <c r="E400" s="142" t="s">
        <v>298</v>
      </c>
      <c r="F400" s="144">
        <v>43591</v>
      </c>
      <c r="G400" s="144">
        <v>43621</v>
      </c>
      <c r="H400" s="143" t="s">
        <v>756</v>
      </c>
      <c r="I400" s="143" t="s">
        <v>222</v>
      </c>
      <c r="J400" s="142" t="s">
        <v>59</v>
      </c>
      <c r="K400" s="105">
        <v>24</v>
      </c>
      <c r="L400" s="105">
        <v>95180</v>
      </c>
      <c r="M400" s="105">
        <v>95180</v>
      </c>
      <c r="N400" s="105">
        <v>1779.87</v>
      </c>
      <c r="O400" s="105">
        <f t="shared" si="116"/>
        <v>42716.88</v>
      </c>
      <c r="P400" s="101" t="s">
        <v>740</v>
      </c>
      <c r="Q400" s="101" t="s">
        <v>1111</v>
      </c>
      <c r="R400" s="105"/>
      <c r="S400" s="105"/>
      <c r="T400" s="144"/>
      <c r="U400" s="104">
        <v>96100</v>
      </c>
      <c r="V400" s="104">
        <v>0</v>
      </c>
      <c r="W400" s="48">
        <v>43621</v>
      </c>
      <c r="X400" s="104">
        <f>IF(I400="买入",V400-O400,V400+O400)</f>
        <v>42716.88</v>
      </c>
      <c r="Y400" s="197">
        <f>M400*K400</f>
        <v>2284320</v>
      </c>
      <c r="Z400" s="143" t="str">
        <f t="shared" ref="Z400:Z401" si="121">IF(C400="存续",D400&amp;H400&amp;"-"&amp;AA400,"")</f>
        <v/>
      </c>
      <c r="AA400" s="143" t="str">
        <f t="shared" si="120"/>
        <v>买入</v>
      </c>
      <c r="AB400" s="203"/>
      <c r="AC400" s="321">
        <v>0.157</v>
      </c>
      <c r="AD400" s="319"/>
      <c r="AE400" s="314"/>
      <c r="AF400" s="105"/>
    </row>
    <row r="401" spans="1:33" ht="24.95" customHeight="1" x14ac:dyDescent="0.15">
      <c r="A401" s="142" t="s">
        <v>247</v>
      </c>
      <c r="B401" s="142" t="s">
        <v>295</v>
      </c>
      <c r="C401" s="142" t="str">
        <f t="shared" si="96"/>
        <v>到期</v>
      </c>
      <c r="D401" s="127" t="s">
        <v>266</v>
      </c>
      <c r="E401" s="142" t="s">
        <v>340</v>
      </c>
      <c r="F401" s="144">
        <v>43591</v>
      </c>
      <c r="G401" s="144">
        <v>43621</v>
      </c>
      <c r="H401" s="143" t="s">
        <v>756</v>
      </c>
      <c r="I401" s="143" t="s">
        <v>241</v>
      </c>
      <c r="J401" s="142" t="s">
        <v>59</v>
      </c>
      <c r="K401" s="105">
        <v>24</v>
      </c>
      <c r="L401" s="105">
        <v>95180</v>
      </c>
      <c r="M401" s="105">
        <v>95180</v>
      </c>
      <c r="N401" s="105">
        <v>1888.23</v>
      </c>
      <c r="O401" s="105">
        <f t="shared" si="116"/>
        <v>45317.520000000004</v>
      </c>
      <c r="P401" s="101" t="s">
        <v>878</v>
      </c>
      <c r="Q401" s="101" t="s">
        <v>1112</v>
      </c>
      <c r="R401" s="105"/>
      <c r="S401" s="105"/>
      <c r="T401" s="144"/>
      <c r="U401" s="105">
        <v>96100</v>
      </c>
      <c r="V401" s="105">
        <v>0</v>
      </c>
      <c r="W401" s="144">
        <v>43621</v>
      </c>
      <c r="X401" s="105">
        <f>IF(I401="买入",V401-O401,V401+O401)</f>
        <v>-45317.520000000004</v>
      </c>
      <c r="Y401" s="197">
        <f>M401*K401</f>
        <v>2284320</v>
      </c>
      <c r="Z401" s="143" t="str">
        <f t="shared" si="121"/>
        <v/>
      </c>
      <c r="AA401" s="143" t="str">
        <f t="shared" si="120"/>
        <v>卖出</v>
      </c>
      <c r="AB401" s="203"/>
      <c r="AC401" s="321">
        <v>0.16700000000000001</v>
      </c>
      <c r="AD401" s="319"/>
      <c r="AE401" s="314"/>
      <c r="AF401" s="105"/>
    </row>
    <row r="402" spans="1:33" ht="24.95" customHeight="1" x14ac:dyDescent="0.15">
      <c r="A402" s="142" t="s">
        <v>248</v>
      </c>
      <c r="B402" s="142" t="s">
        <v>764</v>
      </c>
      <c r="C402" s="142" t="str">
        <f t="shared" si="96"/>
        <v>到期</v>
      </c>
      <c r="D402" s="103" t="s">
        <v>1841</v>
      </c>
      <c r="E402" s="142" t="s">
        <v>298</v>
      </c>
      <c r="F402" s="144">
        <v>43592</v>
      </c>
      <c r="G402" s="144">
        <v>43620</v>
      </c>
      <c r="H402" s="143" t="s">
        <v>1017</v>
      </c>
      <c r="I402" s="143" t="s">
        <v>275</v>
      </c>
      <c r="J402" s="142" t="s">
        <v>56</v>
      </c>
      <c r="K402" s="105">
        <v>200</v>
      </c>
      <c r="L402" s="105">
        <v>50500</v>
      </c>
      <c r="M402" s="105">
        <v>48330</v>
      </c>
      <c r="N402" s="105">
        <f>401.18/2</f>
        <v>200.59</v>
      </c>
      <c r="O402" s="105">
        <f t="shared" si="116"/>
        <v>40118</v>
      </c>
      <c r="P402" s="101" t="s">
        <v>650</v>
      </c>
      <c r="Q402" s="101" t="s">
        <v>804</v>
      </c>
      <c r="R402" s="105"/>
      <c r="S402" s="105"/>
      <c r="T402" s="144"/>
      <c r="U402" s="105">
        <v>46270</v>
      </c>
      <c r="V402" s="105">
        <v>0</v>
      </c>
      <c r="W402" s="144">
        <v>43620</v>
      </c>
      <c r="X402" s="105">
        <f t="shared" ref="X402:X411" si="122">IF(I402="买入",V402-O402,V402+O402)</f>
        <v>40118</v>
      </c>
      <c r="Y402" s="197">
        <f t="shared" si="102"/>
        <v>9666000</v>
      </c>
      <c r="Z402" s="143" t="str">
        <f>IF(C402="存续",D402&amp;H402&amp;"-"&amp;AA402,"")</f>
        <v/>
      </c>
      <c r="AA402" s="143" t="str">
        <f>IF(I402="买入","卖出","买入第19期")</f>
        <v>买入第19期</v>
      </c>
      <c r="AB402" s="203"/>
      <c r="AC402" s="321">
        <v>0.152</v>
      </c>
      <c r="AD402" s="205">
        <v>0.152</v>
      </c>
      <c r="AE402" s="314"/>
      <c r="AF402" s="105"/>
    </row>
    <row r="403" spans="1:33" ht="24.95" customHeight="1" x14ac:dyDescent="0.15">
      <c r="A403" s="142" t="s">
        <v>894</v>
      </c>
      <c r="B403" s="142" t="s">
        <v>764</v>
      </c>
      <c r="C403" s="142" t="str">
        <f t="shared" si="96"/>
        <v>到期</v>
      </c>
      <c r="D403" s="103" t="s">
        <v>1841</v>
      </c>
      <c r="E403" s="142" t="s">
        <v>298</v>
      </c>
      <c r="F403" s="144">
        <v>43592</v>
      </c>
      <c r="G403" s="144">
        <v>43620</v>
      </c>
      <c r="H403" s="143" t="s">
        <v>1017</v>
      </c>
      <c r="I403" s="143" t="s">
        <v>275</v>
      </c>
      <c r="J403" s="142" t="s">
        <v>59</v>
      </c>
      <c r="K403" s="105">
        <v>200</v>
      </c>
      <c r="L403" s="105">
        <v>46630</v>
      </c>
      <c r="M403" s="105">
        <v>48330</v>
      </c>
      <c r="N403" s="105">
        <f t="shared" ref="N403:N411" si="123">401.18/2</f>
        <v>200.59</v>
      </c>
      <c r="O403" s="105">
        <f t="shared" si="116"/>
        <v>40118</v>
      </c>
      <c r="P403" s="101" t="s">
        <v>650</v>
      </c>
      <c r="Q403" s="101" t="s">
        <v>1113</v>
      </c>
      <c r="R403" s="105"/>
      <c r="S403" s="105"/>
      <c r="T403" s="144"/>
      <c r="U403" s="105">
        <v>46270</v>
      </c>
      <c r="V403" s="105">
        <f>-(L403-U403)*K403</f>
        <v>-72000</v>
      </c>
      <c r="W403" s="144">
        <v>43620</v>
      </c>
      <c r="X403" s="105">
        <f t="shared" si="122"/>
        <v>-31882</v>
      </c>
      <c r="Y403" s="197">
        <f t="shared" si="102"/>
        <v>9666000</v>
      </c>
      <c r="Z403" s="143" t="str">
        <f t="shared" ref="Z403:Z436" si="124">IF(C403="存续",D403&amp;H403&amp;"-"&amp;AA403,"")</f>
        <v/>
      </c>
      <c r="AA403" s="143" t="str">
        <f t="shared" ref="AA403:AA412" si="125">IF(I403="买入","卖出","买入第19期")</f>
        <v>买入第19期</v>
      </c>
      <c r="AB403" s="203"/>
      <c r="AC403" s="321">
        <v>0.152</v>
      </c>
      <c r="AD403" s="205">
        <v>0.152</v>
      </c>
      <c r="AE403" s="314"/>
      <c r="AF403" s="105"/>
    </row>
    <row r="404" spans="1:33" ht="24.95" customHeight="1" x14ac:dyDescent="0.15">
      <c r="A404" s="142" t="s">
        <v>248</v>
      </c>
      <c r="B404" s="142" t="s">
        <v>764</v>
      </c>
      <c r="C404" s="142" t="str">
        <f t="shared" si="96"/>
        <v>到期</v>
      </c>
      <c r="D404" s="103" t="s">
        <v>1842</v>
      </c>
      <c r="E404" s="142" t="s">
        <v>298</v>
      </c>
      <c r="F404" s="144">
        <v>43592</v>
      </c>
      <c r="G404" s="144">
        <v>43620</v>
      </c>
      <c r="H404" s="143" t="s">
        <v>1017</v>
      </c>
      <c r="I404" s="143" t="s">
        <v>222</v>
      </c>
      <c r="J404" s="142" t="s">
        <v>56</v>
      </c>
      <c r="K404" s="105">
        <v>200</v>
      </c>
      <c r="L404" s="105">
        <v>50500</v>
      </c>
      <c r="M404" s="105">
        <v>48330</v>
      </c>
      <c r="N404" s="105">
        <f t="shared" si="123"/>
        <v>200.59</v>
      </c>
      <c r="O404" s="105">
        <f t="shared" si="116"/>
        <v>40118</v>
      </c>
      <c r="P404" s="101" t="s">
        <v>651</v>
      </c>
      <c r="Q404" s="101" t="s">
        <v>1114</v>
      </c>
      <c r="R404" s="105"/>
      <c r="S404" s="105"/>
      <c r="T404" s="144"/>
      <c r="U404" s="104">
        <v>46270</v>
      </c>
      <c r="V404" s="104">
        <v>0</v>
      </c>
      <c r="W404" s="48">
        <v>43620</v>
      </c>
      <c r="X404" s="104">
        <f t="shared" si="122"/>
        <v>40118</v>
      </c>
      <c r="Y404" s="197">
        <f t="shared" si="102"/>
        <v>9666000</v>
      </c>
      <c r="Z404" s="143" t="str">
        <f t="shared" si="124"/>
        <v/>
      </c>
      <c r="AA404" s="143" t="str">
        <f t="shared" si="125"/>
        <v>买入第19期</v>
      </c>
      <c r="AB404" s="203"/>
      <c r="AC404" s="321">
        <v>0.152</v>
      </c>
      <c r="AD404" s="205">
        <v>0.152</v>
      </c>
      <c r="AE404" s="314"/>
      <c r="AF404" s="105"/>
    </row>
    <row r="405" spans="1:33" ht="24.95" customHeight="1" x14ac:dyDescent="0.15">
      <c r="A405" s="142" t="s">
        <v>248</v>
      </c>
      <c r="B405" s="142" t="s">
        <v>764</v>
      </c>
      <c r="C405" s="142" t="str">
        <f t="shared" si="96"/>
        <v>到期</v>
      </c>
      <c r="D405" s="103" t="s">
        <v>1842</v>
      </c>
      <c r="E405" s="142" t="s">
        <v>298</v>
      </c>
      <c r="F405" s="144">
        <v>43592</v>
      </c>
      <c r="G405" s="144">
        <v>43620</v>
      </c>
      <c r="H405" s="143" t="s">
        <v>1017</v>
      </c>
      <c r="I405" s="143" t="s">
        <v>275</v>
      </c>
      <c r="J405" s="142" t="s">
        <v>59</v>
      </c>
      <c r="K405" s="105">
        <v>200</v>
      </c>
      <c r="L405" s="105">
        <v>46630</v>
      </c>
      <c r="M405" s="105">
        <v>48330</v>
      </c>
      <c r="N405" s="105">
        <f t="shared" si="123"/>
        <v>200.59</v>
      </c>
      <c r="O405" s="105">
        <f t="shared" si="116"/>
        <v>40118</v>
      </c>
      <c r="P405" s="101" t="s">
        <v>651</v>
      </c>
      <c r="Q405" s="101" t="s">
        <v>812</v>
      </c>
      <c r="R405" s="105"/>
      <c r="S405" s="105"/>
      <c r="T405" s="144"/>
      <c r="U405" s="105">
        <v>46270</v>
      </c>
      <c r="V405" s="105">
        <f>-(L405-U405)*K405</f>
        <v>-72000</v>
      </c>
      <c r="W405" s="144">
        <v>43620</v>
      </c>
      <c r="X405" s="105">
        <f t="shared" si="122"/>
        <v>-31882</v>
      </c>
      <c r="Y405" s="197">
        <f t="shared" si="102"/>
        <v>9666000</v>
      </c>
      <c r="Z405" s="143" t="str">
        <f t="shared" si="124"/>
        <v/>
      </c>
      <c r="AA405" s="143" t="str">
        <f t="shared" si="125"/>
        <v>买入第19期</v>
      </c>
      <c r="AB405" s="203"/>
      <c r="AC405" s="321">
        <v>0.152</v>
      </c>
      <c r="AD405" s="205">
        <v>0.152</v>
      </c>
      <c r="AE405" s="314"/>
      <c r="AF405" s="105"/>
    </row>
    <row r="406" spans="1:33" ht="24.95" customHeight="1" x14ac:dyDescent="0.15">
      <c r="A406" s="142" t="s">
        <v>763</v>
      </c>
      <c r="B406" s="142" t="s">
        <v>297</v>
      </c>
      <c r="C406" s="142" t="str">
        <f t="shared" si="96"/>
        <v>到期</v>
      </c>
      <c r="D406" s="103" t="s">
        <v>1843</v>
      </c>
      <c r="E406" s="142" t="s">
        <v>298</v>
      </c>
      <c r="F406" s="144">
        <v>43592</v>
      </c>
      <c r="G406" s="144">
        <v>43620</v>
      </c>
      <c r="H406" s="143" t="s">
        <v>1017</v>
      </c>
      <c r="I406" s="143" t="s">
        <v>222</v>
      </c>
      <c r="J406" s="142" t="s">
        <v>56</v>
      </c>
      <c r="K406" s="105">
        <v>200</v>
      </c>
      <c r="L406" s="105">
        <v>50500</v>
      </c>
      <c r="M406" s="105">
        <v>48330</v>
      </c>
      <c r="N406" s="105">
        <f t="shared" si="123"/>
        <v>200.59</v>
      </c>
      <c r="O406" s="105">
        <f t="shared" si="116"/>
        <v>40118</v>
      </c>
      <c r="P406" s="101" t="s">
        <v>652</v>
      </c>
      <c r="Q406" s="101" t="s">
        <v>1115</v>
      </c>
      <c r="R406" s="105"/>
      <c r="S406" s="105"/>
      <c r="T406" s="144"/>
      <c r="U406" s="105">
        <v>46270</v>
      </c>
      <c r="V406" s="105">
        <v>0</v>
      </c>
      <c r="W406" s="144">
        <v>43620</v>
      </c>
      <c r="X406" s="105">
        <f t="shared" si="122"/>
        <v>40118</v>
      </c>
      <c r="Y406" s="197">
        <f t="shared" si="102"/>
        <v>9666000</v>
      </c>
      <c r="Z406" s="143" t="str">
        <f t="shared" si="124"/>
        <v/>
      </c>
      <c r="AA406" s="143" t="str">
        <f t="shared" si="125"/>
        <v>买入第19期</v>
      </c>
      <c r="AB406" s="203"/>
      <c r="AC406" s="321">
        <v>0.152</v>
      </c>
      <c r="AD406" s="205">
        <v>0.152</v>
      </c>
      <c r="AE406" s="314"/>
      <c r="AF406" s="105"/>
    </row>
    <row r="407" spans="1:33" ht="24.95" customHeight="1" x14ac:dyDescent="0.15">
      <c r="A407" s="142" t="s">
        <v>894</v>
      </c>
      <c r="B407" s="142" t="s">
        <v>297</v>
      </c>
      <c r="C407" s="142" t="str">
        <f t="shared" si="96"/>
        <v>到期</v>
      </c>
      <c r="D407" s="103" t="s">
        <v>1843</v>
      </c>
      <c r="E407" s="142" t="s">
        <v>298</v>
      </c>
      <c r="F407" s="144">
        <v>43592</v>
      </c>
      <c r="G407" s="144">
        <v>43620</v>
      </c>
      <c r="H407" s="143" t="s">
        <v>1017</v>
      </c>
      <c r="I407" s="143" t="s">
        <v>222</v>
      </c>
      <c r="J407" s="142" t="s">
        <v>59</v>
      </c>
      <c r="K407" s="105">
        <v>200</v>
      </c>
      <c r="L407" s="105">
        <v>46630</v>
      </c>
      <c r="M407" s="105">
        <v>48330</v>
      </c>
      <c r="N407" s="105">
        <f t="shared" si="123"/>
        <v>200.59</v>
      </c>
      <c r="O407" s="105">
        <f t="shared" si="116"/>
        <v>40118</v>
      </c>
      <c r="P407" s="101" t="s">
        <v>652</v>
      </c>
      <c r="Q407" s="101" t="s">
        <v>1115</v>
      </c>
      <c r="R407" s="105"/>
      <c r="S407" s="105"/>
      <c r="T407" s="144"/>
      <c r="U407" s="104">
        <v>46270</v>
      </c>
      <c r="V407" s="104">
        <f>-(L407-U407)*K407</f>
        <v>-72000</v>
      </c>
      <c r="W407" s="48">
        <v>43620</v>
      </c>
      <c r="X407" s="104">
        <f>IF(I407="买入",V407-O407,V407+O407)</f>
        <v>-31882</v>
      </c>
      <c r="Y407" s="197">
        <f t="shared" si="102"/>
        <v>9666000</v>
      </c>
      <c r="Z407" s="143" t="str">
        <f t="shared" si="124"/>
        <v/>
      </c>
      <c r="AA407" s="143" t="str">
        <f t="shared" si="125"/>
        <v>买入第19期</v>
      </c>
      <c r="AB407" s="203"/>
      <c r="AC407" s="321">
        <v>0.152</v>
      </c>
      <c r="AD407" s="205">
        <v>0.152</v>
      </c>
      <c r="AE407" s="314"/>
      <c r="AF407" s="105"/>
    </row>
    <row r="408" spans="1:33" ht="24.95" customHeight="1" x14ac:dyDescent="0.15">
      <c r="A408" s="142" t="s">
        <v>894</v>
      </c>
      <c r="B408" s="142" t="s">
        <v>764</v>
      </c>
      <c r="C408" s="142" t="str">
        <f t="shared" si="96"/>
        <v>到期</v>
      </c>
      <c r="D408" s="103" t="s">
        <v>1844</v>
      </c>
      <c r="E408" s="142" t="s">
        <v>298</v>
      </c>
      <c r="F408" s="144">
        <v>43592</v>
      </c>
      <c r="G408" s="144">
        <v>43620</v>
      </c>
      <c r="H408" s="143" t="s">
        <v>1017</v>
      </c>
      <c r="I408" s="143" t="s">
        <v>222</v>
      </c>
      <c r="J408" s="142" t="s">
        <v>56</v>
      </c>
      <c r="K408" s="105">
        <v>200</v>
      </c>
      <c r="L408" s="105">
        <v>50500</v>
      </c>
      <c r="M408" s="105">
        <v>48330</v>
      </c>
      <c r="N408" s="105">
        <f t="shared" si="123"/>
        <v>200.59</v>
      </c>
      <c r="O408" s="105">
        <f t="shared" si="116"/>
        <v>40118</v>
      </c>
      <c r="P408" s="101" t="s">
        <v>653</v>
      </c>
      <c r="Q408" s="101" t="s">
        <v>813</v>
      </c>
      <c r="R408" s="105"/>
      <c r="S408" s="105"/>
      <c r="T408" s="144"/>
      <c r="U408" s="105">
        <v>46270</v>
      </c>
      <c r="V408" s="105">
        <v>0</v>
      </c>
      <c r="W408" s="144">
        <v>43620</v>
      </c>
      <c r="X408" s="105">
        <f t="shared" si="122"/>
        <v>40118</v>
      </c>
      <c r="Y408" s="197">
        <f t="shared" si="102"/>
        <v>9666000</v>
      </c>
      <c r="Z408" s="143" t="str">
        <f t="shared" si="124"/>
        <v/>
      </c>
      <c r="AA408" s="143" t="str">
        <f t="shared" si="125"/>
        <v>买入第19期</v>
      </c>
      <c r="AB408" s="203"/>
      <c r="AC408" s="321">
        <v>0.152</v>
      </c>
      <c r="AD408" s="205">
        <v>0.152</v>
      </c>
      <c r="AE408" s="314"/>
      <c r="AF408" s="105"/>
    </row>
    <row r="409" spans="1:33" ht="24.95" customHeight="1" x14ac:dyDescent="0.15">
      <c r="A409" s="142" t="s">
        <v>894</v>
      </c>
      <c r="B409" s="142" t="s">
        <v>764</v>
      </c>
      <c r="C409" s="142" t="str">
        <f t="shared" si="96"/>
        <v>到期</v>
      </c>
      <c r="D409" s="103" t="s">
        <v>1844</v>
      </c>
      <c r="E409" s="142" t="s">
        <v>298</v>
      </c>
      <c r="F409" s="144">
        <v>43592</v>
      </c>
      <c r="G409" s="144">
        <v>43620</v>
      </c>
      <c r="H409" s="143" t="s">
        <v>1017</v>
      </c>
      <c r="I409" s="143" t="s">
        <v>275</v>
      </c>
      <c r="J409" s="142" t="s">
        <v>59</v>
      </c>
      <c r="K409" s="105">
        <v>200</v>
      </c>
      <c r="L409" s="105">
        <v>46630</v>
      </c>
      <c r="M409" s="105">
        <v>48330</v>
      </c>
      <c r="N409" s="105">
        <f t="shared" si="123"/>
        <v>200.59</v>
      </c>
      <c r="O409" s="105">
        <f t="shared" si="116"/>
        <v>40118</v>
      </c>
      <c r="P409" s="101" t="s">
        <v>653</v>
      </c>
      <c r="Q409" s="101" t="s">
        <v>1116</v>
      </c>
      <c r="R409" s="105"/>
      <c r="S409" s="105"/>
      <c r="T409" s="144"/>
      <c r="U409" s="105">
        <v>46270</v>
      </c>
      <c r="V409" s="105">
        <f>-(L409-U409)*K409</f>
        <v>-72000</v>
      </c>
      <c r="W409" s="144">
        <v>43620</v>
      </c>
      <c r="X409" s="105">
        <f t="shared" si="122"/>
        <v>-31882</v>
      </c>
      <c r="Y409" s="197">
        <f t="shared" si="102"/>
        <v>9666000</v>
      </c>
      <c r="Z409" s="143" t="str">
        <f t="shared" si="124"/>
        <v/>
      </c>
      <c r="AA409" s="143" t="str">
        <f t="shared" si="125"/>
        <v>买入第19期</v>
      </c>
      <c r="AB409" s="203"/>
      <c r="AC409" s="321">
        <v>0.152</v>
      </c>
      <c r="AD409" s="205">
        <v>0.152</v>
      </c>
      <c r="AE409" s="314"/>
      <c r="AF409" s="105"/>
    </row>
    <row r="410" spans="1:33" ht="24.95" customHeight="1" x14ac:dyDescent="0.15">
      <c r="A410" s="142" t="s">
        <v>894</v>
      </c>
      <c r="B410" s="142" t="s">
        <v>764</v>
      </c>
      <c r="C410" s="142" t="str">
        <f t="shared" si="96"/>
        <v>到期</v>
      </c>
      <c r="D410" s="103" t="s">
        <v>1845</v>
      </c>
      <c r="E410" s="142" t="s">
        <v>298</v>
      </c>
      <c r="F410" s="144">
        <v>43592</v>
      </c>
      <c r="G410" s="144">
        <v>43620</v>
      </c>
      <c r="H410" s="143" t="s">
        <v>1017</v>
      </c>
      <c r="I410" s="143" t="s">
        <v>275</v>
      </c>
      <c r="J410" s="142" t="s">
        <v>56</v>
      </c>
      <c r="K410" s="105">
        <v>200</v>
      </c>
      <c r="L410" s="105">
        <v>50500</v>
      </c>
      <c r="M410" s="105">
        <v>48330</v>
      </c>
      <c r="N410" s="105">
        <f t="shared" si="123"/>
        <v>200.59</v>
      </c>
      <c r="O410" s="105">
        <f t="shared" si="116"/>
        <v>40118</v>
      </c>
      <c r="P410" s="101" t="s">
        <v>654</v>
      </c>
      <c r="Q410" s="101" t="s">
        <v>1117</v>
      </c>
      <c r="R410" s="105"/>
      <c r="S410" s="105"/>
      <c r="T410" s="144"/>
      <c r="U410" s="105">
        <v>46270</v>
      </c>
      <c r="V410" s="105">
        <v>0</v>
      </c>
      <c r="W410" s="144">
        <v>43620</v>
      </c>
      <c r="X410" s="105">
        <f t="shared" si="122"/>
        <v>40118</v>
      </c>
      <c r="Y410" s="197">
        <f t="shared" si="102"/>
        <v>9666000</v>
      </c>
      <c r="Z410" s="143" t="str">
        <f t="shared" si="124"/>
        <v/>
      </c>
      <c r="AA410" s="143" t="str">
        <f t="shared" si="125"/>
        <v>买入第19期</v>
      </c>
      <c r="AB410" s="203"/>
      <c r="AC410" s="321">
        <v>0.152</v>
      </c>
      <c r="AD410" s="205">
        <v>0.152</v>
      </c>
      <c r="AE410" s="314"/>
      <c r="AF410" s="105"/>
    </row>
    <row r="411" spans="1:33" ht="24.95" customHeight="1" x14ac:dyDescent="0.15">
      <c r="A411" s="142" t="s">
        <v>894</v>
      </c>
      <c r="B411" s="142" t="s">
        <v>764</v>
      </c>
      <c r="C411" s="142" t="str">
        <f t="shared" ref="C411:C434" si="126">IF(Q411="","存续","到期")</f>
        <v>到期</v>
      </c>
      <c r="D411" s="103" t="s">
        <v>1845</v>
      </c>
      <c r="E411" s="142" t="s">
        <v>298</v>
      </c>
      <c r="F411" s="144">
        <v>43592</v>
      </c>
      <c r="G411" s="144">
        <v>43620</v>
      </c>
      <c r="H411" s="143" t="s">
        <v>1017</v>
      </c>
      <c r="I411" s="143" t="s">
        <v>275</v>
      </c>
      <c r="J411" s="142" t="s">
        <v>59</v>
      </c>
      <c r="K411" s="105">
        <v>200</v>
      </c>
      <c r="L411" s="105">
        <v>46630</v>
      </c>
      <c r="M411" s="105">
        <v>48330</v>
      </c>
      <c r="N411" s="105">
        <f t="shared" si="123"/>
        <v>200.59</v>
      </c>
      <c r="O411" s="105">
        <f t="shared" si="116"/>
        <v>40118</v>
      </c>
      <c r="P411" s="101" t="s">
        <v>655</v>
      </c>
      <c r="Q411" s="101" t="s">
        <v>814</v>
      </c>
      <c r="R411" s="105"/>
      <c r="S411" s="105"/>
      <c r="T411" s="144"/>
      <c r="U411" s="105">
        <v>46270</v>
      </c>
      <c r="V411" s="105">
        <f>-(L411-U411)*K411</f>
        <v>-72000</v>
      </c>
      <c r="W411" s="144">
        <v>43620</v>
      </c>
      <c r="X411" s="105">
        <f t="shared" si="122"/>
        <v>-31882</v>
      </c>
      <c r="Y411" s="197">
        <f t="shared" si="102"/>
        <v>9666000</v>
      </c>
      <c r="Z411" s="143" t="str">
        <f t="shared" si="124"/>
        <v/>
      </c>
      <c r="AA411" s="143" t="str">
        <f t="shared" si="125"/>
        <v>买入第19期</v>
      </c>
      <c r="AB411" s="203"/>
      <c r="AC411" s="321">
        <v>0.152</v>
      </c>
      <c r="AD411" s="205">
        <v>0.152</v>
      </c>
      <c r="AE411" s="314"/>
      <c r="AF411" s="105"/>
    </row>
    <row r="412" spans="1:33" ht="24" customHeight="1" x14ac:dyDescent="0.15">
      <c r="A412" s="142" t="s">
        <v>248</v>
      </c>
      <c r="B412" s="142" t="s">
        <v>764</v>
      </c>
      <c r="C412" s="142" t="str">
        <f t="shared" si="126"/>
        <v>到期</v>
      </c>
      <c r="D412" s="100" t="s">
        <v>1857</v>
      </c>
      <c r="E412" s="143" t="s">
        <v>298</v>
      </c>
      <c r="F412" s="48">
        <v>43593</v>
      </c>
      <c r="G412" s="48">
        <v>43621</v>
      </c>
      <c r="H412" s="143" t="s">
        <v>901</v>
      </c>
      <c r="I412" s="143" t="s">
        <v>241</v>
      </c>
      <c r="J412" s="142" t="s">
        <v>22</v>
      </c>
      <c r="K412" s="105">
        <v>570</v>
      </c>
      <c r="L412" s="105">
        <v>3596</v>
      </c>
      <c r="M412" s="105">
        <v>3596</v>
      </c>
      <c r="N412" s="105">
        <v>64.3</v>
      </c>
      <c r="O412" s="105">
        <f t="shared" si="116"/>
        <v>36651</v>
      </c>
      <c r="P412" s="101" t="s">
        <v>768</v>
      </c>
      <c r="Q412" s="101" t="s">
        <v>1118</v>
      </c>
      <c r="R412" s="105"/>
      <c r="S412" s="105"/>
      <c r="T412" s="144"/>
      <c r="U412" s="104">
        <v>3631</v>
      </c>
      <c r="V412" s="104">
        <f>-(L412-U412)*K412</f>
        <v>19950</v>
      </c>
      <c r="W412" s="48">
        <v>43621</v>
      </c>
      <c r="X412" s="104">
        <f>IF(I412="买入",V412-O412,V412+O412)</f>
        <v>-16701</v>
      </c>
      <c r="Y412" s="197">
        <f t="shared" si="102"/>
        <v>2049720</v>
      </c>
      <c r="Z412" s="143" t="str">
        <f t="shared" si="124"/>
        <v/>
      </c>
      <c r="AA412" s="143" t="str">
        <f t="shared" si="125"/>
        <v>卖出</v>
      </c>
      <c r="AB412" s="203"/>
      <c r="AC412" s="321">
        <v>0.15720000000000001</v>
      </c>
      <c r="AD412" s="319"/>
      <c r="AE412" s="314"/>
      <c r="AF412" s="105"/>
    </row>
    <row r="413" spans="1:33" ht="24" customHeight="1" x14ac:dyDescent="0.15">
      <c r="A413" s="142" t="s">
        <v>394</v>
      </c>
      <c r="B413" s="142" t="s">
        <v>764</v>
      </c>
      <c r="C413" s="142" t="str">
        <f t="shared" si="126"/>
        <v>到期</v>
      </c>
      <c r="D413" s="128" t="s">
        <v>1837</v>
      </c>
      <c r="E413" s="142" t="s">
        <v>255</v>
      </c>
      <c r="F413" s="144">
        <v>43595</v>
      </c>
      <c r="G413" s="48">
        <v>43644</v>
      </c>
      <c r="H413" s="143" t="s">
        <v>749</v>
      </c>
      <c r="I413" s="143" t="s">
        <v>241</v>
      </c>
      <c r="J413" s="142" t="s">
        <v>25</v>
      </c>
      <c r="K413" s="105">
        <v>500</v>
      </c>
      <c r="L413" s="105">
        <v>11955</v>
      </c>
      <c r="M413" s="105">
        <v>11955</v>
      </c>
      <c r="N413" s="105">
        <v>376.58199999999999</v>
      </c>
      <c r="O413" s="105">
        <f t="shared" si="116"/>
        <v>188291</v>
      </c>
      <c r="P413" s="101" t="s">
        <v>741</v>
      </c>
      <c r="Q413" s="101" t="s">
        <v>1119</v>
      </c>
      <c r="R413" s="105">
        <v>281.08999999999997</v>
      </c>
      <c r="S413" s="105">
        <f>R413*K413</f>
        <v>140545</v>
      </c>
      <c r="T413" s="144">
        <v>43633</v>
      </c>
      <c r="U413" s="105"/>
      <c r="V413" s="105"/>
      <c r="W413" s="144"/>
      <c r="X413" s="104">
        <f t="shared" ref="X413" si="127">IF(I413="买入",S413-O413,O413+S413)</f>
        <v>-47746</v>
      </c>
      <c r="Y413" s="197">
        <f t="shared" si="102"/>
        <v>5977500</v>
      </c>
      <c r="Z413" s="143" t="str">
        <f t="shared" si="124"/>
        <v/>
      </c>
      <c r="AA413" s="143" t="str">
        <f t="shared" ref="AA413:AA414" si="128">IF(I413="买入","卖出","买入")</f>
        <v>卖出</v>
      </c>
      <c r="AB413" s="203"/>
      <c r="AC413" s="321">
        <v>0.21329999999999999</v>
      </c>
      <c r="AD413" s="319"/>
      <c r="AE413" s="314"/>
      <c r="AF413" s="105"/>
    </row>
    <row r="414" spans="1:33" ht="42" customHeight="1" x14ac:dyDescent="0.15">
      <c r="A414" s="142" t="s">
        <v>244</v>
      </c>
      <c r="B414" s="142" t="s">
        <v>764</v>
      </c>
      <c r="C414" s="142" t="str">
        <f t="shared" si="126"/>
        <v>到期</v>
      </c>
      <c r="D414" s="123" t="s">
        <v>1858</v>
      </c>
      <c r="E414" s="142" t="s">
        <v>255</v>
      </c>
      <c r="F414" s="144">
        <v>43599</v>
      </c>
      <c r="G414" s="139">
        <v>43658</v>
      </c>
      <c r="H414" s="143" t="s">
        <v>749</v>
      </c>
      <c r="I414" s="143" t="s">
        <v>241</v>
      </c>
      <c r="J414" s="142" t="s">
        <v>973</v>
      </c>
      <c r="K414" s="105">
        <v>5000</v>
      </c>
      <c r="L414" s="105">
        <v>11982.5</v>
      </c>
      <c r="M414" s="105">
        <v>11982.5</v>
      </c>
      <c r="N414" s="105">
        <v>405.41</v>
      </c>
      <c r="O414" s="105">
        <f>N414*K414</f>
        <v>2027050.0000000002</v>
      </c>
      <c r="P414" s="101" t="s">
        <v>769</v>
      </c>
      <c r="Q414" s="101" t="s">
        <v>1120</v>
      </c>
      <c r="R414" s="105"/>
      <c r="S414" s="105"/>
      <c r="T414" s="144"/>
      <c r="U414" s="109">
        <v>11682.5</v>
      </c>
      <c r="V414" s="105">
        <f>300*5000</f>
        <v>1500000</v>
      </c>
      <c r="W414" s="144">
        <v>43658</v>
      </c>
      <c r="X414" s="105">
        <f>IF(I414="买入",V414-O414,V414+O414)</f>
        <v>-527050.00000000023</v>
      </c>
      <c r="Y414" s="197">
        <f t="shared" si="102"/>
        <v>59912500</v>
      </c>
      <c r="Z414" s="143" t="str">
        <f t="shared" si="124"/>
        <v/>
      </c>
      <c r="AA414" s="143" t="str">
        <f t="shared" si="128"/>
        <v>卖出</v>
      </c>
      <c r="AB414" s="203"/>
      <c r="AC414" s="321"/>
      <c r="AD414" s="321"/>
      <c r="AE414" s="314" t="s">
        <v>1333</v>
      </c>
      <c r="AF414" s="105"/>
      <c r="AG414" s="108" t="s">
        <v>1631</v>
      </c>
    </row>
    <row r="415" spans="1:33" ht="24.95" customHeight="1" x14ac:dyDescent="0.15">
      <c r="A415" s="142" t="s">
        <v>894</v>
      </c>
      <c r="B415" s="142" t="s">
        <v>764</v>
      </c>
      <c r="C415" s="142" t="str">
        <f t="shared" si="126"/>
        <v>到期</v>
      </c>
      <c r="D415" s="103" t="s">
        <v>1841</v>
      </c>
      <c r="E415" s="142" t="s">
        <v>298</v>
      </c>
      <c r="F415" s="144">
        <v>43599</v>
      </c>
      <c r="G415" s="144">
        <v>43627</v>
      </c>
      <c r="H415" s="143" t="s">
        <v>1017</v>
      </c>
      <c r="I415" s="143" t="s">
        <v>222</v>
      </c>
      <c r="J415" s="142" t="s">
        <v>56</v>
      </c>
      <c r="K415" s="105">
        <v>200</v>
      </c>
      <c r="L415" s="105">
        <v>49700</v>
      </c>
      <c r="M415" s="105">
        <v>47570</v>
      </c>
      <c r="N415" s="105">
        <v>197.435</v>
      </c>
      <c r="O415" s="105">
        <f t="shared" si="116"/>
        <v>39487</v>
      </c>
      <c r="P415" s="101" t="s">
        <v>772</v>
      </c>
      <c r="Q415" s="101" t="s">
        <v>1121</v>
      </c>
      <c r="R415" s="105"/>
      <c r="S415" s="105"/>
      <c r="T415" s="144"/>
      <c r="U415" s="105">
        <v>46840</v>
      </c>
      <c r="V415" s="105">
        <v>0</v>
      </c>
      <c r="W415" s="144">
        <v>43627</v>
      </c>
      <c r="X415" s="105">
        <f t="shared" ref="X415:X447" si="129">IF(I415="买入",V415-O415,V415+O415)</f>
        <v>39487</v>
      </c>
      <c r="Y415" s="197">
        <f t="shared" si="102"/>
        <v>9514000</v>
      </c>
      <c r="Z415" s="143" t="str">
        <f>IF(C415="存续",D415&amp;H415&amp;"-"&amp;AA415,"")</f>
        <v/>
      </c>
      <c r="AA415" s="143" t="str">
        <f t="shared" ref="AA415:AA423" si="130">IF(I415="买入","卖出","买入第20期")</f>
        <v>买入第20期</v>
      </c>
      <c r="AB415" s="203"/>
      <c r="AC415" s="321">
        <v>0.152</v>
      </c>
      <c r="AD415" s="205">
        <v>0.152</v>
      </c>
      <c r="AE415" s="314"/>
      <c r="AF415" s="105"/>
    </row>
    <row r="416" spans="1:33" ht="24.95" customHeight="1" x14ac:dyDescent="0.15">
      <c r="A416" s="142" t="s">
        <v>248</v>
      </c>
      <c r="B416" s="142" t="s">
        <v>764</v>
      </c>
      <c r="C416" s="142" t="str">
        <f t="shared" si="126"/>
        <v>到期</v>
      </c>
      <c r="D416" s="103" t="s">
        <v>1841</v>
      </c>
      <c r="E416" s="142" t="s">
        <v>298</v>
      </c>
      <c r="F416" s="144">
        <v>43599</v>
      </c>
      <c r="G416" s="144">
        <v>43627</v>
      </c>
      <c r="H416" s="143" t="s">
        <v>1017</v>
      </c>
      <c r="I416" s="143" t="s">
        <v>222</v>
      </c>
      <c r="J416" s="142" t="s">
        <v>59</v>
      </c>
      <c r="K416" s="105">
        <v>200</v>
      </c>
      <c r="L416" s="105">
        <v>45900</v>
      </c>
      <c r="M416" s="105">
        <v>47570</v>
      </c>
      <c r="N416" s="105">
        <v>197.435</v>
      </c>
      <c r="O416" s="105">
        <f t="shared" si="116"/>
        <v>39487</v>
      </c>
      <c r="P416" s="101" t="s">
        <v>773</v>
      </c>
      <c r="Q416" s="101" t="s">
        <v>1122</v>
      </c>
      <c r="R416" s="105"/>
      <c r="S416" s="105"/>
      <c r="T416" s="144"/>
      <c r="U416" s="104">
        <v>46840</v>
      </c>
      <c r="V416" s="104">
        <v>0</v>
      </c>
      <c r="W416" s="48">
        <v>43627</v>
      </c>
      <c r="X416" s="104">
        <f t="shared" si="129"/>
        <v>39487</v>
      </c>
      <c r="Y416" s="197">
        <f t="shared" si="102"/>
        <v>9514000</v>
      </c>
      <c r="Z416" s="143" t="str">
        <f t="shared" si="124"/>
        <v/>
      </c>
      <c r="AA416" s="143" t="str">
        <f t="shared" si="130"/>
        <v>买入第20期</v>
      </c>
      <c r="AB416" s="203"/>
      <c r="AC416" s="321">
        <v>0.152</v>
      </c>
      <c r="AD416" s="205">
        <v>0.152</v>
      </c>
      <c r="AE416" s="314"/>
      <c r="AF416" s="105"/>
    </row>
    <row r="417" spans="1:32" ht="24.95" customHeight="1" x14ac:dyDescent="0.15">
      <c r="A417" s="142" t="s">
        <v>248</v>
      </c>
      <c r="B417" s="142" t="s">
        <v>764</v>
      </c>
      <c r="C417" s="142" t="str">
        <f t="shared" si="126"/>
        <v>到期</v>
      </c>
      <c r="D417" s="103" t="s">
        <v>1842</v>
      </c>
      <c r="E417" s="142" t="s">
        <v>298</v>
      </c>
      <c r="F417" s="144">
        <v>43599</v>
      </c>
      <c r="G417" s="144">
        <v>43627</v>
      </c>
      <c r="H417" s="143" t="s">
        <v>1017</v>
      </c>
      <c r="I417" s="143" t="s">
        <v>275</v>
      </c>
      <c r="J417" s="142" t="s">
        <v>56</v>
      </c>
      <c r="K417" s="105">
        <v>200</v>
      </c>
      <c r="L417" s="105">
        <v>49700</v>
      </c>
      <c r="M417" s="105">
        <v>47570</v>
      </c>
      <c r="N417" s="105">
        <v>197.435</v>
      </c>
      <c r="O417" s="105">
        <f t="shared" si="116"/>
        <v>39487</v>
      </c>
      <c r="P417" s="101" t="s">
        <v>765</v>
      </c>
      <c r="Q417" s="101" t="s">
        <v>1123</v>
      </c>
      <c r="R417" s="105"/>
      <c r="S417" s="105"/>
      <c r="T417" s="144"/>
      <c r="U417" s="105">
        <v>46840</v>
      </c>
      <c r="V417" s="105">
        <v>0</v>
      </c>
      <c r="W417" s="144">
        <v>43627</v>
      </c>
      <c r="X417" s="105">
        <f t="shared" si="129"/>
        <v>39487</v>
      </c>
      <c r="Y417" s="197">
        <f t="shared" si="102"/>
        <v>9514000</v>
      </c>
      <c r="Z417" s="143" t="str">
        <f t="shared" si="124"/>
        <v/>
      </c>
      <c r="AA417" s="143" t="str">
        <f t="shared" si="130"/>
        <v>买入第20期</v>
      </c>
      <c r="AB417" s="203"/>
      <c r="AC417" s="321">
        <v>0.152</v>
      </c>
      <c r="AD417" s="205">
        <v>0.152</v>
      </c>
      <c r="AE417" s="314"/>
      <c r="AF417" s="105"/>
    </row>
    <row r="418" spans="1:32" ht="24.95" customHeight="1" x14ac:dyDescent="0.15">
      <c r="A418" s="142" t="s">
        <v>894</v>
      </c>
      <c r="B418" s="120" t="s">
        <v>297</v>
      </c>
      <c r="C418" s="142" t="str">
        <f t="shared" si="126"/>
        <v>到期</v>
      </c>
      <c r="D418" s="103" t="s">
        <v>1842</v>
      </c>
      <c r="E418" s="142" t="s">
        <v>298</v>
      </c>
      <c r="F418" s="144">
        <v>43599</v>
      </c>
      <c r="G418" s="144">
        <v>43627</v>
      </c>
      <c r="H418" s="143" t="s">
        <v>1017</v>
      </c>
      <c r="I418" s="143" t="s">
        <v>222</v>
      </c>
      <c r="J418" s="142" t="s">
        <v>59</v>
      </c>
      <c r="K418" s="105">
        <v>200</v>
      </c>
      <c r="L418" s="105">
        <v>45900</v>
      </c>
      <c r="M418" s="105">
        <v>47570</v>
      </c>
      <c r="N418" s="105">
        <v>197.435</v>
      </c>
      <c r="O418" s="105">
        <f t="shared" si="116"/>
        <v>39487</v>
      </c>
      <c r="P418" s="101" t="s">
        <v>765</v>
      </c>
      <c r="Q418" s="101" t="s">
        <v>1124</v>
      </c>
      <c r="R418" s="105"/>
      <c r="S418" s="105"/>
      <c r="T418" s="144"/>
      <c r="U418" s="104">
        <v>46840</v>
      </c>
      <c r="V418" s="104">
        <v>0</v>
      </c>
      <c r="W418" s="48">
        <v>43627</v>
      </c>
      <c r="X418" s="104">
        <f t="shared" si="129"/>
        <v>39487</v>
      </c>
      <c r="Y418" s="197">
        <f t="shared" si="102"/>
        <v>9514000</v>
      </c>
      <c r="Z418" s="143" t="str">
        <f t="shared" si="124"/>
        <v/>
      </c>
      <c r="AA418" s="143" t="str">
        <f t="shared" si="130"/>
        <v>买入第20期</v>
      </c>
      <c r="AB418" s="203"/>
      <c r="AC418" s="321">
        <v>0.152</v>
      </c>
      <c r="AD418" s="205">
        <v>0.152</v>
      </c>
      <c r="AE418" s="314"/>
      <c r="AF418" s="105"/>
    </row>
    <row r="419" spans="1:32" ht="24.95" customHeight="1" x14ac:dyDescent="0.15">
      <c r="A419" s="142" t="s">
        <v>894</v>
      </c>
      <c r="B419" s="120" t="s">
        <v>764</v>
      </c>
      <c r="C419" s="142" t="str">
        <f t="shared" si="126"/>
        <v>到期</v>
      </c>
      <c r="D419" s="103" t="s">
        <v>1843</v>
      </c>
      <c r="E419" s="142" t="s">
        <v>298</v>
      </c>
      <c r="F419" s="144">
        <v>43599</v>
      </c>
      <c r="G419" s="144">
        <v>43627</v>
      </c>
      <c r="H419" s="143" t="s">
        <v>1017</v>
      </c>
      <c r="I419" s="143" t="s">
        <v>275</v>
      </c>
      <c r="J419" s="142" t="s">
        <v>56</v>
      </c>
      <c r="K419" s="105">
        <v>200</v>
      </c>
      <c r="L419" s="105">
        <v>49700</v>
      </c>
      <c r="M419" s="105">
        <v>47570</v>
      </c>
      <c r="N419" s="105">
        <v>197.435</v>
      </c>
      <c r="O419" s="105">
        <f t="shared" si="116"/>
        <v>39487</v>
      </c>
      <c r="P419" s="101" t="s">
        <v>766</v>
      </c>
      <c r="Q419" s="101" t="s">
        <v>1125</v>
      </c>
      <c r="R419" s="105"/>
      <c r="S419" s="105"/>
      <c r="T419" s="144"/>
      <c r="U419" s="105">
        <v>46840</v>
      </c>
      <c r="V419" s="105">
        <v>0</v>
      </c>
      <c r="W419" s="144">
        <v>43627</v>
      </c>
      <c r="X419" s="105">
        <f t="shared" si="129"/>
        <v>39487</v>
      </c>
      <c r="Y419" s="197">
        <f t="shared" si="102"/>
        <v>9514000</v>
      </c>
      <c r="Z419" s="143" t="str">
        <f t="shared" si="124"/>
        <v/>
      </c>
      <c r="AA419" s="143" t="str">
        <f t="shared" si="130"/>
        <v>买入第20期</v>
      </c>
      <c r="AB419" s="203"/>
      <c r="AC419" s="321">
        <v>0.152</v>
      </c>
      <c r="AD419" s="205">
        <v>0.152</v>
      </c>
      <c r="AE419" s="314"/>
      <c r="AF419" s="105"/>
    </row>
    <row r="420" spans="1:32" ht="24.95" customHeight="1" x14ac:dyDescent="0.15">
      <c r="A420" s="142" t="s">
        <v>894</v>
      </c>
      <c r="B420" s="142" t="s">
        <v>297</v>
      </c>
      <c r="C420" s="142" t="str">
        <f t="shared" si="126"/>
        <v>到期</v>
      </c>
      <c r="D420" s="103" t="s">
        <v>1843</v>
      </c>
      <c r="E420" s="142" t="s">
        <v>298</v>
      </c>
      <c r="F420" s="144">
        <v>43599</v>
      </c>
      <c r="G420" s="144">
        <v>43627</v>
      </c>
      <c r="H420" s="143" t="s">
        <v>1017</v>
      </c>
      <c r="I420" s="143" t="s">
        <v>222</v>
      </c>
      <c r="J420" s="142" t="s">
        <v>59</v>
      </c>
      <c r="K420" s="105">
        <v>200</v>
      </c>
      <c r="L420" s="105">
        <v>45900</v>
      </c>
      <c r="M420" s="105">
        <v>47570</v>
      </c>
      <c r="N420" s="105">
        <v>197.435</v>
      </c>
      <c r="O420" s="105">
        <f t="shared" si="116"/>
        <v>39487</v>
      </c>
      <c r="P420" s="101" t="s">
        <v>766</v>
      </c>
      <c r="Q420" s="101" t="s">
        <v>1126</v>
      </c>
      <c r="R420" s="105"/>
      <c r="S420" s="105"/>
      <c r="T420" s="144"/>
      <c r="U420" s="105">
        <v>46840</v>
      </c>
      <c r="V420" s="105">
        <v>0</v>
      </c>
      <c r="W420" s="144">
        <v>43627</v>
      </c>
      <c r="X420" s="105">
        <f t="shared" si="129"/>
        <v>39487</v>
      </c>
      <c r="Y420" s="197">
        <f t="shared" ref="Y420:Y447" si="131">M420*K420</f>
        <v>9514000</v>
      </c>
      <c r="Z420" s="143" t="str">
        <f t="shared" si="124"/>
        <v/>
      </c>
      <c r="AA420" s="143" t="str">
        <f t="shared" si="130"/>
        <v>买入第20期</v>
      </c>
      <c r="AB420" s="203"/>
      <c r="AC420" s="321">
        <v>0.152</v>
      </c>
      <c r="AD420" s="205">
        <v>0.152</v>
      </c>
      <c r="AE420" s="314"/>
      <c r="AF420" s="105"/>
    </row>
    <row r="421" spans="1:32" ht="24.95" customHeight="1" x14ac:dyDescent="0.15">
      <c r="A421" s="142" t="s">
        <v>248</v>
      </c>
      <c r="B421" s="142" t="s">
        <v>297</v>
      </c>
      <c r="C421" s="142" t="str">
        <f t="shared" si="126"/>
        <v>到期</v>
      </c>
      <c r="D421" s="103" t="s">
        <v>1844</v>
      </c>
      <c r="E421" s="142" t="s">
        <v>298</v>
      </c>
      <c r="F421" s="144">
        <v>43599</v>
      </c>
      <c r="G421" s="144">
        <v>43627</v>
      </c>
      <c r="H421" s="143" t="s">
        <v>1017</v>
      </c>
      <c r="I421" s="143" t="s">
        <v>275</v>
      </c>
      <c r="J421" s="142" t="s">
        <v>56</v>
      </c>
      <c r="K421" s="105">
        <v>200</v>
      </c>
      <c r="L421" s="105">
        <v>49700</v>
      </c>
      <c r="M421" s="105">
        <v>47570</v>
      </c>
      <c r="N421" s="105">
        <v>197.435</v>
      </c>
      <c r="O421" s="105">
        <f t="shared" si="116"/>
        <v>39487</v>
      </c>
      <c r="P421" s="101" t="s">
        <v>774</v>
      </c>
      <c r="Q421" s="101" t="s">
        <v>1127</v>
      </c>
      <c r="R421" s="105"/>
      <c r="S421" s="105"/>
      <c r="T421" s="144"/>
      <c r="U421" s="105">
        <v>46840</v>
      </c>
      <c r="V421" s="105">
        <v>0</v>
      </c>
      <c r="W421" s="144">
        <v>43627</v>
      </c>
      <c r="X421" s="105">
        <f t="shared" si="129"/>
        <v>39487</v>
      </c>
      <c r="Y421" s="197">
        <f t="shared" si="131"/>
        <v>9514000</v>
      </c>
      <c r="Z421" s="143" t="str">
        <f t="shared" si="124"/>
        <v/>
      </c>
      <c r="AA421" s="143" t="str">
        <f t="shared" si="130"/>
        <v>买入第20期</v>
      </c>
      <c r="AB421" s="203"/>
      <c r="AC421" s="321">
        <v>0.152</v>
      </c>
      <c r="AD421" s="205">
        <v>0.152</v>
      </c>
      <c r="AE421" s="314"/>
      <c r="AF421" s="105"/>
    </row>
    <row r="422" spans="1:32" ht="24.95" customHeight="1" x14ac:dyDescent="0.15">
      <c r="A422" s="142" t="s">
        <v>248</v>
      </c>
      <c r="B422" s="142" t="s">
        <v>297</v>
      </c>
      <c r="C422" s="142" t="str">
        <f t="shared" si="126"/>
        <v>到期</v>
      </c>
      <c r="D422" s="103" t="s">
        <v>1844</v>
      </c>
      <c r="E422" s="142" t="s">
        <v>298</v>
      </c>
      <c r="F422" s="144">
        <v>43599</v>
      </c>
      <c r="G422" s="144">
        <v>43627</v>
      </c>
      <c r="H422" s="143" t="s">
        <v>1017</v>
      </c>
      <c r="I422" s="143" t="s">
        <v>275</v>
      </c>
      <c r="J422" s="142" t="s">
        <v>59</v>
      </c>
      <c r="K422" s="105">
        <v>200</v>
      </c>
      <c r="L422" s="105">
        <v>45900</v>
      </c>
      <c r="M422" s="105">
        <v>47570</v>
      </c>
      <c r="N422" s="105">
        <v>197.435</v>
      </c>
      <c r="O422" s="105">
        <f t="shared" si="116"/>
        <v>39487</v>
      </c>
      <c r="P422" s="101" t="s">
        <v>767</v>
      </c>
      <c r="Q422" s="101" t="s">
        <v>1127</v>
      </c>
      <c r="R422" s="105"/>
      <c r="S422" s="105"/>
      <c r="T422" s="144"/>
      <c r="U422" s="104">
        <v>46840</v>
      </c>
      <c r="V422" s="104">
        <v>0</v>
      </c>
      <c r="W422" s="48">
        <v>43627</v>
      </c>
      <c r="X422" s="104">
        <f t="shared" si="129"/>
        <v>39487</v>
      </c>
      <c r="Y422" s="197">
        <f t="shared" si="131"/>
        <v>9514000</v>
      </c>
      <c r="Z422" s="143" t="str">
        <f t="shared" si="124"/>
        <v/>
      </c>
      <c r="AA422" s="143" t="str">
        <f t="shared" si="130"/>
        <v>买入第20期</v>
      </c>
      <c r="AB422" s="203"/>
      <c r="AC422" s="321">
        <v>0.152</v>
      </c>
      <c r="AD422" s="205">
        <v>0.152</v>
      </c>
      <c r="AE422" s="314"/>
      <c r="AF422" s="105"/>
    </row>
    <row r="423" spans="1:32" ht="24.95" customHeight="1" x14ac:dyDescent="0.15">
      <c r="A423" s="142" t="s">
        <v>248</v>
      </c>
      <c r="B423" s="142" t="s">
        <v>764</v>
      </c>
      <c r="C423" s="142" t="str">
        <f t="shared" si="126"/>
        <v>到期</v>
      </c>
      <c r="D423" s="103" t="s">
        <v>1845</v>
      </c>
      <c r="E423" s="142" t="s">
        <v>298</v>
      </c>
      <c r="F423" s="144">
        <v>43599</v>
      </c>
      <c r="G423" s="144">
        <v>43627</v>
      </c>
      <c r="H423" s="143" t="s">
        <v>1017</v>
      </c>
      <c r="I423" s="143" t="s">
        <v>222</v>
      </c>
      <c r="J423" s="142" t="s">
        <v>56</v>
      </c>
      <c r="K423" s="105">
        <v>200</v>
      </c>
      <c r="L423" s="105">
        <v>49700</v>
      </c>
      <c r="M423" s="105">
        <v>47570</v>
      </c>
      <c r="N423" s="105">
        <v>197.435</v>
      </c>
      <c r="O423" s="105">
        <f t="shared" si="116"/>
        <v>39487</v>
      </c>
      <c r="P423" s="101" t="s">
        <v>775</v>
      </c>
      <c r="Q423" s="101" t="s">
        <v>1128</v>
      </c>
      <c r="R423" s="105"/>
      <c r="S423" s="105"/>
      <c r="T423" s="144"/>
      <c r="U423" s="105">
        <v>46840</v>
      </c>
      <c r="V423" s="105">
        <v>0</v>
      </c>
      <c r="W423" s="144">
        <v>43627</v>
      </c>
      <c r="X423" s="105">
        <f t="shared" si="129"/>
        <v>39487</v>
      </c>
      <c r="Y423" s="197">
        <f t="shared" si="131"/>
        <v>9514000</v>
      </c>
      <c r="Z423" s="143" t="str">
        <f t="shared" si="124"/>
        <v/>
      </c>
      <c r="AA423" s="143" t="str">
        <f t="shared" si="130"/>
        <v>买入第20期</v>
      </c>
      <c r="AB423" s="203"/>
      <c r="AC423" s="321">
        <v>0.152</v>
      </c>
      <c r="AD423" s="205">
        <v>0.152</v>
      </c>
      <c r="AE423" s="314"/>
      <c r="AF423" s="105"/>
    </row>
    <row r="424" spans="1:32" ht="24.95" customHeight="1" x14ac:dyDescent="0.15">
      <c r="A424" s="142" t="s">
        <v>248</v>
      </c>
      <c r="B424" s="142" t="s">
        <v>297</v>
      </c>
      <c r="C424" s="142" t="str">
        <f t="shared" si="126"/>
        <v>到期</v>
      </c>
      <c r="D424" s="103" t="s">
        <v>1845</v>
      </c>
      <c r="E424" s="142" t="s">
        <v>298</v>
      </c>
      <c r="F424" s="144">
        <v>43599</v>
      </c>
      <c r="G424" s="144">
        <v>43627</v>
      </c>
      <c r="H424" s="143" t="s">
        <v>1017</v>
      </c>
      <c r="I424" s="143" t="s">
        <v>275</v>
      </c>
      <c r="J424" s="142" t="s">
        <v>59</v>
      </c>
      <c r="K424" s="105">
        <v>200</v>
      </c>
      <c r="L424" s="105">
        <v>45900</v>
      </c>
      <c r="M424" s="105">
        <v>47570</v>
      </c>
      <c r="N424" s="105">
        <v>197.435</v>
      </c>
      <c r="O424" s="105">
        <f t="shared" si="116"/>
        <v>39487</v>
      </c>
      <c r="P424" s="101" t="s">
        <v>775</v>
      </c>
      <c r="Q424" s="101" t="s">
        <v>1128</v>
      </c>
      <c r="R424" s="105"/>
      <c r="S424" s="105"/>
      <c r="T424" s="144"/>
      <c r="U424" s="105">
        <v>46840</v>
      </c>
      <c r="V424" s="105">
        <v>0</v>
      </c>
      <c r="W424" s="144">
        <v>43627</v>
      </c>
      <c r="X424" s="105">
        <f t="shared" si="129"/>
        <v>39487</v>
      </c>
      <c r="Y424" s="197">
        <f t="shared" si="131"/>
        <v>9514000</v>
      </c>
      <c r="Z424" s="143" t="str">
        <f t="shared" si="124"/>
        <v/>
      </c>
      <c r="AA424" s="143" t="str">
        <f>IF(I424="买入","卖出","买入第20期")</f>
        <v>买入第20期</v>
      </c>
      <c r="AB424" s="203"/>
      <c r="AC424" s="321">
        <v>0.152</v>
      </c>
      <c r="AD424" s="205">
        <v>0.152</v>
      </c>
      <c r="AE424" s="314"/>
      <c r="AF424" s="105"/>
    </row>
    <row r="425" spans="1:32" ht="24.95" customHeight="1" x14ac:dyDescent="0.15">
      <c r="A425" s="142" t="s">
        <v>248</v>
      </c>
      <c r="B425" s="142" t="s">
        <v>297</v>
      </c>
      <c r="C425" s="142" t="str">
        <f t="shared" si="126"/>
        <v>到期</v>
      </c>
      <c r="D425" s="103" t="s">
        <v>1841</v>
      </c>
      <c r="E425" s="142" t="s">
        <v>298</v>
      </c>
      <c r="F425" s="144">
        <v>43606</v>
      </c>
      <c r="G425" s="144">
        <v>43634</v>
      </c>
      <c r="H425" s="143" t="s">
        <v>1018</v>
      </c>
      <c r="I425" s="143" t="s">
        <v>275</v>
      </c>
      <c r="J425" s="142" t="s">
        <v>56</v>
      </c>
      <c r="K425" s="105">
        <v>200</v>
      </c>
      <c r="L425" s="105">
        <v>49500</v>
      </c>
      <c r="M425" s="105">
        <v>47780</v>
      </c>
      <c r="N425" s="105">
        <f>396.61/2</f>
        <v>198.30500000000001</v>
      </c>
      <c r="O425" s="105">
        <f t="shared" si="116"/>
        <v>39661</v>
      </c>
      <c r="P425" s="101" t="s">
        <v>776</v>
      </c>
      <c r="Q425" s="101" t="s">
        <v>1129</v>
      </c>
      <c r="R425" s="105"/>
      <c r="S425" s="105"/>
      <c r="T425" s="144"/>
      <c r="U425" s="105">
        <v>46330</v>
      </c>
      <c r="V425" s="105">
        <v>0</v>
      </c>
      <c r="W425" s="144">
        <v>43634</v>
      </c>
      <c r="X425" s="105">
        <f t="shared" si="129"/>
        <v>39661</v>
      </c>
      <c r="Y425" s="197">
        <f t="shared" si="131"/>
        <v>9556000</v>
      </c>
      <c r="Z425" s="143" t="str">
        <f t="shared" si="124"/>
        <v/>
      </c>
      <c r="AA425" s="143" t="str">
        <f t="shared" ref="AA425:AA433" si="132">IF(I425="买入","卖出","买入第21期")</f>
        <v>买入第21期</v>
      </c>
      <c r="AB425" s="203"/>
      <c r="AC425" s="321">
        <v>0.152</v>
      </c>
      <c r="AD425" s="205">
        <v>0.152</v>
      </c>
      <c r="AE425" s="314"/>
      <c r="AF425" s="105"/>
    </row>
    <row r="426" spans="1:32" ht="24.95" customHeight="1" x14ac:dyDescent="0.15">
      <c r="A426" s="142" t="s">
        <v>248</v>
      </c>
      <c r="B426" s="142" t="s">
        <v>297</v>
      </c>
      <c r="C426" s="142" t="str">
        <f t="shared" si="126"/>
        <v>到期</v>
      </c>
      <c r="D426" s="103" t="s">
        <v>1841</v>
      </c>
      <c r="E426" s="142" t="s">
        <v>298</v>
      </c>
      <c r="F426" s="144">
        <v>43606</v>
      </c>
      <c r="G426" s="144">
        <v>43634</v>
      </c>
      <c r="H426" s="143" t="s">
        <v>1018</v>
      </c>
      <c r="I426" s="143" t="s">
        <v>222</v>
      </c>
      <c r="J426" s="142" t="s">
        <v>59</v>
      </c>
      <c r="K426" s="105">
        <v>200</v>
      </c>
      <c r="L426" s="105">
        <v>45680</v>
      </c>
      <c r="M426" s="105">
        <v>47780</v>
      </c>
      <c r="N426" s="105">
        <f>396.61/2</f>
        <v>198.30500000000001</v>
      </c>
      <c r="O426" s="105">
        <f t="shared" si="116"/>
        <v>39661</v>
      </c>
      <c r="P426" s="101" t="s">
        <v>771</v>
      </c>
      <c r="Q426" s="101" t="s">
        <v>1129</v>
      </c>
      <c r="R426" s="105"/>
      <c r="S426" s="105"/>
      <c r="T426" s="144"/>
      <c r="U426" s="105">
        <v>46330</v>
      </c>
      <c r="V426" s="105">
        <v>0</v>
      </c>
      <c r="W426" s="144">
        <v>43634</v>
      </c>
      <c r="X426" s="105">
        <f t="shared" si="129"/>
        <v>39661</v>
      </c>
      <c r="Y426" s="197">
        <f t="shared" si="131"/>
        <v>9556000</v>
      </c>
      <c r="Z426" s="143" t="str">
        <f t="shared" si="124"/>
        <v/>
      </c>
      <c r="AA426" s="143" t="str">
        <f t="shared" si="132"/>
        <v>买入第21期</v>
      </c>
      <c r="AB426" s="203"/>
      <c r="AC426" s="321">
        <v>0.152</v>
      </c>
      <c r="AD426" s="205">
        <v>0.152</v>
      </c>
      <c r="AE426" s="314"/>
      <c r="AF426" s="105"/>
    </row>
    <row r="427" spans="1:32" ht="24.95" customHeight="1" x14ac:dyDescent="0.15">
      <c r="A427" s="142" t="s">
        <v>248</v>
      </c>
      <c r="B427" s="142" t="s">
        <v>297</v>
      </c>
      <c r="C427" s="142" t="str">
        <f t="shared" si="126"/>
        <v>到期</v>
      </c>
      <c r="D427" s="103" t="s">
        <v>1842</v>
      </c>
      <c r="E427" s="142" t="s">
        <v>298</v>
      </c>
      <c r="F427" s="144">
        <v>43606</v>
      </c>
      <c r="G427" s="144">
        <v>43634</v>
      </c>
      <c r="H427" s="143" t="s">
        <v>1018</v>
      </c>
      <c r="I427" s="143" t="s">
        <v>275</v>
      </c>
      <c r="J427" s="142" t="s">
        <v>56</v>
      </c>
      <c r="K427" s="105">
        <v>200</v>
      </c>
      <c r="L427" s="105">
        <v>49500</v>
      </c>
      <c r="M427" s="105">
        <v>47780</v>
      </c>
      <c r="N427" s="105">
        <f t="shared" ref="N427:N434" si="133">396.61/2</f>
        <v>198.30500000000001</v>
      </c>
      <c r="O427" s="105">
        <f t="shared" si="116"/>
        <v>39661</v>
      </c>
      <c r="P427" s="101" t="s">
        <v>777</v>
      </c>
      <c r="Q427" s="101" t="s">
        <v>1130</v>
      </c>
      <c r="R427" s="105"/>
      <c r="S427" s="105"/>
      <c r="T427" s="144"/>
      <c r="U427" s="104">
        <v>46330</v>
      </c>
      <c r="V427" s="104">
        <v>0</v>
      </c>
      <c r="W427" s="48">
        <v>43634</v>
      </c>
      <c r="X427" s="104">
        <f t="shared" si="129"/>
        <v>39661</v>
      </c>
      <c r="Y427" s="197">
        <f t="shared" si="131"/>
        <v>9556000</v>
      </c>
      <c r="Z427" s="143" t="str">
        <f t="shared" si="124"/>
        <v/>
      </c>
      <c r="AA427" s="143" t="str">
        <f t="shared" si="132"/>
        <v>买入第21期</v>
      </c>
      <c r="AB427" s="203"/>
      <c r="AC427" s="321">
        <v>0.152</v>
      </c>
      <c r="AD427" s="205">
        <v>0.152</v>
      </c>
      <c r="AE427" s="314"/>
      <c r="AF427" s="105"/>
    </row>
    <row r="428" spans="1:32" ht="24.95" customHeight="1" x14ac:dyDescent="0.15">
      <c r="A428" s="142" t="s">
        <v>248</v>
      </c>
      <c r="B428" s="142" t="s">
        <v>297</v>
      </c>
      <c r="C428" s="142" t="str">
        <f t="shared" si="126"/>
        <v>到期</v>
      </c>
      <c r="D428" s="103" t="s">
        <v>1842</v>
      </c>
      <c r="E428" s="142" t="s">
        <v>298</v>
      </c>
      <c r="F428" s="144">
        <v>43606</v>
      </c>
      <c r="G428" s="144">
        <v>43634</v>
      </c>
      <c r="H428" s="143" t="s">
        <v>1018</v>
      </c>
      <c r="I428" s="143" t="s">
        <v>275</v>
      </c>
      <c r="J428" s="142" t="s">
        <v>59</v>
      </c>
      <c r="K428" s="105">
        <v>200</v>
      </c>
      <c r="L428" s="105">
        <v>45680</v>
      </c>
      <c r="M428" s="105">
        <v>47780</v>
      </c>
      <c r="N428" s="105">
        <f t="shared" si="133"/>
        <v>198.30500000000001</v>
      </c>
      <c r="O428" s="105">
        <f t="shared" si="116"/>
        <v>39661</v>
      </c>
      <c r="P428" s="101" t="s">
        <v>777</v>
      </c>
      <c r="Q428" s="101" t="s">
        <v>1130</v>
      </c>
      <c r="R428" s="105"/>
      <c r="S428" s="105"/>
      <c r="T428" s="144"/>
      <c r="U428" s="105">
        <v>46330</v>
      </c>
      <c r="V428" s="105">
        <v>0</v>
      </c>
      <c r="W428" s="144">
        <v>43634</v>
      </c>
      <c r="X428" s="105">
        <f t="shared" si="129"/>
        <v>39661</v>
      </c>
      <c r="Y428" s="197">
        <f t="shared" si="131"/>
        <v>9556000</v>
      </c>
      <c r="Z428" s="143" t="str">
        <f t="shared" si="124"/>
        <v/>
      </c>
      <c r="AA428" s="143" t="str">
        <f t="shared" si="132"/>
        <v>买入第21期</v>
      </c>
      <c r="AB428" s="203"/>
      <c r="AC428" s="321">
        <v>0.152</v>
      </c>
      <c r="AD428" s="205">
        <v>0.152</v>
      </c>
      <c r="AE428" s="314"/>
      <c r="AF428" s="105"/>
    </row>
    <row r="429" spans="1:32" ht="24.95" customHeight="1" x14ac:dyDescent="0.15">
      <c r="A429" s="142" t="s">
        <v>894</v>
      </c>
      <c r="B429" s="142" t="s">
        <v>297</v>
      </c>
      <c r="C429" s="142" t="str">
        <f t="shared" si="126"/>
        <v>到期</v>
      </c>
      <c r="D429" s="103" t="s">
        <v>1843</v>
      </c>
      <c r="E429" s="142" t="s">
        <v>298</v>
      </c>
      <c r="F429" s="144">
        <v>43606</v>
      </c>
      <c r="G429" s="144">
        <v>43634</v>
      </c>
      <c r="H429" s="143" t="s">
        <v>1018</v>
      </c>
      <c r="I429" s="143" t="s">
        <v>275</v>
      </c>
      <c r="J429" s="142" t="s">
        <v>56</v>
      </c>
      <c r="K429" s="105">
        <v>200</v>
      </c>
      <c r="L429" s="105">
        <v>49500</v>
      </c>
      <c r="M429" s="105">
        <v>47780</v>
      </c>
      <c r="N429" s="105">
        <f t="shared" si="133"/>
        <v>198.30500000000001</v>
      </c>
      <c r="O429" s="105">
        <f t="shared" si="116"/>
        <v>39661</v>
      </c>
      <c r="P429" s="101" t="s">
        <v>778</v>
      </c>
      <c r="Q429" s="101" t="s">
        <v>881</v>
      </c>
      <c r="R429" s="105"/>
      <c r="S429" s="105"/>
      <c r="T429" s="144"/>
      <c r="U429" s="105">
        <v>46330</v>
      </c>
      <c r="V429" s="105">
        <v>0</v>
      </c>
      <c r="W429" s="144">
        <v>43634</v>
      </c>
      <c r="X429" s="105">
        <f t="shared" si="129"/>
        <v>39661</v>
      </c>
      <c r="Y429" s="197">
        <f t="shared" si="131"/>
        <v>9556000</v>
      </c>
      <c r="Z429" s="143" t="str">
        <f t="shared" si="124"/>
        <v/>
      </c>
      <c r="AA429" s="143" t="str">
        <f t="shared" si="132"/>
        <v>买入第21期</v>
      </c>
      <c r="AB429" s="203"/>
      <c r="AC429" s="321">
        <v>0.152</v>
      </c>
      <c r="AD429" s="205">
        <v>0.152</v>
      </c>
      <c r="AE429" s="314"/>
      <c r="AF429" s="105"/>
    </row>
    <row r="430" spans="1:32" ht="24.95" customHeight="1" x14ac:dyDescent="0.15">
      <c r="A430" s="142" t="s">
        <v>248</v>
      </c>
      <c r="B430" s="142" t="s">
        <v>297</v>
      </c>
      <c r="C430" s="142" t="str">
        <f t="shared" si="126"/>
        <v>到期</v>
      </c>
      <c r="D430" s="103" t="s">
        <v>1843</v>
      </c>
      <c r="E430" s="142" t="s">
        <v>298</v>
      </c>
      <c r="F430" s="144">
        <v>43606</v>
      </c>
      <c r="G430" s="144">
        <v>43634</v>
      </c>
      <c r="H430" s="143" t="s">
        <v>1018</v>
      </c>
      <c r="I430" s="143" t="s">
        <v>275</v>
      </c>
      <c r="J430" s="142" t="s">
        <v>59</v>
      </c>
      <c r="K430" s="105">
        <v>200</v>
      </c>
      <c r="L430" s="105">
        <v>45680</v>
      </c>
      <c r="M430" s="105">
        <v>47780</v>
      </c>
      <c r="N430" s="105">
        <f t="shared" si="133"/>
        <v>198.30500000000001</v>
      </c>
      <c r="O430" s="105">
        <f t="shared" si="116"/>
        <v>39661</v>
      </c>
      <c r="P430" s="101" t="s">
        <v>778</v>
      </c>
      <c r="Q430" s="101" t="s">
        <v>881</v>
      </c>
      <c r="R430" s="105"/>
      <c r="S430" s="105"/>
      <c r="T430" s="144"/>
      <c r="U430" s="105">
        <v>46330</v>
      </c>
      <c r="V430" s="105">
        <v>0</v>
      </c>
      <c r="W430" s="144">
        <v>43634</v>
      </c>
      <c r="X430" s="105">
        <f t="shared" si="129"/>
        <v>39661</v>
      </c>
      <c r="Y430" s="197">
        <f t="shared" si="131"/>
        <v>9556000</v>
      </c>
      <c r="Z430" s="143" t="str">
        <f t="shared" si="124"/>
        <v/>
      </c>
      <c r="AA430" s="143" t="str">
        <f t="shared" si="132"/>
        <v>买入第21期</v>
      </c>
      <c r="AB430" s="203"/>
      <c r="AC430" s="321">
        <v>0.152</v>
      </c>
      <c r="AD430" s="205">
        <v>0.152</v>
      </c>
      <c r="AE430" s="314"/>
      <c r="AF430" s="105"/>
    </row>
    <row r="431" spans="1:32" ht="24.95" customHeight="1" x14ac:dyDescent="0.15">
      <c r="A431" s="142" t="s">
        <v>248</v>
      </c>
      <c r="B431" s="142" t="s">
        <v>297</v>
      </c>
      <c r="C431" s="142" t="str">
        <f t="shared" si="126"/>
        <v>到期</v>
      </c>
      <c r="D431" s="103" t="s">
        <v>1844</v>
      </c>
      <c r="E431" s="142" t="s">
        <v>298</v>
      </c>
      <c r="F431" s="144">
        <v>43606</v>
      </c>
      <c r="G431" s="144">
        <v>43634</v>
      </c>
      <c r="H431" s="143" t="s">
        <v>1018</v>
      </c>
      <c r="I431" s="143" t="s">
        <v>275</v>
      </c>
      <c r="J431" s="142" t="s">
        <v>56</v>
      </c>
      <c r="K431" s="105">
        <v>200</v>
      </c>
      <c r="L431" s="105">
        <v>49500</v>
      </c>
      <c r="M431" s="105">
        <v>47780</v>
      </c>
      <c r="N431" s="105">
        <f t="shared" si="133"/>
        <v>198.30500000000001</v>
      </c>
      <c r="O431" s="105">
        <f t="shared" si="116"/>
        <v>39661</v>
      </c>
      <c r="P431" s="101" t="s">
        <v>770</v>
      </c>
      <c r="Q431" s="101" t="s">
        <v>1131</v>
      </c>
      <c r="R431" s="105"/>
      <c r="S431" s="105"/>
      <c r="T431" s="144"/>
      <c r="U431" s="104">
        <v>46330</v>
      </c>
      <c r="V431" s="104">
        <v>0</v>
      </c>
      <c r="W431" s="48">
        <v>43634</v>
      </c>
      <c r="X431" s="104">
        <f t="shared" si="129"/>
        <v>39661</v>
      </c>
      <c r="Y431" s="197">
        <f t="shared" si="131"/>
        <v>9556000</v>
      </c>
      <c r="Z431" s="143" t="str">
        <f t="shared" si="124"/>
        <v/>
      </c>
      <c r="AA431" s="143" t="str">
        <f t="shared" si="132"/>
        <v>买入第21期</v>
      </c>
      <c r="AB431" s="203"/>
      <c r="AC431" s="321">
        <v>0.152</v>
      </c>
      <c r="AD431" s="205">
        <v>0.152</v>
      </c>
      <c r="AE431" s="314"/>
      <c r="AF431" s="105"/>
    </row>
    <row r="432" spans="1:32" ht="24.95" customHeight="1" x14ac:dyDescent="0.15">
      <c r="A432" s="142" t="s">
        <v>248</v>
      </c>
      <c r="B432" s="142" t="s">
        <v>297</v>
      </c>
      <c r="C432" s="142" t="str">
        <f t="shared" si="126"/>
        <v>到期</v>
      </c>
      <c r="D432" s="103" t="s">
        <v>1844</v>
      </c>
      <c r="E432" s="142" t="s">
        <v>298</v>
      </c>
      <c r="F432" s="144">
        <v>43606</v>
      </c>
      <c r="G432" s="144">
        <v>43634</v>
      </c>
      <c r="H432" s="143" t="s">
        <v>1018</v>
      </c>
      <c r="I432" s="143" t="s">
        <v>222</v>
      </c>
      <c r="J432" s="142" t="s">
        <v>59</v>
      </c>
      <c r="K432" s="105">
        <v>200</v>
      </c>
      <c r="L432" s="105">
        <v>45680</v>
      </c>
      <c r="M432" s="105">
        <v>47780</v>
      </c>
      <c r="N432" s="105">
        <f t="shared" si="133"/>
        <v>198.30500000000001</v>
      </c>
      <c r="O432" s="105">
        <f t="shared" si="116"/>
        <v>39661</v>
      </c>
      <c r="P432" s="101" t="s">
        <v>779</v>
      </c>
      <c r="Q432" s="101" t="s">
        <v>1131</v>
      </c>
      <c r="R432" s="105"/>
      <c r="S432" s="105"/>
      <c r="T432" s="144"/>
      <c r="U432" s="105">
        <v>46330</v>
      </c>
      <c r="V432" s="105">
        <v>0</v>
      </c>
      <c r="W432" s="144">
        <v>43634</v>
      </c>
      <c r="X432" s="105">
        <f t="shared" si="129"/>
        <v>39661</v>
      </c>
      <c r="Y432" s="197">
        <f t="shared" si="131"/>
        <v>9556000</v>
      </c>
      <c r="Z432" s="143" t="str">
        <f t="shared" si="124"/>
        <v/>
      </c>
      <c r="AA432" s="143" t="str">
        <f t="shared" si="132"/>
        <v>买入第21期</v>
      </c>
      <c r="AB432" s="203"/>
      <c r="AC432" s="321">
        <v>0.152</v>
      </c>
      <c r="AD432" s="205">
        <v>0.152</v>
      </c>
      <c r="AE432" s="314"/>
      <c r="AF432" s="105"/>
    </row>
    <row r="433" spans="1:32" ht="24.95" customHeight="1" x14ac:dyDescent="0.15">
      <c r="A433" s="142" t="s">
        <v>248</v>
      </c>
      <c r="B433" s="142" t="s">
        <v>297</v>
      </c>
      <c r="C433" s="142" t="str">
        <f t="shared" si="126"/>
        <v>到期</v>
      </c>
      <c r="D433" s="103" t="s">
        <v>1845</v>
      </c>
      <c r="E433" s="143" t="s">
        <v>298</v>
      </c>
      <c r="F433" s="48">
        <v>43606</v>
      </c>
      <c r="G433" s="48">
        <v>43634</v>
      </c>
      <c r="H433" s="143" t="s">
        <v>1018</v>
      </c>
      <c r="I433" s="143" t="s">
        <v>222</v>
      </c>
      <c r="J433" s="142" t="s">
        <v>56</v>
      </c>
      <c r="K433" s="105">
        <v>200</v>
      </c>
      <c r="L433" s="105">
        <v>49500</v>
      </c>
      <c r="M433" s="105">
        <v>47780</v>
      </c>
      <c r="N433" s="105">
        <f t="shared" si="133"/>
        <v>198.30500000000001</v>
      </c>
      <c r="O433" s="105">
        <f t="shared" si="116"/>
        <v>39661</v>
      </c>
      <c r="P433" s="101" t="s">
        <v>780</v>
      </c>
      <c r="Q433" s="101" t="s">
        <v>1132</v>
      </c>
      <c r="R433" s="105"/>
      <c r="S433" s="105"/>
      <c r="T433" s="144"/>
      <c r="U433" s="105">
        <v>46330</v>
      </c>
      <c r="V433" s="105">
        <v>0</v>
      </c>
      <c r="W433" s="144">
        <v>43634</v>
      </c>
      <c r="X433" s="105">
        <f t="shared" si="129"/>
        <v>39661</v>
      </c>
      <c r="Y433" s="197">
        <f t="shared" si="131"/>
        <v>9556000</v>
      </c>
      <c r="Z433" s="143" t="str">
        <f t="shared" si="124"/>
        <v/>
      </c>
      <c r="AA433" s="143" t="str">
        <f t="shared" si="132"/>
        <v>买入第21期</v>
      </c>
      <c r="AB433" s="203"/>
      <c r="AC433" s="321">
        <v>0.152</v>
      </c>
      <c r="AD433" s="205">
        <v>0.152</v>
      </c>
      <c r="AE433" s="314"/>
      <c r="AF433" s="105"/>
    </row>
    <row r="434" spans="1:32" ht="24.95" customHeight="1" x14ac:dyDescent="0.15">
      <c r="A434" s="142" t="s">
        <v>248</v>
      </c>
      <c r="B434" s="142" t="s">
        <v>764</v>
      </c>
      <c r="C434" s="142" t="str">
        <f t="shared" si="126"/>
        <v>到期</v>
      </c>
      <c r="D434" s="103" t="s">
        <v>1845</v>
      </c>
      <c r="E434" s="142" t="s">
        <v>298</v>
      </c>
      <c r="F434" s="144">
        <v>43606</v>
      </c>
      <c r="G434" s="48">
        <v>43634</v>
      </c>
      <c r="H434" s="143" t="s">
        <v>1018</v>
      </c>
      <c r="I434" s="143" t="s">
        <v>222</v>
      </c>
      <c r="J434" s="142" t="s">
        <v>59</v>
      </c>
      <c r="K434" s="105">
        <v>200</v>
      </c>
      <c r="L434" s="105">
        <v>45680</v>
      </c>
      <c r="M434" s="105">
        <v>47780</v>
      </c>
      <c r="N434" s="105">
        <f t="shared" si="133"/>
        <v>198.30500000000001</v>
      </c>
      <c r="O434" s="105">
        <f t="shared" si="116"/>
        <v>39661</v>
      </c>
      <c r="P434" s="101" t="s">
        <v>780</v>
      </c>
      <c r="Q434" s="101" t="s">
        <v>1133</v>
      </c>
      <c r="R434" s="105"/>
      <c r="S434" s="105"/>
      <c r="T434" s="144"/>
      <c r="U434" s="105">
        <v>46330</v>
      </c>
      <c r="V434" s="105">
        <v>0</v>
      </c>
      <c r="W434" s="144">
        <v>43634</v>
      </c>
      <c r="X434" s="105">
        <f t="shared" si="129"/>
        <v>39661</v>
      </c>
      <c r="Y434" s="197">
        <f t="shared" si="131"/>
        <v>9556000</v>
      </c>
      <c r="Z434" s="143" t="str">
        <f t="shared" si="124"/>
        <v/>
      </c>
      <c r="AA434" s="143" t="str">
        <f>IF(I434="买入","卖出","买入第21期")</f>
        <v>买入第21期</v>
      </c>
      <c r="AB434" s="203"/>
      <c r="AC434" s="321">
        <v>0.152</v>
      </c>
      <c r="AD434" s="205">
        <v>0.152</v>
      </c>
      <c r="AE434" s="314"/>
      <c r="AF434" s="105"/>
    </row>
    <row r="435" spans="1:32" ht="24.95" customHeight="1" x14ac:dyDescent="0.15">
      <c r="A435" s="142" t="s">
        <v>244</v>
      </c>
      <c r="B435" s="142" t="s">
        <v>764</v>
      </c>
      <c r="C435" s="142" t="str">
        <f>IF(Q435="","存续","到期")</f>
        <v>到期</v>
      </c>
      <c r="D435" s="123" t="s">
        <v>1855</v>
      </c>
      <c r="E435" s="142" t="s">
        <v>298</v>
      </c>
      <c r="F435" s="144">
        <v>43612</v>
      </c>
      <c r="G435" s="144">
        <v>43637</v>
      </c>
      <c r="H435" s="143" t="s">
        <v>902</v>
      </c>
      <c r="I435" s="143" t="s">
        <v>241</v>
      </c>
      <c r="J435" s="142" t="s">
        <v>59</v>
      </c>
      <c r="K435" s="105">
        <v>3500</v>
      </c>
      <c r="L435" s="105">
        <v>748.5</v>
      </c>
      <c r="M435" s="105">
        <v>748.5</v>
      </c>
      <c r="N435" s="105">
        <v>28.29</v>
      </c>
      <c r="O435" s="105">
        <f>N435*K435</f>
        <v>99015</v>
      </c>
      <c r="P435" s="101" t="s">
        <v>795</v>
      </c>
      <c r="Q435" s="101" t="s">
        <v>1134</v>
      </c>
      <c r="R435" s="105"/>
      <c r="S435" s="105"/>
      <c r="T435" s="144"/>
      <c r="U435" s="105">
        <v>820</v>
      </c>
      <c r="V435" s="105">
        <v>0</v>
      </c>
      <c r="W435" s="144">
        <f>G435</f>
        <v>43637</v>
      </c>
      <c r="X435" s="105">
        <f t="shared" si="129"/>
        <v>-99015</v>
      </c>
      <c r="Y435" s="197">
        <f t="shared" si="131"/>
        <v>2619750</v>
      </c>
      <c r="Z435" s="143" t="str">
        <f t="shared" si="124"/>
        <v/>
      </c>
      <c r="AA435" s="143" t="str">
        <f t="shared" ref="AA435" si="134">IF(I435="买入","卖出","买入21期")</f>
        <v>卖出</v>
      </c>
      <c r="AB435" s="203"/>
      <c r="AC435" s="321">
        <v>0.34449999999999997</v>
      </c>
      <c r="AD435" s="319"/>
      <c r="AE435" s="314"/>
      <c r="AF435" s="105"/>
    </row>
    <row r="436" spans="1:32" ht="24.95" customHeight="1" x14ac:dyDescent="0.15">
      <c r="A436" s="142" t="s">
        <v>244</v>
      </c>
      <c r="B436" s="142" t="s">
        <v>764</v>
      </c>
      <c r="C436" s="142" t="str">
        <f>IF(Q436="","存续","到期")</f>
        <v>到期</v>
      </c>
      <c r="D436" s="124" t="s">
        <v>1859</v>
      </c>
      <c r="E436" s="142" t="s">
        <v>298</v>
      </c>
      <c r="F436" s="144">
        <v>43613</v>
      </c>
      <c r="G436" s="144">
        <v>43643</v>
      </c>
      <c r="H436" s="143" t="s">
        <v>903</v>
      </c>
      <c r="I436" s="143" t="s">
        <v>275</v>
      </c>
      <c r="J436" s="142" t="s">
        <v>59</v>
      </c>
      <c r="K436" s="105">
        <v>100</v>
      </c>
      <c r="L436" s="105">
        <v>19350</v>
      </c>
      <c r="M436" s="105">
        <v>20600</v>
      </c>
      <c r="N436" s="105">
        <v>52.43</v>
      </c>
      <c r="O436" s="105">
        <f>N436*K436</f>
        <v>5243</v>
      </c>
      <c r="P436" s="101" t="s">
        <v>788</v>
      </c>
      <c r="Q436" s="101" t="s">
        <v>1135</v>
      </c>
      <c r="R436" s="105"/>
      <c r="S436" s="105"/>
      <c r="T436" s="144"/>
      <c r="U436" s="104">
        <v>20125</v>
      </c>
      <c r="V436" s="104">
        <v>0</v>
      </c>
      <c r="W436" s="48">
        <f>G436</f>
        <v>43643</v>
      </c>
      <c r="X436" s="105">
        <f>IF(I436="买入",V436-O436,V436+O436)</f>
        <v>5243</v>
      </c>
      <c r="Y436" s="197">
        <f t="shared" si="131"/>
        <v>2060000</v>
      </c>
      <c r="Z436" s="143" t="str">
        <f t="shared" si="124"/>
        <v/>
      </c>
      <c r="AA436" s="143" t="str">
        <f>IF(I436="买入","卖出","买入")</f>
        <v>买入</v>
      </c>
      <c r="AB436" s="203"/>
      <c r="AC436" s="321">
        <v>0.17</v>
      </c>
      <c r="AD436" s="319"/>
      <c r="AE436" s="314"/>
      <c r="AF436" s="105"/>
    </row>
    <row r="437" spans="1:32" ht="24.95" customHeight="1" x14ac:dyDescent="0.15">
      <c r="A437" s="142" t="s">
        <v>248</v>
      </c>
      <c r="B437" s="142" t="s">
        <v>297</v>
      </c>
      <c r="C437" s="142" t="str">
        <f t="shared" ref="C437:C449" si="135">IF(Q437="","存续","到期")</f>
        <v>到期</v>
      </c>
      <c r="D437" s="103" t="s">
        <v>1841</v>
      </c>
      <c r="E437" s="142" t="s">
        <v>298</v>
      </c>
      <c r="F437" s="144">
        <v>43613</v>
      </c>
      <c r="G437" s="144">
        <v>43641</v>
      </c>
      <c r="H437" s="143" t="s">
        <v>1018</v>
      </c>
      <c r="I437" s="143" t="s">
        <v>222</v>
      </c>
      <c r="J437" s="142" t="s">
        <v>56</v>
      </c>
      <c r="K437" s="105">
        <v>200</v>
      </c>
      <c r="L437" s="105">
        <v>49120</v>
      </c>
      <c r="M437" s="105">
        <v>47250</v>
      </c>
      <c r="N437" s="105">
        <f>392.21/2</f>
        <v>196.10499999999999</v>
      </c>
      <c r="O437" s="105">
        <f t="shared" ref="O437:O446" si="136">N437*K437</f>
        <v>39221</v>
      </c>
      <c r="P437" s="101" t="s">
        <v>789</v>
      </c>
      <c r="Q437" s="101" t="s">
        <v>1136</v>
      </c>
      <c r="R437" s="105"/>
      <c r="S437" s="105"/>
      <c r="T437" s="144"/>
      <c r="U437" s="105">
        <v>47090</v>
      </c>
      <c r="V437" s="105">
        <v>0</v>
      </c>
      <c r="W437" s="144">
        <v>43641</v>
      </c>
      <c r="X437" s="105">
        <f t="shared" si="129"/>
        <v>39221</v>
      </c>
      <c r="Y437" s="197">
        <f t="shared" si="131"/>
        <v>9450000</v>
      </c>
      <c r="Z437" s="143" t="str">
        <f>IF(C437="存续",D437&amp;H437&amp;"-"&amp;AA437,"")</f>
        <v/>
      </c>
      <c r="AA437" s="143" t="str">
        <f>IF(I437="买入","卖出","买入22期")</f>
        <v>买入22期</v>
      </c>
      <c r="AB437" s="203"/>
      <c r="AC437" s="321">
        <v>0.152</v>
      </c>
      <c r="AD437" s="205">
        <v>0.152</v>
      </c>
      <c r="AE437" s="314"/>
      <c r="AF437" s="105"/>
    </row>
    <row r="438" spans="1:32" ht="24.95" customHeight="1" x14ac:dyDescent="0.15">
      <c r="A438" s="142" t="s">
        <v>248</v>
      </c>
      <c r="B438" s="142" t="s">
        <v>297</v>
      </c>
      <c r="C438" s="142" t="str">
        <f t="shared" si="135"/>
        <v>到期</v>
      </c>
      <c r="D438" s="103" t="s">
        <v>1841</v>
      </c>
      <c r="E438" s="142" t="s">
        <v>298</v>
      </c>
      <c r="F438" s="144">
        <v>43613</v>
      </c>
      <c r="G438" s="144">
        <v>43641</v>
      </c>
      <c r="H438" s="143" t="s">
        <v>1018</v>
      </c>
      <c r="I438" s="143" t="s">
        <v>275</v>
      </c>
      <c r="J438" s="142" t="s">
        <v>59</v>
      </c>
      <c r="K438" s="105">
        <v>200</v>
      </c>
      <c r="L438" s="105">
        <v>45340</v>
      </c>
      <c r="M438" s="105">
        <v>47250</v>
      </c>
      <c r="N438" s="105">
        <f t="shared" ref="N438:N446" si="137">392.21/2</f>
        <v>196.10499999999999</v>
      </c>
      <c r="O438" s="105">
        <f t="shared" si="136"/>
        <v>39221</v>
      </c>
      <c r="P438" s="101" t="s">
        <v>789</v>
      </c>
      <c r="Q438" s="101" t="s">
        <v>922</v>
      </c>
      <c r="R438" s="105"/>
      <c r="S438" s="105"/>
      <c r="T438" s="144"/>
      <c r="U438" s="105">
        <v>47090</v>
      </c>
      <c r="V438" s="105">
        <v>0</v>
      </c>
      <c r="W438" s="144">
        <v>43641</v>
      </c>
      <c r="X438" s="105">
        <f t="shared" si="129"/>
        <v>39221</v>
      </c>
      <c r="Y438" s="197">
        <f t="shared" si="131"/>
        <v>9450000</v>
      </c>
      <c r="Z438" s="143" t="str">
        <f t="shared" ref="Z438:Z501" si="138">IF(C438="存续",D438&amp;H438&amp;"-"&amp;AA438,"")</f>
        <v/>
      </c>
      <c r="AA438" s="143" t="str">
        <f>IF(I438="买入","卖出","买入22期")</f>
        <v>买入22期</v>
      </c>
      <c r="AB438" s="203"/>
      <c r="AC438" s="321">
        <v>0.152</v>
      </c>
      <c r="AD438" s="205">
        <v>0.152</v>
      </c>
      <c r="AE438" s="314"/>
      <c r="AF438" s="105"/>
    </row>
    <row r="439" spans="1:32" ht="24.95" customHeight="1" x14ac:dyDescent="0.15">
      <c r="A439" s="142" t="s">
        <v>894</v>
      </c>
      <c r="B439" s="142" t="s">
        <v>297</v>
      </c>
      <c r="C439" s="142" t="str">
        <f t="shared" si="135"/>
        <v>到期</v>
      </c>
      <c r="D439" s="103" t="s">
        <v>1842</v>
      </c>
      <c r="E439" s="142" t="s">
        <v>298</v>
      </c>
      <c r="F439" s="144">
        <v>43613</v>
      </c>
      <c r="G439" s="144">
        <v>43641</v>
      </c>
      <c r="H439" s="143" t="s">
        <v>1018</v>
      </c>
      <c r="I439" s="143" t="s">
        <v>275</v>
      </c>
      <c r="J439" s="142" t="s">
        <v>56</v>
      </c>
      <c r="K439" s="105">
        <v>200</v>
      </c>
      <c r="L439" s="105">
        <v>49120</v>
      </c>
      <c r="M439" s="105">
        <v>47250</v>
      </c>
      <c r="N439" s="105">
        <f t="shared" si="137"/>
        <v>196.10499999999999</v>
      </c>
      <c r="O439" s="105">
        <f t="shared" si="136"/>
        <v>39221</v>
      </c>
      <c r="P439" s="101" t="s">
        <v>790</v>
      </c>
      <c r="Q439" s="101" t="s">
        <v>1137</v>
      </c>
      <c r="R439" s="105"/>
      <c r="S439" s="105"/>
      <c r="T439" s="144"/>
      <c r="U439" s="105">
        <v>47090</v>
      </c>
      <c r="V439" s="105">
        <v>0</v>
      </c>
      <c r="W439" s="144">
        <v>43641</v>
      </c>
      <c r="X439" s="105">
        <f t="shared" si="129"/>
        <v>39221</v>
      </c>
      <c r="Y439" s="197">
        <f t="shared" si="131"/>
        <v>9450000</v>
      </c>
      <c r="Z439" s="143" t="str">
        <f t="shared" si="138"/>
        <v/>
      </c>
      <c r="AA439" s="143" t="str">
        <f t="shared" ref="AA439:AA446" si="139">IF(I439="买入","卖出","买入22期")</f>
        <v>买入22期</v>
      </c>
      <c r="AB439" s="203"/>
      <c r="AC439" s="321">
        <v>0.152</v>
      </c>
      <c r="AD439" s="205">
        <v>0.152</v>
      </c>
      <c r="AE439" s="314"/>
      <c r="AF439" s="105"/>
    </row>
    <row r="440" spans="1:32" ht="24.95" customHeight="1" x14ac:dyDescent="0.15">
      <c r="A440" s="142" t="s">
        <v>248</v>
      </c>
      <c r="B440" s="142" t="s">
        <v>297</v>
      </c>
      <c r="C440" s="142" t="str">
        <f t="shared" si="135"/>
        <v>到期</v>
      </c>
      <c r="D440" s="103" t="s">
        <v>1842</v>
      </c>
      <c r="E440" s="142" t="s">
        <v>298</v>
      </c>
      <c r="F440" s="144">
        <v>43613</v>
      </c>
      <c r="G440" s="144">
        <v>43641</v>
      </c>
      <c r="H440" s="143" t="s">
        <v>1018</v>
      </c>
      <c r="I440" s="143" t="s">
        <v>222</v>
      </c>
      <c r="J440" s="142" t="s">
        <v>59</v>
      </c>
      <c r="K440" s="105">
        <v>200</v>
      </c>
      <c r="L440" s="105">
        <v>45340</v>
      </c>
      <c r="M440" s="105">
        <v>47250</v>
      </c>
      <c r="N440" s="105">
        <f t="shared" si="137"/>
        <v>196.10499999999999</v>
      </c>
      <c r="O440" s="105">
        <f t="shared" si="136"/>
        <v>39221</v>
      </c>
      <c r="P440" s="101" t="s">
        <v>790</v>
      </c>
      <c r="Q440" s="101" t="s">
        <v>1137</v>
      </c>
      <c r="R440" s="105"/>
      <c r="S440" s="105"/>
      <c r="T440" s="144"/>
      <c r="U440" s="105">
        <v>47090</v>
      </c>
      <c r="V440" s="104">
        <v>0</v>
      </c>
      <c r="W440" s="144">
        <v>43641</v>
      </c>
      <c r="X440" s="105">
        <f t="shared" si="129"/>
        <v>39221</v>
      </c>
      <c r="Y440" s="197">
        <f t="shared" si="131"/>
        <v>9450000</v>
      </c>
      <c r="Z440" s="143" t="str">
        <f t="shared" si="138"/>
        <v/>
      </c>
      <c r="AA440" s="143" t="str">
        <f t="shared" si="139"/>
        <v>买入22期</v>
      </c>
      <c r="AB440" s="203"/>
      <c r="AC440" s="321">
        <v>0.152</v>
      </c>
      <c r="AD440" s="205">
        <v>0.152</v>
      </c>
      <c r="AE440" s="314"/>
      <c r="AF440" s="105"/>
    </row>
    <row r="441" spans="1:32" ht="24.95" customHeight="1" x14ac:dyDescent="0.15">
      <c r="A441" s="142" t="s">
        <v>894</v>
      </c>
      <c r="B441" s="120" t="s">
        <v>764</v>
      </c>
      <c r="C441" s="142" t="str">
        <f t="shared" si="135"/>
        <v>到期</v>
      </c>
      <c r="D441" s="103" t="s">
        <v>1843</v>
      </c>
      <c r="E441" s="142" t="s">
        <v>298</v>
      </c>
      <c r="F441" s="144">
        <v>43613</v>
      </c>
      <c r="G441" s="144">
        <v>43641</v>
      </c>
      <c r="H441" s="143" t="s">
        <v>1018</v>
      </c>
      <c r="I441" s="143" t="s">
        <v>222</v>
      </c>
      <c r="J441" s="142" t="s">
        <v>56</v>
      </c>
      <c r="K441" s="105">
        <v>200</v>
      </c>
      <c r="L441" s="105">
        <v>49120</v>
      </c>
      <c r="M441" s="105">
        <v>47250</v>
      </c>
      <c r="N441" s="105">
        <f t="shared" si="137"/>
        <v>196.10499999999999</v>
      </c>
      <c r="O441" s="105">
        <f t="shared" si="136"/>
        <v>39221</v>
      </c>
      <c r="P441" s="101" t="s">
        <v>791</v>
      </c>
      <c r="Q441" s="101" t="s">
        <v>1138</v>
      </c>
      <c r="R441" s="105"/>
      <c r="S441" s="105"/>
      <c r="T441" s="144"/>
      <c r="U441" s="105">
        <v>47090</v>
      </c>
      <c r="V441" s="105">
        <v>0</v>
      </c>
      <c r="W441" s="144">
        <v>43641</v>
      </c>
      <c r="X441" s="105">
        <f t="shared" si="129"/>
        <v>39221</v>
      </c>
      <c r="Y441" s="197">
        <f t="shared" si="131"/>
        <v>9450000</v>
      </c>
      <c r="Z441" s="143" t="str">
        <f t="shared" si="138"/>
        <v/>
      </c>
      <c r="AA441" s="143" t="str">
        <f t="shared" si="139"/>
        <v>买入22期</v>
      </c>
      <c r="AB441" s="203"/>
      <c r="AC441" s="321">
        <v>0.152</v>
      </c>
      <c r="AD441" s="205">
        <v>0.152</v>
      </c>
      <c r="AE441" s="314"/>
      <c r="AF441" s="105"/>
    </row>
    <row r="442" spans="1:32" ht="24.95" customHeight="1" x14ac:dyDescent="0.15">
      <c r="A442" s="142" t="s">
        <v>248</v>
      </c>
      <c r="B442" s="120" t="s">
        <v>764</v>
      </c>
      <c r="C442" s="142" t="str">
        <f t="shared" si="135"/>
        <v>到期</v>
      </c>
      <c r="D442" s="103" t="s">
        <v>1843</v>
      </c>
      <c r="E442" s="142" t="s">
        <v>298</v>
      </c>
      <c r="F442" s="144">
        <v>43613</v>
      </c>
      <c r="G442" s="144">
        <v>43641</v>
      </c>
      <c r="H442" s="143" t="s">
        <v>1018</v>
      </c>
      <c r="I442" s="143" t="s">
        <v>222</v>
      </c>
      <c r="J442" s="142" t="s">
        <v>59</v>
      </c>
      <c r="K442" s="105">
        <v>200</v>
      </c>
      <c r="L442" s="105">
        <v>45340</v>
      </c>
      <c r="M442" s="105">
        <v>47250</v>
      </c>
      <c r="N442" s="105">
        <f t="shared" si="137"/>
        <v>196.10499999999999</v>
      </c>
      <c r="O442" s="105">
        <f t="shared" si="136"/>
        <v>39221</v>
      </c>
      <c r="P442" s="101" t="s">
        <v>791</v>
      </c>
      <c r="Q442" s="101" t="s">
        <v>1138</v>
      </c>
      <c r="R442" s="105"/>
      <c r="S442" s="105"/>
      <c r="T442" s="144"/>
      <c r="U442" s="105">
        <v>47090</v>
      </c>
      <c r="V442" s="104">
        <v>0</v>
      </c>
      <c r="W442" s="144">
        <v>43641</v>
      </c>
      <c r="X442" s="105">
        <f t="shared" si="129"/>
        <v>39221</v>
      </c>
      <c r="Y442" s="197">
        <f t="shared" si="131"/>
        <v>9450000</v>
      </c>
      <c r="Z442" s="143" t="str">
        <f t="shared" si="138"/>
        <v/>
      </c>
      <c r="AA442" s="143" t="str">
        <f t="shared" si="139"/>
        <v>买入22期</v>
      </c>
      <c r="AB442" s="203"/>
      <c r="AC442" s="321">
        <v>0.152</v>
      </c>
      <c r="AD442" s="205">
        <v>0.152</v>
      </c>
      <c r="AE442" s="314"/>
      <c r="AF442" s="105"/>
    </row>
    <row r="443" spans="1:32" ht="24.95" customHeight="1" x14ac:dyDescent="0.15">
      <c r="A443" s="142" t="s">
        <v>248</v>
      </c>
      <c r="B443" s="142" t="s">
        <v>297</v>
      </c>
      <c r="C443" s="142" t="str">
        <f t="shared" si="135"/>
        <v>到期</v>
      </c>
      <c r="D443" s="103" t="s">
        <v>1844</v>
      </c>
      <c r="E443" s="142" t="s">
        <v>298</v>
      </c>
      <c r="F443" s="144">
        <v>43613</v>
      </c>
      <c r="G443" s="144">
        <v>43641</v>
      </c>
      <c r="H443" s="143" t="s">
        <v>1018</v>
      </c>
      <c r="I443" s="143" t="s">
        <v>222</v>
      </c>
      <c r="J443" s="142" t="s">
        <v>56</v>
      </c>
      <c r="K443" s="105">
        <v>200</v>
      </c>
      <c r="L443" s="105">
        <v>49120</v>
      </c>
      <c r="M443" s="105">
        <v>47250</v>
      </c>
      <c r="N443" s="105">
        <f t="shared" si="137"/>
        <v>196.10499999999999</v>
      </c>
      <c r="O443" s="105">
        <f t="shared" si="136"/>
        <v>39221</v>
      </c>
      <c r="P443" s="101" t="s">
        <v>792</v>
      </c>
      <c r="Q443" s="101" t="s">
        <v>1139</v>
      </c>
      <c r="R443" s="105"/>
      <c r="S443" s="105"/>
      <c r="T443" s="144"/>
      <c r="U443" s="105">
        <v>47090</v>
      </c>
      <c r="V443" s="105">
        <v>0</v>
      </c>
      <c r="W443" s="144">
        <v>43641</v>
      </c>
      <c r="X443" s="105">
        <f t="shared" si="129"/>
        <v>39221</v>
      </c>
      <c r="Y443" s="197">
        <f t="shared" si="131"/>
        <v>9450000</v>
      </c>
      <c r="Z443" s="143" t="str">
        <f t="shared" si="138"/>
        <v/>
      </c>
      <c r="AA443" s="143" t="str">
        <f t="shared" si="139"/>
        <v>买入22期</v>
      </c>
      <c r="AB443" s="203"/>
      <c r="AC443" s="321">
        <v>0.152</v>
      </c>
      <c r="AD443" s="205">
        <v>0.152</v>
      </c>
      <c r="AE443" s="314"/>
      <c r="AF443" s="105"/>
    </row>
    <row r="444" spans="1:32" ht="24.95" customHeight="1" x14ac:dyDescent="0.15">
      <c r="A444" s="142" t="s">
        <v>894</v>
      </c>
      <c r="B444" s="142" t="s">
        <v>297</v>
      </c>
      <c r="C444" s="142" t="str">
        <f t="shared" si="135"/>
        <v>到期</v>
      </c>
      <c r="D444" s="103" t="s">
        <v>1844</v>
      </c>
      <c r="E444" s="142" t="s">
        <v>298</v>
      </c>
      <c r="F444" s="144">
        <v>43613</v>
      </c>
      <c r="G444" s="144">
        <v>43641</v>
      </c>
      <c r="H444" s="143" t="s">
        <v>1018</v>
      </c>
      <c r="I444" s="143" t="s">
        <v>275</v>
      </c>
      <c r="J444" s="142" t="s">
        <v>59</v>
      </c>
      <c r="K444" s="105">
        <v>200</v>
      </c>
      <c r="L444" s="105">
        <v>45340</v>
      </c>
      <c r="M444" s="105">
        <v>47250</v>
      </c>
      <c r="N444" s="105">
        <f t="shared" si="137"/>
        <v>196.10499999999999</v>
      </c>
      <c r="O444" s="105">
        <f t="shared" si="136"/>
        <v>39221</v>
      </c>
      <c r="P444" s="101" t="s">
        <v>792</v>
      </c>
      <c r="Q444" s="101" t="s">
        <v>1140</v>
      </c>
      <c r="R444" s="105"/>
      <c r="S444" s="105"/>
      <c r="T444" s="144"/>
      <c r="U444" s="105">
        <v>47090</v>
      </c>
      <c r="V444" s="105">
        <v>0</v>
      </c>
      <c r="W444" s="144">
        <v>43641</v>
      </c>
      <c r="X444" s="105">
        <f t="shared" si="129"/>
        <v>39221</v>
      </c>
      <c r="Y444" s="197">
        <f t="shared" si="131"/>
        <v>9450000</v>
      </c>
      <c r="Z444" s="143" t="str">
        <f t="shared" si="138"/>
        <v/>
      </c>
      <c r="AA444" s="143" t="str">
        <f t="shared" si="139"/>
        <v>买入22期</v>
      </c>
      <c r="AB444" s="203"/>
      <c r="AC444" s="321">
        <v>0.152</v>
      </c>
      <c r="AD444" s="205">
        <v>0.152</v>
      </c>
      <c r="AE444" s="314"/>
      <c r="AF444" s="105"/>
    </row>
    <row r="445" spans="1:32" ht="24.95" customHeight="1" x14ac:dyDescent="0.15">
      <c r="A445" s="142" t="s">
        <v>248</v>
      </c>
      <c r="B445" s="142" t="s">
        <v>764</v>
      </c>
      <c r="C445" s="142" t="str">
        <f t="shared" si="135"/>
        <v>到期</v>
      </c>
      <c r="D445" s="103" t="s">
        <v>1845</v>
      </c>
      <c r="E445" s="142" t="s">
        <v>298</v>
      </c>
      <c r="F445" s="144">
        <v>43613</v>
      </c>
      <c r="G445" s="144">
        <v>43641</v>
      </c>
      <c r="H445" s="143" t="s">
        <v>1018</v>
      </c>
      <c r="I445" s="143" t="s">
        <v>275</v>
      </c>
      <c r="J445" s="142" t="s">
        <v>56</v>
      </c>
      <c r="K445" s="105">
        <v>200</v>
      </c>
      <c r="L445" s="105">
        <v>49120</v>
      </c>
      <c r="M445" s="105">
        <v>47250</v>
      </c>
      <c r="N445" s="105">
        <f t="shared" si="137"/>
        <v>196.10499999999999</v>
      </c>
      <c r="O445" s="105">
        <f t="shared" si="136"/>
        <v>39221</v>
      </c>
      <c r="P445" s="101" t="s">
        <v>793</v>
      </c>
      <c r="Q445" s="101" t="s">
        <v>1141</v>
      </c>
      <c r="R445" s="105"/>
      <c r="S445" s="105"/>
      <c r="T445" s="144"/>
      <c r="U445" s="105">
        <v>47090</v>
      </c>
      <c r="V445" s="105">
        <v>0</v>
      </c>
      <c r="W445" s="144">
        <v>43641</v>
      </c>
      <c r="X445" s="105">
        <f t="shared" si="129"/>
        <v>39221</v>
      </c>
      <c r="Y445" s="197">
        <f t="shared" si="131"/>
        <v>9450000</v>
      </c>
      <c r="Z445" s="143" t="str">
        <f t="shared" si="138"/>
        <v/>
      </c>
      <c r="AA445" s="143" t="str">
        <f t="shared" si="139"/>
        <v>买入22期</v>
      </c>
      <c r="AB445" s="203"/>
      <c r="AC445" s="321">
        <v>0.152</v>
      </c>
      <c r="AD445" s="205">
        <v>0.152</v>
      </c>
      <c r="AE445" s="314"/>
      <c r="AF445" s="105"/>
    </row>
    <row r="446" spans="1:32" ht="24.95" customHeight="1" x14ac:dyDescent="0.15">
      <c r="A446" s="142" t="s">
        <v>248</v>
      </c>
      <c r="B446" s="142" t="s">
        <v>764</v>
      </c>
      <c r="C446" s="142" t="str">
        <f t="shared" si="135"/>
        <v>到期</v>
      </c>
      <c r="D446" s="103" t="s">
        <v>1845</v>
      </c>
      <c r="E446" s="142" t="s">
        <v>298</v>
      </c>
      <c r="F446" s="144">
        <v>43613</v>
      </c>
      <c r="G446" s="144">
        <v>43641</v>
      </c>
      <c r="H446" s="143" t="s">
        <v>1018</v>
      </c>
      <c r="I446" s="143" t="s">
        <v>222</v>
      </c>
      <c r="J446" s="142" t="s">
        <v>59</v>
      </c>
      <c r="K446" s="105">
        <v>200</v>
      </c>
      <c r="L446" s="105">
        <v>45340</v>
      </c>
      <c r="M446" s="105">
        <v>47250</v>
      </c>
      <c r="N446" s="105">
        <f t="shared" si="137"/>
        <v>196.10499999999999</v>
      </c>
      <c r="O446" s="105">
        <f t="shared" si="136"/>
        <v>39221</v>
      </c>
      <c r="P446" s="101" t="s">
        <v>793</v>
      </c>
      <c r="Q446" s="101" t="s">
        <v>1141</v>
      </c>
      <c r="R446" s="105"/>
      <c r="S446" s="105"/>
      <c r="T446" s="144"/>
      <c r="U446" s="105">
        <v>47090</v>
      </c>
      <c r="V446" s="104">
        <v>0</v>
      </c>
      <c r="W446" s="144">
        <v>43641</v>
      </c>
      <c r="X446" s="105">
        <f t="shared" si="129"/>
        <v>39221</v>
      </c>
      <c r="Y446" s="197">
        <f t="shared" si="131"/>
        <v>9450000</v>
      </c>
      <c r="Z446" s="143" t="str">
        <f t="shared" si="138"/>
        <v/>
      </c>
      <c r="AA446" s="143" t="str">
        <f t="shared" si="139"/>
        <v>买入22期</v>
      </c>
      <c r="AB446" s="203"/>
      <c r="AC446" s="321">
        <v>0.152</v>
      </c>
      <c r="AD446" s="205">
        <v>0.152</v>
      </c>
      <c r="AE446" s="314"/>
      <c r="AF446" s="105"/>
    </row>
    <row r="447" spans="1:32" ht="24.95" customHeight="1" x14ac:dyDescent="0.15">
      <c r="A447" s="142" t="s">
        <v>394</v>
      </c>
      <c r="B447" s="142" t="s">
        <v>297</v>
      </c>
      <c r="C447" s="142" t="str">
        <f t="shared" si="135"/>
        <v>到期</v>
      </c>
      <c r="D447" s="128" t="s">
        <v>1855</v>
      </c>
      <c r="E447" s="142" t="s">
        <v>298</v>
      </c>
      <c r="F447" s="144">
        <v>43613</v>
      </c>
      <c r="G447" s="144">
        <v>43643</v>
      </c>
      <c r="H447" s="143" t="s">
        <v>902</v>
      </c>
      <c r="I447" s="143" t="s">
        <v>241</v>
      </c>
      <c r="J447" s="142" t="s">
        <v>59</v>
      </c>
      <c r="K447" s="105">
        <v>3400</v>
      </c>
      <c r="L447" s="105">
        <v>767.3</v>
      </c>
      <c r="M447" s="105">
        <v>767.3</v>
      </c>
      <c r="N447" s="105">
        <v>30.17</v>
      </c>
      <c r="O447" s="105">
        <f>N447*K447</f>
        <v>102578</v>
      </c>
      <c r="P447" s="101" t="s">
        <v>794</v>
      </c>
      <c r="Q447" s="101" t="s">
        <v>1142</v>
      </c>
      <c r="R447" s="105"/>
      <c r="S447" s="105"/>
      <c r="T447" s="144"/>
      <c r="U447" s="105">
        <v>821.5</v>
      </c>
      <c r="V447" s="105">
        <v>0</v>
      </c>
      <c r="W447" s="144">
        <v>43643</v>
      </c>
      <c r="X447" s="105">
        <f t="shared" si="129"/>
        <v>-102578</v>
      </c>
      <c r="Y447" s="197">
        <f t="shared" si="131"/>
        <v>2608820</v>
      </c>
      <c r="Z447" s="143" t="str">
        <f t="shared" si="138"/>
        <v/>
      </c>
      <c r="AA447" s="143" t="str">
        <f t="shared" ref="AA447:AA449" si="140">IF(I447="买入","卖出","买入")</f>
        <v>卖出</v>
      </c>
      <c r="AB447" s="203"/>
      <c r="AC447" s="321">
        <v>0.33500000000000002</v>
      </c>
      <c r="AD447" s="319"/>
      <c r="AE447" s="314"/>
      <c r="AF447" s="105"/>
    </row>
    <row r="448" spans="1:32" ht="24.95" customHeight="1" x14ac:dyDescent="0.15">
      <c r="A448" s="142" t="s">
        <v>247</v>
      </c>
      <c r="B448" s="142" t="s">
        <v>764</v>
      </c>
      <c r="C448" s="142" t="str">
        <f t="shared" si="135"/>
        <v>到期</v>
      </c>
      <c r="D448" s="127" t="s">
        <v>1860</v>
      </c>
      <c r="E448" s="142" t="s">
        <v>1336</v>
      </c>
      <c r="F448" s="144">
        <v>43614</v>
      </c>
      <c r="G448" s="144">
        <v>43676</v>
      </c>
      <c r="H448" s="143" t="s">
        <v>904</v>
      </c>
      <c r="I448" s="143" t="s">
        <v>241</v>
      </c>
      <c r="J448" s="142" t="s">
        <v>59</v>
      </c>
      <c r="K448" s="105">
        <v>280</v>
      </c>
      <c r="L448" s="105">
        <v>4260</v>
      </c>
      <c r="M448" s="105">
        <v>4534</v>
      </c>
      <c r="N448" s="105">
        <v>30.76</v>
      </c>
      <c r="O448" s="105">
        <f>N448*K448*2</f>
        <v>17225.600000000002</v>
      </c>
      <c r="P448" s="101" t="s">
        <v>799</v>
      </c>
      <c r="Q448" s="101" t="s">
        <v>1143</v>
      </c>
      <c r="R448" s="105"/>
      <c r="S448" s="105"/>
      <c r="T448" s="144"/>
      <c r="U448" s="105">
        <v>4440</v>
      </c>
      <c r="V448" s="105">
        <v>0</v>
      </c>
      <c r="W448" s="221">
        <v>43676</v>
      </c>
      <c r="X448" s="105">
        <f>IF(I448="买入",V448-O448,V448+O448)</f>
        <v>-17225.600000000002</v>
      </c>
      <c r="Y448" s="197">
        <f>M448*K448*2</f>
        <v>2539040</v>
      </c>
      <c r="Z448" s="143" t="str">
        <f t="shared" si="138"/>
        <v/>
      </c>
      <c r="AA448" s="143" t="str">
        <f t="shared" si="140"/>
        <v>卖出</v>
      </c>
      <c r="AB448" s="203">
        <v>2</v>
      </c>
      <c r="AC448" s="321">
        <v>0.17499999999999999</v>
      </c>
      <c r="AD448" s="319"/>
      <c r="AE448" s="314"/>
      <c r="AF448" s="105"/>
    </row>
    <row r="449" spans="1:32" ht="24.95" customHeight="1" x14ac:dyDescent="0.15">
      <c r="A449" s="142" t="s">
        <v>394</v>
      </c>
      <c r="B449" s="142" t="s">
        <v>297</v>
      </c>
      <c r="C449" s="142" t="str">
        <f t="shared" si="135"/>
        <v>到期</v>
      </c>
      <c r="D449" s="128" t="s">
        <v>1856</v>
      </c>
      <c r="E449" s="142" t="s">
        <v>298</v>
      </c>
      <c r="F449" s="144">
        <v>43616</v>
      </c>
      <c r="G449" s="144">
        <v>43819</v>
      </c>
      <c r="H449" s="143" t="s">
        <v>905</v>
      </c>
      <c r="I449" s="143" t="s">
        <v>275</v>
      </c>
      <c r="J449" s="142" t="s">
        <v>25</v>
      </c>
      <c r="K449" s="105">
        <v>4400</v>
      </c>
      <c r="L449" s="105">
        <v>3400</v>
      </c>
      <c r="M449" s="105">
        <v>3520</v>
      </c>
      <c r="N449" s="105">
        <v>132.61000000000001</v>
      </c>
      <c r="O449" s="105">
        <f>N449*K449</f>
        <v>583484.00000000012</v>
      </c>
      <c r="P449" s="101" t="s">
        <v>810</v>
      </c>
      <c r="Q449" s="101" t="s">
        <v>1144</v>
      </c>
      <c r="R449" s="105">
        <v>92.05</v>
      </c>
      <c r="S449" s="104">
        <f>-R449*K449</f>
        <v>-405020</v>
      </c>
      <c r="T449" s="144">
        <v>43640</v>
      </c>
      <c r="U449" s="105"/>
      <c r="V449" s="105"/>
      <c r="W449" s="144"/>
      <c r="X449" s="104">
        <f>IF(I449="买入",S449-O449,O449+S449)</f>
        <v>178464.00000000012</v>
      </c>
      <c r="Y449" s="197">
        <f>M449*K449</f>
        <v>15488000</v>
      </c>
      <c r="Z449" s="143" t="str">
        <f t="shared" si="138"/>
        <v/>
      </c>
      <c r="AA449" s="143" t="str">
        <f t="shared" si="140"/>
        <v>买入</v>
      </c>
      <c r="AB449" s="203"/>
      <c r="AC449" s="321">
        <v>0.183</v>
      </c>
      <c r="AD449" s="319"/>
      <c r="AE449" s="324" t="s">
        <v>1335</v>
      </c>
      <c r="AF449" s="105"/>
    </row>
    <row r="450" spans="1:32" ht="24.95" customHeight="1" x14ac:dyDescent="0.15">
      <c r="A450" s="142" t="s">
        <v>244</v>
      </c>
      <c r="B450" s="142" t="s">
        <v>297</v>
      </c>
      <c r="C450" s="142" t="str">
        <f>IF(Q450="","存续","到期")</f>
        <v>到期</v>
      </c>
      <c r="D450" s="123" t="s">
        <v>932</v>
      </c>
      <c r="E450" s="142" t="s">
        <v>298</v>
      </c>
      <c r="F450" s="144">
        <v>43619</v>
      </c>
      <c r="G450" s="144">
        <v>43640</v>
      </c>
      <c r="H450" s="143" t="s">
        <v>906</v>
      </c>
      <c r="I450" s="143" t="s">
        <v>241</v>
      </c>
      <c r="J450" s="142" t="s">
        <v>974</v>
      </c>
      <c r="K450" s="105">
        <v>1000</v>
      </c>
      <c r="L450" s="105">
        <v>7510</v>
      </c>
      <c r="M450" s="105">
        <v>7565</v>
      </c>
      <c r="N450" s="105">
        <v>46.2</v>
      </c>
      <c r="O450" s="105">
        <f>N450*K450</f>
        <v>46200</v>
      </c>
      <c r="P450" s="101" t="s">
        <v>879</v>
      </c>
      <c r="Q450" s="101" t="s">
        <v>1145</v>
      </c>
      <c r="R450" s="105"/>
      <c r="S450" s="105"/>
      <c r="T450" s="144"/>
      <c r="U450" s="104">
        <v>7515.33</v>
      </c>
      <c r="V450" s="104">
        <v>0</v>
      </c>
      <c r="W450" s="48">
        <f>G450</f>
        <v>43640</v>
      </c>
      <c r="X450" s="105">
        <f t="shared" ref="X450:X462" si="141">IF(I450="买入",V450-O450,V450+O450)</f>
        <v>-46200</v>
      </c>
      <c r="Y450" s="197">
        <f>M450*K450</f>
        <v>7565000</v>
      </c>
      <c r="Z450" s="143" t="str">
        <f t="shared" si="138"/>
        <v/>
      </c>
      <c r="AA450" s="143" t="str">
        <f>IF(I450="买入","卖出","买入")</f>
        <v>卖出</v>
      </c>
      <c r="AB450" s="203"/>
      <c r="AC450" s="321">
        <v>0.17</v>
      </c>
      <c r="AD450" s="321">
        <v>0.15</v>
      </c>
      <c r="AE450" s="324" t="s">
        <v>1335</v>
      </c>
      <c r="AF450" s="105"/>
    </row>
    <row r="451" spans="1:32" ht="24.95" customHeight="1" x14ac:dyDescent="0.15">
      <c r="A451" s="142" t="s">
        <v>894</v>
      </c>
      <c r="B451" s="142" t="s">
        <v>297</v>
      </c>
      <c r="C451" s="142" t="str">
        <f t="shared" ref="C451:C460" si="142">IF(Q451="","存续","到期")</f>
        <v>到期</v>
      </c>
      <c r="D451" s="103" t="s">
        <v>1841</v>
      </c>
      <c r="E451" s="142" t="s">
        <v>298</v>
      </c>
      <c r="F451" s="144">
        <v>43620</v>
      </c>
      <c r="G451" s="144">
        <v>43648</v>
      </c>
      <c r="H451" s="143" t="s">
        <v>1018</v>
      </c>
      <c r="I451" s="143" t="s">
        <v>222</v>
      </c>
      <c r="J451" s="142" t="s">
        <v>56</v>
      </c>
      <c r="K451" s="105">
        <v>50</v>
      </c>
      <c r="L451" s="105">
        <v>48360</v>
      </c>
      <c r="M451" s="105">
        <v>46300</v>
      </c>
      <c r="N451" s="105">
        <v>192.16499999999999</v>
      </c>
      <c r="O451" s="105">
        <f t="shared" ref="O451:O475" si="143">N451*K451</f>
        <v>9608.25</v>
      </c>
      <c r="P451" s="101" t="s">
        <v>800</v>
      </c>
      <c r="Q451" s="101" t="s">
        <v>1146</v>
      </c>
      <c r="R451" s="105"/>
      <c r="S451" s="105"/>
      <c r="T451" s="144"/>
      <c r="U451" s="105">
        <v>46610</v>
      </c>
      <c r="V451" s="105">
        <v>0</v>
      </c>
      <c r="W451" s="144">
        <v>43648</v>
      </c>
      <c r="X451" s="105">
        <f t="shared" si="141"/>
        <v>9608.25</v>
      </c>
      <c r="Y451" s="197">
        <f t="shared" ref="Y451:Y490" si="144">M451*K451</f>
        <v>2315000</v>
      </c>
      <c r="Z451" s="143" t="str">
        <f t="shared" si="138"/>
        <v/>
      </c>
      <c r="AA451" s="143" t="str">
        <f>IF(I451="买入","卖出","买入19-新1")</f>
        <v>买入19-新1</v>
      </c>
      <c r="AB451" s="203"/>
      <c r="AC451" s="321">
        <v>0.152</v>
      </c>
      <c r="AD451" s="205">
        <v>0.152</v>
      </c>
      <c r="AE451" s="314"/>
      <c r="AF451" s="105"/>
    </row>
    <row r="452" spans="1:32" ht="24.95" customHeight="1" x14ac:dyDescent="0.15">
      <c r="A452" s="142" t="s">
        <v>248</v>
      </c>
      <c r="B452" s="142" t="s">
        <v>297</v>
      </c>
      <c r="C452" s="142" t="str">
        <f t="shared" si="142"/>
        <v>到期</v>
      </c>
      <c r="D452" s="103" t="s">
        <v>1841</v>
      </c>
      <c r="E452" s="142" t="s">
        <v>298</v>
      </c>
      <c r="F452" s="144">
        <v>43620</v>
      </c>
      <c r="G452" s="144">
        <v>43648</v>
      </c>
      <c r="H452" s="143" t="s">
        <v>1018</v>
      </c>
      <c r="I452" s="143" t="s">
        <v>275</v>
      </c>
      <c r="J452" s="142" t="s">
        <v>59</v>
      </c>
      <c r="K452" s="105">
        <v>50</v>
      </c>
      <c r="L452" s="105">
        <v>44660</v>
      </c>
      <c r="M452" s="105">
        <v>46300</v>
      </c>
      <c r="N452" s="105">
        <v>192.16499999999999</v>
      </c>
      <c r="O452" s="105">
        <f t="shared" si="143"/>
        <v>9608.25</v>
      </c>
      <c r="P452" s="101" t="s">
        <v>800</v>
      </c>
      <c r="Q452" s="101" t="s">
        <v>1147</v>
      </c>
      <c r="R452" s="105"/>
      <c r="S452" s="105"/>
      <c r="T452" s="144"/>
      <c r="U452" s="105">
        <v>46610</v>
      </c>
      <c r="V452" s="105">
        <v>0</v>
      </c>
      <c r="W452" s="144">
        <v>43648</v>
      </c>
      <c r="X452" s="105">
        <f t="shared" si="141"/>
        <v>9608.25</v>
      </c>
      <c r="Y452" s="197">
        <f t="shared" si="144"/>
        <v>2315000</v>
      </c>
      <c r="Z452" s="143" t="str">
        <f t="shared" si="138"/>
        <v/>
      </c>
      <c r="AA452" s="143" t="str">
        <f t="shared" ref="AA452:AA460" si="145">IF(I452="买入","卖出","买入19-新1")</f>
        <v>买入19-新1</v>
      </c>
      <c r="AB452" s="203"/>
      <c r="AC452" s="321">
        <v>0.152</v>
      </c>
      <c r="AD452" s="205">
        <v>0.152</v>
      </c>
      <c r="AE452" s="314"/>
      <c r="AF452" s="105"/>
    </row>
    <row r="453" spans="1:32" ht="24.95" customHeight="1" x14ac:dyDescent="0.15">
      <c r="A453" s="142" t="s">
        <v>894</v>
      </c>
      <c r="B453" s="142" t="s">
        <v>297</v>
      </c>
      <c r="C453" s="142" t="str">
        <f t="shared" si="142"/>
        <v>到期</v>
      </c>
      <c r="D453" s="103" t="s">
        <v>1842</v>
      </c>
      <c r="E453" s="142" t="s">
        <v>298</v>
      </c>
      <c r="F453" s="144">
        <v>43620</v>
      </c>
      <c r="G453" s="144">
        <v>43648</v>
      </c>
      <c r="H453" s="143" t="s">
        <v>1018</v>
      </c>
      <c r="I453" s="143" t="s">
        <v>222</v>
      </c>
      <c r="J453" s="142" t="s">
        <v>56</v>
      </c>
      <c r="K453" s="105">
        <v>50</v>
      </c>
      <c r="L453" s="105">
        <v>48360</v>
      </c>
      <c r="M453" s="105">
        <v>46300</v>
      </c>
      <c r="N453" s="105">
        <v>192.16499999999999</v>
      </c>
      <c r="O453" s="105">
        <f t="shared" si="143"/>
        <v>9608.25</v>
      </c>
      <c r="P453" s="101" t="s">
        <v>801</v>
      </c>
      <c r="Q453" s="101" t="s">
        <v>1148</v>
      </c>
      <c r="R453" s="105"/>
      <c r="S453" s="105"/>
      <c r="T453" s="144"/>
      <c r="U453" s="105">
        <v>46610</v>
      </c>
      <c r="V453" s="105">
        <v>0</v>
      </c>
      <c r="W453" s="48">
        <v>43648</v>
      </c>
      <c r="X453" s="105">
        <f t="shared" si="141"/>
        <v>9608.25</v>
      </c>
      <c r="Y453" s="197">
        <f t="shared" si="144"/>
        <v>2315000</v>
      </c>
      <c r="Z453" s="143" t="str">
        <f t="shared" si="138"/>
        <v/>
      </c>
      <c r="AA453" s="143" t="str">
        <f t="shared" si="145"/>
        <v>买入19-新1</v>
      </c>
      <c r="AB453" s="203"/>
      <c r="AC453" s="321">
        <v>0.152</v>
      </c>
      <c r="AD453" s="205">
        <v>0.152</v>
      </c>
      <c r="AE453" s="314"/>
      <c r="AF453" s="105"/>
    </row>
    <row r="454" spans="1:32" ht="24.95" customHeight="1" x14ac:dyDescent="0.15">
      <c r="A454" s="142" t="s">
        <v>248</v>
      </c>
      <c r="B454" s="142" t="s">
        <v>297</v>
      </c>
      <c r="C454" s="142" t="str">
        <f t="shared" si="142"/>
        <v>到期</v>
      </c>
      <c r="D454" s="103" t="s">
        <v>1842</v>
      </c>
      <c r="E454" s="143" t="s">
        <v>298</v>
      </c>
      <c r="F454" s="48">
        <v>43620</v>
      </c>
      <c r="G454" s="48">
        <v>43648</v>
      </c>
      <c r="H454" s="143" t="s">
        <v>1018</v>
      </c>
      <c r="I454" s="143" t="s">
        <v>222</v>
      </c>
      <c r="J454" s="142" t="s">
        <v>59</v>
      </c>
      <c r="K454" s="105">
        <v>50</v>
      </c>
      <c r="L454" s="105">
        <v>44660</v>
      </c>
      <c r="M454" s="105">
        <v>46300</v>
      </c>
      <c r="N454" s="105">
        <v>192.16499999999999</v>
      </c>
      <c r="O454" s="105">
        <f t="shared" si="143"/>
        <v>9608.25</v>
      </c>
      <c r="P454" s="101" t="s">
        <v>801</v>
      </c>
      <c r="Q454" s="101" t="s">
        <v>1149</v>
      </c>
      <c r="R454" s="105"/>
      <c r="S454" s="105"/>
      <c r="T454" s="144"/>
      <c r="U454" s="105">
        <v>46610</v>
      </c>
      <c r="V454" s="105">
        <v>0</v>
      </c>
      <c r="W454" s="48">
        <v>43648</v>
      </c>
      <c r="X454" s="105">
        <f t="shared" si="141"/>
        <v>9608.25</v>
      </c>
      <c r="Y454" s="197">
        <f t="shared" si="144"/>
        <v>2315000</v>
      </c>
      <c r="Z454" s="143" t="str">
        <f t="shared" si="138"/>
        <v/>
      </c>
      <c r="AA454" s="143" t="str">
        <f t="shared" si="145"/>
        <v>买入19-新1</v>
      </c>
      <c r="AB454" s="203"/>
      <c r="AC454" s="321">
        <v>0.152</v>
      </c>
      <c r="AD454" s="205">
        <v>0.152</v>
      </c>
      <c r="AE454" s="314"/>
      <c r="AF454" s="104"/>
    </row>
    <row r="455" spans="1:32" ht="24.95" customHeight="1" x14ac:dyDescent="0.15">
      <c r="A455" s="142" t="s">
        <v>894</v>
      </c>
      <c r="B455" s="142" t="s">
        <v>764</v>
      </c>
      <c r="C455" s="142" t="str">
        <f t="shared" si="142"/>
        <v>到期</v>
      </c>
      <c r="D455" s="103" t="s">
        <v>1843</v>
      </c>
      <c r="E455" s="142" t="s">
        <v>298</v>
      </c>
      <c r="F455" s="144">
        <v>43620</v>
      </c>
      <c r="G455" s="48">
        <v>43648</v>
      </c>
      <c r="H455" s="143" t="s">
        <v>1018</v>
      </c>
      <c r="I455" s="143" t="s">
        <v>222</v>
      </c>
      <c r="J455" s="142" t="s">
        <v>56</v>
      </c>
      <c r="K455" s="105">
        <v>50</v>
      </c>
      <c r="L455" s="105">
        <v>48360</v>
      </c>
      <c r="M455" s="105">
        <v>46300</v>
      </c>
      <c r="N455" s="105">
        <v>192.16499999999999</v>
      </c>
      <c r="O455" s="105">
        <f t="shared" si="143"/>
        <v>9608.25</v>
      </c>
      <c r="P455" s="101" t="s">
        <v>811</v>
      </c>
      <c r="Q455" s="101" t="s">
        <v>1150</v>
      </c>
      <c r="R455" s="105"/>
      <c r="S455" s="105"/>
      <c r="T455" s="144"/>
      <c r="U455" s="105">
        <v>46610</v>
      </c>
      <c r="V455" s="105">
        <v>0</v>
      </c>
      <c r="W455" s="144">
        <v>43648</v>
      </c>
      <c r="X455" s="105">
        <f t="shared" si="141"/>
        <v>9608.25</v>
      </c>
      <c r="Y455" s="197">
        <f t="shared" si="144"/>
        <v>2315000</v>
      </c>
      <c r="Z455" s="143" t="str">
        <f t="shared" si="138"/>
        <v/>
      </c>
      <c r="AA455" s="143" t="str">
        <f t="shared" si="145"/>
        <v>买入19-新1</v>
      </c>
      <c r="AB455" s="203"/>
      <c r="AC455" s="321">
        <v>0.152</v>
      </c>
      <c r="AD455" s="205">
        <v>0.152</v>
      </c>
      <c r="AE455" s="314"/>
      <c r="AF455" s="104"/>
    </row>
    <row r="456" spans="1:32" ht="24.95" customHeight="1" x14ac:dyDescent="0.15">
      <c r="A456" s="142" t="s">
        <v>248</v>
      </c>
      <c r="B456" s="142" t="s">
        <v>764</v>
      </c>
      <c r="C456" s="142" t="str">
        <f t="shared" si="142"/>
        <v>到期</v>
      </c>
      <c r="D456" s="103" t="s">
        <v>1843</v>
      </c>
      <c r="E456" s="142" t="s">
        <v>298</v>
      </c>
      <c r="F456" s="144">
        <v>43620</v>
      </c>
      <c r="G456" s="144">
        <v>43648</v>
      </c>
      <c r="H456" s="143" t="s">
        <v>1018</v>
      </c>
      <c r="I456" s="143" t="s">
        <v>222</v>
      </c>
      <c r="J456" s="142" t="s">
        <v>59</v>
      </c>
      <c r="K456" s="105">
        <v>50</v>
      </c>
      <c r="L456" s="105">
        <v>44660</v>
      </c>
      <c r="M456" s="105">
        <v>46300</v>
      </c>
      <c r="N456" s="105">
        <v>192.16499999999999</v>
      </c>
      <c r="O456" s="105">
        <f t="shared" si="143"/>
        <v>9608.25</v>
      </c>
      <c r="P456" s="101" t="s">
        <v>811</v>
      </c>
      <c r="Q456" s="101" t="s">
        <v>1151</v>
      </c>
      <c r="R456" s="105"/>
      <c r="S456" s="105"/>
      <c r="T456" s="144"/>
      <c r="U456" s="105">
        <v>46610</v>
      </c>
      <c r="V456" s="104">
        <v>0</v>
      </c>
      <c r="W456" s="144">
        <v>43648</v>
      </c>
      <c r="X456" s="105">
        <f t="shared" si="141"/>
        <v>9608.25</v>
      </c>
      <c r="Y456" s="197">
        <f t="shared" si="144"/>
        <v>2315000</v>
      </c>
      <c r="Z456" s="143" t="str">
        <f t="shared" si="138"/>
        <v/>
      </c>
      <c r="AA456" s="143" t="str">
        <f t="shared" si="145"/>
        <v>买入19-新1</v>
      </c>
      <c r="AB456" s="203"/>
      <c r="AC456" s="321">
        <v>0.152</v>
      </c>
      <c r="AD456" s="205">
        <v>0.152</v>
      </c>
      <c r="AE456" s="314"/>
      <c r="AF456" s="104"/>
    </row>
    <row r="457" spans="1:32" ht="24.95" customHeight="1" x14ac:dyDescent="0.15">
      <c r="A457" s="142" t="s">
        <v>894</v>
      </c>
      <c r="B457" s="142" t="s">
        <v>764</v>
      </c>
      <c r="C457" s="142" t="str">
        <f t="shared" si="142"/>
        <v>到期</v>
      </c>
      <c r="D457" s="103" t="s">
        <v>1844</v>
      </c>
      <c r="E457" s="142" t="s">
        <v>298</v>
      </c>
      <c r="F457" s="144">
        <v>43620</v>
      </c>
      <c r="G457" s="144">
        <v>43648</v>
      </c>
      <c r="H457" s="143" t="s">
        <v>1018</v>
      </c>
      <c r="I457" s="143" t="s">
        <v>222</v>
      </c>
      <c r="J457" s="142" t="s">
        <v>56</v>
      </c>
      <c r="K457" s="105">
        <v>50</v>
      </c>
      <c r="L457" s="105">
        <v>48360</v>
      </c>
      <c r="M457" s="105">
        <v>46300</v>
      </c>
      <c r="N457" s="105">
        <v>192.16499999999999</v>
      </c>
      <c r="O457" s="105">
        <f t="shared" si="143"/>
        <v>9608.25</v>
      </c>
      <c r="P457" s="101" t="s">
        <v>802</v>
      </c>
      <c r="Q457" s="101" t="s">
        <v>1152</v>
      </c>
      <c r="R457" s="105"/>
      <c r="S457" s="105"/>
      <c r="T457" s="144"/>
      <c r="U457" s="105">
        <v>46610</v>
      </c>
      <c r="V457" s="105">
        <v>0</v>
      </c>
      <c r="W457" s="144">
        <v>43648</v>
      </c>
      <c r="X457" s="105">
        <f t="shared" si="141"/>
        <v>9608.25</v>
      </c>
      <c r="Y457" s="197">
        <f t="shared" si="144"/>
        <v>2315000</v>
      </c>
      <c r="Z457" s="143" t="str">
        <f t="shared" si="138"/>
        <v/>
      </c>
      <c r="AA457" s="143" t="str">
        <f t="shared" si="145"/>
        <v>买入19-新1</v>
      </c>
      <c r="AB457" s="203"/>
      <c r="AC457" s="321">
        <v>0.152</v>
      </c>
      <c r="AD457" s="205">
        <v>0.152</v>
      </c>
      <c r="AE457" s="314"/>
      <c r="AF457" s="104"/>
    </row>
    <row r="458" spans="1:32" ht="24.95" customHeight="1" x14ac:dyDescent="0.15">
      <c r="A458" s="142" t="s">
        <v>894</v>
      </c>
      <c r="B458" s="142" t="s">
        <v>764</v>
      </c>
      <c r="C458" s="142" t="str">
        <f t="shared" si="142"/>
        <v>到期</v>
      </c>
      <c r="D458" s="103" t="s">
        <v>1844</v>
      </c>
      <c r="E458" s="142" t="s">
        <v>298</v>
      </c>
      <c r="F458" s="144">
        <v>43620</v>
      </c>
      <c r="G458" s="144">
        <v>43648</v>
      </c>
      <c r="H458" s="143" t="s">
        <v>1018</v>
      </c>
      <c r="I458" s="143" t="s">
        <v>275</v>
      </c>
      <c r="J458" s="142" t="s">
        <v>59</v>
      </c>
      <c r="K458" s="105">
        <v>50</v>
      </c>
      <c r="L458" s="105">
        <v>44660</v>
      </c>
      <c r="M458" s="105">
        <v>46300</v>
      </c>
      <c r="N458" s="105">
        <v>192.16499999999999</v>
      </c>
      <c r="O458" s="105">
        <f t="shared" si="143"/>
        <v>9608.25</v>
      </c>
      <c r="P458" s="101" t="s">
        <v>802</v>
      </c>
      <c r="Q458" s="101" t="s">
        <v>1153</v>
      </c>
      <c r="R458" s="105"/>
      <c r="S458" s="105"/>
      <c r="T458" s="144"/>
      <c r="U458" s="105">
        <v>46610</v>
      </c>
      <c r="V458" s="105">
        <v>0</v>
      </c>
      <c r="W458" s="144">
        <v>43648</v>
      </c>
      <c r="X458" s="105">
        <f t="shared" si="141"/>
        <v>9608.25</v>
      </c>
      <c r="Y458" s="197">
        <f t="shared" si="144"/>
        <v>2315000</v>
      </c>
      <c r="Z458" s="143" t="str">
        <f t="shared" si="138"/>
        <v/>
      </c>
      <c r="AA458" s="143" t="str">
        <f t="shared" si="145"/>
        <v>买入19-新1</v>
      </c>
      <c r="AB458" s="203"/>
      <c r="AC458" s="321">
        <v>0.152</v>
      </c>
      <c r="AD458" s="205">
        <v>0.152</v>
      </c>
      <c r="AE458" s="314"/>
      <c r="AF458" s="104"/>
    </row>
    <row r="459" spans="1:32" ht="24.95" customHeight="1" x14ac:dyDescent="0.15">
      <c r="A459" s="142" t="s">
        <v>248</v>
      </c>
      <c r="B459" s="142" t="s">
        <v>764</v>
      </c>
      <c r="C459" s="142" t="str">
        <f t="shared" si="142"/>
        <v>到期</v>
      </c>
      <c r="D459" s="103" t="s">
        <v>1845</v>
      </c>
      <c r="E459" s="142" t="s">
        <v>298</v>
      </c>
      <c r="F459" s="144">
        <v>43620</v>
      </c>
      <c r="G459" s="144">
        <v>43648</v>
      </c>
      <c r="H459" s="143" t="s">
        <v>1018</v>
      </c>
      <c r="I459" s="143" t="s">
        <v>275</v>
      </c>
      <c r="J459" s="142" t="s">
        <v>56</v>
      </c>
      <c r="K459" s="105">
        <v>50</v>
      </c>
      <c r="L459" s="105">
        <v>48360</v>
      </c>
      <c r="M459" s="105">
        <v>46300</v>
      </c>
      <c r="N459" s="105">
        <v>192.16499999999999</v>
      </c>
      <c r="O459" s="105">
        <f t="shared" si="143"/>
        <v>9608.25</v>
      </c>
      <c r="P459" s="101" t="s">
        <v>803</v>
      </c>
      <c r="Q459" s="101" t="s">
        <v>1154</v>
      </c>
      <c r="R459" s="105"/>
      <c r="S459" s="105"/>
      <c r="T459" s="144"/>
      <c r="U459" s="105">
        <v>46610</v>
      </c>
      <c r="V459" s="105">
        <v>0</v>
      </c>
      <c r="W459" s="144">
        <v>43648</v>
      </c>
      <c r="X459" s="105">
        <f t="shared" si="141"/>
        <v>9608.25</v>
      </c>
      <c r="Y459" s="197">
        <f t="shared" si="144"/>
        <v>2315000</v>
      </c>
      <c r="Z459" s="143" t="str">
        <f t="shared" si="138"/>
        <v/>
      </c>
      <c r="AA459" s="143" t="str">
        <f t="shared" si="145"/>
        <v>买入19-新1</v>
      </c>
      <c r="AB459" s="203"/>
      <c r="AC459" s="321">
        <v>0.152</v>
      </c>
      <c r="AD459" s="205">
        <v>0.152</v>
      </c>
      <c r="AE459" s="314"/>
      <c r="AF459" s="104"/>
    </row>
    <row r="460" spans="1:32" ht="24.95" customHeight="1" x14ac:dyDescent="0.15">
      <c r="A460" s="142" t="s">
        <v>894</v>
      </c>
      <c r="B460" s="142" t="s">
        <v>764</v>
      </c>
      <c r="C460" s="142" t="str">
        <f t="shared" si="142"/>
        <v>到期</v>
      </c>
      <c r="D460" s="103" t="s">
        <v>1845</v>
      </c>
      <c r="E460" s="142" t="s">
        <v>298</v>
      </c>
      <c r="F460" s="144">
        <v>43620</v>
      </c>
      <c r="G460" s="144">
        <v>43648</v>
      </c>
      <c r="H460" s="143" t="s">
        <v>1018</v>
      </c>
      <c r="I460" s="143" t="s">
        <v>275</v>
      </c>
      <c r="J460" s="142" t="s">
        <v>59</v>
      </c>
      <c r="K460" s="105">
        <v>50</v>
      </c>
      <c r="L460" s="105">
        <v>44660</v>
      </c>
      <c r="M460" s="105">
        <v>46300</v>
      </c>
      <c r="N460" s="105">
        <v>192.16499999999999</v>
      </c>
      <c r="O460" s="105">
        <f t="shared" si="143"/>
        <v>9608.25</v>
      </c>
      <c r="P460" s="101" t="s">
        <v>803</v>
      </c>
      <c r="Q460" s="101" t="s">
        <v>1155</v>
      </c>
      <c r="R460" s="105"/>
      <c r="S460" s="105"/>
      <c r="T460" s="144"/>
      <c r="U460" s="105">
        <v>46610</v>
      </c>
      <c r="V460" s="104">
        <v>0</v>
      </c>
      <c r="W460" s="144">
        <v>43648</v>
      </c>
      <c r="X460" s="105">
        <f t="shared" si="141"/>
        <v>9608.25</v>
      </c>
      <c r="Y460" s="197">
        <f t="shared" si="144"/>
        <v>2315000</v>
      </c>
      <c r="Z460" s="143" t="str">
        <f t="shared" si="138"/>
        <v/>
      </c>
      <c r="AA460" s="143" t="str">
        <f t="shared" si="145"/>
        <v>买入19-新1</v>
      </c>
      <c r="AB460" s="203"/>
      <c r="AC460" s="321">
        <v>0.152</v>
      </c>
      <c r="AD460" s="205">
        <v>0.152</v>
      </c>
      <c r="AE460" s="314"/>
      <c r="AF460" s="104"/>
    </row>
    <row r="461" spans="1:32" ht="24.95" customHeight="1" x14ac:dyDescent="0.15">
      <c r="A461" s="142" t="s">
        <v>394</v>
      </c>
      <c r="B461" s="142" t="s">
        <v>295</v>
      </c>
      <c r="C461" s="142" t="str">
        <f>IF(Q461="","存续","到期")</f>
        <v>到期</v>
      </c>
      <c r="D461" s="128" t="s">
        <v>1850</v>
      </c>
      <c r="E461" s="142" t="s">
        <v>255</v>
      </c>
      <c r="F461" s="144">
        <v>43620</v>
      </c>
      <c r="G461" s="144">
        <v>43651</v>
      </c>
      <c r="H461" s="143" t="s">
        <v>383</v>
      </c>
      <c r="I461" s="143" t="s">
        <v>241</v>
      </c>
      <c r="J461" s="142" t="s">
        <v>59</v>
      </c>
      <c r="K461" s="105">
        <v>2000</v>
      </c>
      <c r="L461" s="105">
        <v>3742</v>
      </c>
      <c r="M461" s="105">
        <v>3742</v>
      </c>
      <c r="N461" s="105">
        <v>80.453000000000003</v>
      </c>
      <c r="O461" s="105">
        <f t="shared" si="143"/>
        <v>160906</v>
      </c>
      <c r="P461" s="101" t="s">
        <v>841</v>
      </c>
      <c r="Q461" s="143" t="s">
        <v>1156</v>
      </c>
      <c r="R461" s="105"/>
      <c r="S461" s="105"/>
      <c r="T461" s="144"/>
      <c r="U461" s="105">
        <v>3984</v>
      </c>
      <c r="V461" s="105">
        <v>0</v>
      </c>
      <c r="W461" s="144">
        <v>43651</v>
      </c>
      <c r="X461" s="105">
        <f t="shared" si="141"/>
        <v>-160906</v>
      </c>
      <c r="Y461" s="197">
        <f t="shared" si="144"/>
        <v>7484000</v>
      </c>
      <c r="Z461" s="143" t="str">
        <f t="shared" si="138"/>
        <v/>
      </c>
      <c r="AA461" s="143" t="str">
        <f t="shared" ref="AA461" si="146">IF(I461="买入","卖出","买入23期")</f>
        <v>卖出</v>
      </c>
      <c r="AB461" s="203"/>
      <c r="AC461" s="321">
        <v>0.183</v>
      </c>
      <c r="AD461" s="319"/>
      <c r="AE461" s="314"/>
      <c r="AF461" s="104"/>
    </row>
    <row r="462" spans="1:32" ht="24.95" customHeight="1" x14ac:dyDescent="0.15">
      <c r="A462" s="142" t="s">
        <v>394</v>
      </c>
      <c r="B462" s="142" t="s">
        <v>764</v>
      </c>
      <c r="C462" s="142" t="str">
        <f t="shared" ref="C462:C490" si="147">IF(Q462="","存续","到期")</f>
        <v>到期</v>
      </c>
      <c r="D462" s="128" t="s">
        <v>932</v>
      </c>
      <c r="E462" s="142" t="s">
        <v>298</v>
      </c>
      <c r="F462" s="144">
        <v>43622</v>
      </c>
      <c r="G462" s="144">
        <v>43637</v>
      </c>
      <c r="H462" s="143" t="s">
        <v>907</v>
      </c>
      <c r="I462" s="143" t="s">
        <v>241</v>
      </c>
      <c r="J462" s="142" t="s">
        <v>975</v>
      </c>
      <c r="K462" s="105">
        <v>500</v>
      </c>
      <c r="L462" s="105">
        <v>7414</v>
      </c>
      <c r="M462" s="105">
        <v>7514</v>
      </c>
      <c r="N462" s="105">
        <v>25.14</v>
      </c>
      <c r="O462" s="105">
        <f t="shared" si="143"/>
        <v>12570</v>
      </c>
      <c r="P462" s="101" t="s">
        <v>848</v>
      </c>
      <c r="Q462" s="101" t="s">
        <v>1157</v>
      </c>
      <c r="R462" s="105"/>
      <c r="S462" s="105"/>
      <c r="T462" s="144"/>
      <c r="U462" s="105">
        <v>7911</v>
      </c>
      <c r="V462" s="105">
        <v>0</v>
      </c>
      <c r="W462" s="144">
        <v>43637</v>
      </c>
      <c r="X462" s="105">
        <f t="shared" si="141"/>
        <v>-12570</v>
      </c>
      <c r="Y462" s="197">
        <f t="shared" si="144"/>
        <v>3757000</v>
      </c>
      <c r="Z462" s="105" t="str">
        <f t="shared" si="138"/>
        <v/>
      </c>
      <c r="AA462" s="143" t="str">
        <f>IF(I462="买入","卖出","买入")</f>
        <v>卖出</v>
      </c>
      <c r="AB462" s="203"/>
      <c r="AC462" s="321">
        <v>0.17499999999999999</v>
      </c>
      <c r="AD462" s="319"/>
      <c r="AE462" s="324" t="s">
        <v>1335</v>
      </c>
      <c r="AF462" s="104"/>
    </row>
    <row r="463" spans="1:32" ht="24.95" customHeight="1" x14ac:dyDescent="0.15">
      <c r="A463" s="142" t="s">
        <v>394</v>
      </c>
      <c r="B463" s="142" t="s">
        <v>297</v>
      </c>
      <c r="C463" s="142" t="str">
        <f t="shared" si="147"/>
        <v>到期</v>
      </c>
      <c r="D463" s="128" t="s">
        <v>1021</v>
      </c>
      <c r="E463" s="142" t="s">
        <v>340</v>
      </c>
      <c r="F463" s="144">
        <v>43622</v>
      </c>
      <c r="G463" s="144">
        <v>43643</v>
      </c>
      <c r="H463" s="143" t="s">
        <v>902</v>
      </c>
      <c r="I463" s="143" t="s">
        <v>275</v>
      </c>
      <c r="J463" s="142" t="s">
        <v>59</v>
      </c>
      <c r="K463" s="105">
        <v>10000</v>
      </c>
      <c r="L463" s="105">
        <v>680</v>
      </c>
      <c r="M463" s="105">
        <v>700</v>
      </c>
      <c r="N463" s="105">
        <v>10.74</v>
      </c>
      <c r="O463" s="105">
        <f t="shared" si="143"/>
        <v>107400</v>
      </c>
      <c r="P463" s="101" t="s">
        <v>849</v>
      </c>
      <c r="Q463" s="101" t="s">
        <v>1158</v>
      </c>
      <c r="R463" s="105">
        <v>1.96</v>
      </c>
      <c r="S463" s="104">
        <f>-R463*K463</f>
        <v>-19600</v>
      </c>
      <c r="T463" s="144">
        <v>43627</v>
      </c>
      <c r="U463" s="105"/>
      <c r="V463" s="105"/>
      <c r="W463" s="144"/>
      <c r="X463" s="105">
        <f>IF(I463="买入",S463-O463,O463+S463)</f>
        <v>87800</v>
      </c>
      <c r="Y463" s="198">
        <f t="shared" si="144"/>
        <v>7000000</v>
      </c>
      <c r="Z463" s="105" t="str">
        <f t="shared" si="138"/>
        <v/>
      </c>
      <c r="AA463" s="143" t="str">
        <f>IF(I463="买入","卖出","买入")</f>
        <v>买入</v>
      </c>
      <c r="AB463" s="203"/>
      <c r="AC463" s="321">
        <v>0.28499999999999998</v>
      </c>
      <c r="AD463" s="319"/>
      <c r="AE463" s="314"/>
      <c r="AF463" s="104"/>
    </row>
    <row r="464" spans="1:32" ht="24.95" customHeight="1" x14ac:dyDescent="0.15">
      <c r="A464" s="142" t="s">
        <v>394</v>
      </c>
      <c r="B464" s="120" t="s">
        <v>295</v>
      </c>
      <c r="C464" s="142" t="str">
        <f t="shared" si="147"/>
        <v>到期</v>
      </c>
      <c r="D464" s="128" t="s">
        <v>1840</v>
      </c>
      <c r="E464" s="142" t="s">
        <v>340</v>
      </c>
      <c r="F464" s="144">
        <v>43626</v>
      </c>
      <c r="G464" s="144">
        <v>43656</v>
      </c>
      <c r="H464" s="143" t="s">
        <v>902</v>
      </c>
      <c r="I464" s="138" t="s">
        <v>241</v>
      </c>
      <c r="J464" s="152" t="s">
        <v>22</v>
      </c>
      <c r="K464" s="105">
        <v>2500</v>
      </c>
      <c r="L464" s="105">
        <v>720.5</v>
      </c>
      <c r="M464" s="105">
        <v>720.5</v>
      </c>
      <c r="N464" s="105">
        <v>23.94</v>
      </c>
      <c r="O464" s="105">
        <f t="shared" si="143"/>
        <v>59850</v>
      </c>
      <c r="P464" s="101" t="s">
        <v>1036</v>
      </c>
      <c r="Q464" s="101" t="s">
        <v>1159</v>
      </c>
      <c r="R464" s="141">
        <v>164</v>
      </c>
      <c r="S464" s="105">
        <f>R464*K464</f>
        <v>410000</v>
      </c>
      <c r="T464" s="144">
        <v>43656</v>
      </c>
      <c r="U464" s="143"/>
      <c r="V464" s="142"/>
      <c r="W464" s="105"/>
      <c r="X464" s="104">
        <f t="shared" ref="X464:X465" si="148">IF(I464="买入",S464-O464,O464+S464)</f>
        <v>350150</v>
      </c>
      <c r="Y464" s="198">
        <f t="shared" si="144"/>
        <v>1801250</v>
      </c>
      <c r="Z464" s="105" t="str">
        <f t="shared" si="138"/>
        <v/>
      </c>
      <c r="AA464" s="105" t="str">
        <f>IF(I464="买入","卖出","买入")</f>
        <v>卖出</v>
      </c>
      <c r="AB464" s="105"/>
      <c r="AC464" s="321">
        <v>0.28000000000000003</v>
      </c>
      <c r="AD464" s="105"/>
      <c r="AE464" s="105"/>
      <c r="AF464" s="105"/>
    </row>
    <row r="465" spans="1:32" ht="24.95" customHeight="1" x14ac:dyDescent="0.15">
      <c r="A465" s="142" t="s">
        <v>394</v>
      </c>
      <c r="B465" s="120" t="s">
        <v>295</v>
      </c>
      <c r="C465" s="142" t="str">
        <f t="shared" si="147"/>
        <v>到期</v>
      </c>
      <c r="D465" s="128" t="s">
        <v>1840</v>
      </c>
      <c r="E465" s="142" t="s">
        <v>340</v>
      </c>
      <c r="F465" s="144">
        <v>43626</v>
      </c>
      <c r="G465" s="144">
        <v>43656</v>
      </c>
      <c r="H465" s="143" t="s">
        <v>902</v>
      </c>
      <c r="I465" s="138" t="s">
        <v>241</v>
      </c>
      <c r="J465" s="152" t="s">
        <v>25</v>
      </c>
      <c r="K465" s="105">
        <v>2500</v>
      </c>
      <c r="L465" s="105">
        <v>720.5</v>
      </c>
      <c r="M465" s="105">
        <v>720.5</v>
      </c>
      <c r="N465" s="105">
        <v>23.94</v>
      </c>
      <c r="O465" s="105">
        <f t="shared" si="143"/>
        <v>59850</v>
      </c>
      <c r="P465" s="101" t="s">
        <v>1037</v>
      </c>
      <c r="Q465" s="101" t="s">
        <v>1160</v>
      </c>
      <c r="R465" s="141">
        <v>0</v>
      </c>
      <c r="S465" s="105">
        <f t="shared" ref="S465" si="149">-R465*K465</f>
        <v>0</v>
      </c>
      <c r="T465" s="144">
        <v>43656</v>
      </c>
      <c r="U465" s="143"/>
      <c r="V465" s="142"/>
      <c r="W465" s="105"/>
      <c r="X465" s="104">
        <f t="shared" si="148"/>
        <v>-59850</v>
      </c>
      <c r="Y465" s="198">
        <f t="shared" si="144"/>
        <v>1801250</v>
      </c>
      <c r="Z465" s="105" t="str">
        <f t="shared" si="138"/>
        <v/>
      </c>
      <c r="AA465" s="105" t="str">
        <f>IF(I465="买入","卖出","买入")</f>
        <v>卖出</v>
      </c>
      <c r="AB465" s="105"/>
      <c r="AC465" s="321">
        <v>0.28000000000000003</v>
      </c>
      <c r="AD465" s="105"/>
      <c r="AE465" s="105"/>
      <c r="AF465" s="105"/>
    </row>
    <row r="466" spans="1:32" ht="24.95" customHeight="1" x14ac:dyDescent="0.15">
      <c r="A466" s="142" t="s">
        <v>894</v>
      </c>
      <c r="B466" s="142" t="s">
        <v>297</v>
      </c>
      <c r="C466" s="142" t="str">
        <f t="shared" si="147"/>
        <v>到期</v>
      </c>
      <c r="D466" s="103" t="s">
        <v>1841</v>
      </c>
      <c r="E466" s="142" t="s">
        <v>298</v>
      </c>
      <c r="F466" s="144">
        <v>43627</v>
      </c>
      <c r="G466" s="144">
        <v>43655</v>
      </c>
      <c r="H466" s="143" t="s">
        <v>1018</v>
      </c>
      <c r="I466" s="143" t="s">
        <v>222</v>
      </c>
      <c r="J466" s="142" t="s">
        <v>56</v>
      </c>
      <c r="K466" s="105">
        <v>50</v>
      </c>
      <c r="L466" s="105">
        <v>48900</v>
      </c>
      <c r="M466" s="105">
        <v>46800</v>
      </c>
      <c r="N466" s="105">
        <f>388.48/2</f>
        <v>194.24</v>
      </c>
      <c r="O466" s="105">
        <f t="shared" si="143"/>
        <v>9712</v>
      </c>
      <c r="P466" s="101" t="s">
        <v>845</v>
      </c>
      <c r="Q466" s="101" t="s">
        <v>1161</v>
      </c>
      <c r="R466" s="105"/>
      <c r="S466" s="105"/>
      <c r="T466" s="143"/>
      <c r="U466" s="143">
        <v>46170</v>
      </c>
      <c r="V466" s="142">
        <v>0</v>
      </c>
      <c r="W466" s="144">
        <v>43655</v>
      </c>
      <c r="X466" s="105">
        <f t="shared" ref="X466:X475" si="150">IF(I466="买入",V466-O466,V466+O466)</f>
        <v>9712</v>
      </c>
      <c r="Y466" s="198">
        <f t="shared" si="144"/>
        <v>2340000</v>
      </c>
      <c r="Z466" s="105" t="str">
        <f t="shared" si="138"/>
        <v/>
      </c>
      <c r="AA466" s="105" t="str">
        <f>IF(I466="买入","卖出","买入19-新2")</f>
        <v>买入19-新2</v>
      </c>
      <c r="AB466" s="105"/>
      <c r="AC466" s="321">
        <v>0.152</v>
      </c>
      <c r="AD466" s="205">
        <v>0.152</v>
      </c>
      <c r="AE466" s="105"/>
      <c r="AF466" s="105"/>
    </row>
    <row r="467" spans="1:32" ht="24.95" customHeight="1" x14ac:dyDescent="0.15">
      <c r="A467" s="142" t="s">
        <v>894</v>
      </c>
      <c r="B467" s="142" t="s">
        <v>764</v>
      </c>
      <c r="C467" s="142" t="str">
        <f t="shared" si="147"/>
        <v>到期</v>
      </c>
      <c r="D467" s="103" t="s">
        <v>1841</v>
      </c>
      <c r="E467" s="142" t="s">
        <v>298</v>
      </c>
      <c r="F467" s="144">
        <v>43627</v>
      </c>
      <c r="G467" s="144">
        <v>43655</v>
      </c>
      <c r="H467" s="143" t="s">
        <v>1018</v>
      </c>
      <c r="I467" s="143" t="s">
        <v>222</v>
      </c>
      <c r="J467" s="142" t="s">
        <v>59</v>
      </c>
      <c r="K467" s="105">
        <v>50</v>
      </c>
      <c r="L467" s="105">
        <v>45160</v>
      </c>
      <c r="M467" s="105">
        <v>46800</v>
      </c>
      <c r="N467" s="105">
        <f t="shared" ref="N467:N475" si="151">388.48/2</f>
        <v>194.24</v>
      </c>
      <c r="O467" s="105">
        <f t="shared" si="143"/>
        <v>9712</v>
      </c>
      <c r="P467" s="101" t="s">
        <v>845</v>
      </c>
      <c r="Q467" s="101" t="s">
        <v>1162</v>
      </c>
      <c r="R467" s="105"/>
      <c r="S467" s="105"/>
      <c r="T467" s="143"/>
      <c r="U467" s="143">
        <v>46170</v>
      </c>
      <c r="V467" s="142">
        <v>0</v>
      </c>
      <c r="W467" s="144">
        <v>43655</v>
      </c>
      <c r="X467" s="105">
        <f t="shared" si="150"/>
        <v>9712</v>
      </c>
      <c r="Y467" s="198">
        <f t="shared" si="144"/>
        <v>2340000</v>
      </c>
      <c r="Z467" s="105" t="str">
        <f t="shared" si="138"/>
        <v/>
      </c>
      <c r="AA467" s="105" t="str">
        <f t="shared" ref="AA467:AA474" si="152">IF(I467="买入","卖出","买入19-新2")</f>
        <v>买入19-新2</v>
      </c>
      <c r="AB467" s="105"/>
      <c r="AC467" s="321">
        <v>0.152</v>
      </c>
      <c r="AD467" s="205">
        <v>0.152</v>
      </c>
      <c r="AE467" s="105"/>
      <c r="AF467" s="105"/>
    </row>
    <row r="468" spans="1:32" ht="24.95" customHeight="1" x14ac:dyDescent="0.15">
      <c r="A468" s="142" t="s">
        <v>894</v>
      </c>
      <c r="B468" s="142" t="s">
        <v>764</v>
      </c>
      <c r="C468" s="142" t="str">
        <f t="shared" si="147"/>
        <v>到期</v>
      </c>
      <c r="D468" s="103" t="s">
        <v>1842</v>
      </c>
      <c r="E468" s="142" t="s">
        <v>298</v>
      </c>
      <c r="F468" s="144">
        <v>43627</v>
      </c>
      <c r="G468" s="144">
        <v>43655</v>
      </c>
      <c r="H468" s="143" t="s">
        <v>1018</v>
      </c>
      <c r="I468" s="143" t="s">
        <v>222</v>
      </c>
      <c r="J468" s="142" t="s">
        <v>56</v>
      </c>
      <c r="K468" s="105">
        <v>50</v>
      </c>
      <c r="L468" s="105">
        <v>48900</v>
      </c>
      <c r="M468" s="105">
        <v>46800</v>
      </c>
      <c r="N468" s="105">
        <f t="shared" si="151"/>
        <v>194.24</v>
      </c>
      <c r="O468" s="105">
        <f t="shared" si="143"/>
        <v>9712</v>
      </c>
      <c r="P468" s="101" t="s">
        <v>846</v>
      </c>
      <c r="Q468" s="101" t="s">
        <v>1163</v>
      </c>
      <c r="R468" s="105"/>
      <c r="S468" s="105"/>
      <c r="T468" s="143"/>
      <c r="U468" s="143">
        <v>46170</v>
      </c>
      <c r="V468" s="142">
        <v>0</v>
      </c>
      <c r="W468" s="144">
        <v>43655</v>
      </c>
      <c r="X468" s="105">
        <f t="shared" si="150"/>
        <v>9712</v>
      </c>
      <c r="Y468" s="198">
        <f t="shared" si="144"/>
        <v>2340000</v>
      </c>
      <c r="Z468" s="105" t="str">
        <f t="shared" si="138"/>
        <v/>
      </c>
      <c r="AA468" s="105" t="str">
        <f t="shared" si="152"/>
        <v>买入19-新2</v>
      </c>
      <c r="AB468" s="105"/>
      <c r="AC468" s="321">
        <v>0.152</v>
      </c>
      <c r="AD468" s="205">
        <v>0.152</v>
      </c>
      <c r="AE468" s="105"/>
      <c r="AF468" s="105"/>
    </row>
    <row r="469" spans="1:32" ht="24.95" customHeight="1" x14ac:dyDescent="0.15">
      <c r="A469" s="142" t="s">
        <v>248</v>
      </c>
      <c r="B469" s="142" t="s">
        <v>764</v>
      </c>
      <c r="C469" s="142" t="str">
        <f t="shared" si="147"/>
        <v>到期</v>
      </c>
      <c r="D469" s="103" t="s">
        <v>1842</v>
      </c>
      <c r="E469" s="142" t="s">
        <v>298</v>
      </c>
      <c r="F469" s="144">
        <v>43627</v>
      </c>
      <c r="G469" s="144">
        <v>43655</v>
      </c>
      <c r="H469" s="143" t="s">
        <v>1018</v>
      </c>
      <c r="I469" s="143" t="s">
        <v>222</v>
      </c>
      <c r="J469" s="142" t="s">
        <v>59</v>
      </c>
      <c r="K469" s="105">
        <v>50</v>
      </c>
      <c r="L469" s="105">
        <v>45160</v>
      </c>
      <c r="M469" s="105">
        <v>46800</v>
      </c>
      <c r="N469" s="105">
        <f t="shared" si="151"/>
        <v>194.24</v>
      </c>
      <c r="O469" s="105">
        <f t="shared" si="143"/>
        <v>9712</v>
      </c>
      <c r="P469" s="101" t="s">
        <v>842</v>
      </c>
      <c r="Q469" s="101" t="s">
        <v>1163</v>
      </c>
      <c r="R469" s="105"/>
      <c r="S469" s="105"/>
      <c r="T469" s="143"/>
      <c r="U469" s="143">
        <v>46170</v>
      </c>
      <c r="V469" s="142">
        <v>0</v>
      </c>
      <c r="W469" s="144">
        <v>43655</v>
      </c>
      <c r="X469" s="105">
        <f t="shared" si="150"/>
        <v>9712</v>
      </c>
      <c r="Y469" s="198">
        <f t="shared" si="144"/>
        <v>2340000</v>
      </c>
      <c r="Z469" s="105" t="str">
        <f t="shared" si="138"/>
        <v/>
      </c>
      <c r="AA469" s="105" t="str">
        <f t="shared" si="152"/>
        <v>买入19-新2</v>
      </c>
      <c r="AB469" s="105"/>
      <c r="AC469" s="321">
        <v>0.152</v>
      </c>
      <c r="AD469" s="205">
        <v>0.152</v>
      </c>
      <c r="AE469" s="105"/>
      <c r="AF469" s="105"/>
    </row>
    <row r="470" spans="1:32" ht="24.95" customHeight="1" x14ac:dyDescent="0.15">
      <c r="A470" s="142" t="s">
        <v>894</v>
      </c>
      <c r="B470" s="142" t="s">
        <v>764</v>
      </c>
      <c r="C470" s="142" t="str">
        <f t="shared" si="147"/>
        <v>到期</v>
      </c>
      <c r="D470" s="103" t="s">
        <v>1843</v>
      </c>
      <c r="E470" s="142" t="s">
        <v>298</v>
      </c>
      <c r="F470" s="144">
        <v>43627</v>
      </c>
      <c r="G470" s="144">
        <v>43655</v>
      </c>
      <c r="H470" s="143" t="s">
        <v>1018</v>
      </c>
      <c r="I470" s="143" t="s">
        <v>222</v>
      </c>
      <c r="J470" s="142" t="s">
        <v>56</v>
      </c>
      <c r="K470" s="105">
        <v>50</v>
      </c>
      <c r="L470" s="105">
        <v>48900</v>
      </c>
      <c r="M470" s="105">
        <v>46800</v>
      </c>
      <c r="N470" s="105">
        <f t="shared" si="151"/>
        <v>194.24</v>
      </c>
      <c r="O470" s="105">
        <f t="shared" si="143"/>
        <v>9712</v>
      </c>
      <c r="P470" s="101" t="s">
        <v>843</v>
      </c>
      <c r="Q470" s="101" t="s">
        <v>1164</v>
      </c>
      <c r="R470" s="105"/>
      <c r="S470" s="105"/>
      <c r="T470" s="143"/>
      <c r="U470" s="143">
        <v>46170</v>
      </c>
      <c r="V470" s="142">
        <v>0</v>
      </c>
      <c r="W470" s="144">
        <v>43655</v>
      </c>
      <c r="X470" s="105">
        <f t="shared" si="150"/>
        <v>9712</v>
      </c>
      <c r="Y470" s="198">
        <f t="shared" si="144"/>
        <v>2340000</v>
      </c>
      <c r="Z470" s="105" t="str">
        <f t="shared" si="138"/>
        <v/>
      </c>
      <c r="AA470" s="105" t="str">
        <f t="shared" si="152"/>
        <v>买入19-新2</v>
      </c>
      <c r="AB470" s="105"/>
      <c r="AC470" s="321">
        <v>0.152</v>
      </c>
      <c r="AD470" s="205">
        <v>0.152</v>
      </c>
      <c r="AE470" s="105"/>
      <c r="AF470" s="105"/>
    </row>
    <row r="471" spans="1:32" ht="24.95" customHeight="1" x14ac:dyDescent="0.15">
      <c r="A471" s="142" t="s">
        <v>894</v>
      </c>
      <c r="B471" s="142" t="s">
        <v>297</v>
      </c>
      <c r="C471" s="142" t="str">
        <f t="shared" si="147"/>
        <v>到期</v>
      </c>
      <c r="D471" s="103" t="s">
        <v>1843</v>
      </c>
      <c r="E471" s="142" t="s">
        <v>298</v>
      </c>
      <c r="F471" s="144">
        <v>43627</v>
      </c>
      <c r="G471" s="144">
        <v>43655</v>
      </c>
      <c r="H471" s="143" t="s">
        <v>1018</v>
      </c>
      <c r="I471" s="143" t="s">
        <v>222</v>
      </c>
      <c r="J471" s="142" t="s">
        <v>59</v>
      </c>
      <c r="K471" s="105">
        <v>50</v>
      </c>
      <c r="L471" s="105">
        <v>45160</v>
      </c>
      <c r="M471" s="105">
        <v>46800</v>
      </c>
      <c r="N471" s="105">
        <f t="shared" si="151"/>
        <v>194.24</v>
      </c>
      <c r="O471" s="105">
        <f t="shared" si="143"/>
        <v>9712</v>
      </c>
      <c r="P471" s="101" t="s">
        <v>843</v>
      </c>
      <c r="Q471" s="101" t="s">
        <v>1165</v>
      </c>
      <c r="R471" s="105"/>
      <c r="S471" s="105"/>
      <c r="T471" s="143"/>
      <c r="U471" s="143">
        <v>46170</v>
      </c>
      <c r="V471" s="142">
        <v>0</v>
      </c>
      <c r="W471" s="144">
        <v>43655</v>
      </c>
      <c r="X471" s="105">
        <f t="shared" si="150"/>
        <v>9712</v>
      </c>
      <c r="Y471" s="198">
        <f t="shared" si="144"/>
        <v>2340000</v>
      </c>
      <c r="Z471" s="105" t="str">
        <f t="shared" si="138"/>
        <v/>
      </c>
      <c r="AA471" s="105" t="str">
        <f t="shared" si="152"/>
        <v>买入19-新2</v>
      </c>
      <c r="AB471" s="105"/>
      <c r="AC471" s="321">
        <v>0.152</v>
      </c>
      <c r="AD471" s="205">
        <v>0.152</v>
      </c>
      <c r="AE471" s="105"/>
      <c r="AF471" s="105"/>
    </row>
    <row r="472" spans="1:32" ht="24.95" customHeight="1" x14ac:dyDescent="0.15">
      <c r="A472" s="142" t="s">
        <v>894</v>
      </c>
      <c r="B472" s="142" t="s">
        <v>764</v>
      </c>
      <c r="C472" s="142" t="str">
        <f t="shared" si="147"/>
        <v>到期</v>
      </c>
      <c r="D472" s="103" t="s">
        <v>1844</v>
      </c>
      <c r="E472" s="142" t="s">
        <v>298</v>
      </c>
      <c r="F472" s="144">
        <v>43627</v>
      </c>
      <c r="G472" s="144">
        <v>43655</v>
      </c>
      <c r="H472" s="143" t="s">
        <v>1018</v>
      </c>
      <c r="I472" s="143" t="s">
        <v>222</v>
      </c>
      <c r="J472" s="142" t="s">
        <v>56</v>
      </c>
      <c r="K472" s="105">
        <v>50</v>
      </c>
      <c r="L472" s="105">
        <v>48900</v>
      </c>
      <c r="M472" s="105">
        <v>46800</v>
      </c>
      <c r="N472" s="105">
        <f t="shared" si="151"/>
        <v>194.24</v>
      </c>
      <c r="O472" s="105">
        <f t="shared" si="143"/>
        <v>9712</v>
      </c>
      <c r="P472" s="101" t="s">
        <v>844</v>
      </c>
      <c r="Q472" s="101" t="s">
        <v>1166</v>
      </c>
      <c r="R472" s="105"/>
      <c r="S472" s="105"/>
      <c r="T472" s="143"/>
      <c r="U472" s="143">
        <v>46170</v>
      </c>
      <c r="V472" s="142">
        <v>0</v>
      </c>
      <c r="W472" s="144">
        <v>43655</v>
      </c>
      <c r="X472" s="105">
        <f t="shared" si="150"/>
        <v>9712</v>
      </c>
      <c r="Y472" s="198">
        <f t="shared" si="144"/>
        <v>2340000</v>
      </c>
      <c r="Z472" s="105" t="str">
        <f t="shared" si="138"/>
        <v/>
      </c>
      <c r="AA472" s="105" t="str">
        <f t="shared" si="152"/>
        <v>买入19-新2</v>
      </c>
      <c r="AB472" s="105"/>
      <c r="AC472" s="321">
        <v>0.152</v>
      </c>
      <c r="AD472" s="205">
        <v>0.152</v>
      </c>
      <c r="AE472" s="105"/>
      <c r="AF472" s="105"/>
    </row>
    <row r="473" spans="1:32" ht="24.95" customHeight="1" x14ac:dyDescent="0.15">
      <c r="A473" s="142" t="s">
        <v>894</v>
      </c>
      <c r="B473" s="142" t="s">
        <v>764</v>
      </c>
      <c r="C473" s="142" t="str">
        <f t="shared" si="147"/>
        <v>到期</v>
      </c>
      <c r="D473" s="103" t="s">
        <v>1844</v>
      </c>
      <c r="E473" s="142" t="s">
        <v>298</v>
      </c>
      <c r="F473" s="144">
        <v>43627</v>
      </c>
      <c r="G473" s="144">
        <v>43655</v>
      </c>
      <c r="H473" s="143" t="s">
        <v>1018</v>
      </c>
      <c r="I473" s="143" t="s">
        <v>222</v>
      </c>
      <c r="J473" s="142" t="s">
        <v>59</v>
      </c>
      <c r="K473" s="105">
        <v>50</v>
      </c>
      <c r="L473" s="105">
        <v>45160</v>
      </c>
      <c r="M473" s="105">
        <v>46800</v>
      </c>
      <c r="N473" s="105">
        <f t="shared" si="151"/>
        <v>194.24</v>
      </c>
      <c r="O473" s="105">
        <f t="shared" si="143"/>
        <v>9712</v>
      </c>
      <c r="P473" s="101" t="s">
        <v>844</v>
      </c>
      <c r="Q473" s="101" t="s">
        <v>1167</v>
      </c>
      <c r="R473" s="105"/>
      <c r="S473" s="105"/>
      <c r="T473" s="143"/>
      <c r="U473" s="143">
        <v>46170</v>
      </c>
      <c r="V473" s="142">
        <v>0</v>
      </c>
      <c r="W473" s="144">
        <v>43655</v>
      </c>
      <c r="X473" s="105">
        <f t="shared" si="150"/>
        <v>9712</v>
      </c>
      <c r="Y473" s="198">
        <f t="shared" si="144"/>
        <v>2340000</v>
      </c>
      <c r="Z473" s="105" t="str">
        <f t="shared" si="138"/>
        <v/>
      </c>
      <c r="AA473" s="105" t="str">
        <f t="shared" si="152"/>
        <v>买入19-新2</v>
      </c>
      <c r="AB473" s="105"/>
      <c r="AC473" s="321">
        <v>0.152</v>
      </c>
      <c r="AD473" s="205">
        <v>0.152</v>
      </c>
      <c r="AE473" s="105"/>
      <c r="AF473" s="105"/>
    </row>
    <row r="474" spans="1:32" ht="24.95" customHeight="1" x14ac:dyDescent="0.15">
      <c r="A474" s="142" t="s">
        <v>894</v>
      </c>
      <c r="B474" s="142" t="s">
        <v>297</v>
      </c>
      <c r="C474" s="142" t="str">
        <f t="shared" si="147"/>
        <v>到期</v>
      </c>
      <c r="D474" s="103" t="s">
        <v>1845</v>
      </c>
      <c r="E474" s="142" t="s">
        <v>298</v>
      </c>
      <c r="F474" s="144">
        <v>43627</v>
      </c>
      <c r="G474" s="144">
        <v>43655</v>
      </c>
      <c r="H474" s="143" t="s">
        <v>1018</v>
      </c>
      <c r="I474" s="143" t="s">
        <v>222</v>
      </c>
      <c r="J474" s="142" t="s">
        <v>56</v>
      </c>
      <c r="K474" s="105">
        <v>50</v>
      </c>
      <c r="L474" s="105">
        <v>48900</v>
      </c>
      <c r="M474" s="105">
        <v>46800</v>
      </c>
      <c r="N474" s="105">
        <f t="shared" si="151"/>
        <v>194.24</v>
      </c>
      <c r="O474" s="105">
        <f t="shared" si="143"/>
        <v>9712</v>
      </c>
      <c r="P474" s="101" t="s">
        <v>847</v>
      </c>
      <c r="Q474" s="101" t="s">
        <v>1168</v>
      </c>
      <c r="R474" s="105"/>
      <c r="S474" s="105"/>
      <c r="T474" s="143"/>
      <c r="U474" s="143">
        <v>46170</v>
      </c>
      <c r="V474" s="142">
        <v>0</v>
      </c>
      <c r="W474" s="48">
        <v>43655</v>
      </c>
      <c r="X474" s="105">
        <f t="shared" si="150"/>
        <v>9712</v>
      </c>
      <c r="Y474" s="198">
        <f t="shared" si="144"/>
        <v>2340000</v>
      </c>
      <c r="Z474" s="105" t="str">
        <f t="shared" si="138"/>
        <v/>
      </c>
      <c r="AA474" s="105" t="str">
        <f t="shared" si="152"/>
        <v>买入19-新2</v>
      </c>
      <c r="AB474" s="105"/>
      <c r="AC474" s="321">
        <v>0.152</v>
      </c>
      <c r="AD474" s="205">
        <v>0.152</v>
      </c>
      <c r="AE474" s="105"/>
      <c r="AF474" s="105"/>
    </row>
    <row r="475" spans="1:32" ht="24.95" customHeight="1" x14ac:dyDescent="0.15">
      <c r="A475" s="142" t="s">
        <v>894</v>
      </c>
      <c r="B475" s="142" t="s">
        <v>764</v>
      </c>
      <c r="C475" s="142" t="str">
        <f t="shared" si="147"/>
        <v>到期</v>
      </c>
      <c r="D475" s="103" t="s">
        <v>1845</v>
      </c>
      <c r="E475" s="143" t="s">
        <v>298</v>
      </c>
      <c r="F475" s="48">
        <v>43627</v>
      </c>
      <c r="G475" s="48">
        <v>43655</v>
      </c>
      <c r="H475" s="143" t="s">
        <v>1018</v>
      </c>
      <c r="I475" s="143" t="s">
        <v>222</v>
      </c>
      <c r="J475" s="142" t="s">
        <v>59</v>
      </c>
      <c r="K475" s="105">
        <v>50</v>
      </c>
      <c r="L475" s="105">
        <v>45160</v>
      </c>
      <c r="M475" s="105">
        <v>46800</v>
      </c>
      <c r="N475" s="105">
        <f t="shared" si="151"/>
        <v>194.24</v>
      </c>
      <c r="O475" s="105">
        <f t="shared" si="143"/>
        <v>9712</v>
      </c>
      <c r="P475" s="101" t="s">
        <v>847</v>
      </c>
      <c r="Q475" s="101" t="s">
        <v>1168</v>
      </c>
      <c r="R475" s="104"/>
      <c r="S475" s="104"/>
      <c r="T475" s="143"/>
      <c r="U475" s="143">
        <v>46170</v>
      </c>
      <c r="V475" s="142">
        <v>0</v>
      </c>
      <c r="W475" s="48">
        <v>43655</v>
      </c>
      <c r="X475" s="105">
        <f t="shared" si="150"/>
        <v>9712</v>
      </c>
      <c r="Y475" s="198">
        <f t="shared" si="144"/>
        <v>2340000</v>
      </c>
      <c r="Z475" s="105" t="str">
        <f t="shared" si="138"/>
        <v/>
      </c>
      <c r="AA475" s="105" t="str">
        <f>IF(I475="买入","卖出","买入19-新2")</f>
        <v>买入19-新2</v>
      </c>
      <c r="AB475" s="105"/>
      <c r="AC475" s="321">
        <v>0.152</v>
      </c>
      <c r="AD475" s="205">
        <v>0.152</v>
      </c>
      <c r="AE475" s="105"/>
      <c r="AF475" s="105"/>
    </row>
    <row r="476" spans="1:32" ht="24" customHeight="1" x14ac:dyDescent="0.15">
      <c r="A476" s="142" t="s">
        <v>244</v>
      </c>
      <c r="B476" s="142" t="s">
        <v>297</v>
      </c>
      <c r="C476" s="142" t="str">
        <f t="shared" si="147"/>
        <v>到期</v>
      </c>
      <c r="D476" s="123" t="s">
        <v>1837</v>
      </c>
      <c r="E476" s="142" t="s">
        <v>340</v>
      </c>
      <c r="F476" s="144">
        <v>43628</v>
      </c>
      <c r="G476" s="48">
        <v>43677</v>
      </c>
      <c r="H476" s="143" t="s">
        <v>749</v>
      </c>
      <c r="I476" s="143" t="s">
        <v>241</v>
      </c>
      <c r="J476" s="142" t="s">
        <v>25</v>
      </c>
      <c r="K476" s="105">
        <v>200</v>
      </c>
      <c r="L476" s="105">
        <v>12500</v>
      </c>
      <c r="M476" s="105">
        <v>12500</v>
      </c>
      <c r="N476" s="105">
        <v>512.5</v>
      </c>
      <c r="O476" s="105">
        <f>N476*K476</f>
        <v>102500</v>
      </c>
      <c r="P476" s="101" t="s">
        <v>941</v>
      </c>
      <c r="Q476" s="101" t="s">
        <v>958</v>
      </c>
      <c r="R476" s="105">
        <v>1482.1</v>
      </c>
      <c r="S476" s="105">
        <f>R476*K476</f>
        <v>296420</v>
      </c>
      <c r="T476" s="144">
        <v>43654</v>
      </c>
      <c r="U476" s="143"/>
      <c r="V476" s="142"/>
      <c r="W476" s="105"/>
      <c r="X476" s="104">
        <f t="shared" ref="X476:X480" si="153">IF(I476="买入",S476-O476,O476+S476)</f>
        <v>193920</v>
      </c>
      <c r="Y476" s="198">
        <f t="shared" si="144"/>
        <v>2500000</v>
      </c>
      <c r="Z476" s="105" t="str">
        <f t="shared" si="138"/>
        <v/>
      </c>
      <c r="AA476" s="105" t="str">
        <f>IF(I476="买入","卖出","买入19-新2")</f>
        <v>卖出</v>
      </c>
      <c r="AB476" s="105"/>
      <c r="AC476" s="321">
        <v>0.26900000000000002</v>
      </c>
      <c r="AD476" s="105"/>
      <c r="AE476" s="105"/>
      <c r="AF476" s="105"/>
    </row>
    <row r="477" spans="1:32" ht="24" customHeight="1" x14ac:dyDescent="0.15">
      <c r="A477" s="142" t="s">
        <v>244</v>
      </c>
      <c r="B477" s="142" t="s">
        <v>297</v>
      </c>
      <c r="C477" s="142" t="str">
        <f t="shared" si="147"/>
        <v>到期</v>
      </c>
      <c r="D477" s="123" t="s">
        <v>1837</v>
      </c>
      <c r="E477" s="142" t="s">
        <v>340</v>
      </c>
      <c r="F477" s="144">
        <v>43628</v>
      </c>
      <c r="G477" s="48">
        <v>43677</v>
      </c>
      <c r="H477" s="143" t="s">
        <v>749</v>
      </c>
      <c r="I477" s="143" t="s">
        <v>241</v>
      </c>
      <c r="J477" s="142" t="s">
        <v>25</v>
      </c>
      <c r="K477" s="105">
        <v>200</v>
      </c>
      <c r="L477" s="105">
        <v>12500</v>
      </c>
      <c r="M477" s="105">
        <v>12500</v>
      </c>
      <c r="N477" s="105">
        <v>512.5</v>
      </c>
      <c r="O477" s="105">
        <f>N477*K477</f>
        <v>102500</v>
      </c>
      <c r="P477" s="101" t="s">
        <v>941</v>
      </c>
      <c r="Q477" s="101" t="s">
        <v>1169</v>
      </c>
      <c r="R477" s="105">
        <v>1866.1</v>
      </c>
      <c r="S477" s="105">
        <f>R477*K477</f>
        <v>373220</v>
      </c>
      <c r="T477" s="144">
        <v>43655</v>
      </c>
      <c r="U477" s="143"/>
      <c r="V477" s="142"/>
      <c r="W477" s="105"/>
      <c r="X477" s="104">
        <f t="shared" si="153"/>
        <v>270720</v>
      </c>
      <c r="Y477" s="198">
        <f t="shared" si="144"/>
        <v>2500000</v>
      </c>
      <c r="Z477" s="105" t="str">
        <f t="shared" si="138"/>
        <v/>
      </c>
      <c r="AA477" s="105" t="str">
        <f t="shared" ref="AA477:AA480" si="154">IF(I477="买入","卖出","买入19-新2")</f>
        <v>卖出</v>
      </c>
      <c r="AB477" s="105"/>
      <c r="AC477" s="321">
        <v>0.26900000000000002</v>
      </c>
      <c r="AD477" s="105"/>
      <c r="AE477" s="105"/>
      <c r="AF477" s="105"/>
    </row>
    <row r="478" spans="1:32" ht="24" customHeight="1" x14ac:dyDescent="0.15">
      <c r="A478" s="142" t="s">
        <v>244</v>
      </c>
      <c r="B478" s="142" t="s">
        <v>297</v>
      </c>
      <c r="C478" s="142" t="str">
        <f t="shared" si="147"/>
        <v>到期</v>
      </c>
      <c r="D478" s="123" t="s">
        <v>1837</v>
      </c>
      <c r="E478" s="142" t="s">
        <v>340</v>
      </c>
      <c r="F478" s="144">
        <v>43628</v>
      </c>
      <c r="G478" s="48">
        <v>43677</v>
      </c>
      <c r="H478" s="143" t="s">
        <v>749</v>
      </c>
      <c r="I478" s="143" t="s">
        <v>241</v>
      </c>
      <c r="J478" s="142" t="s">
        <v>25</v>
      </c>
      <c r="K478" s="105">
        <v>200</v>
      </c>
      <c r="L478" s="105">
        <v>12500</v>
      </c>
      <c r="M478" s="105">
        <v>12500</v>
      </c>
      <c r="N478" s="105">
        <v>512.5</v>
      </c>
      <c r="O478" s="105">
        <f>N478*K478</f>
        <v>102500</v>
      </c>
      <c r="P478" s="101" t="s">
        <v>941</v>
      </c>
      <c r="Q478" s="101" t="s">
        <v>1170</v>
      </c>
      <c r="R478" s="105">
        <v>1766.05</v>
      </c>
      <c r="S478" s="105">
        <f>R478*K478</f>
        <v>353210</v>
      </c>
      <c r="T478" s="144">
        <v>43656</v>
      </c>
      <c r="U478" s="143"/>
      <c r="V478" s="142"/>
      <c r="W478" s="105"/>
      <c r="X478" s="104">
        <f t="shared" si="153"/>
        <v>250710</v>
      </c>
      <c r="Y478" s="198">
        <f>M478*K478</f>
        <v>2500000</v>
      </c>
      <c r="Z478" s="105"/>
      <c r="AA478" s="105" t="str">
        <f t="shared" si="154"/>
        <v>卖出</v>
      </c>
      <c r="AB478" s="105"/>
      <c r="AC478" s="321">
        <v>0.26900000000000002</v>
      </c>
      <c r="AD478" s="105"/>
      <c r="AE478" s="105"/>
      <c r="AF478" s="105"/>
    </row>
    <row r="479" spans="1:32" ht="24" customHeight="1" x14ac:dyDescent="0.15">
      <c r="A479" s="142" t="s">
        <v>244</v>
      </c>
      <c r="B479" s="142" t="s">
        <v>297</v>
      </c>
      <c r="C479" s="142" t="str">
        <f t="shared" si="147"/>
        <v>到期</v>
      </c>
      <c r="D479" s="123" t="s">
        <v>1837</v>
      </c>
      <c r="E479" s="142" t="s">
        <v>340</v>
      </c>
      <c r="F479" s="144">
        <v>43628</v>
      </c>
      <c r="G479" s="48">
        <v>43677</v>
      </c>
      <c r="H479" s="143" t="s">
        <v>749</v>
      </c>
      <c r="I479" s="143" t="s">
        <v>241</v>
      </c>
      <c r="J479" s="142" t="s">
        <v>25</v>
      </c>
      <c r="K479" s="105">
        <v>200</v>
      </c>
      <c r="L479" s="105">
        <v>12500</v>
      </c>
      <c r="M479" s="105">
        <v>12500</v>
      </c>
      <c r="N479" s="105">
        <v>512.5</v>
      </c>
      <c r="O479" s="105">
        <f>N479*K479</f>
        <v>102500</v>
      </c>
      <c r="P479" s="101" t="s">
        <v>941</v>
      </c>
      <c r="Q479" s="101" t="s">
        <v>1171</v>
      </c>
      <c r="R479" s="105">
        <v>1766</v>
      </c>
      <c r="S479" s="105">
        <f>R479*K479</f>
        <v>353200</v>
      </c>
      <c r="T479" s="144">
        <v>43657</v>
      </c>
      <c r="U479" s="143"/>
      <c r="V479" s="142"/>
      <c r="W479" s="105"/>
      <c r="X479" s="104">
        <f t="shared" si="153"/>
        <v>250700</v>
      </c>
      <c r="Y479" s="198">
        <f>M479*K479</f>
        <v>2500000</v>
      </c>
      <c r="Z479" s="105"/>
      <c r="AA479" s="105" t="str">
        <f t="shared" si="154"/>
        <v>卖出</v>
      </c>
      <c r="AB479" s="105"/>
      <c r="AC479" s="321">
        <v>0.26900000000000002</v>
      </c>
      <c r="AD479" s="105"/>
      <c r="AE479" s="105"/>
      <c r="AF479" s="105"/>
    </row>
    <row r="480" spans="1:32" ht="24" customHeight="1" x14ac:dyDescent="0.15">
      <c r="A480" s="142" t="s">
        <v>244</v>
      </c>
      <c r="B480" s="142" t="s">
        <v>297</v>
      </c>
      <c r="C480" s="142" t="str">
        <f t="shared" si="147"/>
        <v>到期</v>
      </c>
      <c r="D480" s="123" t="s">
        <v>1837</v>
      </c>
      <c r="E480" s="142" t="s">
        <v>340</v>
      </c>
      <c r="F480" s="144">
        <v>43628</v>
      </c>
      <c r="G480" s="48">
        <v>43677</v>
      </c>
      <c r="H480" s="143" t="s">
        <v>749</v>
      </c>
      <c r="I480" s="143" t="s">
        <v>241</v>
      </c>
      <c r="J480" s="142" t="s">
        <v>25</v>
      </c>
      <c r="K480" s="105">
        <v>200</v>
      </c>
      <c r="L480" s="105">
        <v>12500</v>
      </c>
      <c r="M480" s="105">
        <v>12500</v>
      </c>
      <c r="N480" s="105">
        <v>512.5</v>
      </c>
      <c r="O480" s="105">
        <f>N480*K480</f>
        <v>102500</v>
      </c>
      <c r="P480" s="101" t="s">
        <v>941</v>
      </c>
      <c r="Q480" s="101" t="s">
        <v>1172</v>
      </c>
      <c r="R480" s="105">
        <v>2015.1</v>
      </c>
      <c r="S480" s="105">
        <f>R480*K480</f>
        <v>403020</v>
      </c>
      <c r="T480" s="156">
        <v>43662</v>
      </c>
      <c r="U480" s="143"/>
      <c r="V480" s="142"/>
      <c r="W480" s="105"/>
      <c r="X480" s="104">
        <f t="shared" si="153"/>
        <v>300520</v>
      </c>
      <c r="Y480" s="198">
        <f>M480*K480</f>
        <v>2500000</v>
      </c>
      <c r="Z480" s="105"/>
      <c r="AA480" s="105" t="str">
        <f t="shared" si="154"/>
        <v>卖出</v>
      </c>
      <c r="AB480" s="105"/>
      <c r="AC480" s="321">
        <v>0.26900000000000002</v>
      </c>
      <c r="AD480" s="105"/>
      <c r="AE480" s="105"/>
      <c r="AF480" s="105"/>
    </row>
    <row r="481" spans="1:32" ht="24.95" customHeight="1" x14ac:dyDescent="0.15">
      <c r="A481" s="142" t="s">
        <v>894</v>
      </c>
      <c r="B481" s="142" t="s">
        <v>764</v>
      </c>
      <c r="C481" s="142" t="str">
        <f t="shared" si="147"/>
        <v>到期</v>
      </c>
      <c r="D481" s="103" t="s">
        <v>1841</v>
      </c>
      <c r="E481" s="142" t="s">
        <v>298</v>
      </c>
      <c r="F481" s="144">
        <v>43634</v>
      </c>
      <c r="G481" s="144">
        <v>43662</v>
      </c>
      <c r="H481" s="143" t="s">
        <v>1019</v>
      </c>
      <c r="I481" s="143" t="s">
        <v>275</v>
      </c>
      <c r="J481" s="142" t="s">
        <v>56</v>
      </c>
      <c r="K481" s="105">
        <v>50</v>
      </c>
      <c r="L481" s="105">
        <v>48480</v>
      </c>
      <c r="M481" s="105">
        <v>46380</v>
      </c>
      <c r="N481" s="105">
        <f>384.99/2</f>
        <v>192.495</v>
      </c>
      <c r="O481" s="105">
        <f t="shared" ref="O481:O490" si="155">N481*K481</f>
        <v>9624.75</v>
      </c>
      <c r="P481" s="101" t="s">
        <v>880</v>
      </c>
      <c r="Q481" s="101" t="s">
        <v>1173</v>
      </c>
      <c r="R481" s="105"/>
      <c r="S481" s="105"/>
      <c r="T481" s="143"/>
      <c r="U481" s="158">
        <v>46910</v>
      </c>
      <c r="V481" s="142">
        <v>0</v>
      </c>
      <c r="W481" s="151">
        <v>43662</v>
      </c>
      <c r="X481" s="105">
        <f t="shared" ref="X481:X490" si="156">IF(I481="买入",V481-O481,V481+O481)</f>
        <v>9624.75</v>
      </c>
      <c r="Y481" s="198">
        <f t="shared" si="144"/>
        <v>2319000</v>
      </c>
      <c r="Z481" s="105" t="str">
        <f t="shared" si="138"/>
        <v/>
      </c>
      <c r="AA481" s="105" t="str">
        <f>IF(I481="买入","卖出","买入19-新3")</f>
        <v>买入19-新3</v>
      </c>
      <c r="AB481" s="105"/>
      <c r="AC481" s="321">
        <v>0.152</v>
      </c>
      <c r="AD481" s="205">
        <v>0.152</v>
      </c>
      <c r="AE481" s="105"/>
      <c r="AF481" s="105"/>
    </row>
    <row r="482" spans="1:32" ht="24.95" customHeight="1" x14ac:dyDescent="0.15">
      <c r="A482" s="142" t="s">
        <v>894</v>
      </c>
      <c r="B482" s="142" t="s">
        <v>764</v>
      </c>
      <c r="C482" s="142" t="str">
        <f t="shared" si="147"/>
        <v>到期</v>
      </c>
      <c r="D482" s="103" t="s">
        <v>1841</v>
      </c>
      <c r="E482" s="142" t="s">
        <v>298</v>
      </c>
      <c r="F482" s="144">
        <v>43634</v>
      </c>
      <c r="G482" s="144">
        <v>43662</v>
      </c>
      <c r="H482" s="143" t="s">
        <v>1019</v>
      </c>
      <c r="I482" s="143" t="s">
        <v>222</v>
      </c>
      <c r="J482" s="142" t="s">
        <v>59</v>
      </c>
      <c r="K482" s="105">
        <v>50</v>
      </c>
      <c r="L482" s="105">
        <v>44770</v>
      </c>
      <c r="M482" s="105">
        <v>46380</v>
      </c>
      <c r="N482" s="105">
        <f t="shared" ref="N482:N490" si="157">384.99/2</f>
        <v>192.495</v>
      </c>
      <c r="O482" s="105">
        <f t="shared" si="155"/>
        <v>9624.75</v>
      </c>
      <c r="P482" s="101" t="s">
        <v>880</v>
      </c>
      <c r="Q482" s="101" t="s">
        <v>1174</v>
      </c>
      <c r="R482" s="105"/>
      <c r="S482" s="105"/>
      <c r="T482" s="143"/>
      <c r="U482" s="143">
        <v>46910</v>
      </c>
      <c r="V482" s="157">
        <v>0</v>
      </c>
      <c r="W482" s="151">
        <v>43662</v>
      </c>
      <c r="X482" s="105">
        <f t="shared" si="156"/>
        <v>9624.75</v>
      </c>
      <c r="Y482" s="198">
        <f t="shared" si="144"/>
        <v>2319000</v>
      </c>
      <c r="Z482" s="105" t="str">
        <f t="shared" si="138"/>
        <v/>
      </c>
      <c r="AA482" s="105" t="str">
        <f t="shared" ref="AA482:AA490" si="158">IF(I482="买入","卖出","买入19-新3")</f>
        <v>买入19-新3</v>
      </c>
      <c r="AB482" s="105"/>
      <c r="AC482" s="321">
        <v>0.152</v>
      </c>
      <c r="AD482" s="205">
        <v>0.152</v>
      </c>
      <c r="AE482" s="105"/>
      <c r="AF482" s="105"/>
    </row>
    <row r="483" spans="1:32" ht="24.95" customHeight="1" x14ac:dyDescent="0.15">
      <c r="A483" s="142" t="s">
        <v>894</v>
      </c>
      <c r="B483" s="142" t="s">
        <v>764</v>
      </c>
      <c r="C483" s="142" t="str">
        <f t="shared" si="147"/>
        <v>到期</v>
      </c>
      <c r="D483" s="103" t="s">
        <v>1842</v>
      </c>
      <c r="E483" s="142" t="s">
        <v>298</v>
      </c>
      <c r="F483" s="144">
        <v>43634</v>
      </c>
      <c r="G483" s="144">
        <v>43662</v>
      </c>
      <c r="H483" s="143" t="s">
        <v>1019</v>
      </c>
      <c r="I483" s="143" t="s">
        <v>275</v>
      </c>
      <c r="J483" s="142" t="s">
        <v>56</v>
      </c>
      <c r="K483" s="105">
        <v>50</v>
      </c>
      <c r="L483" s="105">
        <v>48480</v>
      </c>
      <c r="M483" s="105">
        <v>46380</v>
      </c>
      <c r="N483" s="105">
        <f t="shared" si="157"/>
        <v>192.495</v>
      </c>
      <c r="O483" s="105">
        <f t="shared" si="155"/>
        <v>9624.75</v>
      </c>
      <c r="P483" s="101" t="s">
        <v>850</v>
      </c>
      <c r="Q483" s="101" t="s">
        <v>1175</v>
      </c>
      <c r="R483" s="105"/>
      <c r="S483" s="105"/>
      <c r="T483" s="143"/>
      <c r="U483" s="158">
        <v>46910</v>
      </c>
      <c r="V483" s="157">
        <v>0</v>
      </c>
      <c r="W483" s="151">
        <v>43662</v>
      </c>
      <c r="X483" s="105">
        <f t="shared" si="156"/>
        <v>9624.75</v>
      </c>
      <c r="Y483" s="198">
        <f t="shared" si="144"/>
        <v>2319000</v>
      </c>
      <c r="Z483" s="105" t="str">
        <f t="shared" si="138"/>
        <v/>
      </c>
      <c r="AA483" s="105" t="str">
        <f t="shared" si="158"/>
        <v>买入19-新3</v>
      </c>
      <c r="AB483" s="105"/>
      <c r="AC483" s="321">
        <v>0.152</v>
      </c>
      <c r="AD483" s="205">
        <v>0.152</v>
      </c>
      <c r="AE483" s="105"/>
      <c r="AF483" s="105"/>
    </row>
    <row r="484" spans="1:32" ht="24.95" customHeight="1" x14ac:dyDescent="0.15">
      <c r="A484" s="142" t="s">
        <v>894</v>
      </c>
      <c r="B484" s="142" t="s">
        <v>764</v>
      </c>
      <c r="C484" s="142" t="str">
        <f t="shared" si="147"/>
        <v>到期</v>
      </c>
      <c r="D484" s="103" t="s">
        <v>1842</v>
      </c>
      <c r="E484" s="142" t="s">
        <v>298</v>
      </c>
      <c r="F484" s="144">
        <v>43634</v>
      </c>
      <c r="G484" s="144">
        <v>43662</v>
      </c>
      <c r="H484" s="143" t="s">
        <v>1019</v>
      </c>
      <c r="I484" s="143" t="s">
        <v>222</v>
      </c>
      <c r="J484" s="142" t="s">
        <v>59</v>
      </c>
      <c r="K484" s="105">
        <v>50</v>
      </c>
      <c r="L484" s="105">
        <v>44770</v>
      </c>
      <c r="M484" s="105">
        <v>46380</v>
      </c>
      <c r="N484" s="105">
        <f t="shared" si="157"/>
        <v>192.495</v>
      </c>
      <c r="O484" s="105">
        <f t="shared" si="155"/>
        <v>9624.75</v>
      </c>
      <c r="P484" s="101" t="s">
        <v>850</v>
      </c>
      <c r="Q484" s="101" t="s">
        <v>1175</v>
      </c>
      <c r="R484" s="105"/>
      <c r="S484" s="105"/>
      <c r="T484" s="143"/>
      <c r="U484" s="158">
        <v>46910</v>
      </c>
      <c r="V484" s="157">
        <v>0</v>
      </c>
      <c r="W484" s="151">
        <v>43662</v>
      </c>
      <c r="X484" s="105">
        <f t="shared" si="156"/>
        <v>9624.75</v>
      </c>
      <c r="Y484" s="198">
        <f t="shared" si="144"/>
        <v>2319000</v>
      </c>
      <c r="Z484" s="105" t="str">
        <f t="shared" si="138"/>
        <v/>
      </c>
      <c r="AA484" s="105" t="str">
        <f t="shared" si="158"/>
        <v>买入19-新3</v>
      </c>
      <c r="AB484" s="105"/>
      <c r="AC484" s="321">
        <v>0.152</v>
      </c>
      <c r="AD484" s="205">
        <v>0.152</v>
      </c>
      <c r="AE484" s="105"/>
      <c r="AF484" s="105"/>
    </row>
    <row r="485" spans="1:32" ht="24.95" customHeight="1" x14ac:dyDescent="0.15">
      <c r="A485" s="142" t="s">
        <v>894</v>
      </c>
      <c r="B485" s="142" t="s">
        <v>297</v>
      </c>
      <c r="C485" s="142" t="str">
        <f t="shared" si="147"/>
        <v>到期</v>
      </c>
      <c r="D485" s="103" t="s">
        <v>1843</v>
      </c>
      <c r="E485" s="142" t="s">
        <v>298</v>
      </c>
      <c r="F485" s="144">
        <v>43634</v>
      </c>
      <c r="G485" s="144">
        <v>43662</v>
      </c>
      <c r="H485" s="143" t="s">
        <v>1019</v>
      </c>
      <c r="I485" s="143" t="s">
        <v>275</v>
      </c>
      <c r="J485" s="142" t="s">
        <v>56</v>
      </c>
      <c r="K485" s="105">
        <v>50</v>
      </c>
      <c r="L485" s="105">
        <v>48480</v>
      </c>
      <c r="M485" s="105">
        <v>46380</v>
      </c>
      <c r="N485" s="105">
        <f t="shared" si="157"/>
        <v>192.495</v>
      </c>
      <c r="O485" s="105">
        <f t="shared" si="155"/>
        <v>9624.75</v>
      </c>
      <c r="P485" s="101" t="s">
        <v>851</v>
      </c>
      <c r="Q485" s="101" t="s">
        <v>1176</v>
      </c>
      <c r="R485" s="105"/>
      <c r="S485" s="105"/>
      <c r="T485" s="143"/>
      <c r="U485" s="158">
        <v>46910</v>
      </c>
      <c r="V485" s="157">
        <v>0</v>
      </c>
      <c r="W485" s="151">
        <v>43662</v>
      </c>
      <c r="X485" s="105">
        <f t="shared" si="156"/>
        <v>9624.75</v>
      </c>
      <c r="Y485" s="198">
        <f t="shared" si="144"/>
        <v>2319000</v>
      </c>
      <c r="Z485" s="105" t="str">
        <f t="shared" si="138"/>
        <v/>
      </c>
      <c r="AA485" s="105" t="str">
        <f t="shared" si="158"/>
        <v>买入19-新3</v>
      </c>
      <c r="AB485" s="105"/>
      <c r="AC485" s="321">
        <v>0.152</v>
      </c>
      <c r="AD485" s="205">
        <v>0.152</v>
      </c>
      <c r="AE485" s="105"/>
      <c r="AF485" s="105"/>
    </row>
    <row r="486" spans="1:32" ht="24.95" customHeight="1" x14ac:dyDescent="0.15">
      <c r="A486" s="142" t="s">
        <v>894</v>
      </c>
      <c r="B486" s="142" t="s">
        <v>764</v>
      </c>
      <c r="C486" s="142" t="str">
        <f t="shared" si="147"/>
        <v>到期</v>
      </c>
      <c r="D486" s="103" t="s">
        <v>1843</v>
      </c>
      <c r="E486" s="142" t="s">
        <v>298</v>
      </c>
      <c r="F486" s="144">
        <v>43634</v>
      </c>
      <c r="G486" s="144">
        <v>43662</v>
      </c>
      <c r="H486" s="143" t="s">
        <v>1019</v>
      </c>
      <c r="I486" s="143" t="s">
        <v>275</v>
      </c>
      <c r="J486" s="142" t="s">
        <v>59</v>
      </c>
      <c r="K486" s="105">
        <v>50</v>
      </c>
      <c r="L486" s="105">
        <v>44770</v>
      </c>
      <c r="M486" s="105">
        <v>46380</v>
      </c>
      <c r="N486" s="105">
        <f t="shared" si="157"/>
        <v>192.495</v>
      </c>
      <c r="O486" s="105">
        <f t="shared" si="155"/>
        <v>9624.75</v>
      </c>
      <c r="P486" s="101" t="s">
        <v>851</v>
      </c>
      <c r="Q486" s="101" t="s">
        <v>1177</v>
      </c>
      <c r="R486" s="105"/>
      <c r="S486" s="105"/>
      <c r="T486" s="143"/>
      <c r="U486" s="158">
        <v>46910</v>
      </c>
      <c r="V486" s="157">
        <v>0</v>
      </c>
      <c r="W486" s="151">
        <v>43662</v>
      </c>
      <c r="X486" s="105">
        <f t="shared" si="156"/>
        <v>9624.75</v>
      </c>
      <c r="Y486" s="198">
        <f t="shared" si="144"/>
        <v>2319000</v>
      </c>
      <c r="Z486" s="105" t="str">
        <f t="shared" si="138"/>
        <v/>
      </c>
      <c r="AA486" s="105" t="str">
        <f t="shared" si="158"/>
        <v>买入19-新3</v>
      </c>
      <c r="AB486" s="105"/>
      <c r="AC486" s="321">
        <v>0.152</v>
      </c>
      <c r="AD486" s="205">
        <v>0.152</v>
      </c>
      <c r="AE486" s="105"/>
      <c r="AF486" s="105"/>
    </row>
    <row r="487" spans="1:32" ht="24.95" customHeight="1" x14ac:dyDescent="0.15">
      <c r="A487" s="142" t="s">
        <v>894</v>
      </c>
      <c r="B487" s="142" t="s">
        <v>764</v>
      </c>
      <c r="C487" s="142" t="str">
        <f t="shared" si="147"/>
        <v>到期</v>
      </c>
      <c r="D487" s="103" t="s">
        <v>1844</v>
      </c>
      <c r="E487" s="142" t="s">
        <v>298</v>
      </c>
      <c r="F487" s="144">
        <v>43634</v>
      </c>
      <c r="G487" s="144">
        <v>43662</v>
      </c>
      <c r="H487" s="143" t="s">
        <v>1019</v>
      </c>
      <c r="I487" s="143" t="s">
        <v>222</v>
      </c>
      <c r="J487" s="142" t="s">
        <v>56</v>
      </c>
      <c r="K487" s="105">
        <v>50</v>
      </c>
      <c r="L487" s="105">
        <v>48480</v>
      </c>
      <c r="M487" s="105">
        <v>46380</v>
      </c>
      <c r="N487" s="105">
        <f t="shared" si="157"/>
        <v>192.495</v>
      </c>
      <c r="O487" s="105">
        <f t="shared" si="155"/>
        <v>9624.75</v>
      </c>
      <c r="P487" s="101" t="s">
        <v>852</v>
      </c>
      <c r="Q487" s="101" t="s">
        <v>1178</v>
      </c>
      <c r="R487" s="105"/>
      <c r="S487" s="105"/>
      <c r="T487" s="143"/>
      <c r="U487" s="158">
        <v>46910</v>
      </c>
      <c r="V487" s="157">
        <v>0</v>
      </c>
      <c r="W487" s="151">
        <v>43662</v>
      </c>
      <c r="X487" s="105">
        <f t="shared" si="156"/>
        <v>9624.75</v>
      </c>
      <c r="Y487" s="198">
        <f t="shared" si="144"/>
        <v>2319000</v>
      </c>
      <c r="Z487" s="105" t="str">
        <f t="shared" si="138"/>
        <v/>
      </c>
      <c r="AA487" s="105" t="str">
        <f t="shared" si="158"/>
        <v>买入19-新3</v>
      </c>
      <c r="AB487" s="105"/>
      <c r="AC487" s="321">
        <v>0.152</v>
      </c>
      <c r="AD487" s="205">
        <v>0.152</v>
      </c>
      <c r="AE487" s="105"/>
      <c r="AF487" s="105"/>
    </row>
    <row r="488" spans="1:32" ht="24.95" customHeight="1" x14ac:dyDescent="0.15">
      <c r="A488" s="142" t="s">
        <v>894</v>
      </c>
      <c r="B488" s="142" t="s">
        <v>297</v>
      </c>
      <c r="C488" s="142" t="str">
        <f t="shared" si="147"/>
        <v>到期</v>
      </c>
      <c r="D488" s="103" t="s">
        <v>1844</v>
      </c>
      <c r="E488" s="142" t="s">
        <v>298</v>
      </c>
      <c r="F488" s="144">
        <v>43634</v>
      </c>
      <c r="G488" s="144">
        <v>43662</v>
      </c>
      <c r="H488" s="143" t="s">
        <v>1019</v>
      </c>
      <c r="I488" s="143" t="s">
        <v>275</v>
      </c>
      <c r="J488" s="142" t="s">
        <v>59</v>
      </c>
      <c r="K488" s="105">
        <v>50</v>
      </c>
      <c r="L488" s="105">
        <v>44770</v>
      </c>
      <c r="M488" s="105">
        <v>46380</v>
      </c>
      <c r="N488" s="105">
        <f t="shared" si="157"/>
        <v>192.495</v>
      </c>
      <c r="O488" s="105">
        <f t="shared" si="155"/>
        <v>9624.75</v>
      </c>
      <c r="P488" s="101" t="s">
        <v>852</v>
      </c>
      <c r="Q488" s="101" t="s">
        <v>1178</v>
      </c>
      <c r="R488" s="105"/>
      <c r="S488" s="105"/>
      <c r="T488" s="143"/>
      <c r="U488" s="158">
        <v>46910</v>
      </c>
      <c r="V488" s="157">
        <v>0</v>
      </c>
      <c r="W488" s="151">
        <v>43662</v>
      </c>
      <c r="X488" s="105">
        <f t="shared" si="156"/>
        <v>9624.75</v>
      </c>
      <c r="Y488" s="198">
        <f t="shared" si="144"/>
        <v>2319000</v>
      </c>
      <c r="Z488" s="105" t="str">
        <f t="shared" si="138"/>
        <v/>
      </c>
      <c r="AA488" s="105" t="str">
        <f t="shared" si="158"/>
        <v>买入19-新3</v>
      </c>
      <c r="AB488" s="105"/>
      <c r="AC488" s="321">
        <v>0.152</v>
      </c>
      <c r="AD488" s="205">
        <v>0.152</v>
      </c>
      <c r="AE488" s="105"/>
      <c r="AF488" s="105"/>
    </row>
    <row r="489" spans="1:32" ht="24.95" customHeight="1" x14ac:dyDescent="0.15">
      <c r="A489" s="142" t="s">
        <v>248</v>
      </c>
      <c r="B489" s="142" t="s">
        <v>297</v>
      </c>
      <c r="C489" s="142" t="str">
        <f t="shared" si="147"/>
        <v>到期</v>
      </c>
      <c r="D489" s="103" t="s">
        <v>1845</v>
      </c>
      <c r="E489" s="142" t="s">
        <v>298</v>
      </c>
      <c r="F489" s="144">
        <v>43634</v>
      </c>
      <c r="G489" s="144">
        <v>43662</v>
      </c>
      <c r="H489" s="143" t="s">
        <v>1019</v>
      </c>
      <c r="I489" s="143" t="s">
        <v>222</v>
      </c>
      <c r="J489" s="142" t="s">
        <v>56</v>
      </c>
      <c r="K489" s="105">
        <v>50</v>
      </c>
      <c r="L489" s="105">
        <v>48480</v>
      </c>
      <c r="M489" s="105">
        <v>46380</v>
      </c>
      <c r="N489" s="105">
        <f t="shared" si="157"/>
        <v>192.495</v>
      </c>
      <c r="O489" s="105">
        <f t="shared" si="155"/>
        <v>9624.75</v>
      </c>
      <c r="P489" s="101" t="s">
        <v>853</v>
      </c>
      <c r="Q489" s="101" t="s">
        <v>1179</v>
      </c>
      <c r="R489" s="105"/>
      <c r="S489" s="105"/>
      <c r="T489" s="143"/>
      <c r="U489" s="158">
        <v>46910</v>
      </c>
      <c r="V489" s="157">
        <v>0</v>
      </c>
      <c r="W489" s="151">
        <v>43662</v>
      </c>
      <c r="X489" s="105">
        <f t="shared" si="156"/>
        <v>9624.75</v>
      </c>
      <c r="Y489" s="198">
        <f t="shared" si="144"/>
        <v>2319000</v>
      </c>
      <c r="Z489" s="105" t="str">
        <f t="shared" si="138"/>
        <v/>
      </c>
      <c r="AA489" s="105" t="str">
        <f t="shared" si="158"/>
        <v>买入19-新3</v>
      </c>
      <c r="AB489" s="105"/>
      <c r="AC489" s="321">
        <v>0.152</v>
      </c>
      <c r="AD489" s="205">
        <v>0.152</v>
      </c>
      <c r="AE489" s="105"/>
      <c r="AF489" s="105"/>
    </row>
    <row r="490" spans="1:32" ht="24.95" customHeight="1" x14ac:dyDescent="0.15">
      <c r="A490" s="142" t="s">
        <v>894</v>
      </c>
      <c r="B490" s="142" t="s">
        <v>764</v>
      </c>
      <c r="C490" s="142" t="str">
        <f t="shared" si="147"/>
        <v>到期</v>
      </c>
      <c r="D490" s="103" t="s">
        <v>1845</v>
      </c>
      <c r="E490" s="142" t="s">
        <v>298</v>
      </c>
      <c r="F490" s="144">
        <v>43634</v>
      </c>
      <c r="G490" s="144">
        <v>43662</v>
      </c>
      <c r="H490" s="143" t="s">
        <v>1019</v>
      </c>
      <c r="I490" s="143" t="s">
        <v>275</v>
      </c>
      <c r="J490" s="142" t="s">
        <v>59</v>
      </c>
      <c r="K490" s="105">
        <v>50</v>
      </c>
      <c r="L490" s="105">
        <v>44770</v>
      </c>
      <c r="M490" s="105">
        <v>46380</v>
      </c>
      <c r="N490" s="105">
        <f t="shared" si="157"/>
        <v>192.495</v>
      </c>
      <c r="O490" s="105">
        <f t="shared" si="155"/>
        <v>9624.75</v>
      </c>
      <c r="P490" s="101" t="s">
        <v>853</v>
      </c>
      <c r="Q490" s="101" t="s">
        <v>1180</v>
      </c>
      <c r="R490" s="105"/>
      <c r="S490" s="105"/>
      <c r="T490" s="143"/>
      <c r="U490" s="158">
        <v>46910</v>
      </c>
      <c r="V490" s="157">
        <v>0</v>
      </c>
      <c r="W490" s="151">
        <v>43662</v>
      </c>
      <c r="X490" s="105">
        <f t="shared" si="156"/>
        <v>9624.75</v>
      </c>
      <c r="Y490" s="198">
        <f t="shared" si="144"/>
        <v>2319000</v>
      </c>
      <c r="Z490" s="105" t="str">
        <f t="shared" si="138"/>
        <v/>
      </c>
      <c r="AA490" s="105" t="str">
        <f t="shared" si="158"/>
        <v>买入19-新3</v>
      </c>
      <c r="AB490" s="105"/>
      <c r="AC490" s="321">
        <v>0.152</v>
      </c>
      <c r="AD490" s="205">
        <v>0.152</v>
      </c>
      <c r="AE490" s="105"/>
      <c r="AF490" s="105"/>
    </row>
    <row r="491" spans="1:32" ht="24.95" customHeight="1" x14ac:dyDescent="0.15">
      <c r="A491" s="142" t="s">
        <v>244</v>
      </c>
      <c r="B491" s="142" t="s">
        <v>297</v>
      </c>
      <c r="C491" s="142" t="str">
        <f>IF(Q491="","存续","到期")</f>
        <v>到期</v>
      </c>
      <c r="D491" s="123" t="s">
        <v>932</v>
      </c>
      <c r="E491" s="142" t="s">
        <v>298</v>
      </c>
      <c r="F491" s="144">
        <v>43637</v>
      </c>
      <c r="G491" s="144">
        <v>43661</v>
      </c>
      <c r="H491" s="143" t="s">
        <v>1263</v>
      </c>
      <c r="I491" s="143" t="s">
        <v>241</v>
      </c>
      <c r="J491" s="142" t="s">
        <v>974</v>
      </c>
      <c r="K491" s="105">
        <v>500</v>
      </c>
      <c r="L491" s="105">
        <v>6630</v>
      </c>
      <c r="M491" s="105">
        <v>6600</v>
      </c>
      <c r="N491" s="105">
        <v>77.150000000000006</v>
      </c>
      <c r="O491" s="105">
        <f>N491*K491</f>
        <v>38575</v>
      </c>
      <c r="P491" s="101" t="s">
        <v>967</v>
      </c>
      <c r="Q491" s="101" t="s">
        <v>1181</v>
      </c>
      <c r="R491" s="105"/>
      <c r="S491" s="105"/>
      <c r="T491" s="144"/>
      <c r="U491" s="104">
        <v>6688.24</v>
      </c>
      <c r="V491" s="104">
        <v>0</v>
      </c>
      <c r="W491" s="48">
        <v>43661</v>
      </c>
      <c r="X491" s="105">
        <f>IF(I491="买入",V491-O491,V491+O491)</f>
        <v>-38575</v>
      </c>
      <c r="Y491" s="197">
        <f>M491*K491</f>
        <v>3300000</v>
      </c>
      <c r="Z491" s="143" t="str">
        <f t="shared" si="138"/>
        <v/>
      </c>
      <c r="AA491" s="143" t="str">
        <f>IF(I491="买入","卖出","买入")</f>
        <v>卖出</v>
      </c>
      <c r="AB491" s="203"/>
      <c r="AC491" s="321">
        <v>0.157</v>
      </c>
      <c r="AD491" s="321">
        <v>0.13700000000000001</v>
      </c>
      <c r="AE491" s="324" t="s">
        <v>1335</v>
      </c>
      <c r="AF491" s="105"/>
    </row>
    <row r="492" spans="1:32" ht="24.95" customHeight="1" x14ac:dyDescent="0.15">
      <c r="A492" s="142" t="s">
        <v>394</v>
      </c>
      <c r="B492" s="120" t="s">
        <v>764</v>
      </c>
      <c r="C492" s="142" t="str">
        <f t="shared" ref="C492:C526" si="159">IF(Q492="","存续","到期")</f>
        <v>到期</v>
      </c>
      <c r="D492" s="128" t="s">
        <v>1856</v>
      </c>
      <c r="E492" s="142" t="s">
        <v>298</v>
      </c>
      <c r="F492" s="144">
        <v>43637</v>
      </c>
      <c r="G492" s="144">
        <v>43671</v>
      </c>
      <c r="H492" s="143" t="s">
        <v>917</v>
      </c>
      <c r="I492" s="143" t="s">
        <v>222</v>
      </c>
      <c r="J492" s="142" t="s">
        <v>59</v>
      </c>
      <c r="K492" s="105">
        <v>10000</v>
      </c>
      <c r="L492" s="105">
        <v>295</v>
      </c>
      <c r="M492" s="105">
        <v>243</v>
      </c>
      <c r="N492" s="105">
        <v>53</v>
      </c>
      <c r="O492" s="105">
        <f t="shared" ref="O492:O526" si="160">N492*K492</f>
        <v>530000</v>
      </c>
      <c r="P492" s="101" t="s">
        <v>925</v>
      </c>
      <c r="Q492" s="101" t="s">
        <v>1044</v>
      </c>
      <c r="R492" s="105"/>
      <c r="S492" s="105"/>
      <c r="T492" s="143"/>
      <c r="U492" s="143">
        <v>224</v>
      </c>
      <c r="V492" s="142">
        <f>-(L492-U492)*K492</f>
        <v>-710000</v>
      </c>
      <c r="W492" s="192">
        <v>43671</v>
      </c>
      <c r="X492" s="105">
        <f>IF(I492="买入",V492-O492,V492+O492)</f>
        <v>-180000</v>
      </c>
      <c r="Y492" s="198">
        <f t="shared" ref="Y492:Y526" si="161">M492*K492</f>
        <v>2430000</v>
      </c>
      <c r="Z492" s="105" t="str">
        <f t="shared" si="138"/>
        <v/>
      </c>
      <c r="AA492" s="105" t="str">
        <f>IF(I492="买入","卖出","买入")</f>
        <v>买入</v>
      </c>
      <c r="AB492" s="105">
        <v>3</v>
      </c>
      <c r="AC492" s="321"/>
      <c r="AD492" s="321"/>
      <c r="AE492" s="324" t="s">
        <v>1335</v>
      </c>
      <c r="AF492" s="105"/>
    </row>
    <row r="493" spans="1:32" ht="24.95" customHeight="1" x14ac:dyDescent="0.15">
      <c r="A493" s="142" t="s">
        <v>394</v>
      </c>
      <c r="B493" s="120" t="s">
        <v>295</v>
      </c>
      <c r="C493" s="142" t="str">
        <f t="shared" si="159"/>
        <v>到期</v>
      </c>
      <c r="D493" s="128" t="s">
        <v>1853</v>
      </c>
      <c r="E493" s="142" t="s">
        <v>340</v>
      </c>
      <c r="F493" s="144">
        <v>43637</v>
      </c>
      <c r="G493" s="144">
        <v>43668</v>
      </c>
      <c r="H493" s="143" t="s">
        <v>917</v>
      </c>
      <c r="I493" s="143" t="s">
        <v>241</v>
      </c>
      <c r="J493" s="142" t="s">
        <v>59</v>
      </c>
      <c r="K493" s="105">
        <v>2000</v>
      </c>
      <c r="L493" s="105">
        <v>295</v>
      </c>
      <c r="M493" s="105">
        <v>246</v>
      </c>
      <c r="N493" s="105">
        <v>49.31</v>
      </c>
      <c r="O493" s="105">
        <f t="shared" si="160"/>
        <v>98620</v>
      </c>
      <c r="P493" s="101" t="s">
        <v>918</v>
      </c>
      <c r="Q493" s="101" t="s">
        <v>1182</v>
      </c>
      <c r="R493" s="105"/>
      <c r="S493" s="105"/>
      <c r="T493" s="143"/>
      <c r="U493" s="143">
        <v>222</v>
      </c>
      <c r="V493" s="142">
        <f>(L493-U493)*K493</f>
        <v>146000</v>
      </c>
      <c r="W493" s="178">
        <v>43668</v>
      </c>
      <c r="X493" s="105">
        <f>IF(I493="买入",V493-O493,V493+O493)</f>
        <v>47380</v>
      </c>
      <c r="Y493" s="198">
        <f t="shared" si="161"/>
        <v>492000</v>
      </c>
      <c r="Z493" s="105" t="str">
        <f t="shared" si="138"/>
        <v/>
      </c>
      <c r="AA493" s="105" t="str">
        <f t="shared" ref="AA493:AA496" si="162">IF(I493="买入","卖出","买入")</f>
        <v>卖出</v>
      </c>
      <c r="AB493" s="105"/>
      <c r="AC493" s="321"/>
      <c r="AD493" s="321"/>
      <c r="AE493" s="105"/>
      <c r="AF493" s="105"/>
    </row>
    <row r="494" spans="1:32" ht="24.95" customHeight="1" x14ac:dyDescent="0.15">
      <c r="A494" s="142" t="s">
        <v>394</v>
      </c>
      <c r="B494" s="120" t="s">
        <v>295</v>
      </c>
      <c r="C494" s="142" t="str">
        <f t="shared" si="159"/>
        <v>到期</v>
      </c>
      <c r="D494" s="128" t="s">
        <v>1850</v>
      </c>
      <c r="E494" s="142" t="s">
        <v>340</v>
      </c>
      <c r="F494" s="144">
        <v>43637</v>
      </c>
      <c r="G494" s="144">
        <v>43671</v>
      </c>
      <c r="H494" s="143" t="s">
        <v>917</v>
      </c>
      <c r="I494" s="143" t="s">
        <v>241</v>
      </c>
      <c r="J494" s="142" t="s">
        <v>59</v>
      </c>
      <c r="K494" s="105">
        <v>3000</v>
      </c>
      <c r="L494" s="105">
        <v>300</v>
      </c>
      <c r="M494" s="105">
        <v>246</v>
      </c>
      <c r="N494" s="105">
        <v>55.15</v>
      </c>
      <c r="O494" s="105">
        <f t="shared" si="160"/>
        <v>165450</v>
      </c>
      <c r="P494" s="101" t="s">
        <v>926</v>
      </c>
      <c r="Q494" s="142" t="s">
        <v>1183</v>
      </c>
      <c r="R494" s="105"/>
      <c r="S494" s="105"/>
      <c r="T494" s="143"/>
      <c r="U494" s="143">
        <v>224</v>
      </c>
      <c r="V494" s="193">
        <f t="shared" ref="V494:V495" si="163">(L494-U494)*K494</f>
        <v>228000</v>
      </c>
      <c r="W494" s="195">
        <v>43671</v>
      </c>
      <c r="X494" s="105">
        <f t="shared" ref="X494:X495" si="164">IF(I494="买入",V494-O494,V494+O494)</f>
        <v>62550</v>
      </c>
      <c r="Y494" s="198">
        <f t="shared" si="161"/>
        <v>738000</v>
      </c>
      <c r="Z494" s="105" t="str">
        <f t="shared" si="138"/>
        <v/>
      </c>
      <c r="AA494" s="105" t="str">
        <f t="shared" si="162"/>
        <v>卖出</v>
      </c>
      <c r="AB494" s="105">
        <v>4</v>
      </c>
      <c r="AC494" s="321"/>
      <c r="AD494" s="321"/>
      <c r="AE494" s="105"/>
      <c r="AF494" s="105"/>
    </row>
    <row r="495" spans="1:32" ht="24.95" customHeight="1" x14ac:dyDescent="0.15">
      <c r="A495" s="142" t="s">
        <v>394</v>
      </c>
      <c r="B495" s="120" t="s">
        <v>295</v>
      </c>
      <c r="C495" s="142" t="str">
        <f t="shared" si="159"/>
        <v>到期</v>
      </c>
      <c r="D495" s="128" t="s">
        <v>1850</v>
      </c>
      <c r="E495" s="142" t="s">
        <v>340</v>
      </c>
      <c r="F495" s="144">
        <v>43637</v>
      </c>
      <c r="G495" s="144">
        <v>43671</v>
      </c>
      <c r="H495" s="143" t="s">
        <v>917</v>
      </c>
      <c r="I495" s="143" t="s">
        <v>241</v>
      </c>
      <c r="J495" s="142" t="s">
        <v>59</v>
      </c>
      <c r="K495" s="105">
        <v>3000</v>
      </c>
      <c r="L495" s="105">
        <v>300</v>
      </c>
      <c r="M495" s="105">
        <v>251</v>
      </c>
      <c r="N495" s="105">
        <v>50.7</v>
      </c>
      <c r="O495" s="105">
        <f t="shared" si="160"/>
        <v>152100</v>
      </c>
      <c r="P495" s="101" t="s">
        <v>927</v>
      </c>
      <c r="Q495" s="142" t="s">
        <v>1184</v>
      </c>
      <c r="R495" s="105"/>
      <c r="S495" s="105"/>
      <c r="T495" s="143"/>
      <c r="U495" s="143">
        <v>224</v>
      </c>
      <c r="V495" s="193">
        <f t="shared" si="163"/>
        <v>228000</v>
      </c>
      <c r="W495" s="195">
        <v>43671</v>
      </c>
      <c r="X495" s="105">
        <f t="shared" si="164"/>
        <v>75900</v>
      </c>
      <c r="Y495" s="198">
        <f t="shared" si="161"/>
        <v>753000</v>
      </c>
      <c r="Z495" s="105" t="str">
        <f t="shared" si="138"/>
        <v/>
      </c>
      <c r="AA495" s="105" t="str">
        <f t="shared" si="162"/>
        <v>卖出</v>
      </c>
      <c r="AB495" s="105">
        <v>5</v>
      </c>
      <c r="AC495" s="321"/>
      <c r="AD495" s="321"/>
      <c r="AE495" s="105"/>
      <c r="AF495" s="105"/>
    </row>
    <row r="496" spans="1:32" ht="24.95" customHeight="1" x14ac:dyDescent="0.15">
      <c r="A496" s="142" t="s">
        <v>394</v>
      </c>
      <c r="B496" s="120" t="s">
        <v>295</v>
      </c>
      <c r="C496" s="142" t="str">
        <f t="shared" si="159"/>
        <v>到期</v>
      </c>
      <c r="D496" s="128" t="s">
        <v>1838</v>
      </c>
      <c r="E496" s="142" t="s">
        <v>340</v>
      </c>
      <c r="F496" s="144">
        <v>43637</v>
      </c>
      <c r="G496" s="144">
        <v>43671</v>
      </c>
      <c r="H496" s="143" t="s">
        <v>1064</v>
      </c>
      <c r="I496" s="143" t="s">
        <v>241</v>
      </c>
      <c r="J496" s="142" t="s">
        <v>59</v>
      </c>
      <c r="K496" s="105">
        <v>2000</v>
      </c>
      <c r="L496" s="105">
        <v>300</v>
      </c>
      <c r="M496" s="105">
        <v>252.5</v>
      </c>
      <c r="N496" s="105">
        <v>47.6</v>
      </c>
      <c r="O496" s="105">
        <f t="shared" si="160"/>
        <v>95200</v>
      </c>
      <c r="P496" s="101" t="s">
        <v>1065</v>
      </c>
      <c r="Q496" s="101" t="s">
        <v>1195</v>
      </c>
      <c r="R496" s="105"/>
      <c r="S496" s="105"/>
      <c r="T496" s="143"/>
      <c r="U496" s="194">
        <v>224</v>
      </c>
      <c r="V496" s="142">
        <f>(L496-U496)*K496</f>
        <v>152000</v>
      </c>
      <c r="W496" s="195">
        <v>43671</v>
      </c>
      <c r="X496" s="105">
        <f>IF(I496="买入",V496-O496,V496+O496)</f>
        <v>56800</v>
      </c>
      <c r="Y496" s="198">
        <f t="shared" si="161"/>
        <v>505000</v>
      </c>
      <c r="Z496" s="105" t="str">
        <f t="shared" si="138"/>
        <v/>
      </c>
      <c r="AA496" s="105" t="str">
        <f t="shared" si="162"/>
        <v>卖出</v>
      </c>
      <c r="AB496" s="105">
        <v>6</v>
      </c>
      <c r="AC496" s="321"/>
      <c r="AD496" s="321"/>
      <c r="AE496" s="105"/>
      <c r="AF496" s="105"/>
    </row>
    <row r="497" spans="1:32" ht="24.95" customHeight="1" x14ac:dyDescent="0.15">
      <c r="A497" s="142" t="s">
        <v>274</v>
      </c>
      <c r="B497" s="142" t="s">
        <v>764</v>
      </c>
      <c r="C497" s="142" t="str">
        <f t="shared" si="159"/>
        <v>到期</v>
      </c>
      <c r="D497" s="103" t="s">
        <v>1841</v>
      </c>
      <c r="E497" s="142" t="s">
        <v>298</v>
      </c>
      <c r="F497" s="144">
        <v>43641</v>
      </c>
      <c r="G497" s="144">
        <v>43669</v>
      </c>
      <c r="H497" s="143" t="s">
        <v>1019</v>
      </c>
      <c r="I497" s="143" t="s">
        <v>222</v>
      </c>
      <c r="J497" s="142" t="s">
        <v>56</v>
      </c>
      <c r="K497" s="105">
        <v>50</v>
      </c>
      <c r="L497" s="105">
        <v>49080</v>
      </c>
      <c r="M497" s="105">
        <v>47030</v>
      </c>
      <c r="N497" s="105">
        <f>390.39/2</f>
        <v>195.19499999999999</v>
      </c>
      <c r="O497" s="105">
        <f>N497*K497</f>
        <v>9759.75</v>
      </c>
      <c r="P497" s="101" t="s">
        <v>919</v>
      </c>
      <c r="Q497" s="101" t="s">
        <v>1185</v>
      </c>
      <c r="R497" s="105"/>
      <c r="S497" s="105"/>
      <c r="T497" s="143"/>
      <c r="U497" s="143">
        <v>47300</v>
      </c>
      <c r="V497" s="182">
        <v>0</v>
      </c>
      <c r="W497" s="184">
        <v>43669</v>
      </c>
      <c r="X497" s="105">
        <f>IF(I497="买入",V497-O497,V497+O497)</f>
        <v>9759.75</v>
      </c>
      <c r="Y497" s="198">
        <f t="shared" si="161"/>
        <v>2351500</v>
      </c>
      <c r="Z497" s="105" t="str">
        <f t="shared" si="138"/>
        <v/>
      </c>
      <c r="AA497" s="105" t="str">
        <f>IF(I497="买入","卖出","买入19-新4")</f>
        <v>买入19-新4</v>
      </c>
      <c r="AB497" s="105"/>
      <c r="AC497" s="321">
        <v>0.152</v>
      </c>
      <c r="AD497" s="205">
        <v>0.152</v>
      </c>
      <c r="AE497" s="105"/>
      <c r="AF497" s="105"/>
    </row>
    <row r="498" spans="1:32" ht="24.95" customHeight="1" x14ac:dyDescent="0.15">
      <c r="A498" s="142" t="s">
        <v>274</v>
      </c>
      <c r="B498" s="142" t="s">
        <v>263</v>
      </c>
      <c r="C498" s="142" t="str">
        <f t="shared" si="159"/>
        <v>到期</v>
      </c>
      <c r="D498" s="103" t="s">
        <v>1841</v>
      </c>
      <c r="E498" s="142" t="s">
        <v>298</v>
      </c>
      <c r="F498" s="144">
        <v>43641</v>
      </c>
      <c r="G498" s="144">
        <v>43669</v>
      </c>
      <c r="H498" s="143" t="s">
        <v>1019</v>
      </c>
      <c r="I498" s="143" t="s">
        <v>222</v>
      </c>
      <c r="J498" s="142" t="s">
        <v>59</v>
      </c>
      <c r="K498" s="105">
        <v>50</v>
      </c>
      <c r="L498" s="105">
        <v>45320</v>
      </c>
      <c r="M498" s="105">
        <v>47030</v>
      </c>
      <c r="N498" s="105">
        <f t="shared" ref="N498:N506" si="165">390.39/2</f>
        <v>195.19499999999999</v>
      </c>
      <c r="O498" s="105">
        <f t="shared" si="160"/>
        <v>9759.75</v>
      </c>
      <c r="P498" s="101" t="s">
        <v>919</v>
      </c>
      <c r="Q498" s="101" t="s">
        <v>1186</v>
      </c>
      <c r="R498" s="105"/>
      <c r="S498" s="105"/>
      <c r="T498" s="143"/>
      <c r="U498" s="183">
        <v>47300</v>
      </c>
      <c r="V498" s="182">
        <v>0</v>
      </c>
      <c r="W498" s="184">
        <v>43669</v>
      </c>
      <c r="X498" s="105">
        <f t="shared" ref="X498:X506" si="166">IF(I498="买入",V498-O498,V498+O498)</f>
        <v>9759.75</v>
      </c>
      <c r="Y498" s="198">
        <f t="shared" si="161"/>
        <v>2351500</v>
      </c>
      <c r="Z498" s="105" t="str">
        <f t="shared" si="138"/>
        <v/>
      </c>
      <c r="AA498" s="105" t="str">
        <f t="shared" ref="AA498:AA506" si="167">IF(I498="买入","卖出","买入19-新4")</f>
        <v>买入19-新4</v>
      </c>
      <c r="AB498" s="105"/>
      <c r="AC498" s="321">
        <v>0.152</v>
      </c>
      <c r="AD498" s="205">
        <v>0.152</v>
      </c>
      <c r="AE498" s="105"/>
      <c r="AF498" s="105"/>
    </row>
    <row r="499" spans="1:32" ht="24.95" customHeight="1" x14ac:dyDescent="0.15">
      <c r="A499" s="142" t="s">
        <v>274</v>
      </c>
      <c r="B499" s="142" t="s">
        <v>764</v>
      </c>
      <c r="C499" s="142" t="str">
        <f t="shared" si="159"/>
        <v>到期</v>
      </c>
      <c r="D499" s="103" t="s">
        <v>1842</v>
      </c>
      <c r="E499" s="142" t="s">
        <v>298</v>
      </c>
      <c r="F499" s="144">
        <v>43641</v>
      </c>
      <c r="G499" s="144">
        <v>43669</v>
      </c>
      <c r="H499" s="143" t="s">
        <v>1019</v>
      </c>
      <c r="I499" s="143" t="s">
        <v>222</v>
      </c>
      <c r="J499" s="142" t="s">
        <v>56</v>
      </c>
      <c r="K499" s="105">
        <v>50</v>
      </c>
      <c r="L499" s="105">
        <v>49080</v>
      </c>
      <c r="M499" s="105">
        <v>47030</v>
      </c>
      <c r="N499" s="105">
        <f t="shared" si="165"/>
        <v>195.19499999999999</v>
      </c>
      <c r="O499" s="105">
        <f t="shared" si="160"/>
        <v>9759.75</v>
      </c>
      <c r="P499" s="101" t="s">
        <v>920</v>
      </c>
      <c r="Q499" s="101" t="s">
        <v>1187</v>
      </c>
      <c r="R499" s="105"/>
      <c r="S499" s="105"/>
      <c r="T499" s="143"/>
      <c r="U499" s="183">
        <v>47300</v>
      </c>
      <c r="V499" s="182">
        <v>0</v>
      </c>
      <c r="W499" s="184">
        <v>43669</v>
      </c>
      <c r="X499" s="105">
        <f t="shared" si="166"/>
        <v>9759.75</v>
      </c>
      <c r="Y499" s="198">
        <f t="shared" si="161"/>
        <v>2351500</v>
      </c>
      <c r="Z499" s="105" t="str">
        <f t="shared" si="138"/>
        <v/>
      </c>
      <c r="AA499" s="105" t="str">
        <f t="shared" si="167"/>
        <v>买入19-新4</v>
      </c>
      <c r="AB499" s="105"/>
      <c r="AC499" s="321">
        <v>0.152</v>
      </c>
      <c r="AD499" s="205">
        <v>0.152</v>
      </c>
      <c r="AE499" s="105"/>
      <c r="AF499" s="105"/>
    </row>
    <row r="500" spans="1:32" ht="24.95" customHeight="1" x14ac:dyDescent="0.15">
      <c r="A500" s="142" t="s">
        <v>274</v>
      </c>
      <c r="B500" s="142" t="s">
        <v>764</v>
      </c>
      <c r="C500" s="142" t="str">
        <f t="shared" si="159"/>
        <v>到期</v>
      </c>
      <c r="D500" s="103" t="s">
        <v>1842</v>
      </c>
      <c r="E500" s="142" t="s">
        <v>298</v>
      </c>
      <c r="F500" s="144">
        <v>43641</v>
      </c>
      <c r="G500" s="144">
        <v>43669</v>
      </c>
      <c r="H500" s="143" t="s">
        <v>1019</v>
      </c>
      <c r="I500" s="143" t="s">
        <v>222</v>
      </c>
      <c r="J500" s="142" t="s">
        <v>59</v>
      </c>
      <c r="K500" s="105">
        <v>50</v>
      </c>
      <c r="L500" s="105">
        <v>45320</v>
      </c>
      <c r="M500" s="105">
        <v>47030</v>
      </c>
      <c r="N500" s="105">
        <f t="shared" si="165"/>
        <v>195.19499999999999</v>
      </c>
      <c r="O500" s="105">
        <f t="shared" si="160"/>
        <v>9759.75</v>
      </c>
      <c r="P500" s="101" t="s">
        <v>920</v>
      </c>
      <c r="Q500" s="101" t="s">
        <v>1187</v>
      </c>
      <c r="R500" s="105"/>
      <c r="S500" s="105"/>
      <c r="T500" s="143"/>
      <c r="U500" s="183">
        <v>47300</v>
      </c>
      <c r="V500" s="182">
        <v>0</v>
      </c>
      <c r="W500" s="184">
        <v>43669</v>
      </c>
      <c r="X500" s="105">
        <f t="shared" si="166"/>
        <v>9759.75</v>
      </c>
      <c r="Y500" s="198">
        <f t="shared" si="161"/>
        <v>2351500</v>
      </c>
      <c r="Z500" s="105" t="str">
        <f t="shared" si="138"/>
        <v/>
      </c>
      <c r="AA500" s="105" t="str">
        <f t="shared" si="167"/>
        <v>买入19-新4</v>
      </c>
      <c r="AB500" s="105"/>
      <c r="AC500" s="321">
        <v>0.152</v>
      </c>
      <c r="AD500" s="205">
        <v>0.152</v>
      </c>
      <c r="AE500" s="105"/>
      <c r="AF500" s="105"/>
    </row>
    <row r="501" spans="1:32" ht="24.95" customHeight="1" x14ac:dyDescent="0.15">
      <c r="A501" s="142" t="s">
        <v>274</v>
      </c>
      <c r="B501" s="142" t="s">
        <v>263</v>
      </c>
      <c r="C501" s="142" t="str">
        <f t="shared" si="159"/>
        <v>到期</v>
      </c>
      <c r="D501" s="103" t="s">
        <v>1843</v>
      </c>
      <c r="E501" s="142" t="s">
        <v>298</v>
      </c>
      <c r="F501" s="144">
        <v>43641</v>
      </c>
      <c r="G501" s="144">
        <v>43669</v>
      </c>
      <c r="H501" s="143" t="s">
        <v>1019</v>
      </c>
      <c r="I501" s="143" t="s">
        <v>222</v>
      </c>
      <c r="J501" s="142" t="s">
        <v>56</v>
      </c>
      <c r="K501" s="105">
        <v>50</v>
      </c>
      <c r="L501" s="105">
        <v>49080</v>
      </c>
      <c r="M501" s="105">
        <v>47030</v>
      </c>
      <c r="N501" s="105">
        <f t="shared" si="165"/>
        <v>195.19499999999999</v>
      </c>
      <c r="O501" s="105">
        <f t="shared" si="160"/>
        <v>9759.75</v>
      </c>
      <c r="P501" s="101" t="s">
        <v>921</v>
      </c>
      <c r="Q501" s="101" t="s">
        <v>1188</v>
      </c>
      <c r="R501" s="105"/>
      <c r="S501" s="105"/>
      <c r="T501" s="143"/>
      <c r="U501" s="183">
        <v>47300</v>
      </c>
      <c r="V501" s="182">
        <v>0</v>
      </c>
      <c r="W501" s="184">
        <v>43669</v>
      </c>
      <c r="X501" s="105">
        <f t="shared" si="166"/>
        <v>9759.75</v>
      </c>
      <c r="Y501" s="198">
        <f t="shared" si="161"/>
        <v>2351500</v>
      </c>
      <c r="Z501" s="105" t="str">
        <f t="shared" si="138"/>
        <v/>
      </c>
      <c r="AA501" s="105" t="str">
        <f t="shared" si="167"/>
        <v>买入19-新4</v>
      </c>
      <c r="AB501" s="105"/>
      <c r="AC501" s="321">
        <v>0.152</v>
      </c>
      <c r="AD501" s="205">
        <v>0.152</v>
      </c>
      <c r="AE501" s="105"/>
      <c r="AF501" s="105"/>
    </row>
    <row r="502" spans="1:32" ht="24.95" customHeight="1" x14ac:dyDescent="0.15">
      <c r="A502" s="142" t="s">
        <v>274</v>
      </c>
      <c r="B502" s="142" t="s">
        <v>764</v>
      </c>
      <c r="C502" s="142" t="str">
        <f t="shared" si="159"/>
        <v>到期</v>
      </c>
      <c r="D502" s="103" t="s">
        <v>1843</v>
      </c>
      <c r="E502" s="142" t="s">
        <v>298</v>
      </c>
      <c r="F502" s="144">
        <v>43641</v>
      </c>
      <c r="G502" s="144">
        <v>43669</v>
      </c>
      <c r="H502" s="143" t="s">
        <v>1019</v>
      </c>
      <c r="I502" s="143" t="s">
        <v>222</v>
      </c>
      <c r="J502" s="142" t="s">
        <v>59</v>
      </c>
      <c r="K502" s="105">
        <v>50</v>
      </c>
      <c r="L502" s="105">
        <v>45320</v>
      </c>
      <c r="M502" s="105">
        <v>47030</v>
      </c>
      <c r="N502" s="105">
        <f t="shared" si="165"/>
        <v>195.19499999999999</v>
      </c>
      <c r="O502" s="105">
        <f t="shared" si="160"/>
        <v>9759.75</v>
      </c>
      <c r="P502" s="101" t="s">
        <v>921</v>
      </c>
      <c r="Q502" s="101" t="s">
        <v>1189</v>
      </c>
      <c r="R502" s="105"/>
      <c r="S502" s="105"/>
      <c r="T502" s="143"/>
      <c r="U502" s="183">
        <v>47300</v>
      </c>
      <c r="V502" s="182">
        <v>0</v>
      </c>
      <c r="W502" s="184">
        <v>43669</v>
      </c>
      <c r="X502" s="105">
        <f t="shared" si="166"/>
        <v>9759.75</v>
      </c>
      <c r="Y502" s="198">
        <f t="shared" si="161"/>
        <v>2351500</v>
      </c>
      <c r="Z502" s="105" t="str">
        <f t="shared" ref="Z502:Z532" si="168">IF(C502="存续",D502&amp;H502&amp;"-"&amp;AA502,"")</f>
        <v/>
      </c>
      <c r="AA502" s="105" t="str">
        <f t="shared" si="167"/>
        <v>买入19-新4</v>
      </c>
      <c r="AB502" s="105"/>
      <c r="AC502" s="321">
        <v>0.152</v>
      </c>
      <c r="AD502" s="205">
        <v>0.152</v>
      </c>
      <c r="AE502" s="105"/>
      <c r="AF502" s="105"/>
    </row>
    <row r="503" spans="1:32" ht="24.95" customHeight="1" x14ac:dyDescent="0.15">
      <c r="A503" s="142" t="s">
        <v>274</v>
      </c>
      <c r="B503" s="142" t="s">
        <v>764</v>
      </c>
      <c r="C503" s="142" t="str">
        <f t="shared" si="159"/>
        <v>到期</v>
      </c>
      <c r="D503" s="103" t="s">
        <v>1844</v>
      </c>
      <c r="E503" s="142" t="s">
        <v>298</v>
      </c>
      <c r="F503" s="144">
        <v>43641</v>
      </c>
      <c r="G503" s="144">
        <v>43669</v>
      </c>
      <c r="H503" s="143" t="s">
        <v>1019</v>
      </c>
      <c r="I503" s="143" t="s">
        <v>222</v>
      </c>
      <c r="J503" s="142" t="s">
        <v>56</v>
      </c>
      <c r="K503" s="105">
        <v>50</v>
      </c>
      <c r="L503" s="105">
        <v>49080</v>
      </c>
      <c r="M503" s="105">
        <v>47030</v>
      </c>
      <c r="N503" s="105">
        <f t="shared" si="165"/>
        <v>195.19499999999999</v>
      </c>
      <c r="O503" s="105">
        <f t="shared" si="160"/>
        <v>9759.75</v>
      </c>
      <c r="P503" s="101" t="s">
        <v>923</v>
      </c>
      <c r="Q503" s="101" t="s">
        <v>1190</v>
      </c>
      <c r="R503" s="105"/>
      <c r="S503" s="105"/>
      <c r="T503" s="143"/>
      <c r="U503" s="183">
        <v>47300</v>
      </c>
      <c r="V503" s="182">
        <v>0</v>
      </c>
      <c r="W503" s="184">
        <v>43669</v>
      </c>
      <c r="X503" s="105">
        <f t="shared" si="166"/>
        <v>9759.75</v>
      </c>
      <c r="Y503" s="198">
        <f t="shared" si="161"/>
        <v>2351500</v>
      </c>
      <c r="Z503" s="105" t="str">
        <f t="shared" si="168"/>
        <v/>
      </c>
      <c r="AA503" s="105" t="str">
        <f t="shared" si="167"/>
        <v>买入19-新4</v>
      </c>
      <c r="AB503" s="105"/>
      <c r="AC503" s="321">
        <v>0.152</v>
      </c>
      <c r="AD503" s="205">
        <v>0.152</v>
      </c>
      <c r="AE503" s="105"/>
      <c r="AF503" s="105"/>
    </row>
    <row r="504" spans="1:32" ht="24.95" customHeight="1" x14ac:dyDescent="0.15">
      <c r="A504" s="142" t="s">
        <v>274</v>
      </c>
      <c r="B504" s="142" t="s">
        <v>263</v>
      </c>
      <c r="C504" s="142" t="str">
        <f t="shared" si="159"/>
        <v>到期</v>
      </c>
      <c r="D504" s="103" t="s">
        <v>1844</v>
      </c>
      <c r="E504" s="142" t="s">
        <v>298</v>
      </c>
      <c r="F504" s="144">
        <v>43641</v>
      </c>
      <c r="G504" s="144">
        <v>43669</v>
      </c>
      <c r="H504" s="143" t="s">
        <v>1019</v>
      </c>
      <c r="I504" s="143" t="s">
        <v>222</v>
      </c>
      <c r="J504" s="142" t="s">
        <v>59</v>
      </c>
      <c r="K504" s="105">
        <v>50</v>
      </c>
      <c r="L504" s="105">
        <v>45320</v>
      </c>
      <c r="M504" s="105">
        <v>47030</v>
      </c>
      <c r="N504" s="105">
        <f t="shared" si="165"/>
        <v>195.19499999999999</v>
      </c>
      <c r="O504" s="105">
        <f t="shared" si="160"/>
        <v>9759.75</v>
      </c>
      <c r="P504" s="101" t="s">
        <v>923</v>
      </c>
      <c r="Q504" s="101" t="s">
        <v>1191</v>
      </c>
      <c r="R504" s="105"/>
      <c r="S504" s="105"/>
      <c r="T504" s="143"/>
      <c r="U504" s="183">
        <v>47300</v>
      </c>
      <c r="V504" s="182">
        <v>0</v>
      </c>
      <c r="W504" s="184">
        <v>43669</v>
      </c>
      <c r="X504" s="105">
        <f t="shared" si="166"/>
        <v>9759.75</v>
      </c>
      <c r="Y504" s="198">
        <f t="shared" si="161"/>
        <v>2351500</v>
      </c>
      <c r="Z504" s="105" t="str">
        <f t="shared" si="168"/>
        <v/>
      </c>
      <c r="AA504" s="105" t="str">
        <f t="shared" si="167"/>
        <v>买入19-新4</v>
      </c>
      <c r="AB504" s="105"/>
      <c r="AC504" s="321">
        <v>0.152</v>
      </c>
      <c r="AD504" s="205">
        <v>0.152</v>
      </c>
      <c r="AE504" s="105"/>
      <c r="AF504" s="105"/>
    </row>
    <row r="505" spans="1:32" ht="24.95" customHeight="1" x14ac:dyDescent="0.15">
      <c r="A505" s="142" t="s">
        <v>248</v>
      </c>
      <c r="B505" s="142" t="s">
        <v>263</v>
      </c>
      <c r="C505" s="142" t="str">
        <f t="shared" si="159"/>
        <v>到期</v>
      </c>
      <c r="D505" s="103" t="s">
        <v>1845</v>
      </c>
      <c r="E505" s="142" t="s">
        <v>298</v>
      </c>
      <c r="F505" s="144">
        <v>43641</v>
      </c>
      <c r="G505" s="144">
        <v>43669</v>
      </c>
      <c r="H505" s="143" t="s">
        <v>1019</v>
      </c>
      <c r="I505" s="143" t="s">
        <v>222</v>
      </c>
      <c r="J505" s="142" t="s">
        <v>56</v>
      </c>
      <c r="K505" s="105">
        <v>50</v>
      </c>
      <c r="L505" s="105">
        <v>49080</v>
      </c>
      <c r="M505" s="105">
        <v>47030</v>
      </c>
      <c r="N505" s="105">
        <f t="shared" si="165"/>
        <v>195.19499999999999</v>
      </c>
      <c r="O505" s="105">
        <f t="shared" si="160"/>
        <v>9759.75</v>
      </c>
      <c r="P505" s="101" t="s">
        <v>924</v>
      </c>
      <c r="Q505" s="101" t="s">
        <v>1192</v>
      </c>
      <c r="R505" s="105"/>
      <c r="S505" s="105"/>
      <c r="T505" s="143"/>
      <c r="U505" s="183">
        <v>47300</v>
      </c>
      <c r="V505" s="182">
        <v>0</v>
      </c>
      <c r="W505" s="184">
        <v>43669</v>
      </c>
      <c r="X505" s="105">
        <f t="shared" si="166"/>
        <v>9759.75</v>
      </c>
      <c r="Y505" s="198">
        <f t="shared" si="161"/>
        <v>2351500</v>
      </c>
      <c r="Z505" s="105" t="str">
        <f t="shared" si="168"/>
        <v/>
      </c>
      <c r="AA505" s="105" t="str">
        <f t="shared" si="167"/>
        <v>买入19-新4</v>
      </c>
      <c r="AB505" s="105"/>
      <c r="AC505" s="321">
        <v>0.152</v>
      </c>
      <c r="AD505" s="205">
        <v>0.152</v>
      </c>
      <c r="AE505" s="105"/>
      <c r="AF505" s="105"/>
    </row>
    <row r="506" spans="1:32" ht="24.95" customHeight="1" x14ac:dyDescent="0.15">
      <c r="A506" s="142" t="s">
        <v>274</v>
      </c>
      <c r="B506" s="142" t="s">
        <v>764</v>
      </c>
      <c r="C506" s="142" t="str">
        <f t="shared" si="159"/>
        <v>到期</v>
      </c>
      <c r="D506" s="103" t="s">
        <v>1845</v>
      </c>
      <c r="E506" s="142" t="s">
        <v>298</v>
      </c>
      <c r="F506" s="144">
        <v>43641</v>
      </c>
      <c r="G506" s="144">
        <v>43669</v>
      </c>
      <c r="H506" s="143" t="s">
        <v>1019</v>
      </c>
      <c r="I506" s="143" t="s">
        <v>222</v>
      </c>
      <c r="J506" s="142" t="s">
        <v>59</v>
      </c>
      <c r="K506" s="105">
        <v>50</v>
      </c>
      <c r="L506" s="105">
        <v>45320</v>
      </c>
      <c r="M506" s="105">
        <v>47030</v>
      </c>
      <c r="N506" s="105">
        <f t="shared" si="165"/>
        <v>195.19499999999999</v>
      </c>
      <c r="O506" s="105">
        <f t="shared" si="160"/>
        <v>9759.75</v>
      </c>
      <c r="P506" s="101" t="s">
        <v>924</v>
      </c>
      <c r="Q506" s="101" t="s">
        <v>1192</v>
      </c>
      <c r="R506" s="105"/>
      <c r="S506" s="105"/>
      <c r="T506" s="143"/>
      <c r="U506" s="183">
        <v>47300</v>
      </c>
      <c r="V506" s="182">
        <v>0</v>
      </c>
      <c r="W506" s="184">
        <v>43669</v>
      </c>
      <c r="X506" s="105">
        <f t="shared" si="166"/>
        <v>9759.75</v>
      </c>
      <c r="Y506" s="198">
        <f t="shared" si="161"/>
        <v>2351500</v>
      </c>
      <c r="Z506" s="105" t="str">
        <f t="shared" si="168"/>
        <v/>
      </c>
      <c r="AA506" s="105" t="str">
        <f t="shared" si="167"/>
        <v>买入19-新4</v>
      </c>
      <c r="AB506" s="105"/>
      <c r="AC506" s="321">
        <v>0.152</v>
      </c>
      <c r="AD506" s="205">
        <v>0.152</v>
      </c>
      <c r="AE506" s="105"/>
      <c r="AF506" s="105"/>
    </row>
    <row r="507" spans="1:32" ht="24" customHeight="1" x14ac:dyDescent="0.15">
      <c r="A507" s="142" t="s">
        <v>248</v>
      </c>
      <c r="B507" s="142" t="s">
        <v>764</v>
      </c>
      <c r="C507" s="142" t="str">
        <f t="shared" si="159"/>
        <v>到期</v>
      </c>
      <c r="D507" s="100" t="s">
        <v>1852</v>
      </c>
      <c r="E507" s="143" t="s">
        <v>298</v>
      </c>
      <c r="F507" s="48">
        <v>43643</v>
      </c>
      <c r="G507" s="48">
        <v>43658</v>
      </c>
      <c r="H507" s="143" t="s">
        <v>1018</v>
      </c>
      <c r="I507" s="143" t="s">
        <v>222</v>
      </c>
      <c r="J507" s="142" t="s">
        <v>59</v>
      </c>
      <c r="K507" s="105">
        <v>50</v>
      </c>
      <c r="L507" s="105">
        <v>47130</v>
      </c>
      <c r="M507" s="105">
        <v>47130</v>
      </c>
      <c r="N507" s="105">
        <v>424.17</v>
      </c>
      <c r="O507" s="105">
        <f t="shared" si="160"/>
        <v>21208.5</v>
      </c>
      <c r="P507" s="101" t="s">
        <v>939</v>
      </c>
      <c r="Q507" s="101" t="s">
        <v>1193</v>
      </c>
      <c r="R507" s="105"/>
      <c r="S507" s="105"/>
      <c r="T507" s="144"/>
      <c r="U507" s="104">
        <v>46610</v>
      </c>
      <c r="V507" s="104">
        <v>-26000</v>
      </c>
      <c r="W507" s="48">
        <v>43658</v>
      </c>
      <c r="X507" s="105">
        <f>IF(I507="买入",V507-O507,V507+O507)</f>
        <v>-4791.5</v>
      </c>
      <c r="Y507" s="197">
        <f t="shared" si="161"/>
        <v>2356500</v>
      </c>
      <c r="Z507" s="143" t="str">
        <f t="shared" si="168"/>
        <v/>
      </c>
      <c r="AA507" s="143" t="s">
        <v>241</v>
      </c>
      <c r="AB507" s="203"/>
      <c r="AC507" s="321">
        <v>0.108</v>
      </c>
      <c r="AD507" s="319"/>
      <c r="AE507" s="314"/>
      <c r="AF507" s="105"/>
    </row>
    <row r="508" spans="1:32" ht="24" customHeight="1" x14ac:dyDescent="0.15">
      <c r="A508" s="142" t="s">
        <v>248</v>
      </c>
      <c r="B508" s="142" t="s">
        <v>764</v>
      </c>
      <c r="C508" s="142" t="str">
        <f t="shared" si="159"/>
        <v>到期</v>
      </c>
      <c r="D508" s="100" t="s">
        <v>266</v>
      </c>
      <c r="E508" s="142" t="s">
        <v>340</v>
      </c>
      <c r="F508" s="48">
        <v>43643</v>
      </c>
      <c r="G508" s="48">
        <v>43658</v>
      </c>
      <c r="H508" s="143" t="s">
        <v>1018</v>
      </c>
      <c r="I508" s="143" t="s">
        <v>241</v>
      </c>
      <c r="J508" s="142" t="s">
        <v>59</v>
      </c>
      <c r="K508" s="105">
        <v>50</v>
      </c>
      <c r="L508" s="105">
        <v>47130</v>
      </c>
      <c r="M508" s="105">
        <v>47130</v>
      </c>
      <c r="N508" s="105">
        <v>476.01</v>
      </c>
      <c r="O508" s="105">
        <f t="shared" si="160"/>
        <v>23800.5</v>
      </c>
      <c r="P508" s="101" t="s">
        <v>940</v>
      </c>
      <c r="Q508" s="101" t="s">
        <v>1194</v>
      </c>
      <c r="R508" s="105"/>
      <c r="S508" s="105"/>
      <c r="T508" s="144"/>
      <c r="U508" s="104">
        <v>46610</v>
      </c>
      <c r="V508" s="104">
        <v>26000</v>
      </c>
      <c r="W508" s="48">
        <v>43658</v>
      </c>
      <c r="X508" s="105">
        <f>IF(I508="买入",V508-O508,V508+O508)</f>
        <v>2199.5</v>
      </c>
      <c r="Y508" s="197">
        <f t="shared" si="161"/>
        <v>2356500</v>
      </c>
      <c r="Z508" s="143" t="str">
        <f t="shared" si="168"/>
        <v/>
      </c>
      <c r="AA508" s="143" t="s">
        <v>222</v>
      </c>
      <c r="AB508" s="203"/>
      <c r="AC508" s="321">
        <v>0.11799999999999999</v>
      </c>
      <c r="AD508" s="319"/>
      <c r="AE508" s="314"/>
      <c r="AF508" s="105"/>
    </row>
    <row r="509" spans="1:32" ht="24.95" customHeight="1" x14ac:dyDescent="0.15">
      <c r="A509" s="142" t="s">
        <v>394</v>
      </c>
      <c r="B509" s="120" t="s">
        <v>264</v>
      </c>
      <c r="C509" s="142" t="str">
        <f t="shared" si="159"/>
        <v>到期</v>
      </c>
      <c r="D509" s="128" t="s">
        <v>1846</v>
      </c>
      <c r="E509" s="142" t="s">
        <v>255</v>
      </c>
      <c r="F509" s="144">
        <v>43644</v>
      </c>
      <c r="G509" s="144">
        <v>43676</v>
      </c>
      <c r="H509" s="143" t="s">
        <v>902</v>
      </c>
      <c r="I509" s="143" t="s">
        <v>318</v>
      </c>
      <c r="J509" s="140" t="s">
        <v>22</v>
      </c>
      <c r="K509" s="105">
        <v>5000</v>
      </c>
      <c r="L509" s="105">
        <v>834.5</v>
      </c>
      <c r="M509" s="105">
        <v>834.5</v>
      </c>
      <c r="N509" s="105">
        <v>32.549999999999997</v>
      </c>
      <c r="O509" s="105">
        <f t="shared" si="160"/>
        <v>162750</v>
      </c>
      <c r="P509" s="101" t="s">
        <v>928</v>
      </c>
      <c r="Q509" s="101" t="s">
        <v>1297</v>
      </c>
      <c r="R509" s="105"/>
      <c r="S509" s="105"/>
      <c r="T509" s="143"/>
      <c r="U509" s="143">
        <v>906</v>
      </c>
      <c r="V509" s="105">
        <f>(U509-L509)*K509</f>
        <v>357500</v>
      </c>
      <c r="W509" s="223">
        <v>43676</v>
      </c>
      <c r="X509" s="105">
        <f t="shared" ref="X509:X510" si="169">IF(I509="买入",V509-O509,V509+O509)</f>
        <v>194750</v>
      </c>
      <c r="Y509" s="198">
        <f t="shared" si="161"/>
        <v>4172500</v>
      </c>
      <c r="Z509" s="105" t="str">
        <f t="shared" si="168"/>
        <v/>
      </c>
      <c r="AA509" s="105" t="str">
        <f t="shared" ref="AA509:AA512" si="170">IF(I509="买入","卖出","买入")</f>
        <v>卖出</v>
      </c>
      <c r="AB509" s="105">
        <v>8</v>
      </c>
      <c r="AC509" s="321">
        <v>0.28499999999999998</v>
      </c>
      <c r="AD509" s="105"/>
      <c r="AE509" s="105"/>
      <c r="AF509" s="105"/>
    </row>
    <row r="510" spans="1:32" ht="24.95" customHeight="1" x14ac:dyDescent="0.15">
      <c r="A510" s="142" t="s">
        <v>394</v>
      </c>
      <c r="B510" s="120" t="s">
        <v>264</v>
      </c>
      <c r="C510" s="142" t="str">
        <f t="shared" si="159"/>
        <v>到期</v>
      </c>
      <c r="D510" s="128" t="s">
        <v>1846</v>
      </c>
      <c r="E510" s="142" t="s">
        <v>255</v>
      </c>
      <c r="F510" s="144">
        <v>43644</v>
      </c>
      <c r="G510" s="144">
        <v>43676</v>
      </c>
      <c r="H510" s="143" t="s">
        <v>902</v>
      </c>
      <c r="I510" s="143" t="s">
        <v>318</v>
      </c>
      <c r="J510" s="140" t="s">
        <v>25</v>
      </c>
      <c r="K510" s="105">
        <v>5000</v>
      </c>
      <c r="L510" s="105">
        <v>834.5</v>
      </c>
      <c r="M510" s="105">
        <v>834.5</v>
      </c>
      <c r="N510" s="105">
        <v>32.549999999999997</v>
      </c>
      <c r="O510" s="105">
        <f t="shared" si="160"/>
        <v>162750</v>
      </c>
      <c r="P510" s="101" t="s">
        <v>928</v>
      </c>
      <c r="Q510" s="101" t="s">
        <v>1298</v>
      </c>
      <c r="R510" s="105"/>
      <c r="S510" s="105"/>
      <c r="T510" s="143"/>
      <c r="U510" s="143">
        <v>906</v>
      </c>
      <c r="V510" s="105">
        <v>0</v>
      </c>
      <c r="W510" s="223">
        <v>43676</v>
      </c>
      <c r="X510" s="105">
        <f t="shared" si="169"/>
        <v>-162750</v>
      </c>
      <c r="Y510" s="198">
        <f t="shared" si="161"/>
        <v>4172500</v>
      </c>
      <c r="Z510" s="105" t="str">
        <f t="shared" si="168"/>
        <v/>
      </c>
      <c r="AA510" s="105" t="str">
        <f t="shared" si="170"/>
        <v>卖出</v>
      </c>
      <c r="AB510" s="105">
        <v>8</v>
      </c>
      <c r="AC510" s="321">
        <v>0.28499999999999998</v>
      </c>
      <c r="AD510" s="105"/>
      <c r="AE510" s="105"/>
      <c r="AF510" s="105"/>
    </row>
    <row r="511" spans="1:32" ht="24.95" customHeight="1" x14ac:dyDescent="0.15">
      <c r="A511" s="142" t="s">
        <v>394</v>
      </c>
      <c r="B511" s="120" t="s">
        <v>764</v>
      </c>
      <c r="C511" s="142" t="str">
        <f t="shared" si="159"/>
        <v>到期</v>
      </c>
      <c r="D511" s="128" t="s">
        <v>929</v>
      </c>
      <c r="E511" s="142" t="s">
        <v>255</v>
      </c>
      <c r="F511" s="144">
        <v>43647</v>
      </c>
      <c r="G511" s="144">
        <v>43677</v>
      </c>
      <c r="H511" s="143" t="s">
        <v>902</v>
      </c>
      <c r="I511" s="143" t="s">
        <v>275</v>
      </c>
      <c r="J511" s="142" t="s">
        <v>56</v>
      </c>
      <c r="K511" s="105">
        <v>20000</v>
      </c>
      <c r="L511" s="105">
        <v>887.9</v>
      </c>
      <c r="M511" s="105">
        <v>862</v>
      </c>
      <c r="N511" s="105">
        <v>21.4</v>
      </c>
      <c r="O511" s="105">
        <f t="shared" si="160"/>
        <v>428000</v>
      </c>
      <c r="P511" s="101" t="s">
        <v>1486</v>
      </c>
      <c r="Q511" s="101" t="s">
        <v>1062</v>
      </c>
      <c r="R511" s="105"/>
      <c r="S511" s="105"/>
      <c r="T511" s="143"/>
      <c r="U511" s="143">
        <v>897.5</v>
      </c>
      <c r="V511" s="104">
        <f>(L511-U511)*K511</f>
        <v>-192000.00000000047</v>
      </c>
      <c r="W511" s="224">
        <v>43677</v>
      </c>
      <c r="X511" s="105">
        <f>IF(I511="买入",V511-O511,V511+O511)</f>
        <v>235999.99999999953</v>
      </c>
      <c r="Y511" s="198">
        <f t="shared" si="161"/>
        <v>17240000</v>
      </c>
      <c r="Z511" s="105" t="str">
        <f t="shared" si="168"/>
        <v/>
      </c>
      <c r="AA511" s="105" t="str">
        <f t="shared" si="170"/>
        <v>买入</v>
      </c>
      <c r="AB511" s="105">
        <v>9</v>
      </c>
      <c r="AC511" s="321">
        <v>0.318</v>
      </c>
      <c r="AD511" s="105"/>
      <c r="AE511" s="105"/>
      <c r="AF511" s="105"/>
    </row>
    <row r="512" spans="1:32" ht="24.95" customHeight="1" x14ac:dyDescent="0.15">
      <c r="A512" s="142" t="s">
        <v>394</v>
      </c>
      <c r="B512" s="120" t="s">
        <v>764</v>
      </c>
      <c r="C512" s="142" t="str">
        <f t="shared" si="159"/>
        <v>到期</v>
      </c>
      <c r="D512" s="128" t="s">
        <v>929</v>
      </c>
      <c r="E512" s="142" t="s">
        <v>255</v>
      </c>
      <c r="F512" s="144">
        <v>43647</v>
      </c>
      <c r="G512" s="144">
        <v>43677</v>
      </c>
      <c r="H512" s="143" t="s">
        <v>902</v>
      </c>
      <c r="I512" s="143" t="s">
        <v>222</v>
      </c>
      <c r="J512" s="142" t="s">
        <v>59</v>
      </c>
      <c r="K512" s="105">
        <v>20000</v>
      </c>
      <c r="L512" s="105">
        <v>836.1</v>
      </c>
      <c r="M512" s="105">
        <v>862</v>
      </c>
      <c r="N512" s="105">
        <v>20.48</v>
      </c>
      <c r="O512" s="105">
        <f t="shared" si="160"/>
        <v>409600</v>
      </c>
      <c r="P512" s="101" t="s">
        <v>1486</v>
      </c>
      <c r="Q512" s="101" t="s">
        <v>1441</v>
      </c>
      <c r="R512" s="105"/>
      <c r="S512" s="105"/>
      <c r="T512" s="143"/>
      <c r="U512" s="143">
        <v>897.5</v>
      </c>
      <c r="V512" s="104">
        <v>0</v>
      </c>
      <c r="W512" s="224">
        <v>43677</v>
      </c>
      <c r="X512" s="105">
        <f>IF(I512="买入",V512-O512,V512+O512)</f>
        <v>409600</v>
      </c>
      <c r="Y512" s="198">
        <f t="shared" si="161"/>
        <v>17240000</v>
      </c>
      <c r="Z512" s="105" t="str">
        <f t="shared" si="168"/>
        <v/>
      </c>
      <c r="AA512" s="105" t="str">
        <f t="shared" si="170"/>
        <v>买入</v>
      </c>
      <c r="AB512" s="105">
        <v>9</v>
      </c>
      <c r="AC512" s="321">
        <v>0.318</v>
      </c>
      <c r="AD512" s="105"/>
      <c r="AE512" s="105"/>
      <c r="AF512" s="105"/>
    </row>
    <row r="513" spans="1:32" ht="24.95" customHeight="1" x14ac:dyDescent="0.15">
      <c r="A513" s="142" t="s">
        <v>248</v>
      </c>
      <c r="B513" s="120" t="s">
        <v>263</v>
      </c>
      <c r="C513" s="142" t="str">
        <f t="shared" si="159"/>
        <v>到期</v>
      </c>
      <c r="D513" s="103" t="s">
        <v>1841</v>
      </c>
      <c r="E513" s="142" t="s">
        <v>298</v>
      </c>
      <c r="F513" s="144">
        <v>43648</v>
      </c>
      <c r="G513" s="144">
        <v>43676</v>
      </c>
      <c r="H513" s="143" t="s">
        <v>1019</v>
      </c>
      <c r="I513" s="143" t="s">
        <v>275</v>
      </c>
      <c r="J513" s="142" t="s">
        <v>56</v>
      </c>
      <c r="K513" s="105">
        <v>50</v>
      </c>
      <c r="L513" s="105">
        <v>48530</v>
      </c>
      <c r="M513" s="105">
        <v>46670</v>
      </c>
      <c r="N513" s="105">
        <f>387.4/2</f>
        <v>193.7</v>
      </c>
      <c r="O513" s="105">
        <f t="shared" si="160"/>
        <v>9685</v>
      </c>
      <c r="P513" s="101" t="s">
        <v>960</v>
      </c>
      <c r="Q513" s="233" t="s">
        <v>1057</v>
      </c>
      <c r="R513" s="105"/>
      <c r="S513" s="105"/>
      <c r="T513" s="144"/>
      <c r="U513" s="105">
        <v>47240</v>
      </c>
      <c r="V513" s="105">
        <v>0</v>
      </c>
      <c r="W513" s="222">
        <v>43676</v>
      </c>
      <c r="X513" s="105">
        <f>IF(I513="买入",V513-O513,V513+O513)</f>
        <v>9685</v>
      </c>
      <c r="Y513" s="198">
        <f t="shared" si="161"/>
        <v>2333500</v>
      </c>
      <c r="Z513" s="105" t="str">
        <f t="shared" si="168"/>
        <v/>
      </c>
      <c r="AA513" s="105" t="str">
        <f>IF(I513="买入","卖出","买入19-新5")</f>
        <v>买入19-新5</v>
      </c>
      <c r="AB513" s="105">
        <v>10</v>
      </c>
      <c r="AC513" s="321">
        <v>0.152</v>
      </c>
      <c r="AD513" s="205">
        <v>0.152</v>
      </c>
      <c r="AE513" s="105"/>
      <c r="AF513" s="105"/>
    </row>
    <row r="514" spans="1:32" ht="24.95" customHeight="1" x14ac:dyDescent="0.15">
      <c r="A514" s="142" t="s">
        <v>248</v>
      </c>
      <c r="B514" s="120" t="s">
        <v>263</v>
      </c>
      <c r="C514" s="142" t="str">
        <f t="shared" si="159"/>
        <v>到期</v>
      </c>
      <c r="D514" s="103" t="s">
        <v>1841</v>
      </c>
      <c r="E514" s="142" t="s">
        <v>298</v>
      </c>
      <c r="F514" s="144">
        <v>43648</v>
      </c>
      <c r="G514" s="144">
        <v>43676</v>
      </c>
      <c r="H514" s="143" t="s">
        <v>1019</v>
      </c>
      <c r="I514" s="143" t="s">
        <v>275</v>
      </c>
      <c r="J514" s="142" t="s">
        <v>59</v>
      </c>
      <c r="K514" s="105">
        <v>50</v>
      </c>
      <c r="L514" s="105">
        <v>44800</v>
      </c>
      <c r="M514" s="105">
        <v>46670</v>
      </c>
      <c r="N514" s="105">
        <f t="shared" ref="N514:N522" si="171">387.4/2</f>
        <v>193.7</v>
      </c>
      <c r="O514" s="105">
        <f t="shared" si="160"/>
        <v>9685</v>
      </c>
      <c r="P514" s="101" t="s">
        <v>960</v>
      </c>
      <c r="Q514" s="233" t="s">
        <v>1057</v>
      </c>
      <c r="R514" s="105"/>
      <c r="S514" s="105"/>
      <c r="T514" s="144"/>
      <c r="U514" s="105">
        <v>47240</v>
      </c>
      <c r="V514" s="105">
        <v>0</v>
      </c>
      <c r="W514" s="222">
        <v>43676</v>
      </c>
      <c r="X514" s="105">
        <f t="shared" ref="X514:X522" si="172">IF(I514="买入",V514-O514,V514+O514)</f>
        <v>9685</v>
      </c>
      <c r="Y514" s="198">
        <f t="shared" si="161"/>
        <v>2333500</v>
      </c>
      <c r="Z514" s="105" t="str">
        <f t="shared" si="168"/>
        <v/>
      </c>
      <c r="AA514" s="105" t="str">
        <f t="shared" ref="AA514:AA524" si="173">IF(I514="买入","卖出","买入19-新5")</f>
        <v>买入19-新5</v>
      </c>
      <c r="AB514" s="105">
        <v>10</v>
      </c>
      <c r="AC514" s="321">
        <v>0.152</v>
      </c>
      <c r="AD514" s="205">
        <v>0.152</v>
      </c>
      <c r="AE514" s="105"/>
      <c r="AF514" s="105"/>
    </row>
    <row r="515" spans="1:32" ht="24.95" customHeight="1" x14ac:dyDescent="0.15">
      <c r="A515" s="142" t="s">
        <v>248</v>
      </c>
      <c r="B515" s="120" t="s">
        <v>263</v>
      </c>
      <c r="C515" s="142" t="str">
        <f t="shared" si="159"/>
        <v>到期</v>
      </c>
      <c r="D515" s="103" t="s">
        <v>1842</v>
      </c>
      <c r="E515" s="142" t="s">
        <v>298</v>
      </c>
      <c r="F515" s="144">
        <v>43648</v>
      </c>
      <c r="G515" s="144">
        <v>43676</v>
      </c>
      <c r="H515" s="143" t="s">
        <v>1019</v>
      </c>
      <c r="I515" s="143" t="s">
        <v>275</v>
      </c>
      <c r="J515" s="142" t="s">
        <v>56</v>
      </c>
      <c r="K515" s="105">
        <v>50</v>
      </c>
      <c r="L515" s="105">
        <v>48530</v>
      </c>
      <c r="M515" s="105">
        <v>46670</v>
      </c>
      <c r="N515" s="105">
        <f t="shared" si="171"/>
        <v>193.7</v>
      </c>
      <c r="O515" s="105">
        <f t="shared" si="160"/>
        <v>9685</v>
      </c>
      <c r="P515" s="101" t="s">
        <v>961</v>
      </c>
      <c r="Q515" s="233" t="s">
        <v>1058</v>
      </c>
      <c r="R515" s="105"/>
      <c r="S515" s="105"/>
      <c r="T515" s="144"/>
      <c r="U515" s="105">
        <v>47240</v>
      </c>
      <c r="V515" s="105">
        <v>0</v>
      </c>
      <c r="W515" s="222">
        <v>43676</v>
      </c>
      <c r="X515" s="105">
        <f>IF(I515="买入",V515-O515,V515+O515)</f>
        <v>9685</v>
      </c>
      <c r="Y515" s="198">
        <f t="shared" si="161"/>
        <v>2333500</v>
      </c>
      <c r="Z515" s="105" t="str">
        <f t="shared" si="168"/>
        <v/>
      </c>
      <c r="AA515" s="105" t="str">
        <f t="shared" si="173"/>
        <v>买入19-新5</v>
      </c>
      <c r="AB515" s="105">
        <v>10</v>
      </c>
      <c r="AC515" s="321">
        <v>0.152</v>
      </c>
      <c r="AD515" s="205">
        <v>0.152</v>
      </c>
      <c r="AE515" s="105"/>
      <c r="AF515" s="105"/>
    </row>
    <row r="516" spans="1:32" ht="24.95" customHeight="1" x14ac:dyDescent="0.15">
      <c r="A516" s="142" t="s">
        <v>248</v>
      </c>
      <c r="B516" s="120" t="s">
        <v>263</v>
      </c>
      <c r="C516" s="142" t="str">
        <f t="shared" si="159"/>
        <v>到期</v>
      </c>
      <c r="D516" s="103" t="s">
        <v>1842</v>
      </c>
      <c r="E516" s="142" t="s">
        <v>298</v>
      </c>
      <c r="F516" s="144">
        <v>43648</v>
      </c>
      <c r="G516" s="144">
        <v>43676</v>
      </c>
      <c r="H516" s="143" t="s">
        <v>1019</v>
      </c>
      <c r="I516" s="143" t="s">
        <v>275</v>
      </c>
      <c r="J516" s="142" t="s">
        <v>59</v>
      </c>
      <c r="K516" s="105">
        <v>50</v>
      </c>
      <c r="L516" s="105">
        <v>44800</v>
      </c>
      <c r="M516" s="105">
        <v>46670</v>
      </c>
      <c r="N516" s="105">
        <f t="shared" si="171"/>
        <v>193.7</v>
      </c>
      <c r="O516" s="105">
        <f t="shared" si="160"/>
        <v>9685</v>
      </c>
      <c r="P516" s="101" t="s">
        <v>961</v>
      </c>
      <c r="Q516" s="233" t="s">
        <v>1058</v>
      </c>
      <c r="R516" s="105"/>
      <c r="S516" s="105"/>
      <c r="T516" s="144"/>
      <c r="U516" s="105">
        <v>47240</v>
      </c>
      <c r="V516" s="105">
        <v>0</v>
      </c>
      <c r="W516" s="222">
        <v>43676</v>
      </c>
      <c r="X516" s="105">
        <f t="shared" si="172"/>
        <v>9685</v>
      </c>
      <c r="Y516" s="198">
        <f t="shared" si="161"/>
        <v>2333500</v>
      </c>
      <c r="Z516" s="105" t="str">
        <f t="shared" si="168"/>
        <v/>
      </c>
      <c r="AA516" s="105" t="str">
        <f t="shared" si="173"/>
        <v>买入19-新5</v>
      </c>
      <c r="AB516" s="105">
        <v>10</v>
      </c>
      <c r="AC516" s="321">
        <v>0.152</v>
      </c>
      <c r="AD516" s="205">
        <v>0.152</v>
      </c>
      <c r="AE516" s="105"/>
      <c r="AF516" s="105"/>
    </row>
    <row r="517" spans="1:32" ht="24.95" customHeight="1" x14ac:dyDescent="0.15">
      <c r="A517" s="142" t="s">
        <v>248</v>
      </c>
      <c r="B517" s="120" t="s">
        <v>263</v>
      </c>
      <c r="C517" s="142" t="str">
        <f t="shared" si="159"/>
        <v>到期</v>
      </c>
      <c r="D517" s="103" t="s">
        <v>1843</v>
      </c>
      <c r="E517" s="142" t="s">
        <v>298</v>
      </c>
      <c r="F517" s="144">
        <v>43648</v>
      </c>
      <c r="G517" s="144">
        <v>43676</v>
      </c>
      <c r="H517" s="143" t="s">
        <v>1019</v>
      </c>
      <c r="I517" s="143" t="s">
        <v>275</v>
      </c>
      <c r="J517" s="142" t="s">
        <v>56</v>
      </c>
      <c r="K517" s="105">
        <v>50</v>
      </c>
      <c r="L517" s="105">
        <v>48530</v>
      </c>
      <c r="M517" s="105">
        <v>46670</v>
      </c>
      <c r="N517" s="105">
        <f t="shared" si="171"/>
        <v>193.7</v>
      </c>
      <c r="O517" s="105">
        <f t="shared" si="160"/>
        <v>9685</v>
      </c>
      <c r="P517" s="101" t="s">
        <v>962</v>
      </c>
      <c r="Q517" s="233" t="s">
        <v>1059</v>
      </c>
      <c r="R517" s="105"/>
      <c r="S517" s="105"/>
      <c r="T517" s="144"/>
      <c r="U517" s="105">
        <v>47240</v>
      </c>
      <c r="V517" s="105">
        <v>0</v>
      </c>
      <c r="W517" s="222">
        <v>43676</v>
      </c>
      <c r="X517" s="105">
        <f t="shared" si="172"/>
        <v>9685</v>
      </c>
      <c r="Y517" s="198">
        <f t="shared" si="161"/>
        <v>2333500</v>
      </c>
      <c r="Z517" s="105" t="str">
        <f t="shared" si="168"/>
        <v/>
      </c>
      <c r="AA517" s="105" t="str">
        <f t="shared" si="173"/>
        <v>买入19-新5</v>
      </c>
      <c r="AB517" s="105">
        <v>10</v>
      </c>
      <c r="AC517" s="321">
        <v>0.152</v>
      </c>
      <c r="AD517" s="205">
        <v>0.152</v>
      </c>
      <c r="AE517" s="105"/>
      <c r="AF517" s="105"/>
    </row>
    <row r="518" spans="1:32" ht="24.95" customHeight="1" x14ac:dyDescent="0.15">
      <c r="A518" s="142" t="s">
        <v>248</v>
      </c>
      <c r="B518" s="120" t="s">
        <v>263</v>
      </c>
      <c r="C518" s="142" t="str">
        <f t="shared" si="159"/>
        <v>到期</v>
      </c>
      <c r="D518" s="103" t="s">
        <v>1843</v>
      </c>
      <c r="E518" s="142" t="s">
        <v>298</v>
      </c>
      <c r="F518" s="144">
        <v>43648</v>
      </c>
      <c r="G518" s="144">
        <v>43676</v>
      </c>
      <c r="H518" s="143" t="s">
        <v>1019</v>
      </c>
      <c r="I518" s="143" t="s">
        <v>275</v>
      </c>
      <c r="J518" s="142" t="s">
        <v>59</v>
      </c>
      <c r="K518" s="105">
        <v>50</v>
      </c>
      <c r="L518" s="105">
        <v>44800</v>
      </c>
      <c r="M518" s="105">
        <v>46670</v>
      </c>
      <c r="N518" s="105">
        <f t="shared" si="171"/>
        <v>193.7</v>
      </c>
      <c r="O518" s="105">
        <f t="shared" si="160"/>
        <v>9685</v>
      </c>
      <c r="P518" s="101" t="s">
        <v>962</v>
      </c>
      <c r="Q518" s="233" t="s">
        <v>1059</v>
      </c>
      <c r="R518" s="105"/>
      <c r="S518" s="105"/>
      <c r="T518" s="144"/>
      <c r="U518" s="105">
        <v>47240</v>
      </c>
      <c r="V518" s="105">
        <v>0</v>
      </c>
      <c r="W518" s="222">
        <v>43676</v>
      </c>
      <c r="X518" s="105">
        <f t="shared" si="172"/>
        <v>9685</v>
      </c>
      <c r="Y518" s="198">
        <f t="shared" si="161"/>
        <v>2333500</v>
      </c>
      <c r="Z518" s="105" t="str">
        <f t="shared" si="168"/>
        <v/>
      </c>
      <c r="AA518" s="105" t="str">
        <f t="shared" si="173"/>
        <v>买入19-新5</v>
      </c>
      <c r="AB518" s="105">
        <v>10</v>
      </c>
      <c r="AC518" s="321">
        <v>0.152</v>
      </c>
      <c r="AD518" s="205">
        <v>0.152</v>
      </c>
      <c r="AE518" s="105"/>
      <c r="AF518" s="105"/>
    </row>
    <row r="519" spans="1:32" ht="24.95" customHeight="1" x14ac:dyDescent="0.15">
      <c r="A519" s="142" t="s">
        <v>248</v>
      </c>
      <c r="B519" s="120" t="s">
        <v>263</v>
      </c>
      <c r="C519" s="142" t="str">
        <f t="shared" si="159"/>
        <v>到期</v>
      </c>
      <c r="D519" s="103" t="s">
        <v>1844</v>
      </c>
      <c r="E519" s="142" t="s">
        <v>298</v>
      </c>
      <c r="F519" s="144">
        <v>43648</v>
      </c>
      <c r="G519" s="144">
        <v>43676</v>
      </c>
      <c r="H519" s="143" t="s">
        <v>1019</v>
      </c>
      <c r="I519" s="143" t="s">
        <v>275</v>
      </c>
      <c r="J519" s="142" t="s">
        <v>56</v>
      </c>
      <c r="K519" s="105">
        <v>50</v>
      </c>
      <c r="L519" s="105">
        <v>48530</v>
      </c>
      <c r="M519" s="105">
        <v>46670</v>
      </c>
      <c r="N519" s="105">
        <f t="shared" si="171"/>
        <v>193.7</v>
      </c>
      <c r="O519" s="105">
        <f t="shared" si="160"/>
        <v>9685</v>
      </c>
      <c r="P519" s="101" t="s">
        <v>963</v>
      </c>
      <c r="Q519" s="233" t="s">
        <v>1060</v>
      </c>
      <c r="R519" s="105"/>
      <c r="S519" s="105"/>
      <c r="T519" s="144"/>
      <c r="U519" s="105">
        <v>47240</v>
      </c>
      <c r="V519" s="105">
        <v>0</v>
      </c>
      <c r="W519" s="222">
        <v>43676</v>
      </c>
      <c r="X519" s="105">
        <f t="shared" si="172"/>
        <v>9685</v>
      </c>
      <c r="Y519" s="198">
        <f t="shared" si="161"/>
        <v>2333500</v>
      </c>
      <c r="Z519" s="105" t="str">
        <f t="shared" si="168"/>
        <v/>
      </c>
      <c r="AA519" s="105" t="str">
        <f t="shared" si="173"/>
        <v>买入19-新5</v>
      </c>
      <c r="AB519" s="105">
        <v>10</v>
      </c>
      <c r="AC519" s="321">
        <v>0.152</v>
      </c>
      <c r="AD519" s="205">
        <v>0.152</v>
      </c>
      <c r="AE519" s="105"/>
      <c r="AF519" s="105"/>
    </row>
    <row r="520" spans="1:32" ht="24.95" customHeight="1" x14ac:dyDescent="0.15">
      <c r="A520" s="142" t="s">
        <v>248</v>
      </c>
      <c r="B520" s="120" t="s">
        <v>263</v>
      </c>
      <c r="C520" s="142" t="str">
        <f t="shared" si="159"/>
        <v>到期</v>
      </c>
      <c r="D520" s="103" t="s">
        <v>1844</v>
      </c>
      <c r="E520" s="142" t="s">
        <v>298</v>
      </c>
      <c r="F520" s="144">
        <v>43648</v>
      </c>
      <c r="G520" s="144">
        <v>43676</v>
      </c>
      <c r="H520" s="143" t="s">
        <v>1019</v>
      </c>
      <c r="I520" s="143" t="s">
        <v>275</v>
      </c>
      <c r="J520" s="142" t="s">
        <v>59</v>
      </c>
      <c r="K520" s="105">
        <v>50</v>
      </c>
      <c r="L520" s="105">
        <v>44800</v>
      </c>
      <c r="M520" s="105">
        <v>46670</v>
      </c>
      <c r="N520" s="105">
        <f t="shared" si="171"/>
        <v>193.7</v>
      </c>
      <c r="O520" s="105">
        <f t="shared" si="160"/>
        <v>9685</v>
      </c>
      <c r="P520" s="101" t="s">
        <v>963</v>
      </c>
      <c r="Q520" s="233" t="s">
        <v>1060</v>
      </c>
      <c r="R520" s="105"/>
      <c r="S520" s="105"/>
      <c r="T520" s="144"/>
      <c r="U520" s="105">
        <v>47240</v>
      </c>
      <c r="V520" s="105">
        <v>0</v>
      </c>
      <c r="W520" s="222">
        <v>43676</v>
      </c>
      <c r="X520" s="105">
        <f t="shared" si="172"/>
        <v>9685</v>
      </c>
      <c r="Y520" s="198">
        <f t="shared" si="161"/>
        <v>2333500</v>
      </c>
      <c r="Z520" s="105" t="str">
        <f t="shared" si="168"/>
        <v/>
      </c>
      <c r="AA520" s="105" t="str">
        <f t="shared" si="173"/>
        <v>买入19-新5</v>
      </c>
      <c r="AB520" s="105">
        <v>10</v>
      </c>
      <c r="AC520" s="321">
        <v>0.152</v>
      </c>
      <c r="AD520" s="205">
        <v>0.152</v>
      </c>
      <c r="AE520" s="105"/>
      <c r="AF520" s="105"/>
    </row>
    <row r="521" spans="1:32" ht="24.95" customHeight="1" x14ac:dyDescent="0.15">
      <c r="A521" s="142" t="s">
        <v>248</v>
      </c>
      <c r="B521" s="120" t="s">
        <v>263</v>
      </c>
      <c r="C521" s="142" t="str">
        <f t="shared" si="159"/>
        <v>到期</v>
      </c>
      <c r="D521" s="103" t="s">
        <v>1845</v>
      </c>
      <c r="E521" s="142" t="s">
        <v>298</v>
      </c>
      <c r="F521" s="144">
        <v>43648</v>
      </c>
      <c r="G521" s="144">
        <v>43676</v>
      </c>
      <c r="H521" s="143" t="s">
        <v>1019</v>
      </c>
      <c r="I521" s="143" t="s">
        <v>275</v>
      </c>
      <c r="J521" s="142" t="s">
        <v>56</v>
      </c>
      <c r="K521" s="105">
        <v>50</v>
      </c>
      <c r="L521" s="105">
        <v>48530</v>
      </c>
      <c r="M521" s="105">
        <v>46670</v>
      </c>
      <c r="N521" s="105">
        <f t="shared" si="171"/>
        <v>193.7</v>
      </c>
      <c r="O521" s="105">
        <f t="shared" si="160"/>
        <v>9685</v>
      </c>
      <c r="P521" s="101" t="s">
        <v>964</v>
      </c>
      <c r="Q521" s="233" t="s">
        <v>1061</v>
      </c>
      <c r="R521" s="105"/>
      <c r="S521" s="105"/>
      <c r="T521" s="144"/>
      <c r="U521" s="105">
        <v>47240</v>
      </c>
      <c r="V521" s="105">
        <v>0</v>
      </c>
      <c r="W521" s="222">
        <v>43676</v>
      </c>
      <c r="X521" s="105">
        <f t="shared" si="172"/>
        <v>9685</v>
      </c>
      <c r="Y521" s="198">
        <f t="shared" si="161"/>
        <v>2333500</v>
      </c>
      <c r="Z521" s="105" t="str">
        <f t="shared" si="168"/>
        <v/>
      </c>
      <c r="AA521" s="105" t="str">
        <f t="shared" si="173"/>
        <v>买入19-新5</v>
      </c>
      <c r="AB521" s="105">
        <v>10</v>
      </c>
      <c r="AC521" s="321">
        <v>0.152</v>
      </c>
      <c r="AD521" s="205">
        <v>0.152</v>
      </c>
      <c r="AE521" s="105"/>
      <c r="AF521" s="105"/>
    </row>
    <row r="522" spans="1:32" ht="24.95" customHeight="1" x14ac:dyDescent="0.15">
      <c r="A522" s="142" t="s">
        <v>248</v>
      </c>
      <c r="B522" s="120" t="s">
        <v>263</v>
      </c>
      <c r="C522" s="142" t="str">
        <f t="shared" si="159"/>
        <v>到期</v>
      </c>
      <c r="D522" s="103" t="s">
        <v>1845</v>
      </c>
      <c r="E522" s="142" t="s">
        <v>298</v>
      </c>
      <c r="F522" s="144">
        <v>43648</v>
      </c>
      <c r="G522" s="144">
        <v>43676</v>
      </c>
      <c r="H522" s="143" t="s">
        <v>1019</v>
      </c>
      <c r="I522" s="143" t="s">
        <v>275</v>
      </c>
      <c r="J522" s="142" t="s">
        <v>59</v>
      </c>
      <c r="K522" s="105">
        <v>50</v>
      </c>
      <c r="L522" s="105">
        <v>44800</v>
      </c>
      <c r="M522" s="105">
        <v>46670</v>
      </c>
      <c r="N522" s="105">
        <f t="shared" si="171"/>
        <v>193.7</v>
      </c>
      <c r="O522" s="105">
        <f t="shared" si="160"/>
        <v>9685</v>
      </c>
      <c r="P522" s="101" t="s">
        <v>964</v>
      </c>
      <c r="Q522" s="233" t="s">
        <v>1061</v>
      </c>
      <c r="R522" s="105"/>
      <c r="S522" s="105"/>
      <c r="T522" s="144"/>
      <c r="U522" s="105">
        <v>47240</v>
      </c>
      <c r="V522" s="105">
        <v>0</v>
      </c>
      <c r="W522" s="222">
        <v>43676</v>
      </c>
      <c r="X522" s="105">
        <f t="shared" si="172"/>
        <v>9685</v>
      </c>
      <c r="Y522" s="198">
        <f t="shared" si="161"/>
        <v>2333500</v>
      </c>
      <c r="Z522" s="105" t="str">
        <f t="shared" si="168"/>
        <v/>
      </c>
      <c r="AA522" s="105" t="str">
        <f t="shared" si="173"/>
        <v>买入19-新5</v>
      </c>
      <c r="AB522" s="105">
        <v>10</v>
      </c>
      <c r="AC522" s="321">
        <v>0.152</v>
      </c>
      <c r="AD522" s="205">
        <v>0.152</v>
      </c>
      <c r="AE522" s="105"/>
      <c r="AF522" s="105"/>
    </row>
    <row r="523" spans="1:32" s="110" customFormat="1" ht="24" customHeight="1" x14ac:dyDescent="0.15">
      <c r="A523" s="142" t="s">
        <v>244</v>
      </c>
      <c r="B523" s="142" t="s">
        <v>295</v>
      </c>
      <c r="C523" s="142" t="str">
        <f t="shared" si="159"/>
        <v>到期</v>
      </c>
      <c r="D523" s="123" t="s">
        <v>1846</v>
      </c>
      <c r="E523" s="142" t="s">
        <v>137</v>
      </c>
      <c r="F523" s="144">
        <v>43648</v>
      </c>
      <c r="G523" s="144">
        <v>43689</v>
      </c>
      <c r="H523" s="143" t="s">
        <v>930</v>
      </c>
      <c r="I523" s="143" t="s">
        <v>241</v>
      </c>
      <c r="J523" s="142" t="s">
        <v>22</v>
      </c>
      <c r="K523" s="105">
        <v>7000</v>
      </c>
      <c r="L523" s="105">
        <v>324.01</v>
      </c>
      <c r="M523" s="105">
        <v>311.55</v>
      </c>
      <c r="N523" s="105">
        <v>1.27</v>
      </c>
      <c r="O523" s="105">
        <f t="shared" si="160"/>
        <v>8890</v>
      </c>
      <c r="P523" s="101" t="s">
        <v>1280</v>
      </c>
      <c r="Q523" s="101" t="s">
        <v>1386</v>
      </c>
      <c r="R523" s="105"/>
      <c r="S523" s="105"/>
      <c r="T523" s="144"/>
      <c r="U523" s="104">
        <v>344.25</v>
      </c>
      <c r="V523" s="105">
        <f>(U523-L523)*K523</f>
        <v>141680.00000000006</v>
      </c>
      <c r="W523" s="281">
        <v>43689</v>
      </c>
      <c r="X523" s="105">
        <f>IF(I523="买入",V523-O523,V523+O523)</f>
        <v>132790.00000000006</v>
      </c>
      <c r="Y523" s="197">
        <f t="shared" si="161"/>
        <v>2180850</v>
      </c>
      <c r="Z523" s="143" t="str">
        <f t="shared" si="168"/>
        <v/>
      </c>
      <c r="AA523" s="105" t="str">
        <f t="shared" si="173"/>
        <v>卖出</v>
      </c>
      <c r="AB523" s="105">
        <v>11</v>
      </c>
      <c r="AC523" s="321">
        <v>0.122</v>
      </c>
      <c r="AD523" s="105"/>
      <c r="AE523" s="105"/>
      <c r="AF523" s="105"/>
    </row>
    <row r="524" spans="1:32" s="110" customFormat="1" ht="24" customHeight="1" x14ac:dyDescent="0.15">
      <c r="A524" s="142" t="s">
        <v>244</v>
      </c>
      <c r="B524" s="142" t="s">
        <v>295</v>
      </c>
      <c r="C524" s="142" t="str">
        <f t="shared" si="159"/>
        <v>到期</v>
      </c>
      <c r="D524" s="123" t="s">
        <v>1846</v>
      </c>
      <c r="E524" s="142" t="s">
        <v>137</v>
      </c>
      <c r="F524" s="144">
        <v>43648</v>
      </c>
      <c r="G524" s="144">
        <v>43689</v>
      </c>
      <c r="H524" s="143" t="s">
        <v>930</v>
      </c>
      <c r="I524" s="143" t="s">
        <v>241</v>
      </c>
      <c r="J524" s="142" t="s">
        <v>25</v>
      </c>
      <c r="K524" s="105">
        <v>7000</v>
      </c>
      <c r="L524" s="105">
        <v>299.08999999999997</v>
      </c>
      <c r="M524" s="105">
        <v>311.55</v>
      </c>
      <c r="N524" s="105">
        <v>1.1299999999999999</v>
      </c>
      <c r="O524" s="105">
        <f>N524*K524</f>
        <v>7909.9999999999991</v>
      </c>
      <c r="P524" s="101" t="s">
        <v>1281</v>
      </c>
      <c r="Q524" s="101" t="s">
        <v>1387</v>
      </c>
      <c r="R524" s="105"/>
      <c r="S524" s="105"/>
      <c r="T524" s="144"/>
      <c r="U524" s="104">
        <v>344.25</v>
      </c>
      <c r="V524" s="105">
        <v>0</v>
      </c>
      <c r="W524" s="281">
        <v>43689</v>
      </c>
      <c r="X524" s="105">
        <f>IF(I524="买入",V524-O524,V524+O524)</f>
        <v>-7909.9999999999991</v>
      </c>
      <c r="Y524" s="197">
        <f t="shared" si="161"/>
        <v>2180850</v>
      </c>
      <c r="Z524" s="143" t="str">
        <f t="shared" si="168"/>
        <v/>
      </c>
      <c r="AA524" s="105" t="str">
        <f t="shared" si="173"/>
        <v>卖出</v>
      </c>
      <c r="AB524" s="105">
        <v>11</v>
      </c>
      <c r="AC524" s="321">
        <v>0.122</v>
      </c>
      <c r="AD524" s="105"/>
      <c r="AE524" s="105"/>
      <c r="AF524" s="105"/>
    </row>
    <row r="525" spans="1:32" ht="24.95" customHeight="1" x14ac:dyDescent="0.15">
      <c r="A525" s="142" t="s">
        <v>394</v>
      </c>
      <c r="B525" s="120" t="s">
        <v>264</v>
      </c>
      <c r="C525" s="142" t="str">
        <f t="shared" si="159"/>
        <v>到期</v>
      </c>
      <c r="D525" s="128" t="s">
        <v>1846</v>
      </c>
      <c r="E525" s="142" t="s">
        <v>255</v>
      </c>
      <c r="F525" s="144">
        <v>43649</v>
      </c>
      <c r="G525" s="144">
        <v>43678</v>
      </c>
      <c r="H525" s="143" t="s">
        <v>902</v>
      </c>
      <c r="I525" s="143" t="s">
        <v>241</v>
      </c>
      <c r="J525" s="140" t="s">
        <v>22</v>
      </c>
      <c r="K525" s="105">
        <v>10000</v>
      </c>
      <c r="L525" s="105">
        <v>949.2</v>
      </c>
      <c r="M525" s="105">
        <v>904</v>
      </c>
      <c r="N525" s="105">
        <v>17.61</v>
      </c>
      <c r="O525" s="105">
        <f t="shared" si="160"/>
        <v>176100</v>
      </c>
      <c r="P525" s="101" t="s">
        <v>1299</v>
      </c>
      <c r="Q525" s="101" t="s">
        <v>1375</v>
      </c>
      <c r="R525" s="105"/>
      <c r="S525" s="105"/>
      <c r="T525" s="143"/>
      <c r="U525" s="143">
        <v>886</v>
      </c>
      <c r="V525" s="142">
        <v>0</v>
      </c>
      <c r="W525" s="234">
        <v>43678</v>
      </c>
      <c r="X525" s="105">
        <f>IF(I525="买入",V525-O525,V525+O525)</f>
        <v>-176100</v>
      </c>
      <c r="Y525" s="198">
        <f t="shared" si="161"/>
        <v>9040000</v>
      </c>
      <c r="Z525" s="105" t="str">
        <f t="shared" si="168"/>
        <v/>
      </c>
      <c r="AA525" s="105" t="str">
        <f t="shared" ref="AA525:AA526" si="174">IF(I525="买入","卖出","买入")</f>
        <v>卖出</v>
      </c>
      <c r="AB525" s="105">
        <v>12</v>
      </c>
      <c r="AC525" s="321">
        <v>0.34350000000000003</v>
      </c>
      <c r="AD525" s="105"/>
      <c r="AE525" s="105"/>
      <c r="AF525" s="105"/>
    </row>
    <row r="526" spans="1:32" ht="24.95" customHeight="1" x14ac:dyDescent="0.15">
      <c r="A526" s="142" t="s">
        <v>394</v>
      </c>
      <c r="B526" s="120" t="s">
        <v>264</v>
      </c>
      <c r="C526" s="142" t="str">
        <f t="shared" si="159"/>
        <v>到期</v>
      </c>
      <c r="D526" s="128" t="s">
        <v>1846</v>
      </c>
      <c r="E526" s="142" t="s">
        <v>255</v>
      </c>
      <c r="F526" s="144">
        <v>43649</v>
      </c>
      <c r="G526" s="144">
        <v>43678</v>
      </c>
      <c r="H526" s="143" t="s">
        <v>902</v>
      </c>
      <c r="I526" s="143" t="s">
        <v>241</v>
      </c>
      <c r="J526" s="140" t="s">
        <v>25</v>
      </c>
      <c r="K526" s="105">
        <v>10000</v>
      </c>
      <c r="L526" s="105">
        <v>858.8</v>
      </c>
      <c r="M526" s="105">
        <v>904</v>
      </c>
      <c r="N526" s="105">
        <v>16.09</v>
      </c>
      <c r="O526" s="105">
        <f t="shared" si="160"/>
        <v>160900</v>
      </c>
      <c r="P526" s="101" t="s">
        <v>1299</v>
      </c>
      <c r="Q526" s="101" t="s">
        <v>1376</v>
      </c>
      <c r="R526" s="105"/>
      <c r="S526" s="105"/>
      <c r="T526" s="143"/>
      <c r="U526" s="143">
        <v>886</v>
      </c>
      <c r="V526" s="142">
        <v>0</v>
      </c>
      <c r="W526" s="234">
        <v>43678</v>
      </c>
      <c r="X526" s="105">
        <f>IF(I526="买入",V526-O526,V526+O526)</f>
        <v>-160900</v>
      </c>
      <c r="Y526" s="198">
        <f t="shared" si="161"/>
        <v>9040000</v>
      </c>
      <c r="Z526" s="105" t="str">
        <f t="shared" si="168"/>
        <v/>
      </c>
      <c r="AA526" s="105" t="str">
        <f t="shared" si="174"/>
        <v>卖出</v>
      </c>
      <c r="AB526" s="105">
        <v>12</v>
      </c>
      <c r="AC526" s="321">
        <v>0.34350000000000003</v>
      </c>
      <c r="AD526" s="105"/>
      <c r="AE526" s="105"/>
      <c r="AF526" s="105"/>
    </row>
    <row r="527" spans="1:32" ht="24.95" customHeight="1" x14ac:dyDescent="0.15">
      <c r="A527" s="142" t="s">
        <v>244</v>
      </c>
      <c r="B527" s="142" t="s">
        <v>297</v>
      </c>
      <c r="C527" s="142" t="str">
        <f>IF(Q527="","存续","到期")</f>
        <v>到期</v>
      </c>
      <c r="D527" s="123" t="s">
        <v>932</v>
      </c>
      <c r="E527" s="142" t="s">
        <v>298</v>
      </c>
      <c r="F527" s="144">
        <v>43649</v>
      </c>
      <c r="G527" s="144">
        <v>43672</v>
      </c>
      <c r="H527" s="143" t="s">
        <v>931</v>
      </c>
      <c r="I527" s="143" t="s">
        <v>241</v>
      </c>
      <c r="J527" s="142" t="s">
        <v>974</v>
      </c>
      <c r="K527" s="105">
        <v>500</v>
      </c>
      <c r="L527" s="105">
        <v>8530</v>
      </c>
      <c r="M527" s="105">
        <v>8445</v>
      </c>
      <c r="N527" s="105">
        <v>163.15</v>
      </c>
      <c r="O527" s="105">
        <f>N527*K527</f>
        <v>81575</v>
      </c>
      <c r="P527" s="101" t="s">
        <v>936</v>
      </c>
      <c r="Q527" s="101" t="s">
        <v>937</v>
      </c>
      <c r="R527" s="105">
        <v>263.89999999999998</v>
      </c>
      <c r="S527" s="105">
        <f>263.9*500</f>
        <v>131950</v>
      </c>
      <c r="T527" s="144">
        <v>43650</v>
      </c>
      <c r="U527" s="104"/>
      <c r="V527" s="104"/>
      <c r="W527" s="48"/>
      <c r="X527" s="104">
        <f t="shared" ref="X527:X528" si="175">IF(I527="买入",S527-O527,O527+S527)</f>
        <v>50375</v>
      </c>
      <c r="Y527" s="197">
        <f>M527*K527</f>
        <v>4222500</v>
      </c>
      <c r="Z527" s="143" t="str">
        <f t="shared" si="168"/>
        <v/>
      </c>
      <c r="AA527" s="143" t="str">
        <f>IF(I527="买入","卖出","买入")</f>
        <v>卖出</v>
      </c>
      <c r="AB527" s="203"/>
      <c r="AC527" s="321">
        <v>0.18</v>
      </c>
      <c r="AD527" s="321">
        <v>0.16</v>
      </c>
      <c r="AE527" s="324" t="s">
        <v>1335</v>
      </c>
      <c r="AF527" s="105"/>
    </row>
    <row r="528" spans="1:32" ht="24.95" customHeight="1" x14ac:dyDescent="0.15">
      <c r="A528" s="142" t="s">
        <v>247</v>
      </c>
      <c r="B528" s="142" t="s">
        <v>764</v>
      </c>
      <c r="C528" s="142" t="str">
        <f t="shared" ref="C528:C562" si="176">IF(Q528="","存续","到期")</f>
        <v>到期</v>
      </c>
      <c r="D528" s="127" t="s">
        <v>932</v>
      </c>
      <c r="E528" s="142" t="s">
        <v>298</v>
      </c>
      <c r="F528" s="144">
        <v>43649</v>
      </c>
      <c r="G528" s="144">
        <v>43664</v>
      </c>
      <c r="H528" s="143" t="s">
        <v>933</v>
      </c>
      <c r="I528" s="143" t="s">
        <v>241</v>
      </c>
      <c r="J528" s="142" t="s">
        <v>59</v>
      </c>
      <c r="K528" s="105">
        <v>500</v>
      </c>
      <c r="L528" s="105">
        <v>8250</v>
      </c>
      <c r="M528" s="105">
        <v>8350</v>
      </c>
      <c r="N528" s="105">
        <v>92.29</v>
      </c>
      <c r="O528" s="105">
        <f>N528*K528</f>
        <v>46145</v>
      </c>
      <c r="P528" s="101" t="s">
        <v>934</v>
      </c>
      <c r="Q528" s="101" t="s">
        <v>938</v>
      </c>
      <c r="R528" s="105">
        <v>171.84</v>
      </c>
      <c r="S528" s="105">
        <f>R528*K528</f>
        <v>85920</v>
      </c>
      <c r="T528" s="144">
        <v>43650</v>
      </c>
      <c r="U528" s="105"/>
      <c r="V528" s="105"/>
      <c r="W528" s="144"/>
      <c r="X528" s="104">
        <f t="shared" si="175"/>
        <v>39775</v>
      </c>
      <c r="Y528" s="197">
        <f>M528*K528</f>
        <v>4175000</v>
      </c>
      <c r="Z528" s="143" t="str">
        <f t="shared" si="168"/>
        <v/>
      </c>
      <c r="AA528" s="143" t="str">
        <f t="shared" ref="AA528:AA532" si="177">IF(I528="买入","卖出","买入")</f>
        <v>卖出</v>
      </c>
      <c r="AB528" s="203"/>
      <c r="AC528" s="321">
        <v>0.19350000000000001</v>
      </c>
      <c r="AD528" s="321">
        <v>0.15</v>
      </c>
      <c r="AE528" s="324" t="s">
        <v>1335</v>
      </c>
      <c r="AF528" s="105"/>
    </row>
    <row r="529" spans="1:32" ht="24.95" customHeight="1" x14ac:dyDescent="0.15">
      <c r="A529" s="142" t="s">
        <v>247</v>
      </c>
      <c r="B529" s="142" t="s">
        <v>764</v>
      </c>
      <c r="C529" s="142" t="str">
        <f t="shared" si="176"/>
        <v>到期</v>
      </c>
      <c r="D529" s="127" t="s">
        <v>932</v>
      </c>
      <c r="E529" s="142" t="s">
        <v>298</v>
      </c>
      <c r="F529" s="144">
        <v>43649</v>
      </c>
      <c r="G529" s="144">
        <v>43664</v>
      </c>
      <c r="H529" s="143" t="s">
        <v>933</v>
      </c>
      <c r="I529" s="143" t="s">
        <v>222</v>
      </c>
      <c r="J529" s="142" t="s">
        <v>59</v>
      </c>
      <c r="K529" s="105">
        <v>500</v>
      </c>
      <c r="L529" s="105">
        <v>8000</v>
      </c>
      <c r="M529" s="105">
        <v>8350</v>
      </c>
      <c r="N529" s="105">
        <v>17.670000000000002</v>
      </c>
      <c r="O529" s="105">
        <f>N529*K529</f>
        <v>8835</v>
      </c>
      <c r="P529" s="101" t="s">
        <v>934</v>
      </c>
      <c r="Q529" s="101" t="s">
        <v>938</v>
      </c>
      <c r="R529" s="105">
        <v>58.93</v>
      </c>
      <c r="S529" s="104">
        <f>-R529*K529</f>
        <v>-29465</v>
      </c>
      <c r="T529" s="144">
        <v>43650</v>
      </c>
      <c r="U529" s="105"/>
      <c r="V529" s="105"/>
      <c r="W529" s="144"/>
      <c r="X529" s="104">
        <f>IF(I529="买入",S529-O529,O529+S529)</f>
        <v>-20630</v>
      </c>
      <c r="Y529" s="197">
        <f>M529*K529</f>
        <v>4175000</v>
      </c>
      <c r="Z529" s="143" t="str">
        <f t="shared" si="168"/>
        <v/>
      </c>
      <c r="AA529" s="143" t="str">
        <f t="shared" si="177"/>
        <v>买入</v>
      </c>
      <c r="AB529" s="203"/>
      <c r="AC529" s="321">
        <v>0.15</v>
      </c>
      <c r="AD529" s="321">
        <v>0.17100000000000001</v>
      </c>
      <c r="AE529" s="324" t="s">
        <v>1335</v>
      </c>
      <c r="AF529" s="105"/>
    </row>
    <row r="530" spans="1:32" ht="24.95" customHeight="1" x14ac:dyDescent="0.15">
      <c r="A530" s="142" t="s">
        <v>394</v>
      </c>
      <c r="B530" s="120" t="s">
        <v>264</v>
      </c>
      <c r="C530" s="142" t="str">
        <f t="shared" si="176"/>
        <v>到期</v>
      </c>
      <c r="D530" s="128" t="s">
        <v>1846</v>
      </c>
      <c r="E530" s="142" t="s">
        <v>255</v>
      </c>
      <c r="F530" s="144">
        <v>43650</v>
      </c>
      <c r="G530" s="144">
        <v>43679</v>
      </c>
      <c r="H530" s="143" t="s">
        <v>902</v>
      </c>
      <c r="I530" s="143" t="s">
        <v>241</v>
      </c>
      <c r="J530" s="140" t="s">
        <v>22</v>
      </c>
      <c r="K530" s="105">
        <v>5000</v>
      </c>
      <c r="L530" s="105">
        <v>926</v>
      </c>
      <c r="M530" s="105">
        <v>899</v>
      </c>
      <c r="N530" s="105">
        <v>23.2</v>
      </c>
      <c r="O530" s="105">
        <f t="shared" ref="O530:O561" si="178">N530*K530</f>
        <v>116000</v>
      </c>
      <c r="P530" s="101" t="s">
        <v>1282</v>
      </c>
      <c r="Q530" s="101" t="s">
        <v>1377</v>
      </c>
      <c r="R530" s="105"/>
      <c r="S530" s="105"/>
      <c r="T530" s="143"/>
      <c r="U530" s="143">
        <v>866</v>
      </c>
      <c r="V530" s="142">
        <v>0</v>
      </c>
      <c r="W530" s="236">
        <v>43679</v>
      </c>
      <c r="X530" s="105">
        <f t="shared" ref="X530" si="179">IF(I530="买入",V530-O530,V530+O530)</f>
        <v>-116000</v>
      </c>
      <c r="Y530" s="198">
        <f t="shared" ref="Y530:Y564" si="180">M530*K530</f>
        <v>4495000</v>
      </c>
      <c r="Z530" s="105" t="str">
        <f t="shared" si="168"/>
        <v/>
      </c>
      <c r="AA530" s="105" t="str">
        <f t="shared" si="177"/>
        <v>卖出</v>
      </c>
      <c r="AB530" s="105">
        <v>13</v>
      </c>
      <c r="AC530" s="321">
        <v>0.33299999999999996</v>
      </c>
      <c r="AD530" s="105"/>
      <c r="AE530" s="105"/>
      <c r="AF530" s="105"/>
    </row>
    <row r="531" spans="1:32" ht="24.95" customHeight="1" x14ac:dyDescent="0.15">
      <c r="A531" s="142" t="s">
        <v>394</v>
      </c>
      <c r="B531" s="120" t="s">
        <v>264</v>
      </c>
      <c r="C531" s="142" t="str">
        <f t="shared" si="176"/>
        <v>到期</v>
      </c>
      <c r="D531" s="128" t="s">
        <v>1846</v>
      </c>
      <c r="E531" s="142" t="s">
        <v>255</v>
      </c>
      <c r="F531" s="144">
        <v>43650</v>
      </c>
      <c r="G531" s="144">
        <v>43679</v>
      </c>
      <c r="H531" s="143" t="s">
        <v>902</v>
      </c>
      <c r="I531" s="143" t="s">
        <v>241</v>
      </c>
      <c r="J531" s="140" t="s">
        <v>25</v>
      </c>
      <c r="K531" s="105">
        <v>5000</v>
      </c>
      <c r="L531" s="105">
        <v>872</v>
      </c>
      <c r="M531" s="105">
        <v>899</v>
      </c>
      <c r="N531" s="105">
        <v>22.2</v>
      </c>
      <c r="O531" s="105">
        <f t="shared" si="178"/>
        <v>111000</v>
      </c>
      <c r="P531" s="101" t="s">
        <v>1282</v>
      </c>
      <c r="Q531" s="101" t="s">
        <v>1377</v>
      </c>
      <c r="R531" s="105"/>
      <c r="S531" s="105"/>
      <c r="T531" s="143"/>
      <c r="U531" s="143">
        <v>866</v>
      </c>
      <c r="V531" s="104">
        <f>(L531-U531)*K531</f>
        <v>30000</v>
      </c>
      <c r="W531" s="236">
        <v>43679</v>
      </c>
      <c r="X531" s="105">
        <f>IF(I531="买入",V531-O531,V531+O531)</f>
        <v>-81000</v>
      </c>
      <c r="Y531" s="198">
        <f t="shared" si="180"/>
        <v>4495000</v>
      </c>
      <c r="Z531" s="105" t="str">
        <f t="shared" si="168"/>
        <v/>
      </c>
      <c r="AA531" s="105" t="str">
        <f t="shared" si="177"/>
        <v>卖出</v>
      </c>
      <c r="AB531" s="105">
        <v>13</v>
      </c>
      <c r="AC531" s="321">
        <v>0.33299999999999996</v>
      </c>
      <c r="AD531" s="105"/>
      <c r="AE531" s="105"/>
      <c r="AF531" s="104"/>
    </row>
    <row r="532" spans="1:32" ht="24.95" customHeight="1" x14ac:dyDescent="0.15">
      <c r="A532" s="142" t="s">
        <v>394</v>
      </c>
      <c r="B532" s="120" t="s">
        <v>297</v>
      </c>
      <c r="C532" s="142" t="str">
        <f t="shared" si="176"/>
        <v>到期</v>
      </c>
      <c r="D532" s="128" t="s">
        <v>1838</v>
      </c>
      <c r="E532" s="142" t="s">
        <v>255</v>
      </c>
      <c r="F532" s="144">
        <v>43650</v>
      </c>
      <c r="G532" s="144">
        <v>43682</v>
      </c>
      <c r="H532" s="143" t="s">
        <v>902</v>
      </c>
      <c r="I532" s="143" t="s">
        <v>241</v>
      </c>
      <c r="J532" s="142" t="s">
        <v>59</v>
      </c>
      <c r="K532" s="105">
        <v>10000</v>
      </c>
      <c r="L532" s="105">
        <v>840</v>
      </c>
      <c r="M532" s="105">
        <v>866</v>
      </c>
      <c r="N532" s="105">
        <v>24.68</v>
      </c>
      <c r="O532" s="105">
        <f t="shared" si="178"/>
        <v>246800</v>
      </c>
      <c r="P532" s="101" t="s">
        <v>1254</v>
      </c>
      <c r="Q532" s="101" t="s">
        <v>1253</v>
      </c>
      <c r="R532" s="105"/>
      <c r="S532" s="105"/>
      <c r="T532" s="143"/>
      <c r="U532" s="143">
        <v>803</v>
      </c>
      <c r="V532" s="104">
        <f>(L532-U532)*K532</f>
        <v>370000</v>
      </c>
      <c r="W532" s="242">
        <v>43682</v>
      </c>
      <c r="X532" s="105">
        <f>IF(I532="买入",V532-O532,V532+O532)</f>
        <v>123200</v>
      </c>
      <c r="Y532" s="198">
        <f t="shared" si="180"/>
        <v>8660000</v>
      </c>
      <c r="Z532" s="105" t="str">
        <f t="shared" si="168"/>
        <v/>
      </c>
      <c r="AA532" s="105" t="str">
        <f t="shared" si="177"/>
        <v>卖出</v>
      </c>
      <c r="AB532" s="105">
        <v>14</v>
      </c>
      <c r="AC532" s="321">
        <v>0.35610000000000003</v>
      </c>
      <c r="AD532" s="105"/>
      <c r="AE532" s="105"/>
      <c r="AF532" s="104"/>
    </row>
    <row r="533" spans="1:32" ht="24.95" customHeight="1" x14ac:dyDescent="0.15">
      <c r="A533" s="142" t="s">
        <v>244</v>
      </c>
      <c r="B533" s="142" t="s">
        <v>295</v>
      </c>
      <c r="C533" s="142" t="str">
        <f>IF(Q533="","存续","到期")</f>
        <v>到期</v>
      </c>
      <c r="D533" s="123" t="s">
        <v>1840</v>
      </c>
      <c r="E533" s="142" t="s">
        <v>255</v>
      </c>
      <c r="F533" s="144">
        <v>43650</v>
      </c>
      <c r="G533" s="144">
        <v>43691</v>
      </c>
      <c r="H533" s="105" t="s">
        <v>935</v>
      </c>
      <c r="I533" s="143" t="s">
        <v>241</v>
      </c>
      <c r="J533" s="152" t="s">
        <v>22</v>
      </c>
      <c r="K533" s="105">
        <v>500</v>
      </c>
      <c r="L533" s="105">
        <v>5632</v>
      </c>
      <c r="M533" s="105">
        <v>5416</v>
      </c>
      <c r="N533" s="105">
        <v>19.5</v>
      </c>
      <c r="O533" s="105">
        <f t="shared" si="178"/>
        <v>9750</v>
      </c>
      <c r="P533" s="101" t="s">
        <v>1038</v>
      </c>
      <c r="Q533" s="101" t="s">
        <v>1224</v>
      </c>
      <c r="R533" s="105">
        <v>458</v>
      </c>
      <c r="S533" s="104">
        <f>R533*K533</f>
        <v>229000</v>
      </c>
      <c r="T533" s="48">
        <v>43691</v>
      </c>
      <c r="U533" s="105"/>
      <c r="V533" s="105"/>
      <c r="W533" s="48"/>
      <c r="X533" s="104">
        <f t="shared" ref="X533:X534" si="181">IF(I533="买入",S533-O533,O533+S533)</f>
        <v>219250</v>
      </c>
      <c r="Y533" s="198">
        <f t="shared" si="180"/>
        <v>2708000</v>
      </c>
      <c r="Z533" s="105" t="str">
        <f t="shared" ref="Z533:Z535" si="182">IF(C533="存续",D533&amp;H533&amp;"-"&amp;AA533,"")</f>
        <v/>
      </c>
      <c r="AA533" s="105" t="str">
        <f t="shared" ref="AA533:AA535" si="183">IF(I533="买入","卖出","买入")</f>
        <v>卖出</v>
      </c>
      <c r="AB533" s="105">
        <v>15</v>
      </c>
      <c r="AC533" s="321">
        <v>0.11799999999999999</v>
      </c>
      <c r="AD533" s="105"/>
      <c r="AE533" s="105"/>
      <c r="AF533" s="104"/>
    </row>
    <row r="534" spans="1:32" ht="24.95" customHeight="1" x14ac:dyDescent="0.15">
      <c r="A534" s="142" t="s">
        <v>244</v>
      </c>
      <c r="B534" s="142" t="s">
        <v>295</v>
      </c>
      <c r="C534" s="142" t="str">
        <f t="shared" si="176"/>
        <v>到期</v>
      </c>
      <c r="D534" s="123" t="s">
        <v>1840</v>
      </c>
      <c r="E534" s="142" t="s">
        <v>255</v>
      </c>
      <c r="F534" s="144">
        <v>43650</v>
      </c>
      <c r="G534" s="144">
        <v>43691</v>
      </c>
      <c r="H534" s="105" t="s">
        <v>935</v>
      </c>
      <c r="I534" s="143" t="s">
        <v>241</v>
      </c>
      <c r="J534" s="152" t="s">
        <v>25</v>
      </c>
      <c r="K534" s="105">
        <v>500</v>
      </c>
      <c r="L534" s="105">
        <v>5200</v>
      </c>
      <c r="M534" s="105">
        <v>5416</v>
      </c>
      <c r="N534" s="105">
        <v>17.38</v>
      </c>
      <c r="O534" s="105">
        <f t="shared" si="178"/>
        <v>8690</v>
      </c>
      <c r="P534" s="101" t="s">
        <v>1039</v>
      </c>
      <c r="Q534" s="101" t="s">
        <v>1224</v>
      </c>
      <c r="R534" s="105">
        <v>0</v>
      </c>
      <c r="S534" s="104">
        <v>0</v>
      </c>
      <c r="T534" s="48">
        <v>43691</v>
      </c>
      <c r="U534" s="105"/>
      <c r="V534" s="105"/>
      <c r="W534" s="48"/>
      <c r="X534" s="104">
        <f t="shared" si="181"/>
        <v>-8690</v>
      </c>
      <c r="Y534" s="198">
        <f>M534*K534</f>
        <v>2708000</v>
      </c>
      <c r="Z534" s="105" t="str">
        <f t="shared" si="182"/>
        <v/>
      </c>
      <c r="AA534" s="105" t="str">
        <f t="shared" si="183"/>
        <v>卖出</v>
      </c>
      <c r="AB534" s="105">
        <v>15</v>
      </c>
      <c r="AC534" s="321">
        <v>0.11799999999999999</v>
      </c>
      <c r="AD534" s="105"/>
      <c r="AE534" s="105"/>
      <c r="AF534" s="104"/>
    </row>
    <row r="535" spans="1:32" ht="24.95" customHeight="1" x14ac:dyDescent="0.15">
      <c r="A535" s="142" t="s">
        <v>244</v>
      </c>
      <c r="B535" s="120" t="s">
        <v>263</v>
      </c>
      <c r="C535" s="142" t="str">
        <f t="shared" si="176"/>
        <v>到期</v>
      </c>
      <c r="D535" s="123" t="s">
        <v>942</v>
      </c>
      <c r="E535" s="142" t="s">
        <v>255</v>
      </c>
      <c r="F535" s="144">
        <v>43654</v>
      </c>
      <c r="G535" s="144">
        <v>43675</v>
      </c>
      <c r="H535" s="143" t="s">
        <v>754</v>
      </c>
      <c r="I535" s="105" t="s">
        <v>222</v>
      </c>
      <c r="J535" s="142" t="s">
        <v>56</v>
      </c>
      <c r="K535" s="105">
        <v>1000</v>
      </c>
      <c r="L535" s="105">
        <v>8085</v>
      </c>
      <c r="M535" s="105">
        <v>8085</v>
      </c>
      <c r="N535" s="105">
        <v>124.7</v>
      </c>
      <c r="O535" s="105">
        <f t="shared" si="178"/>
        <v>124700</v>
      </c>
      <c r="P535" s="101" t="s">
        <v>965</v>
      </c>
      <c r="Q535" s="101" t="s">
        <v>971</v>
      </c>
      <c r="R535" s="105">
        <v>10.6</v>
      </c>
      <c r="S535" s="105">
        <f>-R535*K535</f>
        <v>-10600</v>
      </c>
      <c r="T535" s="144">
        <v>43663</v>
      </c>
      <c r="U535" s="105"/>
      <c r="V535" s="105"/>
      <c r="W535" s="144"/>
      <c r="X535" s="104">
        <f>IF(I535="买入",S535-O535,O535+S535)</f>
        <v>114100</v>
      </c>
      <c r="Y535" s="198">
        <f>M535*K535</f>
        <v>8085000</v>
      </c>
      <c r="Z535" s="105" t="str">
        <f t="shared" si="182"/>
        <v/>
      </c>
      <c r="AA535" s="105" t="str">
        <f t="shared" si="183"/>
        <v>买入</v>
      </c>
      <c r="AB535" s="105"/>
      <c r="AC535" s="321">
        <v>0.17499999999999999</v>
      </c>
      <c r="AD535" s="105"/>
      <c r="AE535" s="324" t="s">
        <v>1335</v>
      </c>
      <c r="AF535" s="104"/>
    </row>
    <row r="536" spans="1:32" ht="24.95" customHeight="1" x14ac:dyDescent="0.15">
      <c r="A536" s="142" t="s">
        <v>394</v>
      </c>
      <c r="B536" s="120" t="s">
        <v>764</v>
      </c>
      <c r="C536" s="270" t="str">
        <f t="shared" si="176"/>
        <v>到期</v>
      </c>
      <c r="D536" s="128" t="s">
        <v>1846</v>
      </c>
      <c r="E536" s="142" t="s">
        <v>255</v>
      </c>
      <c r="F536" s="144">
        <v>43654</v>
      </c>
      <c r="G536" s="144">
        <v>43686</v>
      </c>
      <c r="H536" s="143" t="s">
        <v>902</v>
      </c>
      <c r="I536" s="143" t="s">
        <v>241</v>
      </c>
      <c r="J536" s="140" t="s">
        <v>22</v>
      </c>
      <c r="K536" s="105">
        <v>10000</v>
      </c>
      <c r="L536" s="105">
        <v>920</v>
      </c>
      <c r="M536" s="105">
        <v>856</v>
      </c>
      <c r="N536" s="105">
        <v>15.8</v>
      </c>
      <c r="O536" s="105">
        <f t="shared" si="178"/>
        <v>158000</v>
      </c>
      <c r="P536" s="101" t="s">
        <v>1283</v>
      </c>
      <c r="Q536" s="101" t="s">
        <v>1385</v>
      </c>
      <c r="R536" s="105"/>
      <c r="S536" s="105"/>
      <c r="T536" s="143"/>
      <c r="U536" s="143">
        <v>738</v>
      </c>
      <c r="V536" s="142">
        <v>0</v>
      </c>
      <c r="W536" s="272">
        <v>43686</v>
      </c>
      <c r="X536" s="105">
        <f>IF(I536="买入",V536-O536,V536+O536)</f>
        <v>-158000</v>
      </c>
      <c r="Y536" s="198">
        <f t="shared" si="180"/>
        <v>8560000</v>
      </c>
      <c r="Z536" s="105" t="str">
        <f t="shared" ref="Z536:Z550" si="184">IF(C536="存续",D536&amp;H536&amp;"-"&amp;AA536,"")</f>
        <v/>
      </c>
      <c r="AA536" s="105" t="str">
        <f t="shared" ref="AA536:AA540" si="185">IF(I536="买入","卖出","买入")</f>
        <v>卖出</v>
      </c>
      <c r="AB536" s="105">
        <v>16</v>
      </c>
      <c r="AC536" s="321">
        <v>0.36049999999999999</v>
      </c>
      <c r="AD536" s="105"/>
      <c r="AE536" s="105"/>
      <c r="AF536" s="104"/>
    </row>
    <row r="537" spans="1:32" ht="24.95" customHeight="1" x14ac:dyDescent="0.15">
      <c r="A537" s="142" t="s">
        <v>394</v>
      </c>
      <c r="B537" s="120" t="s">
        <v>764</v>
      </c>
      <c r="C537" s="142" t="str">
        <f t="shared" si="176"/>
        <v>到期</v>
      </c>
      <c r="D537" s="128" t="s">
        <v>1846</v>
      </c>
      <c r="E537" s="142" t="s">
        <v>255</v>
      </c>
      <c r="F537" s="144">
        <v>43654</v>
      </c>
      <c r="G537" s="144">
        <v>43703</v>
      </c>
      <c r="H537" s="143" t="s">
        <v>902</v>
      </c>
      <c r="I537" s="143" t="s">
        <v>241</v>
      </c>
      <c r="J537" s="140" t="s">
        <v>25</v>
      </c>
      <c r="K537" s="105">
        <v>2800</v>
      </c>
      <c r="L537" s="105">
        <v>856</v>
      </c>
      <c r="M537" s="105">
        <v>856</v>
      </c>
      <c r="N537" s="109">
        <v>44.84</v>
      </c>
      <c r="O537" s="109">
        <f t="shared" si="178"/>
        <v>125552.00000000001</v>
      </c>
      <c r="P537" s="101" t="s">
        <v>1284</v>
      </c>
      <c r="Q537" s="101" t="s">
        <v>1374</v>
      </c>
      <c r="R537" s="105">
        <v>125</v>
      </c>
      <c r="S537" s="105">
        <v>350000</v>
      </c>
      <c r="T537" s="297">
        <v>43692</v>
      </c>
      <c r="U537" s="143"/>
      <c r="V537" s="142"/>
      <c r="W537" s="105"/>
      <c r="X537" s="104">
        <f t="shared" ref="X537:X538" si="186">IF(I537="买入",S537-O537,O537+S537)</f>
        <v>224448</v>
      </c>
      <c r="Y537" s="198">
        <f t="shared" si="180"/>
        <v>2396800</v>
      </c>
      <c r="Z537" s="105" t="str">
        <f t="shared" si="184"/>
        <v/>
      </c>
      <c r="AA537" s="105" t="str">
        <f t="shared" si="185"/>
        <v>卖出</v>
      </c>
      <c r="AB537" s="105">
        <v>17</v>
      </c>
      <c r="AC537" s="321">
        <v>0.35299999999999998</v>
      </c>
      <c r="AD537" s="105"/>
      <c r="AE537" s="113" t="s">
        <v>1716</v>
      </c>
      <c r="AF537" s="104"/>
    </row>
    <row r="538" spans="1:32" ht="24.95" customHeight="1" x14ac:dyDescent="0.15">
      <c r="A538" s="142" t="s">
        <v>394</v>
      </c>
      <c r="B538" s="120" t="s">
        <v>764</v>
      </c>
      <c r="C538" s="142" t="str">
        <f t="shared" si="176"/>
        <v>到期</v>
      </c>
      <c r="D538" s="128" t="s">
        <v>1846</v>
      </c>
      <c r="E538" s="142" t="s">
        <v>255</v>
      </c>
      <c r="F538" s="144">
        <v>43654</v>
      </c>
      <c r="G538" s="144">
        <v>43703</v>
      </c>
      <c r="H538" s="143" t="s">
        <v>902</v>
      </c>
      <c r="I538" s="143" t="s">
        <v>222</v>
      </c>
      <c r="J538" s="140" t="s">
        <v>22</v>
      </c>
      <c r="K538" s="105">
        <v>2800</v>
      </c>
      <c r="L538" s="105">
        <v>856</v>
      </c>
      <c r="M538" s="105">
        <v>856</v>
      </c>
      <c r="N538" s="109">
        <v>44.84</v>
      </c>
      <c r="O538" s="109">
        <f t="shared" si="178"/>
        <v>125552.00000000001</v>
      </c>
      <c r="P538" s="101" t="s">
        <v>1284</v>
      </c>
      <c r="Q538" s="101" t="s">
        <v>1260</v>
      </c>
      <c r="R538" s="105">
        <v>0</v>
      </c>
      <c r="S538" s="105">
        <v>0</v>
      </c>
      <c r="T538" s="297">
        <v>43692</v>
      </c>
      <c r="U538" s="143"/>
      <c r="V538" s="142"/>
      <c r="W538" s="105"/>
      <c r="X538" s="104">
        <f t="shared" si="186"/>
        <v>125552.00000000001</v>
      </c>
      <c r="Y538" s="198">
        <f t="shared" si="180"/>
        <v>2396800</v>
      </c>
      <c r="Z538" s="105" t="str">
        <f t="shared" si="184"/>
        <v/>
      </c>
      <c r="AA538" s="105" t="str">
        <f t="shared" si="185"/>
        <v>买入</v>
      </c>
      <c r="AB538" s="105">
        <v>18</v>
      </c>
      <c r="AC538" s="321">
        <v>0.35299999999999998</v>
      </c>
      <c r="AD538" s="105"/>
      <c r="AE538" s="113" t="s">
        <v>1716</v>
      </c>
      <c r="AF538" s="104"/>
    </row>
    <row r="539" spans="1:32" ht="24.95" customHeight="1" x14ac:dyDescent="0.15">
      <c r="A539" s="142" t="s">
        <v>244</v>
      </c>
      <c r="B539" s="120" t="s">
        <v>263</v>
      </c>
      <c r="C539" s="142" t="str">
        <f t="shared" si="176"/>
        <v>到期</v>
      </c>
      <c r="D539" s="123" t="s">
        <v>942</v>
      </c>
      <c r="E539" s="142" t="s">
        <v>255</v>
      </c>
      <c r="F539" s="144">
        <v>43655</v>
      </c>
      <c r="G539" s="144">
        <v>43675</v>
      </c>
      <c r="H539" s="143" t="s">
        <v>754</v>
      </c>
      <c r="I539" s="105" t="s">
        <v>222</v>
      </c>
      <c r="J539" s="142" t="s">
        <v>56</v>
      </c>
      <c r="K539" s="105">
        <v>1000</v>
      </c>
      <c r="L539" s="105">
        <v>8200</v>
      </c>
      <c r="M539" s="105">
        <v>8145</v>
      </c>
      <c r="N539" s="105">
        <v>91.46</v>
      </c>
      <c r="O539" s="105">
        <f>N539*K539</f>
        <v>91460</v>
      </c>
      <c r="P539" s="101" t="s">
        <v>949</v>
      </c>
      <c r="Q539" s="101" t="s">
        <v>983</v>
      </c>
      <c r="R539" s="105">
        <v>8.5</v>
      </c>
      <c r="S539" s="104">
        <f>-R539*K539</f>
        <v>-8500</v>
      </c>
      <c r="T539" s="144">
        <v>43658</v>
      </c>
      <c r="U539" s="105"/>
      <c r="V539" s="105"/>
      <c r="W539" s="144"/>
      <c r="X539" s="104">
        <f>IF(I539="买入",S539-O539,O539+S539)</f>
        <v>82960</v>
      </c>
      <c r="Y539" s="198">
        <f t="shared" si="180"/>
        <v>8145000</v>
      </c>
      <c r="Z539" s="105" t="str">
        <f t="shared" si="184"/>
        <v/>
      </c>
      <c r="AA539" s="105" t="str">
        <f t="shared" si="185"/>
        <v>买入</v>
      </c>
      <c r="AB539" s="105"/>
      <c r="AC539" s="321">
        <v>0.16650000000000001</v>
      </c>
      <c r="AD539" s="105"/>
      <c r="AE539" s="324" t="s">
        <v>1335</v>
      </c>
      <c r="AF539" s="104"/>
    </row>
    <row r="540" spans="1:32" s="110" customFormat="1" ht="24" customHeight="1" x14ac:dyDescent="0.15">
      <c r="A540" s="142" t="s">
        <v>244</v>
      </c>
      <c r="B540" s="142" t="s">
        <v>295</v>
      </c>
      <c r="C540" s="142" t="str">
        <f t="shared" si="176"/>
        <v>到期</v>
      </c>
      <c r="D540" s="124" t="s">
        <v>266</v>
      </c>
      <c r="E540" s="142" t="s">
        <v>255</v>
      </c>
      <c r="F540" s="144">
        <v>43655</v>
      </c>
      <c r="G540" s="144">
        <v>43675</v>
      </c>
      <c r="H540" s="143" t="s">
        <v>754</v>
      </c>
      <c r="I540" s="143" t="s">
        <v>241</v>
      </c>
      <c r="J540" s="142" t="s">
        <v>56</v>
      </c>
      <c r="K540" s="105">
        <v>2000</v>
      </c>
      <c r="L540" s="105">
        <v>8095</v>
      </c>
      <c r="M540" s="105">
        <v>8095</v>
      </c>
      <c r="N540" s="105">
        <v>118.92</v>
      </c>
      <c r="O540" s="105">
        <f t="shared" si="178"/>
        <v>237840</v>
      </c>
      <c r="P540" s="101" t="s">
        <v>1300</v>
      </c>
      <c r="Q540" s="101" t="s">
        <v>1312</v>
      </c>
      <c r="R540" s="105"/>
      <c r="S540" s="105"/>
      <c r="T540" s="208"/>
      <c r="U540" s="105">
        <v>7655</v>
      </c>
      <c r="V540" s="206">
        <v>0</v>
      </c>
      <c r="W540" s="208">
        <v>43675</v>
      </c>
      <c r="X540" s="105">
        <f t="shared" ref="X540:X550" si="187">IF(I540="买入",V540-O540,V540+O540)</f>
        <v>-237840</v>
      </c>
      <c r="Y540" s="197">
        <f t="shared" si="180"/>
        <v>16190000</v>
      </c>
      <c r="Z540" s="143" t="str">
        <f t="shared" si="184"/>
        <v/>
      </c>
      <c r="AA540" s="143" t="str">
        <f t="shared" si="185"/>
        <v>卖出</v>
      </c>
      <c r="AB540" s="203">
        <v>19</v>
      </c>
      <c r="AC540" s="321">
        <v>0.153</v>
      </c>
      <c r="AD540" s="319"/>
      <c r="AE540" s="314"/>
      <c r="AF540" s="104"/>
    </row>
    <row r="541" spans="1:32" ht="24.95" customHeight="1" x14ac:dyDescent="0.15">
      <c r="A541" s="142" t="s">
        <v>248</v>
      </c>
      <c r="B541" s="120" t="s">
        <v>263</v>
      </c>
      <c r="C541" s="142" t="str">
        <f t="shared" si="176"/>
        <v>到期</v>
      </c>
      <c r="D541" s="103" t="s">
        <v>1841</v>
      </c>
      <c r="E541" s="142" t="s">
        <v>298</v>
      </c>
      <c r="F541" s="144">
        <v>43655</v>
      </c>
      <c r="G541" s="144">
        <v>43683</v>
      </c>
      <c r="H541" s="143" t="s">
        <v>1019</v>
      </c>
      <c r="I541" s="143" t="s">
        <v>222</v>
      </c>
      <c r="J541" s="142" t="s">
        <v>56</v>
      </c>
      <c r="K541" s="105">
        <v>50</v>
      </c>
      <c r="L541" s="105">
        <v>48300</v>
      </c>
      <c r="M541" s="105">
        <v>46220</v>
      </c>
      <c r="N541" s="105">
        <f>383.66/2</f>
        <v>191.83</v>
      </c>
      <c r="O541" s="105">
        <f t="shared" si="178"/>
        <v>9591.5</v>
      </c>
      <c r="P541" s="101" t="s">
        <v>950</v>
      </c>
      <c r="Q541" s="101" t="s">
        <v>1244</v>
      </c>
      <c r="R541" s="105"/>
      <c r="S541" s="105"/>
      <c r="T541" s="144"/>
      <c r="U541" s="105">
        <v>46150</v>
      </c>
      <c r="V541" s="251">
        <v>0</v>
      </c>
      <c r="W541" s="252">
        <v>43683</v>
      </c>
      <c r="X541" s="105">
        <f>IF(I541="买入",V541-O541,V541+O541)</f>
        <v>9591.5</v>
      </c>
      <c r="Y541" s="198">
        <f t="shared" si="180"/>
        <v>2311000</v>
      </c>
      <c r="Z541" s="105" t="str">
        <f t="shared" si="184"/>
        <v/>
      </c>
      <c r="AA541" s="105" t="str">
        <f>IF(I541="买入","卖出","买入19-新6")</f>
        <v>买入19-新6</v>
      </c>
      <c r="AB541" s="105">
        <v>20</v>
      </c>
      <c r="AC541" s="321">
        <v>0.152</v>
      </c>
      <c r="AD541" s="205">
        <v>0.152</v>
      </c>
      <c r="AE541" s="105"/>
      <c r="AF541" s="105"/>
    </row>
    <row r="542" spans="1:32" ht="24.95" customHeight="1" x14ac:dyDescent="0.15">
      <c r="A542" s="142" t="s">
        <v>248</v>
      </c>
      <c r="B542" s="120" t="s">
        <v>263</v>
      </c>
      <c r="C542" s="142" t="str">
        <f t="shared" si="176"/>
        <v>到期</v>
      </c>
      <c r="D542" s="103" t="s">
        <v>1841</v>
      </c>
      <c r="E542" s="142" t="s">
        <v>298</v>
      </c>
      <c r="F542" s="144">
        <v>43655</v>
      </c>
      <c r="G542" s="144">
        <v>43683</v>
      </c>
      <c r="H542" s="143" t="s">
        <v>1019</v>
      </c>
      <c r="I542" s="143" t="s">
        <v>222</v>
      </c>
      <c r="J542" s="142" t="s">
        <v>59</v>
      </c>
      <c r="K542" s="105">
        <v>50</v>
      </c>
      <c r="L542" s="105">
        <v>44600</v>
      </c>
      <c r="M542" s="105">
        <v>46220</v>
      </c>
      <c r="N542" s="105">
        <f t="shared" ref="N542:N550" si="188">383.66/2</f>
        <v>191.83</v>
      </c>
      <c r="O542" s="105">
        <f t="shared" si="178"/>
        <v>9591.5</v>
      </c>
      <c r="P542" s="101" t="s">
        <v>950</v>
      </c>
      <c r="Q542" s="101" t="s">
        <v>1198</v>
      </c>
      <c r="R542" s="105"/>
      <c r="S542" s="105"/>
      <c r="T542" s="144"/>
      <c r="U542" s="105">
        <v>46150</v>
      </c>
      <c r="V542" s="251">
        <v>0</v>
      </c>
      <c r="W542" s="252">
        <v>43683</v>
      </c>
      <c r="X542" s="105">
        <f>IF(I542="买入",V542-O542,V542+O542)</f>
        <v>9591.5</v>
      </c>
      <c r="Y542" s="198">
        <f t="shared" si="180"/>
        <v>2311000</v>
      </c>
      <c r="Z542" s="105" t="str">
        <f t="shared" si="184"/>
        <v/>
      </c>
      <c r="AA542" s="105" t="str">
        <f t="shared" ref="AA542:AA549" si="189">IF(I542="买入","卖出","买入19-新6")</f>
        <v>买入19-新6</v>
      </c>
      <c r="AB542" s="105">
        <v>20</v>
      </c>
      <c r="AC542" s="321">
        <v>0.152</v>
      </c>
      <c r="AD542" s="205">
        <v>0.152</v>
      </c>
      <c r="AE542" s="105"/>
      <c r="AF542" s="105"/>
    </row>
    <row r="543" spans="1:32" ht="24.95" customHeight="1" x14ac:dyDescent="0.15">
      <c r="A543" s="142" t="s">
        <v>248</v>
      </c>
      <c r="B543" s="120" t="s">
        <v>263</v>
      </c>
      <c r="C543" s="142" t="str">
        <f t="shared" si="176"/>
        <v>到期</v>
      </c>
      <c r="D543" s="103" t="s">
        <v>1842</v>
      </c>
      <c r="E543" s="142" t="s">
        <v>298</v>
      </c>
      <c r="F543" s="144">
        <v>43655</v>
      </c>
      <c r="G543" s="144">
        <v>43683</v>
      </c>
      <c r="H543" s="143" t="s">
        <v>1019</v>
      </c>
      <c r="I543" s="143" t="s">
        <v>222</v>
      </c>
      <c r="J543" s="142" t="s">
        <v>56</v>
      </c>
      <c r="K543" s="105">
        <v>50</v>
      </c>
      <c r="L543" s="105">
        <v>48300</v>
      </c>
      <c r="M543" s="105">
        <v>46220</v>
      </c>
      <c r="N543" s="105">
        <f t="shared" si="188"/>
        <v>191.83</v>
      </c>
      <c r="O543" s="105">
        <f t="shared" si="178"/>
        <v>9591.5</v>
      </c>
      <c r="P543" s="101" t="s">
        <v>951</v>
      </c>
      <c r="Q543" s="101" t="s">
        <v>1199</v>
      </c>
      <c r="R543" s="105"/>
      <c r="S543" s="105"/>
      <c r="T543" s="144"/>
      <c r="U543" s="105">
        <v>46150</v>
      </c>
      <c r="V543" s="251">
        <v>0</v>
      </c>
      <c r="W543" s="252">
        <v>43683</v>
      </c>
      <c r="X543" s="105">
        <f t="shared" si="187"/>
        <v>9591.5</v>
      </c>
      <c r="Y543" s="198">
        <f t="shared" si="180"/>
        <v>2311000</v>
      </c>
      <c r="Z543" s="105" t="str">
        <f t="shared" si="184"/>
        <v/>
      </c>
      <c r="AA543" s="105" t="str">
        <f t="shared" si="189"/>
        <v>买入19-新6</v>
      </c>
      <c r="AB543" s="105">
        <v>20</v>
      </c>
      <c r="AC543" s="321">
        <v>0.152</v>
      </c>
      <c r="AD543" s="205">
        <v>0.152</v>
      </c>
      <c r="AE543" s="105"/>
      <c r="AF543" s="105"/>
    </row>
    <row r="544" spans="1:32" ht="24.95" customHeight="1" x14ac:dyDescent="0.15">
      <c r="A544" s="142" t="s">
        <v>248</v>
      </c>
      <c r="B544" s="120" t="s">
        <v>263</v>
      </c>
      <c r="C544" s="142" t="str">
        <f t="shared" si="176"/>
        <v>到期</v>
      </c>
      <c r="D544" s="103" t="s">
        <v>1842</v>
      </c>
      <c r="E544" s="142" t="s">
        <v>298</v>
      </c>
      <c r="F544" s="144">
        <v>43655</v>
      </c>
      <c r="G544" s="144">
        <v>43683</v>
      </c>
      <c r="H544" s="143" t="s">
        <v>1019</v>
      </c>
      <c r="I544" s="143" t="s">
        <v>222</v>
      </c>
      <c r="J544" s="142" t="s">
        <v>59</v>
      </c>
      <c r="K544" s="105">
        <v>50</v>
      </c>
      <c r="L544" s="105">
        <v>44600</v>
      </c>
      <c r="M544" s="105">
        <v>46220</v>
      </c>
      <c r="N544" s="105">
        <f t="shared" si="188"/>
        <v>191.83</v>
      </c>
      <c r="O544" s="105">
        <f t="shared" si="178"/>
        <v>9591.5</v>
      </c>
      <c r="P544" s="101" t="s">
        <v>951</v>
      </c>
      <c r="Q544" s="101" t="s">
        <v>1245</v>
      </c>
      <c r="R544" s="105"/>
      <c r="S544" s="105"/>
      <c r="T544" s="144"/>
      <c r="U544" s="105">
        <v>46150</v>
      </c>
      <c r="V544" s="251">
        <v>0</v>
      </c>
      <c r="W544" s="252">
        <v>43683</v>
      </c>
      <c r="X544" s="105">
        <f t="shared" si="187"/>
        <v>9591.5</v>
      </c>
      <c r="Y544" s="198">
        <f t="shared" si="180"/>
        <v>2311000</v>
      </c>
      <c r="Z544" s="105" t="str">
        <f t="shared" si="184"/>
        <v/>
      </c>
      <c r="AA544" s="105" t="str">
        <f t="shared" si="189"/>
        <v>买入19-新6</v>
      </c>
      <c r="AB544" s="105">
        <v>20</v>
      </c>
      <c r="AC544" s="321">
        <v>0.152</v>
      </c>
      <c r="AD544" s="205">
        <v>0.152</v>
      </c>
      <c r="AE544" s="105"/>
      <c r="AF544" s="105"/>
    </row>
    <row r="545" spans="1:32" ht="24.95" customHeight="1" x14ac:dyDescent="0.15">
      <c r="A545" s="142" t="s">
        <v>248</v>
      </c>
      <c r="B545" s="120" t="s">
        <v>263</v>
      </c>
      <c r="C545" s="142" t="str">
        <f t="shared" si="176"/>
        <v>到期</v>
      </c>
      <c r="D545" s="103" t="s">
        <v>1843</v>
      </c>
      <c r="E545" s="142" t="s">
        <v>298</v>
      </c>
      <c r="F545" s="144">
        <v>43655</v>
      </c>
      <c r="G545" s="144">
        <v>43683</v>
      </c>
      <c r="H545" s="143" t="s">
        <v>1019</v>
      </c>
      <c r="I545" s="143" t="s">
        <v>222</v>
      </c>
      <c r="J545" s="142" t="s">
        <v>56</v>
      </c>
      <c r="K545" s="105">
        <v>50</v>
      </c>
      <c r="L545" s="105">
        <v>48300</v>
      </c>
      <c r="M545" s="105">
        <v>46220</v>
      </c>
      <c r="N545" s="105">
        <f t="shared" si="188"/>
        <v>191.83</v>
      </c>
      <c r="O545" s="105">
        <f t="shared" si="178"/>
        <v>9591.5</v>
      </c>
      <c r="P545" s="101" t="s">
        <v>952</v>
      </c>
      <c r="Q545" s="101" t="s">
        <v>1246</v>
      </c>
      <c r="R545" s="105"/>
      <c r="S545" s="105"/>
      <c r="T545" s="144"/>
      <c r="U545" s="105">
        <v>46150</v>
      </c>
      <c r="V545" s="251">
        <v>0</v>
      </c>
      <c r="W545" s="252">
        <v>43683</v>
      </c>
      <c r="X545" s="105">
        <f t="shared" si="187"/>
        <v>9591.5</v>
      </c>
      <c r="Y545" s="198">
        <f t="shared" si="180"/>
        <v>2311000</v>
      </c>
      <c r="Z545" s="105" t="str">
        <f t="shared" si="184"/>
        <v/>
      </c>
      <c r="AA545" s="105" t="str">
        <f t="shared" si="189"/>
        <v>买入19-新6</v>
      </c>
      <c r="AB545" s="105">
        <v>20</v>
      </c>
      <c r="AC545" s="321">
        <v>0.152</v>
      </c>
      <c r="AD545" s="205">
        <v>0.152</v>
      </c>
      <c r="AE545" s="105"/>
      <c r="AF545" s="105"/>
    </row>
    <row r="546" spans="1:32" ht="24.95" customHeight="1" x14ac:dyDescent="0.15">
      <c r="A546" s="142" t="s">
        <v>248</v>
      </c>
      <c r="B546" s="120" t="s">
        <v>263</v>
      </c>
      <c r="C546" s="142" t="str">
        <f t="shared" si="176"/>
        <v>到期</v>
      </c>
      <c r="D546" s="103" t="s">
        <v>1843</v>
      </c>
      <c r="E546" s="142" t="s">
        <v>298</v>
      </c>
      <c r="F546" s="144">
        <v>43655</v>
      </c>
      <c r="G546" s="144">
        <v>43683</v>
      </c>
      <c r="H546" s="143" t="s">
        <v>1019</v>
      </c>
      <c r="I546" s="143" t="s">
        <v>222</v>
      </c>
      <c r="J546" s="142" t="s">
        <v>59</v>
      </c>
      <c r="K546" s="105">
        <v>50</v>
      </c>
      <c r="L546" s="105">
        <v>44600</v>
      </c>
      <c r="M546" s="105">
        <v>46220</v>
      </c>
      <c r="N546" s="105">
        <f t="shared" si="188"/>
        <v>191.83</v>
      </c>
      <c r="O546" s="105">
        <f t="shared" si="178"/>
        <v>9591.5</v>
      </c>
      <c r="P546" s="101" t="s">
        <v>952</v>
      </c>
      <c r="Q546" s="101" t="s">
        <v>1246</v>
      </c>
      <c r="R546" s="105"/>
      <c r="S546" s="105"/>
      <c r="T546" s="144"/>
      <c r="U546" s="105">
        <v>46150</v>
      </c>
      <c r="V546" s="251">
        <v>0</v>
      </c>
      <c r="W546" s="252">
        <v>43683</v>
      </c>
      <c r="X546" s="105">
        <f t="shared" si="187"/>
        <v>9591.5</v>
      </c>
      <c r="Y546" s="198">
        <f t="shared" si="180"/>
        <v>2311000</v>
      </c>
      <c r="Z546" s="105" t="str">
        <f t="shared" si="184"/>
        <v/>
      </c>
      <c r="AA546" s="105" t="str">
        <f t="shared" si="189"/>
        <v>买入19-新6</v>
      </c>
      <c r="AB546" s="105">
        <v>20</v>
      </c>
      <c r="AC546" s="321">
        <v>0.152</v>
      </c>
      <c r="AD546" s="205">
        <v>0.152</v>
      </c>
      <c r="AE546" s="105"/>
      <c r="AF546" s="105"/>
    </row>
    <row r="547" spans="1:32" ht="24.95" customHeight="1" x14ac:dyDescent="0.15">
      <c r="A547" s="142" t="s">
        <v>248</v>
      </c>
      <c r="B547" s="120" t="s">
        <v>263</v>
      </c>
      <c r="C547" s="142" t="str">
        <f t="shared" si="176"/>
        <v>到期</v>
      </c>
      <c r="D547" s="103" t="s">
        <v>1844</v>
      </c>
      <c r="E547" s="142" t="s">
        <v>298</v>
      </c>
      <c r="F547" s="144">
        <v>43655</v>
      </c>
      <c r="G547" s="144">
        <v>43683</v>
      </c>
      <c r="H547" s="143" t="s">
        <v>1019</v>
      </c>
      <c r="I547" s="143" t="s">
        <v>222</v>
      </c>
      <c r="J547" s="142" t="s">
        <v>56</v>
      </c>
      <c r="K547" s="105">
        <v>50</v>
      </c>
      <c r="L547" s="105">
        <v>48300</v>
      </c>
      <c r="M547" s="105">
        <v>46220</v>
      </c>
      <c r="N547" s="105">
        <f t="shared" si="188"/>
        <v>191.83</v>
      </c>
      <c r="O547" s="105">
        <f t="shared" si="178"/>
        <v>9591.5</v>
      </c>
      <c r="P547" s="101" t="s">
        <v>953</v>
      </c>
      <c r="Q547" s="101" t="s">
        <v>1247</v>
      </c>
      <c r="R547" s="105"/>
      <c r="S547" s="105"/>
      <c r="T547" s="144"/>
      <c r="U547" s="105">
        <v>46150</v>
      </c>
      <c r="V547" s="251">
        <v>0</v>
      </c>
      <c r="W547" s="252">
        <v>43683</v>
      </c>
      <c r="X547" s="105">
        <f t="shared" si="187"/>
        <v>9591.5</v>
      </c>
      <c r="Y547" s="198">
        <f t="shared" si="180"/>
        <v>2311000</v>
      </c>
      <c r="Z547" s="105" t="str">
        <f t="shared" si="184"/>
        <v/>
      </c>
      <c r="AA547" s="105" t="str">
        <f t="shared" si="189"/>
        <v>买入19-新6</v>
      </c>
      <c r="AB547" s="105">
        <v>20</v>
      </c>
      <c r="AC547" s="321">
        <v>0.152</v>
      </c>
      <c r="AD547" s="205">
        <v>0.152</v>
      </c>
      <c r="AE547" s="105"/>
      <c r="AF547" s="105"/>
    </row>
    <row r="548" spans="1:32" ht="24.95" customHeight="1" x14ac:dyDescent="0.15">
      <c r="A548" s="142" t="s">
        <v>248</v>
      </c>
      <c r="B548" s="120" t="s">
        <v>263</v>
      </c>
      <c r="C548" s="142" t="str">
        <f t="shared" si="176"/>
        <v>到期</v>
      </c>
      <c r="D548" s="103" t="s">
        <v>1844</v>
      </c>
      <c r="E548" s="142" t="s">
        <v>298</v>
      </c>
      <c r="F548" s="144">
        <v>43655</v>
      </c>
      <c r="G548" s="144">
        <v>43683</v>
      </c>
      <c r="H548" s="143" t="s">
        <v>1019</v>
      </c>
      <c r="I548" s="143" t="s">
        <v>222</v>
      </c>
      <c r="J548" s="142" t="s">
        <v>59</v>
      </c>
      <c r="K548" s="105">
        <v>50</v>
      </c>
      <c r="L548" s="105">
        <v>44600</v>
      </c>
      <c r="M548" s="105">
        <v>46220</v>
      </c>
      <c r="N548" s="105">
        <f t="shared" si="188"/>
        <v>191.83</v>
      </c>
      <c r="O548" s="105">
        <f t="shared" si="178"/>
        <v>9591.5</v>
      </c>
      <c r="P548" s="101" t="s">
        <v>953</v>
      </c>
      <c r="Q548" s="101" t="s">
        <v>1200</v>
      </c>
      <c r="R548" s="105"/>
      <c r="S548" s="105"/>
      <c r="T548" s="144"/>
      <c r="U548" s="105">
        <v>46150</v>
      </c>
      <c r="V548" s="251">
        <v>0</v>
      </c>
      <c r="W548" s="252">
        <v>43683</v>
      </c>
      <c r="X548" s="105">
        <f t="shared" si="187"/>
        <v>9591.5</v>
      </c>
      <c r="Y548" s="198">
        <f t="shared" si="180"/>
        <v>2311000</v>
      </c>
      <c r="Z548" s="105" t="str">
        <f t="shared" si="184"/>
        <v/>
      </c>
      <c r="AA548" s="105" t="str">
        <f t="shared" si="189"/>
        <v>买入19-新6</v>
      </c>
      <c r="AB548" s="105">
        <v>20</v>
      </c>
      <c r="AC548" s="321">
        <v>0.152</v>
      </c>
      <c r="AD548" s="205">
        <v>0.152</v>
      </c>
      <c r="AE548" s="105"/>
      <c r="AF548" s="105"/>
    </row>
    <row r="549" spans="1:32" ht="24.95" customHeight="1" x14ac:dyDescent="0.15">
      <c r="A549" s="142" t="s">
        <v>248</v>
      </c>
      <c r="B549" s="120" t="s">
        <v>263</v>
      </c>
      <c r="C549" s="142" t="str">
        <f t="shared" si="176"/>
        <v>到期</v>
      </c>
      <c r="D549" s="103" t="s">
        <v>1845</v>
      </c>
      <c r="E549" s="142" t="s">
        <v>298</v>
      </c>
      <c r="F549" s="144">
        <v>43655</v>
      </c>
      <c r="G549" s="144">
        <v>43683</v>
      </c>
      <c r="H549" s="143" t="s">
        <v>1019</v>
      </c>
      <c r="I549" s="143" t="s">
        <v>222</v>
      </c>
      <c r="J549" s="142" t="s">
        <v>56</v>
      </c>
      <c r="K549" s="105">
        <v>50</v>
      </c>
      <c r="L549" s="105">
        <v>48300</v>
      </c>
      <c r="M549" s="105">
        <v>46220</v>
      </c>
      <c r="N549" s="105">
        <f t="shared" si="188"/>
        <v>191.83</v>
      </c>
      <c r="O549" s="105">
        <f t="shared" si="178"/>
        <v>9591.5</v>
      </c>
      <c r="P549" s="101" t="s">
        <v>954</v>
      </c>
      <c r="Q549" s="101" t="s">
        <v>1201</v>
      </c>
      <c r="R549" s="105"/>
      <c r="S549" s="105"/>
      <c r="T549" s="144"/>
      <c r="U549" s="105">
        <v>46150</v>
      </c>
      <c r="V549" s="251">
        <v>0</v>
      </c>
      <c r="W549" s="252">
        <v>43683</v>
      </c>
      <c r="X549" s="105">
        <f t="shared" si="187"/>
        <v>9591.5</v>
      </c>
      <c r="Y549" s="198">
        <f t="shared" si="180"/>
        <v>2311000</v>
      </c>
      <c r="Z549" s="105" t="str">
        <f t="shared" si="184"/>
        <v/>
      </c>
      <c r="AA549" s="105" t="str">
        <f t="shared" si="189"/>
        <v>买入19-新6</v>
      </c>
      <c r="AB549" s="105">
        <v>20</v>
      </c>
      <c r="AC549" s="321">
        <v>0.152</v>
      </c>
      <c r="AD549" s="205">
        <v>0.152</v>
      </c>
      <c r="AE549" s="105"/>
      <c r="AF549" s="105"/>
    </row>
    <row r="550" spans="1:32" ht="24.95" customHeight="1" x14ac:dyDescent="0.15">
      <c r="A550" s="142" t="s">
        <v>248</v>
      </c>
      <c r="B550" s="120" t="s">
        <v>263</v>
      </c>
      <c r="C550" s="142" t="str">
        <f t="shared" si="176"/>
        <v>到期</v>
      </c>
      <c r="D550" s="103" t="s">
        <v>1845</v>
      </c>
      <c r="E550" s="142" t="s">
        <v>298</v>
      </c>
      <c r="F550" s="144">
        <v>43655</v>
      </c>
      <c r="G550" s="144">
        <v>43683</v>
      </c>
      <c r="H550" s="143" t="s">
        <v>1019</v>
      </c>
      <c r="I550" s="143" t="s">
        <v>222</v>
      </c>
      <c r="J550" s="142" t="s">
        <v>59</v>
      </c>
      <c r="K550" s="105">
        <v>50</v>
      </c>
      <c r="L550" s="105">
        <v>44600</v>
      </c>
      <c r="M550" s="105">
        <v>46220</v>
      </c>
      <c r="N550" s="105">
        <f t="shared" si="188"/>
        <v>191.83</v>
      </c>
      <c r="O550" s="105">
        <f t="shared" si="178"/>
        <v>9591.5</v>
      </c>
      <c r="P550" s="101" t="s">
        <v>954</v>
      </c>
      <c r="Q550" s="101" t="s">
        <v>1248</v>
      </c>
      <c r="R550" s="105"/>
      <c r="S550" s="105"/>
      <c r="T550" s="144"/>
      <c r="U550" s="105">
        <v>46150</v>
      </c>
      <c r="V550" s="251">
        <v>0</v>
      </c>
      <c r="W550" s="252">
        <v>43683</v>
      </c>
      <c r="X550" s="105">
        <f t="shared" si="187"/>
        <v>9591.5</v>
      </c>
      <c r="Y550" s="198">
        <f t="shared" si="180"/>
        <v>2311000</v>
      </c>
      <c r="Z550" s="105" t="str">
        <f t="shared" si="184"/>
        <v/>
      </c>
      <c r="AA550" s="105" t="str">
        <f>IF(I550="买入","卖出","买入19-新6")</f>
        <v>买入19-新6</v>
      </c>
      <c r="AB550" s="105">
        <v>20</v>
      </c>
      <c r="AC550" s="321">
        <v>0.152</v>
      </c>
      <c r="AD550" s="205">
        <v>0.152</v>
      </c>
      <c r="AE550" s="105"/>
      <c r="AF550" s="105"/>
    </row>
    <row r="551" spans="1:32" ht="24.95" customHeight="1" x14ac:dyDescent="0.15">
      <c r="A551" s="142" t="s">
        <v>247</v>
      </c>
      <c r="B551" s="142" t="s">
        <v>263</v>
      </c>
      <c r="C551" s="142" t="str">
        <f t="shared" si="176"/>
        <v>到期</v>
      </c>
      <c r="D551" s="127" t="s">
        <v>942</v>
      </c>
      <c r="E551" s="142" t="s">
        <v>255</v>
      </c>
      <c r="F551" s="144">
        <v>43655</v>
      </c>
      <c r="G551" s="144">
        <v>43675</v>
      </c>
      <c r="H551" s="105" t="s">
        <v>383</v>
      </c>
      <c r="I551" s="143" t="s">
        <v>222</v>
      </c>
      <c r="J551" s="142" t="s">
        <v>56</v>
      </c>
      <c r="K551" s="105">
        <v>500</v>
      </c>
      <c r="L551" s="105">
        <v>4090</v>
      </c>
      <c r="M551" s="105">
        <v>4040</v>
      </c>
      <c r="N551" s="105">
        <v>57.28</v>
      </c>
      <c r="O551" s="105">
        <f t="shared" si="178"/>
        <v>28640</v>
      </c>
      <c r="P551" s="101" t="s">
        <v>955</v>
      </c>
      <c r="Q551" s="101" t="s">
        <v>980</v>
      </c>
      <c r="R551" s="105">
        <v>39.380000000000003</v>
      </c>
      <c r="S551" s="104">
        <f t="shared" ref="S551:S552" si="190">-R551*K551</f>
        <v>-19690</v>
      </c>
      <c r="T551" s="145">
        <v>43658</v>
      </c>
      <c r="U551" s="105"/>
      <c r="V551" s="105"/>
      <c r="W551" s="144"/>
      <c r="X551" s="104">
        <f>IF(I551="买入",S551-O551,O551+S551)</f>
        <v>8950</v>
      </c>
      <c r="Y551" s="198">
        <f t="shared" si="180"/>
        <v>2020000</v>
      </c>
      <c r="Z551" s="105" t="str">
        <f>IF(C551="存续",D551&amp;H551&amp;"-"&amp;AA551,"")</f>
        <v/>
      </c>
      <c r="AA551" s="105" t="str">
        <f>IF(I551="买入","卖出","买入")</f>
        <v>买入</v>
      </c>
      <c r="AB551" s="105"/>
      <c r="AC551" s="321">
        <v>0.193</v>
      </c>
      <c r="AD551" s="321">
        <v>0.20499999999999999</v>
      </c>
      <c r="AE551" s="324" t="s">
        <v>1335</v>
      </c>
      <c r="AF551" s="105"/>
    </row>
    <row r="552" spans="1:32" ht="24.95" customHeight="1" x14ac:dyDescent="0.15">
      <c r="A552" s="142" t="s">
        <v>247</v>
      </c>
      <c r="B552" s="142" t="s">
        <v>263</v>
      </c>
      <c r="C552" s="142" t="str">
        <f t="shared" si="176"/>
        <v>到期</v>
      </c>
      <c r="D552" s="127" t="s">
        <v>942</v>
      </c>
      <c r="E552" s="142" t="s">
        <v>255</v>
      </c>
      <c r="F552" s="144">
        <v>43655</v>
      </c>
      <c r="G552" s="144">
        <v>43675</v>
      </c>
      <c r="H552" s="105" t="s">
        <v>383</v>
      </c>
      <c r="I552" s="143" t="s">
        <v>222</v>
      </c>
      <c r="J552" s="142" t="s">
        <v>56</v>
      </c>
      <c r="K552" s="105">
        <v>500</v>
      </c>
      <c r="L552" s="105">
        <v>4100</v>
      </c>
      <c r="M552" s="105">
        <v>4050</v>
      </c>
      <c r="N552" s="105">
        <v>57.47</v>
      </c>
      <c r="O552" s="105">
        <f t="shared" si="178"/>
        <v>28735</v>
      </c>
      <c r="P552" s="101" t="s">
        <v>956</v>
      </c>
      <c r="Q552" s="101" t="s">
        <v>981</v>
      </c>
      <c r="R552" s="105">
        <v>36.229999999999997</v>
      </c>
      <c r="S552" s="104">
        <f t="shared" si="190"/>
        <v>-18115</v>
      </c>
      <c r="T552" s="145">
        <v>43658</v>
      </c>
      <c r="U552" s="105"/>
      <c r="V552" s="105"/>
      <c r="W552" s="144"/>
      <c r="X552" s="104">
        <f t="shared" ref="X552" si="191">IF(I552="买入",S552-O552,O552+S552)</f>
        <v>10620</v>
      </c>
      <c r="Y552" s="198">
        <f t="shared" si="180"/>
        <v>2025000</v>
      </c>
      <c r="Z552" s="105" t="str">
        <f t="shared" ref="Z552:Z562" si="192">IF(C552="存续",D552&amp;H552&amp;"-"&amp;AA552,"")</f>
        <v/>
      </c>
      <c r="AA552" s="105" t="str">
        <f>IF(I552="买入","卖出","买入")</f>
        <v>买入</v>
      </c>
      <c r="AB552" s="105"/>
      <c r="AC552" s="321">
        <v>0.193</v>
      </c>
      <c r="AD552" s="321">
        <v>0.20499999999999999</v>
      </c>
      <c r="AE552" s="324" t="s">
        <v>1335</v>
      </c>
      <c r="AF552" s="105"/>
    </row>
    <row r="553" spans="1:32" ht="24.95" customHeight="1" x14ac:dyDescent="0.15">
      <c r="A553" s="142" t="s">
        <v>247</v>
      </c>
      <c r="B553" s="142" t="s">
        <v>263</v>
      </c>
      <c r="C553" s="142" t="str">
        <f>IF(Q553="","存续","到期")</f>
        <v>到期</v>
      </c>
      <c r="D553" s="127" t="s">
        <v>942</v>
      </c>
      <c r="E553" s="142" t="s">
        <v>255</v>
      </c>
      <c r="F553" s="144">
        <v>43655</v>
      </c>
      <c r="G553" s="144">
        <v>43675</v>
      </c>
      <c r="H553" s="105" t="s">
        <v>383</v>
      </c>
      <c r="I553" s="143" t="s">
        <v>222</v>
      </c>
      <c r="J553" s="142" t="s">
        <v>56</v>
      </c>
      <c r="K553" s="105">
        <v>500</v>
      </c>
      <c r="L553" s="105">
        <v>4120</v>
      </c>
      <c r="M553" s="105">
        <v>4070</v>
      </c>
      <c r="N553" s="105">
        <v>57.85</v>
      </c>
      <c r="O553" s="105">
        <f t="shared" si="178"/>
        <v>28925</v>
      </c>
      <c r="P553" s="101" t="s">
        <v>957</v>
      </c>
      <c r="Q553" s="101" t="s">
        <v>982</v>
      </c>
      <c r="R553" s="105">
        <v>30.5</v>
      </c>
      <c r="S553" s="104">
        <f>-R553*K553</f>
        <v>-15250</v>
      </c>
      <c r="T553" s="145">
        <v>43658</v>
      </c>
      <c r="U553" s="105"/>
      <c r="V553" s="105"/>
      <c r="W553" s="144"/>
      <c r="X553" s="104">
        <f>IF(I553="买入",S553-O553,O553+S553)</f>
        <v>13675</v>
      </c>
      <c r="Y553" s="198">
        <f t="shared" si="180"/>
        <v>2035000</v>
      </c>
      <c r="Z553" s="105" t="str">
        <f t="shared" si="192"/>
        <v/>
      </c>
      <c r="AA553" s="105" t="str">
        <f>IF(I553="买入","卖出","买入")</f>
        <v>买入</v>
      </c>
      <c r="AB553" s="105"/>
      <c r="AC553" s="321">
        <v>0.193</v>
      </c>
      <c r="AD553" s="321">
        <v>0.20499999999999999</v>
      </c>
      <c r="AE553" s="324" t="s">
        <v>1335</v>
      </c>
      <c r="AF553" s="105"/>
    </row>
    <row r="554" spans="1:32" ht="24.95" customHeight="1" x14ac:dyDescent="0.15">
      <c r="A554" s="142" t="s">
        <v>247</v>
      </c>
      <c r="B554" s="120" t="s">
        <v>264</v>
      </c>
      <c r="C554" s="142" t="str">
        <f t="shared" si="176"/>
        <v>到期</v>
      </c>
      <c r="D554" s="127" t="s">
        <v>266</v>
      </c>
      <c r="E554" s="142" t="s">
        <v>255</v>
      </c>
      <c r="F554" s="144">
        <v>43655</v>
      </c>
      <c r="G554" s="144">
        <v>43675</v>
      </c>
      <c r="H554" s="105" t="s">
        <v>383</v>
      </c>
      <c r="I554" s="143" t="s">
        <v>241</v>
      </c>
      <c r="J554" s="142" t="s">
        <v>56</v>
      </c>
      <c r="K554" s="105">
        <v>500</v>
      </c>
      <c r="L554" s="105">
        <v>4120</v>
      </c>
      <c r="M554" s="105">
        <v>4047</v>
      </c>
      <c r="N554" s="105">
        <v>46.9</v>
      </c>
      <c r="O554" s="105">
        <f t="shared" si="178"/>
        <v>23450</v>
      </c>
      <c r="P554" s="101" t="s">
        <v>1301</v>
      </c>
      <c r="Q554" s="101" t="s">
        <v>1310</v>
      </c>
      <c r="R554" s="105">
        <v>29.62</v>
      </c>
      <c r="S554" s="105">
        <f>R554*K554</f>
        <v>14810</v>
      </c>
      <c r="T554" s="145">
        <v>43658</v>
      </c>
      <c r="U554" s="105"/>
      <c r="V554" s="105"/>
      <c r="W554" s="144"/>
      <c r="X554" s="104">
        <f>IF(I554="买入",S554-O554,O554+S554)</f>
        <v>-8640</v>
      </c>
      <c r="Y554" s="198">
        <f t="shared" si="180"/>
        <v>2023500</v>
      </c>
      <c r="Z554" s="105" t="str">
        <f t="shared" si="192"/>
        <v/>
      </c>
      <c r="AA554" s="105" t="str">
        <f>IF(I554="买入","卖出","买入19")</f>
        <v>卖出</v>
      </c>
      <c r="AB554" s="105"/>
      <c r="AC554" s="321">
        <v>0.20499999999999999</v>
      </c>
      <c r="AD554" s="321">
        <v>0.193</v>
      </c>
      <c r="AE554" s="105"/>
      <c r="AF554" s="105"/>
    </row>
    <row r="555" spans="1:32" ht="24.95" customHeight="1" x14ac:dyDescent="0.15">
      <c r="A555" s="142" t="s">
        <v>247</v>
      </c>
      <c r="B555" s="120" t="s">
        <v>295</v>
      </c>
      <c r="C555" s="142" t="str">
        <f t="shared" si="176"/>
        <v>到期</v>
      </c>
      <c r="D555" s="127" t="s">
        <v>266</v>
      </c>
      <c r="E555" s="142" t="s">
        <v>255</v>
      </c>
      <c r="F555" s="144">
        <v>43655</v>
      </c>
      <c r="G555" s="144">
        <v>43675</v>
      </c>
      <c r="H555" s="105" t="s">
        <v>383</v>
      </c>
      <c r="I555" s="143" t="s">
        <v>241</v>
      </c>
      <c r="J555" s="142" t="s">
        <v>56</v>
      </c>
      <c r="K555" s="105">
        <v>500</v>
      </c>
      <c r="L555" s="105">
        <v>4100</v>
      </c>
      <c r="M555" s="105">
        <v>4047</v>
      </c>
      <c r="N555" s="105">
        <v>54.2</v>
      </c>
      <c r="O555" s="105">
        <f t="shared" si="178"/>
        <v>27100</v>
      </c>
      <c r="P555" s="101" t="s">
        <v>1302</v>
      </c>
      <c r="Q555" s="101" t="s">
        <v>1311</v>
      </c>
      <c r="R555" s="105">
        <v>35.21</v>
      </c>
      <c r="S555" s="105">
        <f t="shared" ref="S555" si="193">R555*K555</f>
        <v>17605</v>
      </c>
      <c r="T555" s="145">
        <v>43658</v>
      </c>
      <c r="U555" s="105"/>
      <c r="V555" s="105"/>
      <c r="W555" s="144"/>
      <c r="X555" s="104">
        <f>IF(I555="买入",S555-O555,O555+S555)</f>
        <v>-9495</v>
      </c>
      <c r="Y555" s="198">
        <f t="shared" si="180"/>
        <v>2023500</v>
      </c>
      <c r="Z555" s="105" t="str">
        <f t="shared" si="192"/>
        <v/>
      </c>
      <c r="AA555" s="105" t="str">
        <f t="shared" ref="AA555:AA560" si="194">IF(I555="买入","卖出","买入")</f>
        <v>卖出</v>
      </c>
      <c r="AB555" s="105"/>
      <c r="AC555" s="321">
        <v>0.20499999999999999</v>
      </c>
      <c r="AD555" s="321">
        <v>0.193</v>
      </c>
      <c r="AE555" s="105"/>
      <c r="AF555" s="105"/>
    </row>
    <row r="556" spans="1:32" ht="24.95" customHeight="1" x14ac:dyDescent="0.15">
      <c r="A556" s="142" t="s">
        <v>394</v>
      </c>
      <c r="B556" s="120" t="s">
        <v>263</v>
      </c>
      <c r="C556" s="142" t="str">
        <f t="shared" si="176"/>
        <v>到期</v>
      </c>
      <c r="D556" s="128" t="s">
        <v>942</v>
      </c>
      <c r="E556" s="142" t="s">
        <v>255</v>
      </c>
      <c r="F556" s="144">
        <v>43655</v>
      </c>
      <c r="G556" s="144">
        <v>43675</v>
      </c>
      <c r="H556" s="105" t="s">
        <v>902</v>
      </c>
      <c r="I556" s="143" t="s">
        <v>222</v>
      </c>
      <c r="J556" s="142" t="s">
        <v>59</v>
      </c>
      <c r="K556" s="105">
        <v>2000</v>
      </c>
      <c r="L556" s="105">
        <v>863</v>
      </c>
      <c r="M556" s="105">
        <v>883</v>
      </c>
      <c r="N556" s="105">
        <v>19.71</v>
      </c>
      <c r="O556" s="105">
        <f t="shared" si="178"/>
        <v>39420</v>
      </c>
      <c r="P556" s="101" t="s">
        <v>966</v>
      </c>
      <c r="Q556" s="101" t="s">
        <v>984</v>
      </c>
      <c r="R556" s="105">
        <v>19.34</v>
      </c>
      <c r="S556" s="104">
        <f>-R556*K556</f>
        <v>-38680</v>
      </c>
      <c r="T556" s="144">
        <v>43658</v>
      </c>
      <c r="U556" s="105"/>
      <c r="V556" s="105"/>
      <c r="W556" s="144"/>
      <c r="X556" s="104">
        <f>IF(I556="买入",S556-O556,O556+S556)</f>
        <v>740</v>
      </c>
      <c r="Y556" s="198">
        <f t="shared" si="180"/>
        <v>1766000</v>
      </c>
      <c r="Z556" s="105" t="str">
        <f t="shared" si="192"/>
        <v/>
      </c>
      <c r="AA556" s="105" t="str">
        <f t="shared" si="194"/>
        <v>买入</v>
      </c>
      <c r="AB556" s="105"/>
      <c r="AC556" s="321">
        <v>0.28499999999999998</v>
      </c>
      <c r="AD556" s="321">
        <v>0.34329999999999999</v>
      </c>
      <c r="AE556" s="324" t="s">
        <v>1335</v>
      </c>
      <c r="AF556" s="105"/>
    </row>
    <row r="557" spans="1:32" ht="24.95" customHeight="1" x14ac:dyDescent="0.15">
      <c r="A557" s="142" t="s">
        <v>394</v>
      </c>
      <c r="B557" s="120" t="s">
        <v>263</v>
      </c>
      <c r="C557" s="142" t="str">
        <f t="shared" si="176"/>
        <v>到期</v>
      </c>
      <c r="D557" s="128" t="s">
        <v>1856</v>
      </c>
      <c r="E557" s="142" t="s">
        <v>298</v>
      </c>
      <c r="F557" s="144">
        <v>43655</v>
      </c>
      <c r="G557" s="144">
        <v>43707</v>
      </c>
      <c r="H557" s="105" t="s">
        <v>905</v>
      </c>
      <c r="I557" s="105" t="s">
        <v>222</v>
      </c>
      <c r="J557" s="142" t="s">
        <v>56</v>
      </c>
      <c r="K557" s="105">
        <v>10000</v>
      </c>
      <c r="L557" s="105">
        <v>3875</v>
      </c>
      <c r="M557" s="105">
        <v>3775</v>
      </c>
      <c r="N557" s="105">
        <v>71.650000000000006</v>
      </c>
      <c r="O557" s="105">
        <f t="shared" si="178"/>
        <v>716500</v>
      </c>
      <c r="P557" s="101" t="s">
        <v>959</v>
      </c>
      <c r="Q557" s="101" t="s">
        <v>1354</v>
      </c>
      <c r="R557" s="105"/>
      <c r="S557" s="105"/>
      <c r="T557" s="144"/>
      <c r="U557" s="105">
        <v>3350</v>
      </c>
      <c r="V557" s="105">
        <v>0</v>
      </c>
      <c r="W557" s="144">
        <v>43707</v>
      </c>
      <c r="X557" s="105">
        <f t="shared" ref="X557" si="195">IF(I557="买入",V557-O557,V557+O557)</f>
        <v>716500</v>
      </c>
      <c r="Y557" s="198">
        <f t="shared" si="180"/>
        <v>37750000</v>
      </c>
      <c r="Z557" s="105" t="str">
        <f t="shared" si="192"/>
        <v/>
      </c>
      <c r="AA557" s="105" t="str">
        <f t="shared" si="194"/>
        <v>买入</v>
      </c>
      <c r="AB557" s="105">
        <v>21</v>
      </c>
      <c r="AC557" s="321">
        <v>0.1918</v>
      </c>
      <c r="AD557" s="105"/>
      <c r="AE557" s="324" t="s">
        <v>1335</v>
      </c>
      <c r="AF557" s="105"/>
    </row>
    <row r="558" spans="1:32" ht="24.95" customHeight="1" x14ac:dyDescent="0.15">
      <c r="A558" s="142" t="s">
        <v>394</v>
      </c>
      <c r="B558" s="120" t="s">
        <v>264</v>
      </c>
      <c r="C558" s="142" t="str">
        <f t="shared" si="176"/>
        <v>到期</v>
      </c>
      <c r="D558" s="128" t="s">
        <v>1840</v>
      </c>
      <c r="E558" s="142" t="s">
        <v>255</v>
      </c>
      <c r="F558" s="144">
        <v>43655</v>
      </c>
      <c r="G558" s="144">
        <v>43717</v>
      </c>
      <c r="H558" s="105" t="s">
        <v>905</v>
      </c>
      <c r="I558" s="105" t="s">
        <v>241</v>
      </c>
      <c r="J558" s="152" t="s">
        <v>22</v>
      </c>
      <c r="K558" s="105">
        <v>5000</v>
      </c>
      <c r="L558" s="105">
        <v>3880</v>
      </c>
      <c r="M558" s="105">
        <v>3780</v>
      </c>
      <c r="N558" s="105">
        <v>73.709999999999994</v>
      </c>
      <c r="O558" s="105">
        <f t="shared" si="178"/>
        <v>368549.99999999994</v>
      </c>
      <c r="P558" s="101" t="s">
        <v>1040</v>
      </c>
      <c r="Q558" s="101" t="s">
        <v>1693</v>
      </c>
      <c r="R558" s="105"/>
      <c r="S558" s="105"/>
      <c r="T558" s="144"/>
      <c r="U558" s="105">
        <v>3497</v>
      </c>
      <c r="V558" s="105">
        <v>0</v>
      </c>
      <c r="W558" s="144">
        <v>43717</v>
      </c>
      <c r="X558" s="105">
        <f>IF(I558="买入",V558-O558,V558+O558)</f>
        <v>-368549.99999999994</v>
      </c>
      <c r="Y558" s="198">
        <f t="shared" si="180"/>
        <v>18900000</v>
      </c>
      <c r="Z558" s="105" t="str">
        <f t="shared" si="192"/>
        <v/>
      </c>
      <c r="AA558" s="105" t="str">
        <f t="shared" si="194"/>
        <v>卖出</v>
      </c>
      <c r="AB558" s="105">
        <v>22</v>
      </c>
      <c r="AC558" s="321">
        <v>0.18149999999999999</v>
      </c>
      <c r="AD558" s="105"/>
      <c r="AE558" s="105"/>
      <c r="AF558" s="105"/>
    </row>
    <row r="559" spans="1:32" ht="24.95" customHeight="1" x14ac:dyDescent="0.15">
      <c r="A559" s="142" t="s">
        <v>394</v>
      </c>
      <c r="B559" s="120" t="s">
        <v>295</v>
      </c>
      <c r="C559" s="142" t="str">
        <f t="shared" si="176"/>
        <v>到期</v>
      </c>
      <c r="D559" s="128" t="s">
        <v>1840</v>
      </c>
      <c r="E559" s="142" t="s">
        <v>255</v>
      </c>
      <c r="F559" s="144">
        <v>43655</v>
      </c>
      <c r="G559" s="144">
        <v>43717</v>
      </c>
      <c r="H559" s="105" t="s">
        <v>905</v>
      </c>
      <c r="I559" s="105" t="s">
        <v>275</v>
      </c>
      <c r="J559" s="152" t="s">
        <v>22</v>
      </c>
      <c r="K559" s="105">
        <v>1900</v>
      </c>
      <c r="L559" s="105">
        <v>3780</v>
      </c>
      <c r="M559" s="105">
        <v>3780</v>
      </c>
      <c r="N559" s="105">
        <v>118</v>
      </c>
      <c r="O559" s="105">
        <f t="shared" si="178"/>
        <v>224200</v>
      </c>
      <c r="P559" s="101" t="s">
        <v>1041</v>
      </c>
      <c r="Q559" s="101" t="s">
        <v>1695</v>
      </c>
      <c r="R559" s="105">
        <v>0</v>
      </c>
      <c r="S559" s="105">
        <f>R559*K559</f>
        <v>0</v>
      </c>
      <c r="T559" s="144">
        <v>43717</v>
      </c>
      <c r="U559" s="105">
        <v>3411</v>
      </c>
      <c r="V559" s="105"/>
      <c r="W559" s="144"/>
      <c r="X559" s="105">
        <f>IF(I559="买入",S559-O559,O559+S559)</f>
        <v>224200</v>
      </c>
      <c r="Y559" s="198">
        <f t="shared" si="180"/>
        <v>7182000</v>
      </c>
      <c r="Z559" s="105" t="str">
        <f t="shared" si="192"/>
        <v/>
      </c>
      <c r="AA559" s="105" t="str">
        <f t="shared" si="194"/>
        <v>买入</v>
      </c>
      <c r="AB559" s="105">
        <v>23</v>
      </c>
      <c r="AC559" s="321">
        <v>0.186</v>
      </c>
      <c r="AD559" s="105"/>
      <c r="AE559" s="113" t="s">
        <v>1716</v>
      </c>
      <c r="AF559" s="105"/>
    </row>
    <row r="560" spans="1:32" ht="24.95" customHeight="1" x14ac:dyDescent="0.15">
      <c r="A560" s="142" t="s">
        <v>394</v>
      </c>
      <c r="B560" s="120" t="s">
        <v>295</v>
      </c>
      <c r="C560" s="142" t="str">
        <f t="shared" si="176"/>
        <v>到期</v>
      </c>
      <c r="D560" s="128" t="s">
        <v>1840</v>
      </c>
      <c r="E560" s="142" t="s">
        <v>255</v>
      </c>
      <c r="F560" s="144">
        <v>43655</v>
      </c>
      <c r="G560" s="144">
        <v>43717</v>
      </c>
      <c r="H560" s="105" t="s">
        <v>905</v>
      </c>
      <c r="I560" s="105" t="s">
        <v>241</v>
      </c>
      <c r="J560" s="152" t="s">
        <v>25</v>
      </c>
      <c r="K560" s="105">
        <v>1900</v>
      </c>
      <c r="L560" s="105">
        <v>3780</v>
      </c>
      <c r="M560" s="105">
        <v>3780</v>
      </c>
      <c r="N560" s="105">
        <v>118</v>
      </c>
      <c r="O560" s="105">
        <f t="shared" si="178"/>
        <v>224200</v>
      </c>
      <c r="P560" s="101" t="s">
        <v>1042</v>
      </c>
      <c r="Q560" s="101" t="s">
        <v>1694</v>
      </c>
      <c r="R560" s="105">
        <v>369</v>
      </c>
      <c r="S560" s="105">
        <f>R560*K560</f>
        <v>701100</v>
      </c>
      <c r="T560" s="144">
        <v>43717</v>
      </c>
      <c r="U560" s="105">
        <v>3411</v>
      </c>
      <c r="V560" s="105"/>
      <c r="W560" s="144"/>
      <c r="X560" s="105">
        <f>IF(I560:I561="买入",S560-O560,O560+S560)</f>
        <v>476900</v>
      </c>
      <c r="Y560" s="198">
        <f t="shared" si="180"/>
        <v>7182000</v>
      </c>
      <c r="Z560" s="105" t="str">
        <f t="shared" si="192"/>
        <v/>
      </c>
      <c r="AA560" s="105" t="str">
        <f t="shared" si="194"/>
        <v>卖出</v>
      </c>
      <c r="AB560" s="105">
        <v>24</v>
      </c>
      <c r="AC560" s="321">
        <v>0.186</v>
      </c>
      <c r="AD560" s="105"/>
      <c r="AE560" s="113" t="s">
        <v>1716</v>
      </c>
      <c r="AF560" s="105"/>
    </row>
    <row r="561" spans="1:32" s="110" customFormat="1" ht="24" customHeight="1" x14ac:dyDescent="0.15">
      <c r="A561" s="142" t="s">
        <v>244</v>
      </c>
      <c r="B561" s="142" t="s">
        <v>264</v>
      </c>
      <c r="C561" s="142" t="str">
        <f t="shared" si="176"/>
        <v>到期</v>
      </c>
      <c r="D561" s="123" t="s">
        <v>1846</v>
      </c>
      <c r="E561" s="142" t="s">
        <v>137</v>
      </c>
      <c r="F561" s="144">
        <v>43657</v>
      </c>
      <c r="G561" s="144">
        <v>43689</v>
      </c>
      <c r="H561" s="143" t="s">
        <v>930</v>
      </c>
      <c r="I561" s="143" t="s">
        <v>241</v>
      </c>
      <c r="J561" s="142" t="s">
        <v>25</v>
      </c>
      <c r="K561" s="105">
        <v>5000</v>
      </c>
      <c r="L561" s="105">
        <v>310.01</v>
      </c>
      <c r="M561" s="105">
        <v>319.60000000000002</v>
      </c>
      <c r="N561" s="105">
        <v>1.73</v>
      </c>
      <c r="O561" s="105">
        <f t="shared" si="178"/>
        <v>8650</v>
      </c>
      <c r="P561" s="101" t="s">
        <v>1285</v>
      </c>
      <c r="Q561" s="101" t="s">
        <v>1388</v>
      </c>
      <c r="R561" s="105"/>
      <c r="S561" s="105"/>
      <c r="T561" s="144"/>
      <c r="U561" s="104">
        <v>344.25</v>
      </c>
      <c r="V561" s="105">
        <v>0</v>
      </c>
      <c r="W561" s="281">
        <v>43689</v>
      </c>
      <c r="X561" s="105">
        <f>IF(I561="买入",V561-O561,V561+O561)</f>
        <v>-8650</v>
      </c>
      <c r="Y561" s="197">
        <f t="shared" si="180"/>
        <v>1598000</v>
      </c>
      <c r="Z561" s="143" t="str">
        <f t="shared" si="192"/>
        <v/>
      </c>
      <c r="AA561" s="105" t="str">
        <f t="shared" ref="AA561" si="196">IF(I561="买入","卖出","买入19-新5")</f>
        <v>卖出</v>
      </c>
      <c r="AB561" s="105">
        <v>25</v>
      </c>
      <c r="AC561" s="321">
        <v>0.13700000000000001</v>
      </c>
      <c r="AD561" s="105"/>
      <c r="AE561" s="105"/>
      <c r="AF561" s="105"/>
    </row>
    <row r="562" spans="1:32" ht="24.95" customHeight="1" x14ac:dyDescent="0.15">
      <c r="A562" s="142" t="s">
        <v>394</v>
      </c>
      <c r="B562" s="120" t="s">
        <v>297</v>
      </c>
      <c r="C562" s="142" t="str">
        <f t="shared" si="176"/>
        <v>到期</v>
      </c>
      <c r="D562" s="128" t="s">
        <v>1332</v>
      </c>
      <c r="E562" s="142" t="s">
        <v>255</v>
      </c>
      <c r="F562" s="144">
        <v>43657</v>
      </c>
      <c r="G562" s="144">
        <v>43689</v>
      </c>
      <c r="H562" s="105" t="s">
        <v>902</v>
      </c>
      <c r="I562" s="105" t="s">
        <v>222</v>
      </c>
      <c r="J562" s="142" t="s">
        <v>22</v>
      </c>
      <c r="K562" s="105">
        <v>5000</v>
      </c>
      <c r="L562" s="105">
        <v>868.5</v>
      </c>
      <c r="M562" s="105">
        <v>868.5</v>
      </c>
      <c r="N562" s="105">
        <v>35.74</v>
      </c>
      <c r="O562" s="105">
        <f>N562*K562</f>
        <v>178700</v>
      </c>
      <c r="P562" s="101" t="s">
        <v>1249</v>
      </c>
      <c r="Q562" s="101" t="s">
        <v>1250</v>
      </c>
      <c r="R562" s="105">
        <v>0.75719999999999998</v>
      </c>
      <c r="S562" s="104">
        <f>-R562*K562</f>
        <v>-3786</v>
      </c>
      <c r="T562" s="246">
        <v>43683</v>
      </c>
      <c r="U562" s="105"/>
      <c r="V562" s="105"/>
      <c r="W562" s="144"/>
      <c r="X562" s="104">
        <f>IF(I562="买入",S562-O562,O562+S562)</f>
        <v>174914</v>
      </c>
      <c r="Y562" s="198">
        <f t="shared" si="180"/>
        <v>4342500</v>
      </c>
      <c r="Z562" s="105" t="str">
        <f t="shared" si="192"/>
        <v/>
      </c>
      <c r="AA562" s="105" t="str">
        <f t="shared" ref="AA562" si="197">IF(I562="买入","卖出","买入")</f>
        <v>买入</v>
      </c>
      <c r="AB562" s="105">
        <v>26</v>
      </c>
      <c r="AC562" s="321">
        <v>0.3458</v>
      </c>
      <c r="AD562" s="105"/>
      <c r="AE562" s="105"/>
      <c r="AF562" s="105"/>
    </row>
    <row r="563" spans="1:32" ht="24.95" customHeight="1" x14ac:dyDescent="0.15">
      <c r="A563" s="146" t="s">
        <v>265</v>
      </c>
      <c r="B563" s="146" t="s">
        <v>295</v>
      </c>
      <c r="C563" s="146" t="str">
        <f t="shared" ref="C563:C564" si="198">IF(W563="","存续","到期")</f>
        <v>到期</v>
      </c>
      <c r="D563" s="123" t="s">
        <v>266</v>
      </c>
      <c r="E563" s="146" t="s">
        <v>137</v>
      </c>
      <c r="F563" s="48">
        <v>43658</v>
      </c>
      <c r="G563" s="48">
        <v>43693</v>
      </c>
      <c r="H563" s="48" t="s">
        <v>1012</v>
      </c>
      <c r="I563" s="147" t="s">
        <v>38</v>
      </c>
      <c r="J563" s="147" t="s">
        <v>56</v>
      </c>
      <c r="K563" s="105">
        <v>400</v>
      </c>
      <c r="L563" s="105">
        <v>6552</v>
      </c>
      <c r="M563" s="104">
        <v>5956</v>
      </c>
      <c r="N563" s="105">
        <v>35.76</v>
      </c>
      <c r="O563" s="105">
        <f t="shared" ref="O563:O565" si="199">N563*K563</f>
        <v>14304</v>
      </c>
      <c r="P563" s="101" t="s">
        <v>1303</v>
      </c>
      <c r="Q563" s="101" t="s">
        <v>1473</v>
      </c>
      <c r="R563" s="104"/>
      <c r="S563" s="104"/>
      <c r="T563" s="48"/>
      <c r="U563" s="105">
        <v>5254</v>
      </c>
      <c r="V563" s="104">
        <v>0</v>
      </c>
      <c r="W563" s="48">
        <v>43693</v>
      </c>
      <c r="X563" s="105">
        <f t="shared" ref="X563:X564" si="200">IF(I563="买入",V563-O563,V563+O563)</f>
        <v>-14304</v>
      </c>
      <c r="Y563" s="197">
        <f>M563*K563</f>
        <v>2382400</v>
      </c>
      <c r="Z563" s="105" t="str">
        <f t="shared" ref="Z563:Z564" si="201">IF(C563="存续",D563&amp;H563&amp;"-"&amp;AA563,"")</f>
        <v/>
      </c>
      <c r="AA563" s="105" t="str">
        <f t="shared" ref="AA563:AA564" si="202">IF(I563="买入","卖出","买入")</f>
        <v>卖出</v>
      </c>
      <c r="AB563" s="105">
        <v>27</v>
      </c>
      <c r="AC563" s="321">
        <v>0.315</v>
      </c>
      <c r="AD563" s="105"/>
      <c r="AE563" s="105"/>
      <c r="AF563" s="105"/>
    </row>
    <row r="564" spans="1:32" ht="24.95" customHeight="1" x14ac:dyDescent="0.15">
      <c r="A564" s="146" t="s">
        <v>265</v>
      </c>
      <c r="B564" s="146" t="s">
        <v>295</v>
      </c>
      <c r="C564" s="146" t="str">
        <f t="shared" si="198"/>
        <v>到期</v>
      </c>
      <c r="D564" s="123" t="s">
        <v>266</v>
      </c>
      <c r="E564" s="146" t="s">
        <v>137</v>
      </c>
      <c r="F564" s="48">
        <v>43658</v>
      </c>
      <c r="G564" s="48">
        <v>43693</v>
      </c>
      <c r="H564" s="48" t="s">
        <v>1012</v>
      </c>
      <c r="I564" s="147" t="s">
        <v>38</v>
      </c>
      <c r="J564" s="147" t="s">
        <v>59</v>
      </c>
      <c r="K564" s="105">
        <v>400</v>
      </c>
      <c r="L564" s="105">
        <v>5360</v>
      </c>
      <c r="M564" s="104">
        <v>5956</v>
      </c>
      <c r="N564" s="105">
        <v>25.49</v>
      </c>
      <c r="O564" s="105">
        <f t="shared" si="199"/>
        <v>10196</v>
      </c>
      <c r="P564" s="101" t="s">
        <v>1303</v>
      </c>
      <c r="Q564" s="101" t="s">
        <v>1474</v>
      </c>
      <c r="R564" s="104"/>
      <c r="S564" s="104"/>
      <c r="T564" s="48"/>
      <c r="U564" s="105">
        <v>5254</v>
      </c>
      <c r="V564" s="104">
        <f>(L564-U564)*K564</f>
        <v>42400</v>
      </c>
      <c r="W564" s="48">
        <v>43693</v>
      </c>
      <c r="X564" s="105">
        <f t="shared" si="200"/>
        <v>32204</v>
      </c>
      <c r="Y564" s="197">
        <f t="shared" si="180"/>
        <v>2382400</v>
      </c>
      <c r="Z564" s="105" t="str">
        <f t="shared" si="201"/>
        <v/>
      </c>
      <c r="AA564" s="105" t="str">
        <f t="shared" si="202"/>
        <v>卖出</v>
      </c>
      <c r="AB564" s="105">
        <v>27</v>
      </c>
      <c r="AC564" s="321">
        <v>0.315</v>
      </c>
      <c r="AD564" s="105"/>
      <c r="AE564" s="105"/>
      <c r="AF564" s="105"/>
    </row>
    <row r="565" spans="1:32" ht="24.95" customHeight="1" x14ac:dyDescent="0.15">
      <c r="A565" s="148" t="s">
        <v>247</v>
      </c>
      <c r="B565" s="120" t="s">
        <v>263</v>
      </c>
      <c r="C565" s="235" t="str">
        <f t="shared" ref="C565:C566" si="203">IF(Q565="","存续","到期")</f>
        <v>到期</v>
      </c>
      <c r="D565" s="127" t="s">
        <v>942</v>
      </c>
      <c r="E565" s="148" t="s">
        <v>137</v>
      </c>
      <c r="F565" s="48">
        <v>43662</v>
      </c>
      <c r="G565" s="48">
        <v>43679</v>
      </c>
      <c r="H565" s="105" t="s">
        <v>968</v>
      </c>
      <c r="I565" s="105" t="s">
        <v>275</v>
      </c>
      <c r="J565" s="148" t="s">
        <v>56</v>
      </c>
      <c r="K565" s="105">
        <v>2000</v>
      </c>
      <c r="L565" s="105">
        <v>2280</v>
      </c>
      <c r="M565" s="105">
        <v>2180</v>
      </c>
      <c r="N565" s="105">
        <v>16.920000000000002</v>
      </c>
      <c r="O565" s="105">
        <f t="shared" si="199"/>
        <v>33840</v>
      </c>
      <c r="P565" s="101" t="s">
        <v>1240</v>
      </c>
      <c r="Q565" s="101" t="s">
        <v>1241</v>
      </c>
      <c r="R565" s="105">
        <v>0</v>
      </c>
      <c r="S565" s="104">
        <f t="shared" ref="S565" si="204">-R565*K565</f>
        <v>0</v>
      </c>
      <c r="T565" s="48">
        <v>43679</v>
      </c>
      <c r="U565" s="105"/>
      <c r="V565" s="105"/>
      <c r="W565" s="144"/>
      <c r="X565" s="104">
        <f>IF(I565="买入",S565-O565,O565+S565)</f>
        <v>33840</v>
      </c>
      <c r="Y565" s="198">
        <f>M565*K565</f>
        <v>4360000</v>
      </c>
      <c r="Z565" s="105" t="str">
        <f>IF(C565="存续",D565&amp;H565&amp;"-"&amp;AA565,"")</f>
        <v/>
      </c>
      <c r="AA565" s="105" t="str">
        <f t="shared" ref="AA565" si="205">IF(I565="买入","卖出","买入")</f>
        <v>买入</v>
      </c>
      <c r="AB565" s="105">
        <v>28</v>
      </c>
      <c r="AC565" s="321">
        <v>0.23899999999999999</v>
      </c>
      <c r="AD565" s="105"/>
      <c r="AE565" s="324" t="s">
        <v>1335</v>
      </c>
      <c r="AF565" s="105"/>
    </row>
    <row r="566" spans="1:32" ht="24.95" customHeight="1" x14ac:dyDescent="0.15">
      <c r="A566" s="148" t="s">
        <v>247</v>
      </c>
      <c r="B566" s="120" t="s">
        <v>263</v>
      </c>
      <c r="C566" s="235" t="str">
        <f t="shared" si="203"/>
        <v>到期</v>
      </c>
      <c r="D566" s="127" t="s">
        <v>942</v>
      </c>
      <c r="E566" s="148" t="s">
        <v>137</v>
      </c>
      <c r="F566" s="48">
        <v>43662</v>
      </c>
      <c r="G566" s="48">
        <v>43679</v>
      </c>
      <c r="H566" s="105" t="s">
        <v>968</v>
      </c>
      <c r="I566" s="105" t="s">
        <v>275</v>
      </c>
      <c r="J566" s="148" t="s">
        <v>56</v>
      </c>
      <c r="K566" s="105">
        <v>1000</v>
      </c>
      <c r="L566" s="105">
        <v>2173.5</v>
      </c>
      <c r="M566" s="105">
        <v>2173.5</v>
      </c>
      <c r="N566" s="105">
        <v>50.92</v>
      </c>
      <c r="O566" s="105">
        <f>N566*K566</f>
        <v>50920</v>
      </c>
      <c r="P566" s="101" t="s">
        <v>1242</v>
      </c>
      <c r="Q566" s="101" t="s">
        <v>1243</v>
      </c>
      <c r="R566" s="105">
        <v>0.06</v>
      </c>
      <c r="S566" s="104">
        <f>-R566*K566</f>
        <v>-60</v>
      </c>
      <c r="T566" s="48">
        <v>43679</v>
      </c>
      <c r="U566" s="105"/>
      <c r="V566" s="105"/>
      <c r="W566" s="144"/>
      <c r="X566" s="104">
        <f>IF(I566="买入",S566-O566,O566+S566)</f>
        <v>50860</v>
      </c>
      <c r="Y566" s="198">
        <f>M566*K566</f>
        <v>2173500</v>
      </c>
      <c r="Z566" s="105" t="str">
        <f>IF(C566="存续",D566&amp;H566&amp;"-"&amp;AA566,"")</f>
        <v/>
      </c>
      <c r="AA566" s="105" t="str">
        <f t="shared" ref="AA566" si="206">IF(I566="买入","卖出","买入")</f>
        <v>买入</v>
      </c>
      <c r="AB566" s="105">
        <v>29</v>
      </c>
      <c r="AC566" s="321">
        <v>0.23899999999999999</v>
      </c>
      <c r="AD566" s="105"/>
      <c r="AE566" s="324" t="s">
        <v>1335</v>
      </c>
      <c r="AF566" s="105"/>
    </row>
    <row r="567" spans="1:32" ht="24.95" customHeight="1" x14ac:dyDescent="0.15">
      <c r="A567" s="149" t="s">
        <v>248</v>
      </c>
      <c r="B567" s="120" t="s">
        <v>263</v>
      </c>
      <c r="C567" s="149" t="str">
        <f>IF(Q567="","存续","到期")</f>
        <v>到期</v>
      </c>
      <c r="D567" s="103" t="s">
        <v>1841</v>
      </c>
      <c r="E567" s="149" t="s">
        <v>298</v>
      </c>
      <c r="F567" s="48">
        <v>43662</v>
      </c>
      <c r="G567" s="151">
        <v>43690</v>
      </c>
      <c r="H567" s="150" t="s">
        <v>1020</v>
      </c>
      <c r="I567" s="150" t="s">
        <v>222</v>
      </c>
      <c r="J567" s="149" t="s">
        <v>56</v>
      </c>
      <c r="K567" s="105">
        <v>50</v>
      </c>
      <c r="L567" s="105">
        <v>48950</v>
      </c>
      <c r="M567" s="105">
        <v>46940</v>
      </c>
      <c r="N567" s="105">
        <f>389.64/2</f>
        <v>194.82</v>
      </c>
      <c r="O567" s="105">
        <f>N567*K567</f>
        <v>9741</v>
      </c>
      <c r="P567" s="101" t="s">
        <v>1225</v>
      </c>
      <c r="Q567" s="101" t="s">
        <v>1226</v>
      </c>
      <c r="R567" s="105"/>
      <c r="S567" s="105"/>
      <c r="T567" s="144"/>
      <c r="U567" s="105">
        <v>46560</v>
      </c>
      <c r="V567" s="105">
        <v>0</v>
      </c>
      <c r="W567" s="288">
        <v>43690</v>
      </c>
      <c r="X567" s="105">
        <f>IF(I567="买入",V567-O567,V567+O567)</f>
        <v>9741</v>
      </c>
      <c r="Y567" s="198">
        <f>M567*K567</f>
        <v>2347000</v>
      </c>
      <c r="Z567" s="105" t="str">
        <f>IF(C567="存续",D567&amp;H567&amp;"-"&amp;AA567,"")</f>
        <v/>
      </c>
      <c r="AA567" s="105" t="str">
        <f>IF(I567="买入","卖出","买入19-新7")</f>
        <v>买入19-新7</v>
      </c>
      <c r="AB567" s="105">
        <v>30</v>
      </c>
      <c r="AC567" s="321">
        <v>0.23899999999999999</v>
      </c>
      <c r="AD567" s="205">
        <v>0.152</v>
      </c>
      <c r="AE567" s="105"/>
      <c r="AF567" s="105"/>
    </row>
    <row r="568" spans="1:32" ht="24.95" customHeight="1" x14ac:dyDescent="0.15">
      <c r="A568" s="149" t="s">
        <v>248</v>
      </c>
      <c r="B568" s="120" t="s">
        <v>263</v>
      </c>
      <c r="C568" s="149" t="str">
        <f t="shared" ref="C568:C575" si="207">IF(Q568="","存续","到期")</f>
        <v>到期</v>
      </c>
      <c r="D568" s="103" t="s">
        <v>1841</v>
      </c>
      <c r="E568" s="149" t="s">
        <v>298</v>
      </c>
      <c r="F568" s="48">
        <v>43662</v>
      </c>
      <c r="G568" s="151">
        <v>43690</v>
      </c>
      <c r="H568" s="150" t="s">
        <v>1020</v>
      </c>
      <c r="I568" s="150" t="s">
        <v>222</v>
      </c>
      <c r="J568" s="149" t="s">
        <v>59</v>
      </c>
      <c r="K568" s="105">
        <v>50</v>
      </c>
      <c r="L568" s="105">
        <v>45190</v>
      </c>
      <c r="M568" s="105">
        <v>46940</v>
      </c>
      <c r="N568" s="105">
        <f>389.64/2</f>
        <v>194.82</v>
      </c>
      <c r="O568" s="105">
        <f t="shared" ref="O568:O576" si="208">N568*K568</f>
        <v>9741</v>
      </c>
      <c r="P568" s="101" t="s">
        <v>1227</v>
      </c>
      <c r="Q568" s="101" t="s">
        <v>1226</v>
      </c>
      <c r="R568" s="105"/>
      <c r="S568" s="105"/>
      <c r="T568" s="144"/>
      <c r="U568" s="105">
        <v>46560</v>
      </c>
      <c r="V568" s="105">
        <v>0</v>
      </c>
      <c r="W568" s="288">
        <v>43690</v>
      </c>
      <c r="X568" s="105">
        <f t="shared" ref="X568:X579" si="209">IF(I568="买入",V568-O568,V568+O568)</f>
        <v>9741</v>
      </c>
      <c r="Y568" s="198">
        <f t="shared" ref="Y568:Y576" si="210">M568*K568</f>
        <v>2347000</v>
      </c>
      <c r="Z568" s="105" t="str">
        <f t="shared" ref="Z568:Z576" si="211">IF(C568="存续",D568&amp;H568&amp;"-"&amp;AA568,"")</f>
        <v/>
      </c>
      <c r="AA568" s="105" t="str">
        <f t="shared" ref="AA568:AA576" si="212">IF(I568="买入","卖出","买入19-新7")</f>
        <v>买入19-新7</v>
      </c>
      <c r="AB568" s="105">
        <v>30</v>
      </c>
      <c r="AC568" s="321">
        <v>0.152</v>
      </c>
      <c r="AD568" s="205">
        <v>0.152</v>
      </c>
      <c r="AE568" s="105"/>
      <c r="AF568" s="105"/>
    </row>
    <row r="569" spans="1:32" ht="24.95" customHeight="1" x14ac:dyDescent="0.15">
      <c r="A569" s="149" t="s">
        <v>248</v>
      </c>
      <c r="B569" s="120" t="s">
        <v>263</v>
      </c>
      <c r="C569" s="149" t="str">
        <f t="shared" si="207"/>
        <v>到期</v>
      </c>
      <c r="D569" s="103" t="s">
        <v>1842</v>
      </c>
      <c r="E569" s="149" t="s">
        <v>298</v>
      </c>
      <c r="F569" s="48">
        <v>43662</v>
      </c>
      <c r="G569" s="151">
        <v>43690</v>
      </c>
      <c r="H569" s="150" t="s">
        <v>1020</v>
      </c>
      <c r="I569" s="150" t="s">
        <v>222</v>
      </c>
      <c r="J569" s="149" t="s">
        <v>56</v>
      </c>
      <c r="K569" s="105">
        <v>50</v>
      </c>
      <c r="L569" s="105">
        <v>48950</v>
      </c>
      <c r="M569" s="105">
        <v>46940</v>
      </c>
      <c r="N569" s="105">
        <f>389.64/2</f>
        <v>194.82</v>
      </c>
      <c r="O569" s="105">
        <f t="shared" si="208"/>
        <v>9741</v>
      </c>
      <c r="P569" s="101" t="s">
        <v>1228</v>
      </c>
      <c r="Q569" s="101" t="s">
        <v>1229</v>
      </c>
      <c r="R569" s="105"/>
      <c r="S569" s="105"/>
      <c r="T569" s="144"/>
      <c r="U569" s="105">
        <v>46560</v>
      </c>
      <c r="V569" s="105">
        <v>0</v>
      </c>
      <c r="W569" s="288">
        <v>43690</v>
      </c>
      <c r="X569" s="105">
        <f t="shared" si="209"/>
        <v>9741</v>
      </c>
      <c r="Y569" s="198">
        <f t="shared" si="210"/>
        <v>2347000</v>
      </c>
      <c r="Z569" s="105" t="str">
        <f t="shared" si="211"/>
        <v/>
      </c>
      <c r="AA569" s="105" t="str">
        <f t="shared" si="212"/>
        <v>买入19-新7</v>
      </c>
      <c r="AB569" s="105">
        <v>30</v>
      </c>
      <c r="AC569" s="321">
        <v>0.152</v>
      </c>
      <c r="AD569" s="205">
        <v>0.152</v>
      </c>
      <c r="AE569" s="105"/>
      <c r="AF569" s="105"/>
    </row>
    <row r="570" spans="1:32" ht="24.95" customHeight="1" x14ac:dyDescent="0.15">
      <c r="A570" s="149" t="s">
        <v>248</v>
      </c>
      <c r="B570" s="120" t="s">
        <v>263</v>
      </c>
      <c r="C570" s="149" t="str">
        <f t="shared" si="207"/>
        <v>到期</v>
      </c>
      <c r="D570" s="103" t="s">
        <v>1842</v>
      </c>
      <c r="E570" s="149" t="s">
        <v>298</v>
      </c>
      <c r="F570" s="48">
        <v>43662</v>
      </c>
      <c r="G570" s="151">
        <v>43690</v>
      </c>
      <c r="H570" s="150" t="s">
        <v>1020</v>
      </c>
      <c r="I570" s="150" t="s">
        <v>222</v>
      </c>
      <c r="J570" s="149" t="s">
        <v>59</v>
      </c>
      <c r="K570" s="105">
        <v>50</v>
      </c>
      <c r="L570" s="105">
        <v>45190</v>
      </c>
      <c r="M570" s="105">
        <v>46940</v>
      </c>
      <c r="N570" s="105">
        <f>389.64/2</f>
        <v>194.82</v>
      </c>
      <c r="O570" s="105">
        <f t="shared" si="208"/>
        <v>9741</v>
      </c>
      <c r="P570" s="101" t="s">
        <v>1230</v>
      </c>
      <c r="Q570" s="101" t="s">
        <v>1229</v>
      </c>
      <c r="R570" s="105"/>
      <c r="S570" s="105"/>
      <c r="T570" s="144"/>
      <c r="U570" s="105">
        <v>46560</v>
      </c>
      <c r="V570" s="105">
        <v>0</v>
      </c>
      <c r="W570" s="288">
        <v>43690</v>
      </c>
      <c r="X570" s="105">
        <f t="shared" si="209"/>
        <v>9741</v>
      </c>
      <c r="Y570" s="198">
        <f t="shared" si="210"/>
        <v>2347000</v>
      </c>
      <c r="Z570" s="105" t="str">
        <f t="shared" si="211"/>
        <v/>
      </c>
      <c r="AA570" s="105" t="str">
        <f t="shared" si="212"/>
        <v>买入19-新7</v>
      </c>
      <c r="AB570" s="105">
        <v>30</v>
      </c>
      <c r="AC570" s="321">
        <v>0.152</v>
      </c>
      <c r="AD570" s="205">
        <v>0.152</v>
      </c>
      <c r="AE570" s="105"/>
      <c r="AF570" s="105"/>
    </row>
    <row r="571" spans="1:32" ht="24.95" customHeight="1" x14ac:dyDescent="0.15">
      <c r="A571" s="149" t="s">
        <v>248</v>
      </c>
      <c r="B571" s="120" t="s">
        <v>263</v>
      </c>
      <c r="C571" s="149" t="str">
        <f t="shared" si="207"/>
        <v>到期</v>
      </c>
      <c r="D571" s="103" t="s">
        <v>1843</v>
      </c>
      <c r="E571" s="149" t="s">
        <v>298</v>
      </c>
      <c r="F571" s="48">
        <v>43662</v>
      </c>
      <c r="G571" s="151">
        <v>43690</v>
      </c>
      <c r="H571" s="150" t="s">
        <v>1020</v>
      </c>
      <c r="I571" s="150" t="s">
        <v>222</v>
      </c>
      <c r="J571" s="149" t="s">
        <v>56</v>
      </c>
      <c r="K571" s="105">
        <v>50</v>
      </c>
      <c r="L571" s="105">
        <v>48950</v>
      </c>
      <c r="M571" s="105">
        <v>46940</v>
      </c>
      <c r="N571" s="105">
        <f>389.64/2</f>
        <v>194.82</v>
      </c>
      <c r="O571" s="105">
        <f t="shared" si="208"/>
        <v>9741</v>
      </c>
      <c r="P571" s="101" t="s">
        <v>1231</v>
      </c>
      <c r="Q571" s="101" t="s">
        <v>1232</v>
      </c>
      <c r="R571" s="105"/>
      <c r="S571" s="105"/>
      <c r="T571" s="144"/>
      <c r="U571" s="105">
        <v>46560</v>
      </c>
      <c r="V571" s="105">
        <v>0</v>
      </c>
      <c r="W571" s="288">
        <v>43690</v>
      </c>
      <c r="X571" s="105">
        <f t="shared" si="209"/>
        <v>9741</v>
      </c>
      <c r="Y571" s="198">
        <f t="shared" si="210"/>
        <v>2347000</v>
      </c>
      <c r="Z571" s="105" t="str">
        <f t="shared" si="211"/>
        <v/>
      </c>
      <c r="AA571" s="105" t="str">
        <f t="shared" si="212"/>
        <v>买入19-新7</v>
      </c>
      <c r="AB571" s="105">
        <v>30</v>
      </c>
      <c r="AC571" s="321">
        <v>0.152</v>
      </c>
      <c r="AD571" s="205">
        <v>0.152</v>
      </c>
      <c r="AE571" s="105"/>
      <c r="AF571" s="105"/>
    </row>
    <row r="572" spans="1:32" ht="24.95" customHeight="1" x14ac:dyDescent="0.15">
      <c r="A572" s="149" t="s">
        <v>248</v>
      </c>
      <c r="B572" s="120" t="s">
        <v>263</v>
      </c>
      <c r="C572" s="149" t="str">
        <f t="shared" si="207"/>
        <v>到期</v>
      </c>
      <c r="D572" s="103" t="s">
        <v>1843</v>
      </c>
      <c r="E572" s="149" t="s">
        <v>298</v>
      </c>
      <c r="F572" s="48">
        <v>43662</v>
      </c>
      <c r="G572" s="151">
        <v>43690</v>
      </c>
      <c r="H572" s="150" t="s">
        <v>1020</v>
      </c>
      <c r="I572" s="150" t="s">
        <v>222</v>
      </c>
      <c r="J572" s="149" t="s">
        <v>59</v>
      </c>
      <c r="K572" s="105">
        <v>50</v>
      </c>
      <c r="L572" s="105">
        <v>45190</v>
      </c>
      <c r="M572" s="105">
        <v>46940</v>
      </c>
      <c r="N572" s="105">
        <f t="shared" ref="N572:N576" si="213">389.64/2</f>
        <v>194.82</v>
      </c>
      <c r="O572" s="105">
        <f t="shared" si="208"/>
        <v>9741</v>
      </c>
      <c r="P572" s="101" t="s">
        <v>1233</v>
      </c>
      <c r="Q572" s="101" t="s">
        <v>1234</v>
      </c>
      <c r="R572" s="105"/>
      <c r="S572" s="105"/>
      <c r="T572" s="144"/>
      <c r="U572" s="105">
        <v>46560</v>
      </c>
      <c r="V572" s="105">
        <v>0</v>
      </c>
      <c r="W572" s="288">
        <v>43690</v>
      </c>
      <c r="X572" s="105">
        <f t="shared" si="209"/>
        <v>9741</v>
      </c>
      <c r="Y572" s="198">
        <f t="shared" si="210"/>
        <v>2347000</v>
      </c>
      <c r="Z572" s="105" t="str">
        <f t="shared" si="211"/>
        <v/>
      </c>
      <c r="AA572" s="105" t="str">
        <f t="shared" si="212"/>
        <v>买入19-新7</v>
      </c>
      <c r="AB572" s="105">
        <v>30</v>
      </c>
      <c r="AC572" s="321">
        <v>0.152</v>
      </c>
      <c r="AD572" s="205">
        <v>0.152</v>
      </c>
      <c r="AE572" s="105"/>
      <c r="AF572" s="105"/>
    </row>
    <row r="573" spans="1:32" ht="24.95" customHeight="1" x14ac:dyDescent="0.15">
      <c r="A573" s="149" t="s">
        <v>248</v>
      </c>
      <c r="B573" s="120" t="s">
        <v>263</v>
      </c>
      <c r="C573" s="149" t="str">
        <f t="shared" si="207"/>
        <v>到期</v>
      </c>
      <c r="D573" s="103" t="s">
        <v>1844</v>
      </c>
      <c r="E573" s="149" t="s">
        <v>298</v>
      </c>
      <c r="F573" s="48">
        <v>43662</v>
      </c>
      <c r="G573" s="151">
        <v>43690</v>
      </c>
      <c r="H573" s="150" t="s">
        <v>1020</v>
      </c>
      <c r="I573" s="150" t="s">
        <v>222</v>
      </c>
      <c r="J573" s="149" t="s">
        <v>56</v>
      </c>
      <c r="K573" s="105">
        <v>50</v>
      </c>
      <c r="L573" s="105">
        <v>48950</v>
      </c>
      <c r="M573" s="105">
        <v>46940</v>
      </c>
      <c r="N573" s="105">
        <f t="shared" si="213"/>
        <v>194.82</v>
      </c>
      <c r="O573" s="105">
        <f t="shared" si="208"/>
        <v>9741</v>
      </c>
      <c r="P573" s="101" t="s">
        <v>1235</v>
      </c>
      <c r="Q573" s="101" t="s">
        <v>1236</v>
      </c>
      <c r="R573" s="105"/>
      <c r="S573" s="105"/>
      <c r="T573" s="144"/>
      <c r="U573" s="105">
        <v>46560</v>
      </c>
      <c r="V573" s="105">
        <v>0</v>
      </c>
      <c r="W573" s="288">
        <v>43690</v>
      </c>
      <c r="X573" s="105">
        <f t="shared" si="209"/>
        <v>9741</v>
      </c>
      <c r="Y573" s="198">
        <f t="shared" si="210"/>
        <v>2347000</v>
      </c>
      <c r="Z573" s="105" t="str">
        <f t="shared" si="211"/>
        <v/>
      </c>
      <c r="AA573" s="105" t="str">
        <f t="shared" si="212"/>
        <v>买入19-新7</v>
      </c>
      <c r="AB573" s="105">
        <v>30</v>
      </c>
      <c r="AC573" s="321">
        <v>0.152</v>
      </c>
      <c r="AD573" s="205">
        <v>0.152</v>
      </c>
      <c r="AE573" s="105"/>
      <c r="AF573" s="105"/>
    </row>
    <row r="574" spans="1:32" ht="24.95" customHeight="1" x14ac:dyDescent="0.15">
      <c r="A574" s="149" t="s">
        <v>248</v>
      </c>
      <c r="B574" s="120" t="s">
        <v>263</v>
      </c>
      <c r="C574" s="149" t="str">
        <f t="shared" si="207"/>
        <v>到期</v>
      </c>
      <c r="D574" s="103" t="s">
        <v>1844</v>
      </c>
      <c r="E574" s="149" t="s">
        <v>298</v>
      </c>
      <c r="F574" s="48">
        <v>43662</v>
      </c>
      <c r="G574" s="151">
        <v>43690</v>
      </c>
      <c r="H574" s="150" t="s">
        <v>1020</v>
      </c>
      <c r="I574" s="150" t="s">
        <v>222</v>
      </c>
      <c r="J574" s="149" t="s">
        <v>59</v>
      </c>
      <c r="K574" s="105">
        <v>50</v>
      </c>
      <c r="L574" s="105">
        <v>45190</v>
      </c>
      <c r="M574" s="105">
        <v>46940</v>
      </c>
      <c r="N574" s="105">
        <f t="shared" si="213"/>
        <v>194.82</v>
      </c>
      <c r="O574" s="105">
        <f t="shared" si="208"/>
        <v>9741</v>
      </c>
      <c r="P574" s="101" t="s">
        <v>1237</v>
      </c>
      <c r="Q574" s="101" t="s">
        <v>1236</v>
      </c>
      <c r="R574" s="105"/>
      <c r="S574" s="105"/>
      <c r="T574" s="144"/>
      <c r="U574" s="105">
        <v>46560</v>
      </c>
      <c r="V574" s="105">
        <v>0</v>
      </c>
      <c r="W574" s="288">
        <v>43690</v>
      </c>
      <c r="X574" s="105">
        <f t="shared" si="209"/>
        <v>9741</v>
      </c>
      <c r="Y574" s="198">
        <f t="shared" si="210"/>
        <v>2347000</v>
      </c>
      <c r="Z574" s="105" t="str">
        <f t="shared" si="211"/>
        <v/>
      </c>
      <c r="AA574" s="105" t="str">
        <f t="shared" si="212"/>
        <v>买入19-新7</v>
      </c>
      <c r="AB574" s="105">
        <v>30</v>
      </c>
      <c r="AC574" s="321">
        <v>0.152</v>
      </c>
      <c r="AD574" s="205">
        <v>0.152</v>
      </c>
      <c r="AE574" s="105"/>
      <c r="AF574" s="105"/>
    </row>
    <row r="575" spans="1:32" ht="24.95" customHeight="1" x14ac:dyDescent="0.15">
      <c r="A575" s="149" t="s">
        <v>248</v>
      </c>
      <c r="B575" s="120" t="s">
        <v>263</v>
      </c>
      <c r="C575" s="149" t="str">
        <f t="shared" si="207"/>
        <v>到期</v>
      </c>
      <c r="D575" s="103" t="s">
        <v>1845</v>
      </c>
      <c r="E575" s="149" t="s">
        <v>298</v>
      </c>
      <c r="F575" s="48">
        <v>43662</v>
      </c>
      <c r="G575" s="151">
        <v>43690</v>
      </c>
      <c r="H575" s="150" t="s">
        <v>1020</v>
      </c>
      <c r="I575" s="150" t="s">
        <v>222</v>
      </c>
      <c r="J575" s="149" t="s">
        <v>56</v>
      </c>
      <c r="K575" s="105">
        <v>50</v>
      </c>
      <c r="L575" s="105">
        <v>48950</v>
      </c>
      <c r="M575" s="105">
        <v>46940</v>
      </c>
      <c r="N575" s="105">
        <f t="shared" si="213"/>
        <v>194.82</v>
      </c>
      <c r="O575" s="105">
        <f t="shared" si="208"/>
        <v>9741</v>
      </c>
      <c r="P575" s="101" t="s">
        <v>1238</v>
      </c>
      <c r="Q575" s="101" t="s">
        <v>1239</v>
      </c>
      <c r="R575" s="105"/>
      <c r="S575" s="105"/>
      <c r="T575" s="144"/>
      <c r="U575" s="105">
        <v>46560</v>
      </c>
      <c r="V575" s="105">
        <v>0</v>
      </c>
      <c r="W575" s="288">
        <v>43690</v>
      </c>
      <c r="X575" s="105">
        <f t="shared" si="209"/>
        <v>9741</v>
      </c>
      <c r="Y575" s="198">
        <f t="shared" si="210"/>
        <v>2347000</v>
      </c>
      <c r="Z575" s="105" t="str">
        <f t="shared" si="211"/>
        <v/>
      </c>
      <c r="AA575" s="105" t="str">
        <f t="shared" si="212"/>
        <v>买入19-新7</v>
      </c>
      <c r="AB575" s="105">
        <v>30</v>
      </c>
      <c r="AC575" s="321">
        <v>0.152</v>
      </c>
      <c r="AD575" s="205">
        <v>0.152</v>
      </c>
      <c r="AE575" s="105"/>
      <c r="AF575" s="105"/>
    </row>
    <row r="576" spans="1:32" ht="24.95" customHeight="1" x14ac:dyDescent="0.15">
      <c r="A576" s="149" t="s">
        <v>248</v>
      </c>
      <c r="B576" s="120" t="s">
        <v>263</v>
      </c>
      <c r="C576" s="149" t="str">
        <f t="shared" ref="C576:C584" si="214">IF(Q576="","存续","到期")</f>
        <v>到期</v>
      </c>
      <c r="D576" s="103" t="s">
        <v>1845</v>
      </c>
      <c r="E576" s="149" t="s">
        <v>298</v>
      </c>
      <c r="F576" s="48">
        <v>43662</v>
      </c>
      <c r="G576" s="151">
        <v>43690</v>
      </c>
      <c r="H576" s="150" t="s">
        <v>1020</v>
      </c>
      <c r="I576" s="150" t="s">
        <v>222</v>
      </c>
      <c r="J576" s="149" t="s">
        <v>59</v>
      </c>
      <c r="K576" s="105">
        <v>50</v>
      </c>
      <c r="L576" s="105">
        <v>45190</v>
      </c>
      <c r="M576" s="105">
        <v>46940</v>
      </c>
      <c r="N576" s="105">
        <f t="shared" si="213"/>
        <v>194.82</v>
      </c>
      <c r="O576" s="105">
        <f t="shared" si="208"/>
        <v>9741</v>
      </c>
      <c r="P576" s="101" t="s">
        <v>1238</v>
      </c>
      <c r="Q576" s="101" t="s">
        <v>1239</v>
      </c>
      <c r="R576" s="105"/>
      <c r="S576" s="105"/>
      <c r="T576" s="144"/>
      <c r="U576" s="105">
        <v>46560</v>
      </c>
      <c r="V576" s="105">
        <v>0</v>
      </c>
      <c r="W576" s="288">
        <v>43690</v>
      </c>
      <c r="X576" s="105">
        <f t="shared" si="209"/>
        <v>9741</v>
      </c>
      <c r="Y576" s="198">
        <f t="shared" si="210"/>
        <v>2347000</v>
      </c>
      <c r="Z576" s="105" t="str">
        <f t="shared" si="211"/>
        <v/>
      </c>
      <c r="AA576" s="105" t="str">
        <f t="shared" si="212"/>
        <v>买入19-新7</v>
      </c>
      <c r="AB576" s="105">
        <v>30</v>
      </c>
      <c r="AC576" s="321">
        <v>0.152</v>
      </c>
      <c r="AD576" s="205">
        <v>0.152</v>
      </c>
      <c r="AE576" s="105"/>
      <c r="AF576" s="105"/>
    </row>
    <row r="577" spans="1:38" ht="24.95" customHeight="1" x14ac:dyDescent="0.15">
      <c r="A577" s="153" t="s">
        <v>247</v>
      </c>
      <c r="B577" s="153" t="s">
        <v>264</v>
      </c>
      <c r="C577" s="153" t="str">
        <f t="shared" si="214"/>
        <v>到期</v>
      </c>
      <c r="D577" s="127" t="s">
        <v>1846</v>
      </c>
      <c r="E577" s="153" t="s">
        <v>137</v>
      </c>
      <c r="F577" s="48">
        <v>43662</v>
      </c>
      <c r="G577" s="155">
        <v>43679</v>
      </c>
      <c r="H577" s="105" t="s">
        <v>969</v>
      </c>
      <c r="I577" s="154" t="s">
        <v>970</v>
      </c>
      <c r="J577" s="153" t="s">
        <v>1070</v>
      </c>
      <c r="K577" s="105">
        <v>2000</v>
      </c>
      <c r="L577" s="105">
        <v>2280</v>
      </c>
      <c r="M577" s="105">
        <v>2183</v>
      </c>
      <c r="N577" s="105">
        <v>15.8</v>
      </c>
      <c r="O577" s="105">
        <f t="shared" ref="O577:O586" si="215">N577*K577</f>
        <v>31600</v>
      </c>
      <c r="P577" s="101" t="s">
        <v>1286</v>
      </c>
      <c r="Q577" s="101" t="s">
        <v>1378</v>
      </c>
      <c r="R577" s="105"/>
      <c r="S577" s="105"/>
      <c r="T577" s="144"/>
      <c r="U577" s="105">
        <v>2018.5</v>
      </c>
      <c r="V577" s="104">
        <v>0</v>
      </c>
      <c r="W577" s="48">
        <v>43679</v>
      </c>
      <c r="X577" s="105">
        <f t="shared" si="209"/>
        <v>-31600</v>
      </c>
      <c r="Y577" s="198">
        <f t="shared" ref="Y577:Y587" si="216">M577*K577</f>
        <v>4366000</v>
      </c>
      <c r="Z577" s="105" t="str">
        <f t="shared" ref="Z577:Z582" si="217">IF(C577="存续",D577&amp;H577&amp;"-"&amp;AA577,"")</f>
        <v/>
      </c>
      <c r="AA577" s="105" t="str">
        <f t="shared" ref="AA577:AA578" si="218">IF(I577="买入","卖出","买入")</f>
        <v>卖出</v>
      </c>
      <c r="AB577" s="105">
        <v>31</v>
      </c>
      <c r="AC577" s="321">
        <v>0.23899999999999999</v>
      </c>
      <c r="AD577" s="105"/>
      <c r="AE577" s="105"/>
      <c r="AF577" s="105"/>
    </row>
    <row r="578" spans="1:38" ht="24.95" customHeight="1" x14ac:dyDescent="0.15">
      <c r="A578" s="159" t="s">
        <v>265</v>
      </c>
      <c r="B578" s="120" t="s">
        <v>976</v>
      </c>
      <c r="C578" s="159" t="str">
        <f t="shared" si="214"/>
        <v>到期</v>
      </c>
      <c r="D578" s="123" t="s">
        <v>1840</v>
      </c>
      <c r="E578" s="159" t="s">
        <v>137</v>
      </c>
      <c r="F578" s="48">
        <v>43663</v>
      </c>
      <c r="G578" s="161">
        <v>43705</v>
      </c>
      <c r="H578" s="105" t="s">
        <v>977</v>
      </c>
      <c r="I578" s="105" t="s">
        <v>978</v>
      </c>
      <c r="J578" s="159" t="s">
        <v>22</v>
      </c>
      <c r="K578" s="105">
        <v>300</v>
      </c>
      <c r="L578" s="105">
        <v>2297</v>
      </c>
      <c r="M578" s="105">
        <v>2297</v>
      </c>
      <c r="N578" s="105">
        <v>71</v>
      </c>
      <c r="O578" s="105">
        <f t="shared" si="215"/>
        <v>21300</v>
      </c>
      <c r="P578" s="101" t="s">
        <v>1696</v>
      </c>
      <c r="Q578" s="101" t="s">
        <v>1697</v>
      </c>
      <c r="R578" s="105"/>
      <c r="S578" s="105"/>
      <c r="T578" s="144"/>
      <c r="U578" s="105">
        <v>2164</v>
      </c>
      <c r="V578" s="105">
        <v>0</v>
      </c>
      <c r="W578" s="144">
        <v>43705</v>
      </c>
      <c r="X578" s="105">
        <f t="shared" si="209"/>
        <v>21300</v>
      </c>
      <c r="Y578" s="198">
        <f t="shared" si="216"/>
        <v>689100</v>
      </c>
      <c r="Z578" s="143" t="str">
        <f t="shared" si="217"/>
        <v/>
      </c>
      <c r="AA578" s="143" t="str">
        <f t="shared" si="218"/>
        <v>买入</v>
      </c>
      <c r="AB578" s="203">
        <v>32</v>
      </c>
      <c r="AC578" s="321">
        <v>0.22500000000000001</v>
      </c>
      <c r="AD578" s="319"/>
      <c r="AE578" s="314"/>
      <c r="AF578" s="105"/>
    </row>
    <row r="579" spans="1:38" ht="24.95" customHeight="1" x14ac:dyDescent="0.15">
      <c r="A579" s="159" t="s">
        <v>265</v>
      </c>
      <c r="B579" s="120" t="s">
        <v>976</v>
      </c>
      <c r="C579" s="159" t="str">
        <f t="shared" si="214"/>
        <v>到期</v>
      </c>
      <c r="D579" s="123" t="s">
        <v>1840</v>
      </c>
      <c r="E579" s="159" t="s">
        <v>137</v>
      </c>
      <c r="F579" s="48">
        <v>43663</v>
      </c>
      <c r="G579" s="161">
        <v>43705</v>
      </c>
      <c r="H579" s="105" t="s">
        <v>977</v>
      </c>
      <c r="I579" s="105" t="s">
        <v>978</v>
      </c>
      <c r="J579" s="159" t="s">
        <v>979</v>
      </c>
      <c r="K579" s="105">
        <v>300</v>
      </c>
      <c r="L579" s="105">
        <v>2297</v>
      </c>
      <c r="M579" s="105">
        <v>2297</v>
      </c>
      <c r="N579" s="105">
        <v>71</v>
      </c>
      <c r="O579" s="105">
        <f t="shared" si="215"/>
        <v>21300</v>
      </c>
      <c r="P579" s="101" t="s">
        <v>1696</v>
      </c>
      <c r="Q579" s="101" t="s">
        <v>1697</v>
      </c>
      <c r="R579" s="105"/>
      <c r="S579" s="105"/>
      <c r="T579" s="144"/>
      <c r="U579" s="105">
        <v>2164</v>
      </c>
      <c r="V579" s="105">
        <f>-(L579-U579)*K579</f>
        <v>-39900</v>
      </c>
      <c r="W579" s="144">
        <v>43705</v>
      </c>
      <c r="X579" s="105">
        <f t="shared" si="209"/>
        <v>-18600</v>
      </c>
      <c r="Y579" s="198">
        <f t="shared" si="216"/>
        <v>689100</v>
      </c>
      <c r="Z579" s="160" t="str">
        <f t="shared" si="217"/>
        <v/>
      </c>
      <c r="AA579" s="160" t="str">
        <f t="shared" ref="AA579" si="219">IF(I579="买入","卖出","买入")</f>
        <v>买入</v>
      </c>
      <c r="AB579" s="203">
        <v>32</v>
      </c>
      <c r="AC579" s="321">
        <v>0.22500000000000001</v>
      </c>
      <c r="AD579" s="319"/>
      <c r="AE579" s="314"/>
      <c r="AF579" s="105"/>
    </row>
    <row r="580" spans="1:38" ht="24.95" customHeight="1" x14ac:dyDescent="0.15">
      <c r="A580" s="162" t="s">
        <v>265</v>
      </c>
      <c r="B580" s="120" t="s">
        <v>976</v>
      </c>
      <c r="C580" s="162" t="str">
        <f t="shared" si="214"/>
        <v>到期</v>
      </c>
      <c r="D580" s="123" t="s">
        <v>942</v>
      </c>
      <c r="E580" s="162" t="s">
        <v>137</v>
      </c>
      <c r="F580" s="48">
        <v>43664</v>
      </c>
      <c r="G580" s="164">
        <v>43693</v>
      </c>
      <c r="H580" s="105" t="s">
        <v>988</v>
      </c>
      <c r="I580" s="105" t="s">
        <v>978</v>
      </c>
      <c r="J580" s="162" t="s">
        <v>59</v>
      </c>
      <c r="K580" s="105">
        <v>500</v>
      </c>
      <c r="L580" s="105">
        <v>3268</v>
      </c>
      <c r="M580" s="105">
        <v>3268</v>
      </c>
      <c r="N580" s="105">
        <v>98.43</v>
      </c>
      <c r="O580" s="105">
        <f t="shared" si="215"/>
        <v>49215</v>
      </c>
      <c r="P580" s="101" t="s">
        <v>1251</v>
      </c>
      <c r="Q580" s="101" t="s">
        <v>1469</v>
      </c>
      <c r="R580" s="105">
        <v>208.75</v>
      </c>
      <c r="S580" s="105">
        <f>-R580*K580</f>
        <v>-104375</v>
      </c>
      <c r="T580" s="48">
        <v>43685</v>
      </c>
      <c r="U580" s="105"/>
      <c r="V580" s="105"/>
      <c r="W580" s="144"/>
      <c r="X580" s="104">
        <f>IF(I580="买入",S580-O580,O580+S580)</f>
        <v>-55160</v>
      </c>
      <c r="Y580" s="198">
        <f>M580*K580</f>
        <v>1634000</v>
      </c>
      <c r="Z580" s="163" t="str">
        <f t="shared" si="217"/>
        <v/>
      </c>
      <c r="AA580" s="163" t="str">
        <f t="shared" ref="AA580" si="220">IF(I580="买入","卖出","买入")</f>
        <v>买入</v>
      </c>
      <c r="AB580" s="203">
        <v>33</v>
      </c>
      <c r="AC580" s="321">
        <v>0.255</v>
      </c>
      <c r="AD580" s="319"/>
      <c r="AE580" s="324" t="s">
        <v>1335</v>
      </c>
      <c r="AF580" s="105"/>
    </row>
    <row r="581" spans="1:38" ht="24" customHeight="1" x14ac:dyDescent="0.15">
      <c r="A581" s="264" t="s">
        <v>265</v>
      </c>
      <c r="B581" s="120" t="s">
        <v>976</v>
      </c>
      <c r="C581" s="264" t="str">
        <f t="shared" ref="C581" si="221">IF(Q581="","存续","到期")</f>
        <v>到期</v>
      </c>
      <c r="D581" s="123" t="s">
        <v>942</v>
      </c>
      <c r="E581" s="264" t="s">
        <v>137</v>
      </c>
      <c r="F581" s="48">
        <v>43664</v>
      </c>
      <c r="G581" s="266">
        <v>43693</v>
      </c>
      <c r="H581" s="105" t="s">
        <v>988</v>
      </c>
      <c r="I581" s="105" t="s">
        <v>978</v>
      </c>
      <c r="J581" s="264" t="s">
        <v>59</v>
      </c>
      <c r="K581" s="105">
        <v>1500</v>
      </c>
      <c r="L581" s="105">
        <v>3268</v>
      </c>
      <c r="M581" s="105">
        <v>3268</v>
      </c>
      <c r="N581" s="105">
        <v>98.43</v>
      </c>
      <c r="O581" s="105">
        <f>N581*K581</f>
        <v>147645</v>
      </c>
      <c r="P581" s="101" t="s">
        <v>1251</v>
      </c>
      <c r="Q581" s="101" t="s">
        <v>1470</v>
      </c>
      <c r="R581" s="105"/>
      <c r="S581" s="105"/>
      <c r="T581" s="105"/>
      <c r="U581" s="105">
        <v>3084</v>
      </c>
      <c r="V581" s="105">
        <f>-(L581-U581)*K581</f>
        <v>-276000</v>
      </c>
      <c r="W581" s="48">
        <v>43693</v>
      </c>
      <c r="X581" s="105">
        <f t="shared" ref="X581" si="222">IF(I581="买入",V581-O581,V581+O581)</f>
        <v>-128355</v>
      </c>
      <c r="Y581" s="198">
        <f>M581*K581</f>
        <v>4902000</v>
      </c>
      <c r="Z581" s="265" t="str">
        <f t="shared" si="217"/>
        <v/>
      </c>
      <c r="AA581" s="265" t="str">
        <f>IF(I581="买入","卖出","买入")</f>
        <v>买入</v>
      </c>
      <c r="AB581" s="265">
        <v>33</v>
      </c>
      <c r="AC581" s="321">
        <v>0.255</v>
      </c>
      <c r="AD581" s="319"/>
      <c r="AE581" s="324" t="s">
        <v>1335</v>
      </c>
      <c r="AF581" s="105"/>
    </row>
    <row r="582" spans="1:38" ht="20.25" customHeight="1" x14ac:dyDescent="0.15">
      <c r="A582" s="162" t="s">
        <v>394</v>
      </c>
      <c r="B582" s="120" t="s">
        <v>263</v>
      </c>
      <c r="C582" s="162" t="str">
        <f t="shared" si="214"/>
        <v>到期</v>
      </c>
      <c r="D582" s="128" t="s">
        <v>1856</v>
      </c>
      <c r="E582" s="162" t="s">
        <v>338</v>
      </c>
      <c r="F582" s="48">
        <v>43664</v>
      </c>
      <c r="G582" s="164">
        <v>43693</v>
      </c>
      <c r="H582" s="105" t="s">
        <v>987</v>
      </c>
      <c r="I582" s="105" t="s">
        <v>978</v>
      </c>
      <c r="J582" s="162" t="s">
        <v>59</v>
      </c>
      <c r="K582" s="105">
        <v>6000</v>
      </c>
      <c r="L582" s="105">
        <v>164</v>
      </c>
      <c r="M582" s="105">
        <v>154</v>
      </c>
      <c r="N582" s="105">
        <v>15.9</v>
      </c>
      <c r="O582" s="105">
        <f t="shared" si="215"/>
        <v>95400</v>
      </c>
      <c r="P582" s="101" t="s">
        <v>1252</v>
      </c>
      <c r="Q582" s="101" t="s">
        <v>1211</v>
      </c>
      <c r="R582" s="105">
        <v>76</v>
      </c>
      <c r="S582" s="105">
        <f>-R582*K582</f>
        <v>-456000</v>
      </c>
      <c r="T582" s="48">
        <v>43686</v>
      </c>
      <c r="U582" s="105"/>
      <c r="V582" s="105"/>
      <c r="W582" s="144"/>
      <c r="X582" s="104">
        <f>IF(I582="买入",S582-O582,O582+S582)</f>
        <v>-360600</v>
      </c>
      <c r="Y582" s="198">
        <f t="shared" si="216"/>
        <v>924000</v>
      </c>
      <c r="Z582" s="163" t="str">
        <f t="shared" si="217"/>
        <v/>
      </c>
      <c r="AA582" s="163" t="str">
        <f t="shared" ref="AA582" si="223">IF(I582="买入","卖出","买入")</f>
        <v>买入</v>
      </c>
      <c r="AB582" s="203">
        <v>34</v>
      </c>
      <c r="AC582" s="321">
        <v>0.16</v>
      </c>
      <c r="AD582" s="319"/>
      <c r="AE582" s="324" t="s">
        <v>1335</v>
      </c>
      <c r="AF582" s="105"/>
    </row>
    <row r="583" spans="1:38" ht="20.25" customHeight="1" x14ac:dyDescent="0.15">
      <c r="A583" s="162" t="s">
        <v>394</v>
      </c>
      <c r="B583" s="120" t="s">
        <v>264</v>
      </c>
      <c r="C583" s="162" t="str">
        <f t="shared" si="214"/>
        <v>到期</v>
      </c>
      <c r="D583" s="128" t="s">
        <v>1840</v>
      </c>
      <c r="E583" s="162" t="s">
        <v>137</v>
      </c>
      <c r="F583" s="48">
        <v>43664</v>
      </c>
      <c r="G583" s="164">
        <v>43693</v>
      </c>
      <c r="H583" s="105" t="s">
        <v>985</v>
      </c>
      <c r="I583" s="163" t="s">
        <v>241</v>
      </c>
      <c r="J583" s="162" t="s">
        <v>986</v>
      </c>
      <c r="K583" s="105">
        <v>2500</v>
      </c>
      <c r="L583" s="105">
        <v>3782</v>
      </c>
      <c r="M583" s="105">
        <v>3782</v>
      </c>
      <c r="N583" s="105">
        <v>78.069999999999993</v>
      </c>
      <c r="O583" s="105">
        <f t="shared" si="215"/>
        <v>195174.99999999997</v>
      </c>
      <c r="P583" s="101" t="s">
        <v>1344</v>
      </c>
      <c r="Q583" s="101" t="s">
        <v>1345</v>
      </c>
      <c r="R583" s="105">
        <v>0</v>
      </c>
      <c r="S583" s="105">
        <v>0</v>
      </c>
      <c r="T583" s="144">
        <v>43693</v>
      </c>
      <c r="U583" s="105"/>
      <c r="V583" s="105"/>
      <c r="W583" s="144"/>
      <c r="X583" s="104">
        <f t="shared" ref="X583:X584" si="224">IF(I583="买入",S583-O583,O583+S583)</f>
        <v>-195174.99999999997</v>
      </c>
      <c r="Y583" s="198">
        <f t="shared" si="216"/>
        <v>9455000</v>
      </c>
      <c r="Z583" s="163" t="str">
        <f t="shared" ref="Z583:Z584" si="225">IF(C583="存续",D583&amp;H583&amp;"-"&amp;AA583,"")</f>
        <v/>
      </c>
      <c r="AA583" s="163" t="str">
        <f t="shared" ref="AA583:AA586" si="226">IF(I583="买入","卖出","买入")</f>
        <v>卖出</v>
      </c>
      <c r="AB583" s="203">
        <v>35</v>
      </c>
      <c r="AC583" s="321">
        <v>0.17699999999999999</v>
      </c>
      <c r="AD583" s="319"/>
      <c r="AE583" s="314"/>
      <c r="AF583" s="105"/>
    </row>
    <row r="584" spans="1:38" ht="20.25" customHeight="1" x14ac:dyDescent="0.15">
      <c r="A584" s="162" t="s">
        <v>394</v>
      </c>
      <c r="B584" s="120" t="s">
        <v>264</v>
      </c>
      <c r="C584" s="162" t="str">
        <f t="shared" si="214"/>
        <v>到期</v>
      </c>
      <c r="D584" s="128" t="s">
        <v>1840</v>
      </c>
      <c r="E584" s="162" t="s">
        <v>137</v>
      </c>
      <c r="F584" s="48">
        <v>43664</v>
      </c>
      <c r="G584" s="164">
        <v>43693</v>
      </c>
      <c r="H584" s="105" t="s">
        <v>985</v>
      </c>
      <c r="I584" s="163" t="s">
        <v>241</v>
      </c>
      <c r="J584" s="162" t="s">
        <v>979</v>
      </c>
      <c r="K584" s="105">
        <v>2500</v>
      </c>
      <c r="L584" s="105">
        <v>3782</v>
      </c>
      <c r="M584" s="105">
        <v>3782</v>
      </c>
      <c r="N584" s="105">
        <v>78.069999999999993</v>
      </c>
      <c r="O584" s="105">
        <f t="shared" si="215"/>
        <v>195174.99999999997</v>
      </c>
      <c r="P584" s="101" t="s">
        <v>1344</v>
      </c>
      <c r="Q584" s="101" t="s">
        <v>1261</v>
      </c>
      <c r="R584" s="105">
        <v>317</v>
      </c>
      <c r="S584" s="105">
        <f>R584*K584</f>
        <v>792500</v>
      </c>
      <c r="T584" s="300">
        <v>43693</v>
      </c>
      <c r="U584" s="105"/>
      <c r="V584" s="105"/>
      <c r="W584" s="144"/>
      <c r="X584" s="104">
        <f t="shared" si="224"/>
        <v>597325</v>
      </c>
      <c r="Y584" s="198">
        <f t="shared" si="216"/>
        <v>9455000</v>
      </c>
      <c r="Z584" s="163" t="str">
        <f t="shared" si="225"/>
        <v/>
      </c>
      <c r="AA584" s="163" t="str">
        <f t="shared" si="226"/>
        <v>卖出</v>
      </c>
      <c r="AB584" s="203">
        <v>35</v>
      </c>
      <c r="AC584" s="321">
        <v>0.17699999999999999</v>
      </c>
      <c r="AD584" s="319"/>
      <c r="AE584" s="314"/>
      <c r="AF584" s="105"/>
    </row>
    <row r="585" spans="1:38" ht="20.25" customHeight="1" x14ac:dyDescent="0.15">
      <c r="A585" s="165" t="s">
        <v>265</v>
      </c>
      <c r="B585" s="171" t="s">
        <v>297</v>
      </c>
      <c r="C585" s="165" t="str">
        <f t="shared" ref="C585:C592" si="227">IF(Q585="","存续","到期")</f>
        <v>到期</v>
      </c>
      <c r="D585" s="123" t="s">
        <v>1859</v>
      </c>
      <c r="E585" s="165" t="s">
        <v>298</v>
      </c>
      <c r="F585" s="48">
        <v>43665</v>
      </c>
      <c r="G585" s="167">
        <v>43696</v>
      </c>
      <c r="H585" s="166" t="s">
        <v>989</v>
      </c>
      <c r="I585" s="166" t="s">
        <v>990</v>
      </c>
      <c r="J585" s="165" t="s">
        <v>59</v>
      </c>
      <c r="K585" s="105">
        <v>100</v>
      </c>
      <c r="L585" s="105">
        <v>17900</v>
      </c>
      <c r="M585" s="105">
        <v>19370</v>
      </c>
      <c r="N585" s="105">
        <v>24.71</v>
      </c>
      <c r="O585" s="105">
        <f t="shared" si="215"/>
        <v>2471</v>
      </c>
      <c r="P585" s="101" t="s">
        <v>996</v>
      </c>
      <c r="Q585" s="101" t="s">
        <v>1266</v>
      </c>
      <c r="R585" s="105"/>
      <c r="S585" s="105"/>
      <c r="T585" s="166"/>
      <c r="U585" s="166">
        <v>18540</v>
      </c>
      <c r="V585" s="166">
        <v>0</v>
      </c>
      <c r="W585" s="304">
        <v>43696</v>
      </c>
      <c r="X585" s="166">
        <f>IF(I585="买入",V585-O585,V585+O585)</f>
        <v>2471</v>
      </c>
      <c r="Y585" s="198">
        <f t="shared" si="216"/>
        <v>1937000</v>
      </c>
      <c r="Z585" s="166" t="str">
        <f>IF(C585="存续",D585&amp;H585&amp;"-"&amp;AA585,"")</f>
        <v/>
      </c>
      <c r="AA585" s="166" t="str">
        <f t="shared" si="226"/>
        <v>买入</v>
      </c>
      <c r="AB585" s="203">
        <v>36</v>
      </c>
      <c r="AC585" s="321">
        <v>0.17</v>
      </c>
      <c r="AD585" s="205">
        <v>0.185</v>
      </c>
      <c r="AE585" s="205"/>
      <c r="AF585" s="105"/>
    </row>
    <row r="586" spans="1:38" ht="20.25" customHeight="1" x14ac:dyDescent="0.15">
      <c r="A586" s="267" t="s">
        <v>394</v>
      </c>
      <c r="B586" s="120" t="s">
        <v>994</v>
      </c>
      <c r="C586" s="267" t="str">
        <f t="shared" ref="C586" si="228">IF(Q586="","存续","到期")</f>
        <v>到期</v>
      </c>
      <c r="D586" s="128" t="s">
        <v>942</v>
      </c>
      <c r="E586" s="267" t="s">
        <v>137</v>
      </c>
      <c r="F586" s="48">
        <v>43665</v>
      </c>
      <c r="G586" s="269">
        <v>43696</v>
      </c>
      <c r="H586" s="268" t="s">
        <v>991</v>
      </c>
      <c r="I586" s="268" t="s">
        <v>978</v>
      </c>
      <c r="J586" s="267" t="s">
        <v>992</v>
      </c>
      <c r="K586" s="105">
        <v>1000</v>
      </c>
      <c r="L586" s="105">
        <v>757</v>
      </c>
      <c r="M586" s="105">
        <v>767</v>
      </c>
      <c r="N586" s="105">
        <v>27.92</v>
      </c>
      <c r="O586" s="105">
        <f t="shared" si="215"/>
        <v>27920</v>
      </c>
      <c r="P586" s="101" t="s">
        <v>997</v>
      </c>
      <c r="Q586" s="101" t="s">
        <v>1256</v>
      </c>
      <c r="R586" s="105">
        <v>94.66</v>
      </c>
      <c r="S586" s="105">
        <f>-R586*K586</f>
        <v>-94660</v>
      </c>
      <c r="T586" s="48">
        <v>43686</v>
      </c>
      <c r="U586" s="268"/>
      <c r="V586" s="268"/>
      <c r="W586" s="268"/>
      <c r="X586" s="104">
        <f>IF(I586="买入",S586-O586,O586+S586)</f>
        <v>-66740</v>
      </c>
      <c r="Y586" s="198">
        <f>M586*K586</f>
        <v>767000</v>
      </c>
      <c r="Z586" s="268" t="str">
        <f>IF(C586="存续",D586&amp;H586&amp;"-"&amp;AA586,"")</f>
        <v/>
      </c>
      <c r="AA586" s="268" t="str">
        <f t="shared" si="226"/>
        <v>买入</v>
      </c>
      <c r="AB586" s="268">
        <v>37</v>
      </c>
      <c r="AC586" s="321">
        <v>0.36</v>
      </c>
      <c r="AD586" s="319"/>
      <c r="AE586" s="324" t="s">
        <v>1335</v>
      </c>
      <c r="AF586" s="105"/>
    </row>
    <row r="587" spans="1:38" ht="20.25" customHeight="1" x14ac:dyDescent="0.15">
      <c r="A587" s="172" t="s">
        <v>394</v>
      </c>
      <c r="B587" s="120" t="s">
        <v>994</v>
      </c>
      <c r="C587" s="165" t="str">
        <f t="shared" si="227"/>
        <v>到期</v>
      </c>
      <c r="D587" s="128" t="s">
        <v>942</v>
      </c>
      <c r="E587" s="165" t="s">
        <v>137</v>
      </c>
      <c r="F587" s="48">
        <v>43665</v>
      </c>
      <c r="G587" s="167">
        <v>43696</v>
      </c>
      <c r="H587" s="166" t="s">
        <v>991</v>
      </c>
      <c r="I587" s="166" t="s">
        <v>978</v>
      </c>
      <c r="J587" s="165" t="s">
        <v>992</v>
      </c>
      <c r="K587" s="105">
        <v>2000</v>
      </c>
      <c r="L587" s="105">
        <v>757</v>
      </c>
      <c r="M587" s="105">
        <v>767</v>
      </c>
      <c r="N587" s="105">
        <v>27.92</v>
      </c>
      <c r="O587" s="105">
        <f t="shared" ref="O587:O602" si="229">N587*K587</f>
        <v>55840</v>
      </c>
      <c r="P587" s="101" t="s">
        <v>997</v>
      </c>
      <c r="Q587" s="101" t="s">
        <v>1257</v>
      </c>
      <c r="R587" s="105">
        <v>110.44</v>
      </c>
      <c r="S587" s="105">
        <f>-R587*K587</f>
        <v>-220880</v>
      </c>
      <c r="T587" s="48">
        <v>43686</v>
      </c>
      <c r="U587" s="166"/>
      <c r="V587" s="166"/>
      <c r="W587" s="166"/>
      <c r="X587" s="104">
        <f>IF(I587="买入",S587-O587,O587+S587)</f>
        <v>-165040</v>
      </c>
      <c r="Y587" s="198">
        <f t="shared" si="216"/>
        <v>1534000</v>
      </c>
      <c r="Z587" s="166" t="str">
        <f>IF(C587="存续",D587&amp;H587&amp;"-"&amp;AA587,"")</f>
        <v/>
      </c>
      <c r="AA587" s="166" t="str">
        <f t="shared" ref="AA587" si="230">IF(I587="买入","卖出","买入")</f>
        <v>买入</v>
      </c>
      <c r="AB587" s="203">
        <v>37</v>
      </c>
      <c r="AC587" s="321">
        <v>0.36</v>
      </c>
      <c r="AD587" s="319"/>
      <c r="AE587" s="324" t="s">
        <v>1335</v>
      </c>
      <c r="AF587" s="105"/>
    </row>
    <row r="588" spans="1:38" ht="20.25" customHeight="1" x14ac:dyDescent="0.15">
      <c r="A588" s="168" t="s">
        <v>247</v>
      </c>
      <c r="B588" s="168" t="s">
        <v>264</v>
      </c>
      <c r="C588" s="168" t="str">
        <f t="shared" si="227"/>
        <v>到期</v>
      </c>
      <c r="D588" s="127" t="s">
        <v>1840</v>
      </c>
      <c r="E588" s="168" t="s">
        <v>137</v>
      </c>
      <c r="F588" s="48">
        <v>43665</v>
      </c>
      <c r="G588" s="170">
        <v>43679</v>
      </c>
      <c r="H588" s="48" t="s">
        <v>993</v>
      </c>
      <c r="I588" s="169" t="s">
        <v>1000</v>
      </c>
      <c r="J588" s="168" t="s">
        <v>22</v>
      </c>
      <c r="K588" s="105">
        <v>1000</v>
      </c>
      <c r="L588" s="105">
        <v>2163.5</v>
      </c>
      <c r="M588" s="105">
        <v>2163.5</v>
      </c>
      <c r="N588" s="105">
        <v>42.15</v>
      </c>
      <c r="O588" s="105">
        <f>N588*K588</f>
        <v>42150</v>
      </c>
      <c r="P588" s="101" t="s">
        <v>1343</v>
      </c>
      <c r="Q588" s="101" t="s">
        <v>1919</v>
      </c>
      <c r="R588" s="105">
        <v>0.03</v>
      </c>
      <c r="S588" s="104">
        <f>R588*K588</f>
        <v>30</v>
      </c>
      <c r="T588" s="48">
        <v>43679</v>
      </c>
      <c r="U588" s="169"/>
      <c r="V588" s="169"/>
      <c r="W588" s="169"/>
      <c r="X588" s="104">
        <f>IF(I588="买入",S588-O588,O588+S588)</f>
        <v>-42120</v>
      </c>
      <c r="Y588" s="198">
        <f t="shared" ref="Y588:Y592" si="231">M588*K588</f>
        <v>2163500</v>
      </c>
      <c r="Z588" s="169" t="str">
        <f>IF(C588="存续",D588&amp;H588&amp;"-"&amp;AA588,"")</f>
        <v/>
      </c>
      <c r="AA588" s="169" t="str">
        <f t="shared" ref="AA588" si="232">IF(I588="买入","卖出","买入")</f>
        <v>卖出</v>
      </c>
      <c r="AB588" s="203">
        <v>38</v>
      </c>
      <c r="AC588" s="321">
        <v>0.23400000000000001</v>
      </c>
      <c r="AD588" s="319"/>
      <c r="AE588" s="314"/>
      <c r="AF588" s="105"/>
    </row>
    <row r="589" spans="1:38" ht="24" customHeight="1" x14ac:dyDescent="0.15">
      <c r="A589" s="173" t="s">
        <v>248</v>
      </c>
      <c r="B589" s="120" t="s">
        <v>263</v>
      </c>
      <c r="C589" s="173" t="str">
        <f t="shared" si="227"/>
        <v>到期</v>
      </c>
      <c r="D589" s="100" t="s">
        <v>1861</v>
      </c>
      <c r="E589" s="173" t="s">
        <v>137</v>
      </c>
      <c r="F589" s="48">
        <v>43665</v>
      </c>
      <c r="G589" s="48">
        <v>43725</v>
      </c>
      <c r="H589" s="174" t="s">
        <v>1262</v>
      </c>
      <c r="I589" s="174" t="s">
        <v>241</v>
      </c>
      <c r="J589" s="173" t="s">
        <v>973</v>
      </c>
      <c r="K589" s="105">
        <v>21043.75</v>
      </c>
      <c r="L589" s="105">
        <v>1979</v>
      </c>
      <c r="M589" s="105">
        <v>1979</v>
      </c>
      <c r="N589" s="105">
        <v>33</v>
      </c>
      <c r="O589" s="105">
        <f t="shared" si="229"/>
        <v>694443.75</v>
      </c>
      <c r="P589" s="101" t="s">
        <v>1043</v>
      </c>
      <c r="Q589" s="101" t="s">
        <v>1920</v>
      </c>
      <c r="R589" s="105"/>
      <c r="S589" s="105"/>
      <c r="T589" s="175"/>
      <c r="U589" s="104">
        <v>1921.48</v>
      </c>
      <c r="V589" s="104">
        <f>(L589-U589)*K589</f>
        <v>1210436.4999999995</v>
      </c>
      <c r="W589" s="48">
        <v>43725</v>
      </c>
      <c r="X589" s="105">
        <f t="shared" ref="X589:X590" si="233">IF(I589="买入",V589-O589,V589+O589)</f>
        <v>515992.74999999953</v>
      </c>
      <c r="Y589" s="197">
        <f>M589*K589</f>
        <v>41645581.25</v>
      </c>
      <c r="Z589" s="174" t="str">
        <f t="shared" ref="Z589:Z591" si="234">IF(C589="存续",D589&amp;H589&amp;"-"&amp;AA589,"")</f>
        <v/>
      </c>
      <c r="AA589" s="174" t="str">
        <f t="shared" ref="AA589:AA590" si="235">IF(I589="买入","卖出","买入")</f>
        <v>卖出</v>
      </c>
      <c r="AB589" s="203">
        <v>39</v>
      </c>
      <c r="AC589" s="321">
        <v>0.155</v>
      </c>
      <c r="AD589" s="319"/>
      <c r="AE589" s="314" t="s">
        <v>1334</v>
      </c>
      <c r="AF589" s="105"/>
      <c r="AG589" s="101" t="s">
        <v>1487</v>
      </c>
    </row>
    <row r="590" spans="1:38" ht="24" customHeight="1" x14ac:dyDescent="0.15">
      <c r="A590" s="173" t="s">
        <v>248</v>
      </c>
      <c r="B590" s="120" t="s">
        <v>263</v>
      </c>
      <c r="C590" s="173" t="str">
        <f t="shared" si="227"/>
        <v>到期</v>
      </c>
      <c r="D590" s="100" t="s">
        <v>1862</v>
      </c>
      <c r="E590" s="173" t="s">
        <v>137</v>
      </c>
      <c r="F590" s="48">
        <v>43665</v>
      </c>
      <c r="G590" s="48">
        <v>43725</v>
      </c>
      <c r="H590" s="299" t="s">
        <v>1262</v>
      </c>
      <c r="I590" s="174" t="s">
        <v>241</v>
      </c>
      <c r="J590" s="173" t="s">
        <v>973</v>
      </c>
      <c r="K590" s="105">
        <v>21043.75</v>
      </c>
      <c r="L590" s="105">
        <v>1979</v>
      </c>
      <c r="M590" s="105">
        <v>1979</v>
      </c>
      <c r="N590" s="105">
        <v>33</v>
      </c>
      <c r="O590" s="105">
        <f t="shared" si="229"/>
        <v>694443.75</v>
      </c>
      <c r="P590" s="101" t="s">
        <v>1207</v>
      </c>
      <c r="Q590" s="101" t="s">
        <v>1921</v>
      </c>
      <c r="R590" s="105"/>
      <c r="S590" s="105"/>
      <c r="T590" s="175"/>
      <c r="U590" s="104">
        <v>1921.48</v>
      </c>
      <c r="V590" s="104">
        <f>(L590-U590)*K590</f>
        <v>1210436.4999999995</v>
      </c>
      <c r="W590" s="48">
        <v>43725</v>
      </c>
      <c r="X590" s="105">
        <f t="shared" si="233"/>
        <v>515992.74999999953</v>
      </c>
      <c r="Y590" s="197">
        <f t="shared" si="231"/>
        <v>41645581.25</v>
      </c>
      <c r="Z590" s="174" t="str">
        <f t="shared" si="234"/>
        <v/>
      </c>
      <c r="AA590" s="174" t="str">
        <f t="shared" si="235"/>
        <v>卖出</v>
      </c>
      <c r="AB590" s="203">
        <v>40</v>
      </c>
      <c r="AC590" s="321">
        <v>0.155</v>
      </c>
      <c r="AD590" s="319"/>
      <c r="AE590" s="324" t="s">
        <v>1334</v>
      </c>
      <c r="AF590" s="105"/>
      <c r="AG590" s="101" t="s">
        <v>1504</v>
      </c>
    </row>
    <row r="591" spans="1:38" ht="24" customHeight="1" x14ac:dyDescent="0.15">
      <c r="A591" s="173" t="s">
        <v>248</v>
      </c>
      <c r="B591" s="120" t="s">
        <v>263</v>
      </c>
      <c r="C591" s="173" t="str">
        <f t="shared" si="227"/>
        <v>到期</v>
      </c>
      <c r="D591" s="100" t="s">
        <v>1863</v>
      </c>
      <c r="E591" s="173" t="s">
        <v>137</v>
      </c>
      <c r="F591" s="48">
        <v>43665</v>
      </c>
      <c r="G591" s="102">
        <v>43769</v>
      </c>
      <c r="H591" s="174" t="s">
        <v>1262</v>
      </c>
      <c r="I591" s="174" t="s">
        <v>241</v>
      </c>
      <c r="J591" s="173" t="s">
        <v>973</v>
      </c>
      <c r="K591" s="105">
        <v>80000</v>
      </c>
      <c r="L591" s="109">
        <v>2050</v>
      </c>
      <c r="M591" s="105">
        <v>1980.9586999999999</v>
      </c>
      <c r="N591" s="585">
        <v>65.89</v>
      </c>
      <c r="O591" s="105">
        <f t="shared" si="229"/>
        <v>5271200</v>
      </c>
      <c r="P591" s="175" t="s">
        <v>995</v>
      </c>
      <c r="Q591" s="101" t="s">
        <v>1922</v>
      </c>
      <c r="R591" s="105"/>
      <c r="S591" s="105"/>
      <c r="T591" s="175"/>
      <c r="U591" s="104">
        <v>1956.86</v>
      </c>
      <c r="V591" s="586">
        <v>5443280</v>
      </c>
      <c r="W591" s="48">
        <v>43693</v>
      </c>
      <c r="X591" s="105">
        <f>IF(I591="买入",V591-O591,V591+O591)</f>
        <v>172080</v>
      </c>
      <c r="Y591" s="197">
        <f t="shared" si="231"/>
        <v>158476696</v>
      </c>
      <c r="Z591" s="174" t="str">
        <f t="shared" si="234"/>
        <v/>
      </c>
      <c r="AA591" s="174" t="str">
        <f>IF(I591="买入","卖出","买入")</f>
        <v>卖出</v>
      </c>
      <c r="AB591" s="203">
        <v>41</v>
      </c>
      <c r="AC591" s="321">
        <v>0.155</v>
      </c>
      <c r="AD591" s="319"/>
      <c r="AE591" s="324" t="s">
        <v>1334</v>
      </c>
      <c r="AF591" s="105"/>
      <c r="AG591" s="108" t="s">
        <v>1812</v>
      </c>
      <c r="AH591" s="108">
        <v>1988.5</v>
      </c>
      <c r="AI591" s="108" t="s">
        <v>1352</v>
      </c>
      <c r="AJ591" s="337">
        <v>0.9</v>
      </c>
      <c r="AK591" s="108" t="s">
        <v>1353</v>
      </c>
      <c r="AL591" s="108" t="s">
        <v>1813</v>
      </c>
    </row>
    <row r="592" spans="1:38" ht="24.95" customHeight="1" x14ac:dyDescent="0.15">
      <c r="A592" s="176" t="s">
        <v>265</v>
      </c>
      <c r="B592" s="176" t="s">
        <v>264</v>
      </c>
      <c r="C592" s="176" t="str">
        <f t="shared" si="227"/>
        <v>到期</v>
      </c>
      <c r="D592" s="123" t="s">
        <v>1846</v>
      </c>
      <c r="E592" s="176" t="s">
        <v>137</v>
      </c>
      <c r="F592" s="48">
        <v>43668</v>
      </c>
      <c r="G592" s="178">
        <v>43698</v>
      </c>
      <c r="H592" s="177" t="s">
        <v>1264</v>
      </c>
      <c r="I592" s="177" t="s">
        <v>998</v>
      </c>
      <c r="J592" s="176" t="s">
        <v>986</v>
      </c>
      <c r="K592" s="105">
        <v>500</v>
      </c>
      <c r="L592" s="105">
        <v>4648.3500000000004</v>
      </c>
      <c r="M592" s="105">
        <v>4427</v>
      </c>
      <c r="N592" s="105">
        <v>18.8</v>
      </c>
      <c r="O592" s="105">
        <f t="shared" si="229"/>
        <v>9400</v>
      </c>
      <c r="P592" s="101" t="s">
        <v>1287</v>
      </c>
      <c r="Q592" s="101" t="s">
        <v>1923</v>
      </c>
      <c r="R592" s="105"/>
      <c r="S592" s="105"/>
      <c r="T592" s="177"/>
      <c r="U592" s="177">
        <v>4568</v>
      </c>
      <c r="V592" s="177">
        <v>0</v>
      </c>
      <c r="W592" s="311">
        <v>43698</v>
      </c>
      <c r="X592" s="105">
        <f t="shared" ref="X592:X593" si="236">IF(I592="买入",V592-O592,V592+O592)</f>
        <v>-9400</v>
      </c>
      <c r="Y592" s="198">
        <f t="shared" si="231"/>
        <v>2213500</v>
      </c>
      <c r="Z592" s="177" t="str">
        <f t="shared" ref="Z592:Z593" si="237">IF(C592="存续",D592&amp;H592&amp;"-"&amp;AA592,"")</f>
        <v/>
      </c>
      <c r="AA592" s="177" t="str">
        <f>IF(I592="买入","卖出","买入")</f>
        <v>卖出</v>
      </c>
      <c r="AB592" s="203">
        <v>42</v>
      </c>
      <c r="AC592" s="321">
        <v>0.16399999999999998</v>
      </c>
      <c r="AD592" s="319"/>
      <c r="AE592" s="314"/>
      <c r="AF592" s="105"/>
    </row>
    <row r="593" spans="1:32" ht="24.95" customHeight="1" x14ac:dyDescent="0.15">
      <c r="A593" s="176" t="s">
        <v>265</v>
      </c>
      <c r="B593" s="176" t="s">
        <v>264</v>
      </c>
      <c r="C593" s="176" t="str">
        <f t="shared" ref="C593:C624" si="238">IF(Q593="","存续","到期")</f>
        <v>到期</v>
      </c>
      <c r="D593" s="123" t="s">
        <v>1846</v>
      </c>
      <c r="E593" s="176" t="s">
        <v>137</v>
      </c>
      <c r="F593" s="48">
        <v>43668</v>
      </c>
      <c r="G593" s="178">
        <v>43698</v>
      </c>
      <c r="H593" s="299" t="s">
        <v>1264</v>
      </c>
      <c r="I593" s="177" t="s">
        <v>998</v>
      </c>
      <c r="J593" s="176" t="s">
        <v>979</v>
      </c>
      <c r="K593" s="105">
        <v>500</v>
      </c>
      <c r="L593" s="105">
        <v>4205.6499999999996</v>
      </c>
      <c r="M593" s="105">
        <v>4427</v>
      </c>
      <c r="N593" s="105">
        <v>16.2</v>
      </c>
      <c r="O593" s="105">
        <f t="shared" si="229"/>
        <v>8100</v>
      </c>
      <c r="P593" s="101" t="s">
        <v>1288</v>
      </c>
      <c r="Q593" s="101" t="s">
        <v>1923</v>
      </c>
      <c r="R593" s="105"/>
      <c r="S593" s="105"/>
      <c r="T593" s="177"/>
      <c r="U593" s="177">
        <v>4568</v>
      </c>
      <c r="V593" s="177">
        <v>0</v>
      </c>
      <c r="W593" s="311">
        <v>43698</v>
      </c>
      <c r="X593" s="105">
        <f t="shared" si="236"/>
        <v>-8100</v>
      </c>
      <c r="Y593" s="198">
        <f t="shared" ref="Y593:Y598" si="239">M593*K593</f>
        <v>2213500</v>
      </c>
      <c r="Z593" s="177" t="str">
        <f t="shared" si="237"/>
        <v/>
      </c>
      <c r="AA593" s="177" t="str">
        <f t="shared" ref="AA593" si="240">IF(I593="买入","卖出","买入")</f>
        <v>卖出</v>
      </c>
      <c r="AB593" s="203">
        <v>42</v>
      </c>
      <c r="AC593" s="321">
        <v>0.16399999999999998</v>
      </c>
      <c r="AD593" s="319"/>
      <c r="AE593" s="314"/>
      <c r="AF593" s="105"/>
    </row>
    <row r="594" spans="1:32" ht="24.95" customHeight="1" x14ac:dyDescent="0.15">
      <c r="A594" s="179" t="s">
        <v>248</v>
      </c>
      <c r="B594" s="120" t="s">
        <v>263</v>
      </c>
      <c r="C594" s="179" t="str">
        <f t="shared" si="238"/>
        <v>到期</v>
      </c>
      <c r="D594" s="103" t="s">
        <v>1841</v>
      </c>
      <c r="E594" s="179" t="s">
        <v>298</v>
      </c>
      <c r="F594" s="48">
        <v>43669</v>
      </c>
      <c r="G594" s="181">
        <v>43697</v>
      </c>
      <c r="H594" s="180" t="s">
        <v>1020</v>
      </c>
      <c r="I594" s="180" t="s">
        <v>222</v>
      </c>
      <c r="J594" s="179" t="s">
        <v>56</v>
      </c>
      <c r="K594" s="105">
        <v>50</v>
      </c>
      <c r="L594" s="105">
        <v>49300</v>
      </c>
      <c r="M594" s="105">
        <v>47420</v>
      </c>
      <c r="N594" s="105">
        <f>393.62/2</f>
        <v>196.81</v>
      </c>
      <c r="O594" s="105">
        <f t="shared" si="229"/>
        <v>9840.5</v>
      </c>
      <c r="P594" s="101" t="s">
        <v>1002</v>
      </c>
      <c r="Q594" s="101" t="s">
        <v>1924</v>
      </c>
      <c r="R594" s="105"/>
      <c r="S594" s="105"/>
      <c r="T594" s="180"/>
      <c r="U594" s="180">
        <v>46620</v>
      </c>
      <c r="V594" s="180">
        <v>0</v>
      </c>
      <c r="W594" s="310">
        <v>43697</v>
      </c>
      <c r="X594" s="180">
        <f>IF(I594="买入",V594-O594,V594+O594)</f>
        <v>9840.5</v>
      </c>
      <c r="Y594" s="198">
        <f t="shared" si="239"/>
        <v>2371000</v>
      </c>
      <c r="Z594" s="180" t="str">
        <f>IF(C594="存续",D594&amp;H594&amp;"-"&amp;AA594,"")</f>
        <v/>
      </c>
      <c r="AA594" s="180" t="str">
        <f>IF(I594="买入","卖出","买入19-新8")</f>
        <v>买入19-新8</v>
      </c>
      <c r="AB594" s="203">
        <v>43</v>
      </c>
      <c r="AC594" s="321">
        <v>0.152</v>
      </c>
      <c r="AD594" s="205">
        <v>0.152</v>
      </c>
      <c r="AE594" s="213"/>
      <c r="AF594" s="105"/>
    </row>
    <row r="595" spans="1:32" ht="24.95" customHeight="1" x14ac:dyDescent="0.15">
      <c r="A595" s="179" t="s">
        <v>248</v>
      </c>
      <c r="B595" s="120" t="s">
        <v>263</v>
      </c>
      <c r="C595" s="179" t="str">
        <f t="shared" si="238"/>
        <v>到期</v>
      </c>
      <c r="D595" s="103" t="s">
        <v>1841</v>
      </c>
      <c r="E595" s="179" t="s">
        <v>298</v>
      </c>
      <c r="F595" s="48">
        <v>43669</v>
      </c>
      <c r="G595" s="181">
        <v>43697</v>
      </c>
      <c r="H595" s="180" t="s">
        <v>1020</v>
      </c>
      <c r="I595" s="180" t="s">
        <v>222</v>
      </c>
      <c r="J595" s="179" t="s">
        <v>59</v>
      </c>
      <c r="K595" s="105">
        <v>50</v>
      </c>
      <c r="L595" s="105">
        <v>45510</v>
      </c>
      <c r="M595" s="105">
        <v>47420</v>
      </c>
      <c r="N595" s="105">
        <f t="shared" ref="N595:N603" si="241">393.62/2</f>
        <v>196.81</v>
      </c>
      <c r="O595" s="105">
        <f t="shared" si="229"/>
        <v>9840.5</v>
      </c>
      <c r="P595" s="101" t="s">
        <v>1003</v>
      </c>
      <c r="Q595" s="101" t="s">
        <v>1924</v>
      </c>
      <c r="R595" s="105"/>
      <c r="S595" s="105"/>
      <c r="T595" s="180"/>
      <c r="U595" s="309">
        <v>46620</v>
      </c>
      <c r="V595" s="180">
        <v>0</v>
      </c>
      <c r="W595" s="310">
        <v>43697</v>
      </c>
      <c r="X595" s="309">
        <f t="shared" ref="X595:X603" si="242">IF(I595="买入",V595-O595,V595+O595)</f>
        <v>9840.5</v>
      </c>
      <c r="Y595" s="198">
        <f t="shared" si="239"/>
        <v>2371000</v>
      </c>
      <c r="Z595" s="180" t="str">
        <f t="shared" ref="Z595:Z603" si="243">IF(C595="存续",D595&amp;H595&amp;"-"&amp;AA595,"")</f>
        <v/>
      </c>
      <c r="AA595" s="189" t="str">
        <f t="shared" ref="AA595:AA603" si="244">IF(I595="买入","卖出","买入19-新8")</f>
        <v>买入19-新8</v>
      </c>
      <c r="AB595" s="203">
        <v>43</v>
      </c>
      <c r="AC595" s="321">
        <v>0.152</v>
      </c>
      <c r="AD595" s="205">
        <v>0.152</v>
      </c>
      <c r="AE595" s="213"/>
      <c r="AF595" s="105"/>
    </row>
    <row r="596" spans="1:32" ht="24.95" customHeight="1" x14ac:dyDescent="0.15">
      <c r="A596" s="179" t="s">
        <v>248</v>
      </c>
      <c r="B596" s="120" t="s">
        <v>263</v>
      </c>
      <c r="C596" s="179" t="str">
        <f t="shared" si="238"/>
        <v>到期</v>
      </c>
      <c r="D596" s="103" t="s">
        <v>1842</v>
      </c>
      <c r="E596" s="179" t="s">
        <v>298</v>
      </c>
      <c r="F596" s="48">
        <v>43669</v>
      </c>
      <c r="G596" s="181">
        <v>43697</v>
      </c>
      <c r="H596" s="180" t="s">
        <v>1020</v>
      </c>
      <c r="I596" s="180" t="s">
        <v>222</v>
      </c>
      <c r="J596" s="179" t="s">
        <v>56</v>
      </c>
      <c r="K596" s="105">
        <v>50</v>
      </c>
      <c r="L596" s="105">
        <v>49300</v>
      </c>
      <c r="M596" s="105">
        <v>47420</v>
      </c>
      <c r="N596" s="105">
        <f t="shared" si="241"/>
        <v>196.81</v>
      </c>
      <c r="O596" s="105">
        <f t="shared" si="229"/>
        <v>9840.5</v>
      </c>
      <c r="P596" s="101" t="s">
        <v>1004</v>
      </c>
      <c r="Q596" s="101" t="s">
        <v>1925</v>
      </c>
      <c r="R596" s="105"/>
      <c r="S596" s="105"/>
      <c r="T596" s="180"/>
      <c r="U596" s="309">
        <v>46620</v>
      </c>
      <c r="V596" s="180">
        <v>0</v>
      </c>
      <c r="W596" s="310">
        <v>43697</v>
      </c>
      <c r="X596" s="309">
        <f t="shared" si="242"/>
        <v>9840.5</v>
      </c>
      <c r="Y596" s="198">
        <f t="shared" si="239"/>
        <v>2371000</v>
      </c>
      <c r="Z596" s="180" t="str">
        <f t="shared" si="243"/>
        <v/>
      </c>
      <c r="AA596" s="189" t="str">
        <f t="shared" si="244"/>
        <v>买入19-新8</v>
      </c>
      <c r="AB596" s="203">
        <v>43</v>
      </c>
      <c r="AC596" s="321">
        <v>0.152</v>
      </c>
      <c r="AD596" s="205">
        <v>0.152</v>
      </c>
      <c r="AE596" s="213"/>
      <c r="AF596" s="105"/>
    </row>
    <row r="597" spans="1:32" ht="24.95" customHeight="1" x14ac:dyDescent="0.15">
      <c r="A597" s="179" t="s">
        <v>248</v>
      </c>
      <c r="B597" s="120" t="s">
        <v>263</v>
      </c>
      <c r="C597" s="179" t="str">
        <f t="shared" si="238"/>
        <v>到期</v>
      </c>
      <c r="D597" s="103" t="s">
        <v>1842</v>
      </c>
      <c r="E597" s="179" t="s">
        <v>298</v>
      </c>
      <c r="F597" s="48">
        <v>43669</v>
      </c>
      <c r="G597" s="181">
        <v>43697</v>
      </c>
      <c r="H597" s="180" t="s">
        <v>1020</v>
      </c>
      <c r="I597" s="180" t="s">
        <v>222</v>
      </c>
      <c r="J597" s="179" t="s">
        <v>59</v>
      </c>
      <c r="K597" s="105">
        <v>50</v>
      </c>
      <c r="L597" s="105">
        <v>45510</v>
      </c>
      <c r="M597" s="105">
        <v>47420</v>
      </c>
      <c r="N597" s="105">
        <f t="shared" si="241"/>
        <v>196.81</v>
      </c>
      <c r="O597" s="105">
        <f t="shared" si="229"/>
        <v>9840.5</v>
      </c>
      <c r="P597" s="101" t="s">
        <v>1005</v>
      </c>
      <c r="Q597" s="101" t="s">
        <v>1925</v>
      </c>
      <c r="R597" s="105"/>
      <c r="S597" s="105"/>
      <c r="T597" s="180"/>
      <c r="U597" s="309">
        <v>46620</v>
      </c>
      <c r="V597" s="180">
        <v>0</v>
      </c>
      <c r="W597" s="310">
        <v>43697</v>
      </c>
      <c r="X597" s="309">
        <f t="shared" si="242"/>
        <v>9840.5</v>
      </c>
      <c r="Y597" s="198">
        <f t="shared" si="239"/>
        <v>2371000</v>
      </c>
      <c r="Z597" s="180" t="str">
        <f t="shared" si="243"/>
        <v/>
      </c>
      <c r="AA597" s="189" t="str">
        <f>IF(I597="买入","卖出","买入19-新8")</f>
        <v>买入19-新8</v>
      </c>
      <c r="AB597" s="203">
        <v>43</v>
      </c>
      <c r="AC597" s="321">
        <v>0.152</v>
      </c>
      <c r="AD597" s="205">
        <v>0.152</v>
      </c>
      <c r="AE597" s="213"/>
      <c r="AF597" s="105"/>
    </row>
    <row r="598" spans="1:32" ht="24.95" customHeight="1" x14ac:dyDescent="0.15">
      <c r="A598" s="179" t="s">
        <v>248</v>
      </c>
      <c r="B598" s="120" t="s">
        <v>263</v>
      </c>
      <c r="C598" s="179" t="str">
        <f t="shared" si="238"/>
        <v>到期</v>
      </c>
      <c r="D598" s="103" t="s">
        <v>1843</v>
      </c>
      <c r="E598" s="179" t="s">
        <v>298</v>
      </c>
      <c r="F598" s="48">
        <v>43669</v>
      </c>
      <c r="G598" s="181">
        <v>43697</v>
      </c>
      <c r="H598" s="180" t="s">
        <v>1020</v>
      </c>
      <c r="I598" s="180" t="s">
        <v>222</v>
      </c>
      <c r="J598" s="179" t="s">
        <v>56</v>
      </c>
      <c r="K598" s="105">
        <v>50</v>
      </c>
      <c r="L598" s="105">
        <v>49300</v>
      </c>
      <c r="M598" s="105">
        <v>47420</v>
      </c>
      <c r="N598" s="105">
        <f t="shared" si="241"/>
        <v>196.81</v>
      </c>
      <c r="O598" s="105">
        <f t="shared" si="229"/>
        <v>9840.5</v>
      </c>
      <c r="P598" s="101" t="s">
        <v>1006</v>
      </c>
      <c r="Q598" s="101" t="s">
        <v>1926</v>
      </c>
      <c r="R598" s="105"/>
      <c r="S598" s="105"/>
      <c r="T598" s="180"/>
      <c r="U598" s="309">
        <v>46620</v>
      </c>
      <c r="V598" s="180">
        <v>0</v>
      </c>
      <c r="W598" s="310">
        <v>43697</v>
      </c>
      <c r="X598" s="309">
        <f t="shared" si="242"/>
        <v>9840.5</v>
      </c>
      <c r="Y598" s="198">
        <f t="shared" si="239"/>
        <v>2371000</v>
      </c>
      <c r="Z598" s="180" t="str">
        <f t="shared" si="243"/>
        <v/>
      </c>
      <c r="AA598" s="189" t="str">
        <f t="shared" si="244"/>
        <v>买入19-新8</v>
      </c>
      <c r="AB598" s="203">
        <v>43</v>
      </c>
      <c r="AC598" s="321">
        <v>0.152</v>
      </c>
      <c r="AD598" s="205">
        <v>0.152</v>
      </c>
      <c r="AE598" s="213"/>
      <c r="AF598" s="105"/>
    </row>
    <row r="599" spans="1:32" ht="24.95" customHeight="1" x14ac:dyDescent="0.15">
      <c r="A599" s="179" t="s">
        <v>248</v>
      </c>
      <c r="B599" s="120" t="s">
        <v>263</v>
      </c>
      <c r="C599" s="179" t="str">
        <f t="shared" si="238"/>
        <v>到期</v>
      </c>
      <c r="D599" s="103" t="s">
        <v>1843</v>
      </c>
      <c r="E599" s="179" t="s">
        <v>298</v>
      </c>
      <c r="F599" s="48">
        <v>43669</v>
      </c>
      <c r="G599" s="181">
        <v>43697</v>
      </c>
      <c r="H599" s="180" t="s">
        <v>1020</v>
      </c>
      <c r="I599" s="180" t="s">
        <v>222</v>
      </c>
      <c r="J599" s="179" t="s">
        <v>59</v>
      </c>
      <c r="K599" s="105">
        <v>50</v>
      </c>
      <c r="L599" s="105">
        <v>45510</v>
      </c>
      <c r="M599" s="105">
        <v>47420</v>
      </c>
      <c r="N599" s="105">
        <f t="shared" si="241"/>
        <v>196.81</v>
      </c>
      <c r="O599" s="105">
        <f t="shared" si="229"/>
        <v>9840.5</v>
      </c>
      <c r="P599" s="101" t="s">
        <v>1006</v>
      </c>
      <c r="Q599" s="101" t="s">
        <v>1926</v>
      </c>
      <c r="R599" s="105"/>
      <c r="S599" s="105"/>
      <c r="T599" s="180"/>
      <c r="U599" s="309">
        <v>46620</v>
      </c>
      <c r="V599" s="180">
        <v>0</v>
      </c>
      <c r="W599" s="310">
        <v>43697</v>
      </c>
      <c r="X599" s="309">
        <f t="shared" si="242"/>
        <v>9840.5</v>
      </c>
      <c r="Y599" s="198">
        <f t="shared" ref="Y599:Y603" si="245">M599*K599</f>
        <v>2371000</v>
      </c>
      <c r="Z599" s="180" t="str">
        <f t="shared" si="243"/>
        <v/>
      </c>
      <c r="AA599" s="189" t="str">
        <f t="shared" si="244"/>
        <v>买入19-新8</v>
      </c>
      <c r="AB599" s="203">
        <v>43</v>
      </c>
      <c r="AC599" s="321">
        <v>0.152</v>
      </c>
      <c r="AD599" s="205">
        <v>0.152</v>
      </c>
      <c r="AE599" s="213"/>
      <c r="AF599" s="105"/>
    </row>
    <row r="600" spans="1:32" ht="24.95" customHeight="1" x14ac:dyDescent="0.15">
      <c r="A600" s="179" t="s">
        <v>248</v>
      </c>
      <c r="B600" s="120" t="s">
        <v>263</v>
      </c>
      <c r="C600" s="179" t="str">
        <f t="shared" si="238"/>
        <v>到期</v>
      </c>
      <c r="D600" s="103" t="s">
        <v>1844</v>
      </c>
      <c r="E600" s="179" t="s">
        <v>298</v>
      </c>
      <c r="F600" s="48">
        <v>43669</v>
      </c>
      <c r="G600" s="181">
        <v>43697</v>
      </c>
      <c r="H600" s="180" t="s">
        <v>1020</v>
      </c>
      <c r="I600" s="180" t="s">
        <v>222</v>
      </c>
      <c r="J600" s="179" t="s">
        <v>56</v>
      </c>
      <c r="K600" s="105">
        <v>50</v>
      </c>
      <c r="L600" s="105">
        <v>49300</v>
      </c>
      <c r="M600" s="105">
        <v>47420</v>
      </c>
      <c r="N600" s="105">
        <f t="shared" si="241"/>
        <v>196.81</v>
      </c>
      <c r="O600" s="105">
        <f t="shared" si="229"/>
        <v>9840.5</v>
      </c>
      <c r="P600" s="101" t="s">
        <v>1007</v>
      </c>
      <c r="Q600" s="101" t="s">
        <v>1927</v>
      </c>
      <c r="R600" s="105"/>
      <c r="S600" s="105"/>
      <c r="T600" s="180"/>
      <c r="U600" s="309">
        <v>46620</v>
      </c>
      <c r="V600" s="180">
        <v>0</v>
      </c>
      <c r="W600" s="310">
        <v>43697</v>
      </c>
      <c r="X600" s="309">
        <f t="shared" si="242"/>
        <v>9840.5</v>
      </c>
      <c r="Y600" s="198">
        <f t="shared" si="245"/>
        <v>2371000</v>
      </c>
      <c r="Z600" s="180" t="str">
        <f t="shared" si="243"/>
        <v/>
      </c>
      <c r="AA600" s="189" t="str">
        <f t="shared" si="244"/>
        <v>买入19-新8</v>
      </c>
      <c r="AB600" s="203">
        <v>43</v>
      </c>
      <c r="AC600" s="321">
        <v>0.152</v>
      </c>
      <c r="AD600" s="205">
        <v>0.152</v>
      </c>
      <c r="AE600" s="213"/>
      <c r="AF600" s="105"/>
    </row>
    <row r="601" spans="1:32" ht="24.95" customHeight="1" x14ac:dyDescent="0.15">
      <c r="A601" s="179" t="s">
        <v>248</v>
      </c>
      <c r="B601" s="120" t="s">
        <v>263</v>
      </c>
      <c r="C601" s="179" t="str">
        <f t="shared" si="238"/>
        <v>到期</v>
      </c>
      <c r="D601" s="103" t="s">
        <v>1844</v>
      </c>
      <c r="E601" s="179" t="s">
        <v>298</v>
      </c>
      <c r="F601" s="48">
        <v>43669</v>
      </c>
      <c r="G601" s="181">
        <v>43697</v>
      </c>
      <c r="H601" s="180" t="s">
        <v>1020</v>
      </c>
      <c r="I601" s="180" t="s">
        <v>222</v>
      </c>
      <c r="J601" s="179" t="s">
        <v>59</v>
      </c>
      <c r="K601" s="105">
        <v>50</v>
      </c>
      <c r="L601" s="105">
        <v>45510</v>
      </c>
      <c r="M601" s="105">
        <v>47420</v>
      </c>
      <c r="N601" s="105">
        <f t="shared" si="241"/>
        <v>196.81</v>
      </c>
      <c r="O601" s="105">
        <f t="shared" si="229"/>
        <v>9840.5</v>
      </c>
      <c r="P601" s="101" t="s">
        <v>1008</v>
      </c>
      <c r="Q601" s="101" t="s">
        <v>1927</v>
      </c>
      <c r="R601" s="105"/>
      <c r="S601" s="105"/>
      <c r="T601" s="180"/>
      <c r="U601" s="309">
        <v>46620</v>
      </c>
      <c r="V601" s="180">
        <v>0</v>
      </c>
      <c r="W601" s="310">
        <v>43697</v>
      </c>
      <c r="X601" s="309">
        <f t="shared" si="242"/>
        <v>9840.5</v>
      </c>
      <c r="Y601" s="198">
        <f t="shared" si="245"/>
        <v>2371000</v>
      </c>
      <c r="Z601" s="180" t="str">
        <f t="shared" si="243"/>
        <v/>
      </c>
      <c r="AA601" s="189" t="str">
        <f t="shared" si="244"/>
        <v>买入19-新8</v>
      </c>
      <c r="AB601" s="203">
        <v>43</v>
      </c>
      <c r="AC601" s="321">
        <v>0.152</v>
      </c>
      <c r="AD601" s="205">
        <v>0.152</v>
      </c>
      <c r="AE601" s="213"/>
      <c r="AF601" s="105"/>
    </row>
    <row r="602" spans="1:32" ht="24.95" customHeight="1" x14ac:dyDescent="0.15">
      <c r="A602" s="179" t="s">
        <v>248</v>
      </c>
      <c r="B602" s="120" t="s">
        <v>263</v>
      </c>
      <c r="C602" s="179" t="str">
        <f t="shared" si="238"/>
        <v>到期</v>
      </c>
      <c r="D602" s="103" t="s">
        <v>1845</v>
      </c>
      <c r="E602" s="179" t="s">
        <v>298</v>
      </c>
      <c r="F602" s="48">
        <v>43669</v>
      </c>
      <c r="G602" s="181">
        <v>43697</v>
      </c>
      <c r="H602" s="180" t="s">
        <v>1020</v>
      </c>
      <c r="I602" s="180" t="s">
        <v>222</v>
      </c>
      <c r="J602" s="179" t="s">
        <v>56</v>
      </c>
      <c r="K602" s="105">
        <v>50</v>
      </c>
      <c r="L602" s="105">
        <v>49300</v>
      </c>
      <c r="M602" s="105">
        <v>47420</v>
      </c>
      <c r="N602" s="105">
        <f t="shared" si="241"/>
        <v>196.81</v>
      </c>
      <c r="O602" s="105">
        <f t="shared" si="229"/>
        <v>9840.5</v>
      </c>
      <c r="P602" s="101" t="s">
        <v>1009</v>
      </c>
      <c r="Q602" s="101" t="s">
        <v>1928</v>
      </c>
      <c r="R602" s="105"/>
      <c r="S602" s="105"/>
      <c r="T602" s="180"/>
      <c r="U602" s="309">
        <v>46620</v>
      </c>
      <c r="V602" s="180">
        <v>0</v>
      </c>
      <c r="W602" s="310">
        <v>43697</v>
      </c>
      <c r="X602" s="309">
        <f t="shared" si="242"/>
        <v>9840.5</v>
      </c>
      <c r="Y602" s="198">
        <f t="shared" si="245"/>
        <v>2371000</v>
      </c>
      <c r="Z602" s="180" t="str">
        <f t="shared" si="243"/>
        <v/>
      </c>
      <c r="AA602" s="189" t="str">
        <f t="shared" si="244"/>
        <v>买入19-新8</v>
      </c>
      <c r="AB602" s="203">
        <v>43</v>
      </c>
      <c r="AC602" s="321">
        <v>0.152</v>
      </c>
      <c r="AD602" s="205">
        <v>0.152</v>
      </c>
      <c r="AE602" s="213"/>
      <c r="AF602" s="105"/>
    </row>
    <row r="603" spans="1:32" ht="24.95" customHeight="1" x14ac:dyDescent="0.15">
      <c r="A603" s="179" t="s">
        <v>248</v>
      </c>
      <c r="B603" s="120" t="s">
        <v>263</v>
      </c>
      <c r="C603" s="179" t="str">
        <f t="shared" si="238"/>
        <v>到期</v>
      </c>
      <c r="D603" s="103" t="s">
        <v>1845</v>
      </c>
      <c r="E603" s="179" t="s">
        <v>298</v>
      </c>
      <c r="F603" s="48">
        <v>43669</v>
      </c>
      <c r="G603" s="181">
        <v>43697</v>
      </c>
      <c r="H603" s="180" t="s">
        <v>1020</v>
      </c>
      <c r="I603" s="180" t="s">
        <v>222</v>
      </c>
      <c r="J603" s="179" t="s">
        <v>59</v>
      </c>
      <c r="K603" s="105">
        <v>50</v>
      </c>
      <c r="L603" s="105">
        <v>45510</v>
      </c>
      <c r="M603" s="105">
        <v>47420</v>
      </c>
      <c r="N603" s="105">
        <f t="shared" si="241"/>
        <v>196.81</v>
      </c>
      <c r="O603" s="105">
        <f>N603*K603</f>
        <v>9840.5</v>
      </c>
      <c r="P603" s="101" t="s">
        <v>1010</v>
      </c>
      <c r="Q603" s="101" t="s">
        <v>1928</v>
      </c>
      <c r="R603" s="105"/>
      <c r="S603" s="105"/>
      <c r="T603" s="180"/>
      <c r="U603" s="309">
        <v>46620</v>
      </c>
      <c r="V603" s="180">
        <v>0</v>
      </c>
      <c r="W603" s="310">
        <v>43697</v>
      </c>
      <c r="X603" s="309">
        <f t="shared" si="242"/>
        <v>9840.5</v>
      </c>
      <c r="Y603" s="198">
        <f t="shared" si="245"/>
        <v>2371000</v>
      </c>
      <c r="Z603" s="180" t="str">
        <f t="shared" si="243"/>
        <v/>
      </c>
      <c r="AA603" s="189" t="str">
        <f t="shared" si="244"/>
        <v>买入19-新8</v>
      </c>
      <c r="AB603" s="203">
        <v>43</v>
      </c>
      <c r="AC603" s="321">
        <v>0.152</v>
      </c>
      <c r="AD603" s="205">
        <v>0.152</v>
      </c>
      <c r="AE603" s="213"/>
      <c r="AF603" s="105"/>
    </row>
    <row r="604" spans="1:32" ht="24.95" customHeight="1" x14ac:dyDescent="0.15">
      <c r="A604" s="185" t="s">
        <v>247</v>
      </c>
      <c r="B604" s="120" t="s">
        <v>263</v>
      </c>
      <c r="C604" s="235" t="str">
        <f>IF(Q604="","存续","到期")</f>
        <v>到期</v>
      </c>
      <c r="D604" s="127" t="s">
        <v>942</v>
      </c>
      <c r="E604" s="185" t="s">
        <v>137</v>
      </c>
      <c r="F604" s="48">
        <v>43670</v>
      </c>
      <c r="G604" s="48">
        <v>43700</v>
      </c>
      <c r="H604" s="186" t="s">
        <v>1001</v>
      </c>
      <c r="I604" s="186" t="s">
        <v>222</v>
      </c>
      <c r="J604" s="185" t="s">
        <v>59</v>
      </c>
      <c r="K604" s="105">
        <v>3000</v>
      </c>
      <c r="L604" s="105">
        <v>730</v>
      </c>
      <c r="M604" s="105">
        <v>740</v>
      </c>
      <c r="N604" s="105">
        <v>27.01</v>
      </c>
      <c r="O604" s="105">
        <f>N604*K604</f>
        <v>81030</v>
      </c>
      <c r="P604" s="101" t="s">
        <v>1255</v>
      </c>
      <c r="Q604" s="101" t="s">
        <v>1929</v>
      </c>
      <c r="R604" s="105">
        <v>117.55</v>
      </c>
      <c r="S604" s="105">
        <f>-R604*K604</f>
        <v>-352650</v>
      </c>
      <c r="T604" s="48">
        <v>43689</v>
      </c>
      <c r="U604" s="186"/>
      <c r="V604" s="186"/>
      <c r="W604" s="186"/>
      <c r="X604" s="104">
        <f t="shared" ref="X604" si="246">IF(I604="买入",S604-O604,O604+S604)</f>
        <v>-271620</v>
      </c>
      <c r="Y604" s="198">
        <f>M604*K604</f>
        <v>2220000</v>
      </c>
      <c r="Z604" s="186" t="str">
        <f>IF(C604="存续",D604&amp;H604&amp;"-"&amp;AA604,"")</f>
        <v/>
      </c>
      <c r="AA604" s="186" t="str">
        <f t="shared" ref="AA604" si="247">IF(I604="买入","卖出","买入")</f>
        <v>买入</v>
      </c>
      <c r="AB604" s="203">
        <v>44</v>
      </c>
      <c r="AC604" s="321">
        <v>0.35799999999999998</v>
      </c>
      <c r="AD604" s="319"/>
      <c r="AE604" s="324" t="s">
        <v>1335</v>
      </c>
      <c r="AF604" s="105"/>
    </row>
    <row r="605" spans="1:32" ht="24.95" customHeight="1" x14ac:dyDescent="0.15">
      <c r="A605" s="187" t="s">
        <v>248</v>
      </c>
      <c r="B605" s="187" t="s">
        <v>264</v>
      </c>
      <c r="C605" s="200" t="str">
        <f t="shared" si="238"/>
        <v>到期</v>
      </c>
      <c r="D605" s="100" t="s">
        <v>1846</v>
      </c>
      <c r="E605" s="187" t="s">
        <v>137</v>
      </c>
      <c r="F605" s="48">
        <v>43670</v>
      </c>
      <c r="G605" s="48">
        <v>43691</v>
      </c>
      <c r="H605" s="48" t="s">
        <v>1012</v>
      </c>
      <c r="I605" s="188" t="s">
        <v>998</v>
      </c>
      <c r="J605" s="187" t="s">
        <v>986</v>
      </c>
      <c r="K605" s="105">
        <v>1000</v>
      </c>
      <c r="L605" s="105">
        <v>5418</v>
      </c>
      <c r="M605" s="105">
        <v>5418</v>
      </c>
      <c r="N605" s="105">
        <v>185.3</v>
      </c>
      <c r="O605" s="105">
        <f>N605*K605</f>
        <v>185300</v>
      </c>
      <c r="P605" s="101" t="s">
        <v>1289</v>
      </c>
      <c r="Q605" s="101" t="s">
        <v>1930</v>
      </c>
      <c r="R605" s="104"/>
      <c r="S605" s="104"/>
      <c r="T605" s="48"/>
      <c r="U605" s="104">
        <v>5368</v>
      </c>
      <c r="V605" s="104">
        <v>0</v>
      </c>
      <c r="W605" s="48">
        <v>43691</v>
      </c>
      <c r="X605" s="105">
        <f t="shared" ref="X605:X618" si="248">IF(I605="买入",V605-O605,V605+O605)</f>
        <v>-185300</v>
      </c>
      <c r="Y605" s="198">
        <f t="shared" ref="Y605:Y616" si="249">M605*K605</f>
        <v>5418000</v>
      </c>
      <c r="Z605" s="188" t="str">
        <f>IF(C605="存续",D605&amp;H605&amp;"-"&amp;AA605,"")</f>
        <v/>
      </c>
      <c r="AA605" s="188" t="str">
        <f t="shared" ref="AA605:AA608" si="250">IF(I605="买入","卖出","买入")</f>
        <v>卖出</v>
      </c>
      <c r="AB605" s="203">
        <v>45</v>
      </c>
      <c r="AC605" s="321">
        <v>0.26</v>
      </c>
      <c r="AD605" s="205">
        <f t="shared" ref="AD605:AD613" si="251">(AC605+AC607)/2</f>
        <v>0.245</v>
      </c>
      <c r="AE605" s="213"/>
      <c r="AF605" s="105"/>
    </row>
    <row r="606" spans="1:32" ht="24.95" customHeight="1" x14ac:dyDescent="0.15">
      <c r="A606" s="187" t="s">
        <v>248</v>
      </c>
      <c r="B606" s="187" t="s">
        <v>264</v>
      </c>
      <c r="C606" s="200" t="str">
        <f t="shared" si="238"/>
        <v>到期</v>
      </c>
      <c r="D606" s="100" t="s">
        <v>1846</v>
      </c>
      <c r="E606" s="187" t="s">
        <v>137</v>
      </c>
      <c r="F606" s="48">
        <v>43670</v>
      </c>
      <c r="G606" s="48">
        <v>43691</v>
      </c>
      <c r="H606" s="48" t="s">
        <v>1012</v>
      </c>
      <c r="I606" s="188" t="s">
        <v>998</v>
      </c>
      <c r="J606" s="187" t="s">
        <v>979</v>
      </c>
      <c r="K606" s="105">
        <v>1000</v>
      </c>
      <c r="L606" s="105">
        <v>5418</v>
      </c>
      <c r="M606" s="105">
        <v>5418</v>
      </c>
      <c r="N606" s="105">
        <v>185.3</v>
      </c>
      <c r="O606" s="105">
        <f t="shared" ref="O606:O616" si="252">N606*K606</f>
        <v>185300</v>
      </c>
      <c r="P606" s="101" t="s">
        <v>1290</v>
      </c>
      <c r="Q606" s="101" t="s">
        <v>1930</v>
      </c>
      <c r="R606" s="104"/>
      <c r="S606" s="104"/>
      <c r="T606" s="48"/>
      <c r="U606" s="104">
        <v>5368</v>
      </c>
      <c r="V606" s="104">
        <f>(L606-U606)*K606</f>
        <v>50000</v>
      </c>
      <c r="W606" s="48">
        <v>43691</v>
      </c>
      <c r="X606" s="105">
        <f t="shared" si="248"/>
        <v>-135300</v>
      </c>
      <c r="Y606" s="198">
        <f t="shared" si="249"/>
        <v>5418000</v>
      </c>
      <c r="Z606" s="188" t="str">
        <f t="shared" ref="Z606:Z608" si="253">IF(C606="存续",D606&amp;H606&amp;"-"&amp;AA606,"")</f>
        <v/>
      </c>
      <c r="AA606" s="188" t="str">
        <f t="shared" si="250"/>
        <v>卖出</v>
      </c>
      <c r="AB606" s="203">
        <v>45</v>
      </c>
      <c r="AC606" s="321">
        <v>0.26</v>
      </c>
      <c r="AD606" s="205">
        <f t="shared" si="251"/>
        <v>0.245</v>
      </c>
      <c r="AE606" s="213"/>
      <c r="AF606" s="105"/>
    </row>
    <row r="607" spans="1:32" ht="24.95" customHeight="1" x14ac:dyDescent="0.15">
      <c r="A607" s="187" t="s">
        <v>248</v>
      </c>
      <c r="B607" s="187" t="s">
        <v>264</v>
      </c>
      <c r="C607" s="200" t="str">
        <f t="shared" si="238"/>
        <v>到期</v>
      </c>
      <c r="D607" s="100" t="s">
        <v>266</v>
      </c>
      <c r="E607" s="187" t="s">
        <v>137</v>
      </c>
      <c r="F607" s="48">
        <v>43670</v>
      </c>
      <c r="G607" s="48">
        <v>43691</v>
      </c>
      <c r="H607" s="48" t="s">
        <v>1012</v>
      </c>
      <c r="I607" s="188" t="s">
        <v>222</v>
      </c>
      <c r="J607" s="187" t="s">
        <v>56</v>
      </c>
      <c r="K607" s="105">
        <v>1000</v>
      </c>
      <c r="L607" s="105">
        <v>5418</v>
      </c>
      <c r="M607" s="105">
        <v>5418</v>
      </c>
      <c r="N607" s="105">
        <v>168.5</v>
      </c>
      <c r="O607" s="105">
        <f t="shared" si="252"/>
        <v>168500</v>
      </c>
      <c r="P607" s="101" t="s">
        <v>1304</v>
      </c>
      <c r="Q607" s="101" t="s">
        <v>1931</v>
      </c>
      <c r="R607" s="104"/>
      <c r="S607" s="104"/>
      <c r="T607" s="48"/>
      <c r="U607" s="104">
        <v>5368</v>
      </c>
      <c r="V607" s="104">
        <v>0</v>
      </c>
      <c r="W607" s="48">
        <v>43691</v>
      </c>
      <c r="X607" s="105">
        <f t="shared" si="248"/>
        <v>168500</v>
      </c>
      <c r="Y607" s="198">
        <f t="shared" si="249"/>
        <v>5418000</v>
      </c>
      <c r="Z607" s="188" t="str">
        <f t="shared" si="253"/>
        <v/>
      </c>
      <c r="AA607" s="188" t="str">
        <f t="shared" si="250"/>
        <v>买入</v>
      </c>
      <c r="AB607" s="203">
        <v>46</v>
      </c>
      <c r="AC607" s="321">
        <v>0.23</v>
      </c>
      <c r="AD607" s="205">
        <f t="shared" si="251"/>
        <v>0.24149999999999999</v>
      </c>
      <c r="AE607" s="213"/>
      <c r="AF607" s="105"/>
    </row>
    <row r="608" spans="1:32" ht="24.95" customHeight="1" x14ac:dyDescent="0.15">
      <c r="A608" s="187" t="s">
        <v>248</v>
      </c>
      <c r="B608" s="187" t="s">
        <v>264</v>
      </c>
      <c r="C608" s="200" t="str">
        <f t="shared" si="238"/>
        <v>到期</v>
      </c>
      <c r="D608" s="100" t="s">
        <v>266</v>
      </c>
      <c r="E608" s="187" t="s">
        <v>137</v>
      </c>
      <c r="F608" s="48">
        <v>43670</v>
      </c>
      <c r="G608" s="48">
        <v>43691</v>
      </c>
      <c r="H608" s="48" t="s">
        <v>1012</v>
      </c>
      <c r="I608" s="188" t="s">
        <v>222</v>
      </c>
      <c r="J608" s="187" t="s">
        <v>59</v>
      </c>
      <c r="K608" s="105">
        <v>1000</v>
      </c>
      <c r="L608" s="105">
        <v>5418</v>
      </c>
      <c r="M608" s="105">
        <v>5418</v>
      </c>
      <c r="N608" s="105">
        <v>168.5</v>
      </c>
      <c r="O608" s="105">
        <f t="shared" si="252"/>
        <v>168500</v>
      </c>
      <c r="P608" s="101" t="s">
        <v>1305</v>
      </c>
      <c r="Q608" s="101" t="s">
        <v>1931</v>
      </c>
      <c r="R608" s="104"/>
      <c r="S608" s="104"/>
      <c r="T608" s="48"/>
      <c r="U608" s="104">
        <v>5368</v>
      </c>
      <c r="V608" s="104">
        <f>-(L608-U608)*K608</f>
        <v>-50000</v>
      </c>
      <c r="W608" s="48">
        <v>43691</v>
      </c>
      <c r="X608" s="105">
        <f t="shared" si="248"/>
        <v>118500</v>
      </c>
      <c r="Y608" s="198">
        <f t="shared" si="249"/>
        <v>5418000</v>
      </c>
      <c r="Z608" s="188" t="str">
        <f t="shared" si="253"/>
        <v/>
      </c>
      <c r="AA608" s="188" t="str">
        <f t="shared" si="250"/>
        <v>买入</v>
      </c>
      <c r="AB608" s="203">
        <v>46</v>
      </c>
      <c r="AC608" s="321">
        <v>0.23</v>
      </c>
      <c r="AD608" s="205">
        <f t="shared" si="251"/>
        <v>0.24149999999999999</v>
      </c>
      <c r="AE608" s="213"/>
      <c r="AF608" s="104"/>
    </row>
    <row r="609" spans="1:32" ht="24.95" customHeight="1" x14ac:dyDescent="0.15">
      <c r="A609" s="187" t="s">
        <v>248</v>
      </c>
      <c r="B609" s="187" t="s">
        <v>264</v>
      </c>
      <c r="C609" s="200" t="str">
        <f t="shared" si="238"/>
        <v>到期</v>
      </c>
      <c r="D609" s="100" t="s">
        <v>1846</v>
      </c>
      <c r="E609" s="187" t="s">
        <v>137</v>
      </c>
      <c r="F609" s="48">
        <v>43670</v>
      </c>
      <c r="G609" s="48">
        <v>43691</v>
      </c>
      <c r="H609" s="48" t="s">
        <v>1012</v>
      </c>
      <c r="I609" s="188" t="s">
        <v>998</v>
      </c>
      <c r="J609" s="187" t="s">
        <v>986</v>
      </c>
      <c r="K609" s="105">
        <v>1000</v>
      </c>
      <c r="L609" s="105">
        <v>5432</v>
      </c>
      <c r="M609" s="105">
        <v>5432</v>
      </c>
      <c r="N609" s="105">
        <v>183.6</v>
      </c>
      <c r="O609" s="105">
        <f t="shared" si="252"/>
        <v>183600</v>
      </c>
      <c r="P609" s="101" t="s">
        <v>1291</v>
      </c>
      <c r="Q609" s="101" t="s">
        <v>1932</v>
      </c>
      <c r="R609" s="104"/>
      <c r="S609" s="104"/>
      <c r="T609" s="48"/>
      <c r="U609" s="104">
        <v>5368</v>
      </c>
      <c r="V609" s="104">
        <v>0</v>
      </c>
      <c r="W609" s="48">
        <v>43691</v>
      </c>
      <c r="X609" s="105">
        <f t="shared" si="248"/>
        <v>-183600</v>
      </c>
      <c r="Y609" s="198">
        <f t="shared" si="249"/>
        <v>5432000</v>
      </c>
      <c r="Z609" s="188" t="str">
        <f t="shared" ref="Z609:Z616" si="254">IF(C609="存续",D609&amp;H609&amp;"-"&amp;AA609,"")</f>
        <v/>
      </c>
      <c r="AA609" s="188" t="str">
        <f t="shared" ref="AA609:AA616" si="255">IF(I609="买入","卖出","买入")</f>
        <v>卖出</v>
      </c>
      <c r="AB609" s="203">
        <v>47</v>
      </c>
      <c r="AC609" s="321">
        <v>0.253</v>
      </c>
      <c r="AD609" s="205">
        <f t="shared" si="251"/>
        <v>0.24399999999999999</v>
      </c>
      <c r="AE609" s="213"/>
      <c r="AF609" s="104"/>
    </row>
    <row r="610" spans="1:32" ht="24.95" customHeight="1" x14ac:dyDescent="0.15">
      <c r="A610" s="187" t="s">
        <v>248</v>
      </c>
      <c r="B610" s="187" t="s">
        <v>264</v>
      </c>
      <c r="C610" s="200" t="str">
        <f t="shared" si="238"/>
        <v>到期</v>
      </c>
      <c r="D610" s="100" t="s">
        <v>1846</v>
      </c>
      <c r="E610" s="187" t="s">
        <v>137</v>
      </c>
      <c r="F610" s="48">
        <v>43670</v>
      </c>
      <c r="G610" s="48">
        <v>43691</v>
      </c>
      <c r="H610" s="48" t="s">
        <v>1012</v>
      </c>
      <c r="I610" s="188" t="s">
        <v>998</v>
      </c>
      <c r="J610" s="187" t="s">
        <v>979</v>
      </c>
      <c r="K610" s="105">
        <v>1000</v>
      </c>
      <c r="L610" s="105">
        <v>5432</v>
      </c>
      <c r="M610" s="105">
        <v>5432</v>
      </c>
      <c r="N610" s="105">
        <v>183.6</v>
      </c>
      <c r="O610" s="105">
        <f t="shared" si="252"/>
        <v>183600</v>
      </c>
      <c r="P610" s="101" t="s">
        <v>1291</v>
      </c>
      <c r="Q610" s="101" t="s">
        <v>1932</v>
      </c>
      <c r="R610" s="104"/>
      <c r="S610" s="104"/>
      <c r="T610" s="48"/>
      <c r="U610" s="104">
        <v>5368</v>
      </c>
      <c r="V610" s="104">
        <f>(L610-U610)*K610</f>
        <v>64000</v>
      </c>
      <c r="W610" s="48">
        <v>43691</v>
      </c>
      <c r="X610" s="105">
        <f t="shared" si="248"/>
        <v>-119600</v>
      </c>
      <c r="Y610" s="198">
        <f t="shared" si="249"/>
        <v>5432000</v>
      </c>
      <c r="Z610" s="188" t="str">
        <f t="shared" si="254"/>
        <v/>
      </c>
      <c r="AA610" s="188" t="str">
        <f t="shared" si="255"/>
        <v>卖出</v>
      </c>
      <c r="AB610" s="203">
        <v>47</v>
      </c>
      <c r="AC610" s="321">
        <v>0.253</v>
      </c>
      <c r="AD610" s="205">
        <f t="shared" si="251"/>
        <v>0.24399999999999999</v>
      </c>
      <c r="AE610" s="213"/>
      <c r="AF610" s="104"/>
    </row>
    <row r="611" spans="1:32" ht="24.95" customHeight="1" x14ac:dyDescent="0.15">
      <c r="A611" s="187" t="s">
        <v>248</v>
      </c>
      <c r="B611" s="187" t="s">
        <v>264</v>
      </c>
      <c r="C611" s="200" t="str">
        <f t="shared" si="238"/>
        <v>到期</v>
      </c>
      <c r="D611" s="100" t="s">
        <v>266</v>
      </c>
      <c r="E611" s="187" t="s">
        <v>137</v>
      </c>
      <c r="F611" s="48">
        <v>43670</v>
      </c>
      <c r="G611" s="48">
        <v>43691</v>
      </c>
      <c r="H611" s="48" t="s">
        <v>1012</v>
      </c>
      <c r="I611" s="188" t="s">
        <v>222</v>
      </c>
      <c r="J611" s="187" t="s">
        <v>56</v>
      </c>
      <c r="K611" s="105">
        <v>1000</v>
      </c>
      <c r="L611" s="105">
        <v>5432</v>
      </c>
      <c r="M611" s="105">
        <v>5432</v>
      </c>
      <c r="N611" s="105">
        <v>174.37</v>
      </c>
      <c r="O611" s="105">
        <f t="shared" si="252"/>
        <v>174370</v>
      </c>
      <c r="P611" s="101" t="s">
        <v>1306</v>
      </c>
      <c r="Q611" s="101" t="s">
        <v>1933</v>
      </c>
      <c r="R611" s="104"/>
      <c r="S611" s="104"/>
      <c r="T611" s="48"/>
      <c r="U611" s="104">
        <v>5368</v>
      </c>
      <c r="V611" s="104">
        <v>0</v>
      </c>
      <c r="W611" s="48">
        <v>43691</v>
      </c>
      <c r="X611" s="105">
        <f t="shared" si="248"/>
        <v>174370</v>
      </c>
      <c r="Y611" s="198">
        <f t="shared" si="249"/>
        <v>5432000</v>
      </c>
      <c r="Z611" s="188" t="str">
        <f t="shared" si="254"/>
        <v/>
      </c>
      <c r="AA611" s="188" t="str">
        <f t="shared" si="255"/>
        <v>买入</v>
      </c>
      <c r="AB611" s="203">
        <v>48</v>
      </c>
      <c r="AC611" s="321">
        <v>0.23499999999999999</v>
      </c>
      <c r="AD611" s="205">
        <f t="shared" si="251"/>
        <v>0.24399999999999999</v>
      </c>
      <c r="AE611" s="213"/>
      <c r="AF611" s="104"/>
    </row>
    <row r="612" spans="1:32" ht="24.95" customHeight="1" x14ac:dyDescent="0.15">
      <c r="A612" s="187" t="s">
        <v>248</v>
      </c>
      <c r="B612" s="187" t="s">
        <v>264</v>
      </c>
      <c r="C612" s="200" t="str">
        <f t="shared" si="238"/>
        <v>到期</v>
      </c>
      <c r="D612" s="100" t="s">
        <v>266</v>
      </c>
      <c r="E612" s="187" t="s">
        <v>137</v>
      </c>
      <c r="F612" s="48">
        <v>43670</v>
      </c>
      <c r="G612" s="48">
        <v>43691</v>
      </c>
      <c r="H612" s="48" t="s">
        <v>1012</v>
      </c>
      <c r="I612" s="188" t="s">
        <v>222</v>
      </c>
      <c r="J612" s="187" t="s">
        <v>59</v>
      </c>
      <c r="K612" s="105">
        <v>1000</v>
      </c>
      <c r="L612" s="105">
        <v>5432</v>
      </c>
      <c r="M612" s="105">
        <v>5432</v>
      </c>
      <c r="N612" s="105">
        <v>174.37</v>
      </c>
      <c r="O612" s="105">
        <f t="shared" si="252"/>
        <v>174370</v>
      </c>
      <c r="P612" s="101" t="s">
        <v>1011</v>
      </c>
      <c r="Q612" s="101" t="s">
        <v>1933</v>
      </c>
      <c r="R612" s="104"/>
      <c r="S612" s="104"/>
      <c r="T612" s="48"/>
      <c r="U612" s="104">
        <v>5368</v>
      </c>
      <c r="V612" s="104">
        <f>-(M612-U612)*K612</f>
        <v>-64000</v>
      </c>
      <c r="W612" s="48">
        <v>43691</v>
      </c>
      <c r="X612" s="105">
        <f t="shared" si="248"/>
        <v>110370</v>
      </c>
      <c r="Y612" s="198">
        <f t="shared" si="249"/>
        <v>5432000</v>
      </c>
      <c r="Z612" s="188" t="str">
        <f t="shared" si="254"/>
        <v/>
      </c>
      <c r="AA612" s="188" t="str">
        <f t="shared" si="255"/>
        <v>买入</v>
      </c>
      <c r="AB612" s="203">
        <v>48</v>
      </c>
      <c r="AC612" s="321">
        <v>0.23499999999999999</v>
      </c>
      <c r="AD612" s="205">
        <f t="shared" si="251"/>
        <v>0.24399999999999999</v>
      </c>
      <c r="AE612" s="213"/>
      <c r="AF612" s="104"/>
    </row>
    <row r="613" spans="1:32" ht="24.95" customHeight="1" x14ac:dyDescent="0.15">
      <c r="A613" s="190" t="s">
        <v>248</v>
      </c>
      <c r="B613" s="190" t="s">
        <v>264</v>
      </c>
      <c r="C613" s="200" t="str">
        <f t="shared" si="238"/>
        <v>到期</v>
      </c>
      <c r="D613" s="100" t="s">
        <v>1846</v>
      </c>
      <c r="E613" s="190" t="s">
        <v>137</v>
      </c>
      <c r="F613" s="48">
        <v>43671</v>
      </c>
      <c r="G613" s="48">
        <v>43692</v>
      </c>
      <c r="H613" s="48" t="s">
        <v>1012</v>
      </c>
      <c r="I613" s="191" t="s">
        <v>998</v>
      </c>
      <c r="J613" s="190" t="s">
        <v>986</v>
      </c>
      <c r="K613" s="104">
        <v>1000</v>
      </c>
      <c r="L613" s="104">
        <v>5422</v>
      </c>
      <c r="M613" s="104">
        <v>5422</v>
      </c>
      <c r="N613" s="104">
        <v>184.79</v>
      </c>
      <c r="O613" s="104">
        <f t="shared" si="252"/>
        <v>184790</v>
      </c>
      <c r="P613" s="101" t="s">
        <v>1293</v>
      </c>
      <c r="Q613" s="101" t="s">
        <v>1934</v>
      </c>
      <c r="R613" s="104"/>
      <c r="S613" s="104"/>
      <c r="T613" s="48"/>
      <c r="U613" s="104">
        <v>5290</v>
      </c>
      <c r="V613" s="104">
        <v>0</v>
      </c>
      <c r="W613" s="48">
        <v>43692</v>
      </c>
      <c r="X613" s="105">
        <f t="shared" si="248"/>
        <v>-184790</v>
      </c>
      <c r="Y613" s="197">
        <f t="shared" si="249"/>
        <v>5422000</v>
      </c>
      <c r="Z613" s="191" t="str">
        <f t="shared" si="254"/>
        <v/>
      </c>
      <c r="AA613" s="191" t="str">
        <f t="shared" si="255"/>
        <v>卖出</v>
      </c>
      <c r="AB613" s="203">
        <v>49</v>
      </c>
      <c r="AC613" s="321">
        <v>0.253</v>
      </c>
      <c r="AD613" s="205">
        <f t="shared" si="251"/>
        <v>0.24399999999999999</v>
      </c>
      <c r="AE613" s="213"/>
      <c r="AF613" s="104"/>
    </row>
    <row r="614" spans="1:32" ht="24.95" customHeight="1" x14ac:dyDescent="0.15">
      <c r="A614" s="190" t="s">
        <v>248</v>
      </c>
      <c r="B614" s="190" t="s">
        <v>264</v>
      </c>
      <c r="C614" s="200" t="str">
        <f t="shared" si="238"/>
        <v>到期</v>
      </c>
      <c r="D614" s="100" t="s">
        <v>1846</v>
      </c>
      <c r="E614" s="190" t="s">
        <v>137</v>
      </c>
      <c r="F614" s="48">
        <v>43671</v>
      </c>
      <c r="G614" s="48">
        <v>43692</v>
      </c>
      <c r="H614" s="48" t="s">
        <v>1012</v>
      </c>
      <c r="I614" s="191" t="s">
        <v>998</v>
      </c>
      <c r="J614" s="190" t="s">
        <v>979</v>
      </c>
      <c r="K614" s="104">
        <v>1000</v>
      </c>
      <c r="L614" s="104">
        <v>5422</v>
      </c>
      <c r="M614" s="104">
        <v>5422</v>
      </c>
      <c r="N614" s="104">
        <v>184.79</v>
      </c>
      <c r="O614" s="104">
        <f t="shared" si="252"/>
        <v>184790</v>
      </c>
      <c r="P614" s="101" t="s">
        <v>1294</v>
      </c>
      <c r="Q614" s="101" t="s">
        <v>1934</v>
      </c>
      <c r="R614" s="104"/>
      <c r="S614" s="104"/>
      <c r="T614" s="48"/>
      <c r="U614" s="104">
        <v>5290</v>
      </c>
      <c r="V614" s="104">
        <f>(M614-U614)*K614</f>
        <v>132000</v>
      </c>
      <c r="W614" s="48">
        <v>43692</v>
      </c>
      <c r="X614" s="105">
        <f t="shared" si="248"/>
        <v>-52790</v>
      </c>
      <c r="Y614" s="197">
        <f t="shared" si="249"/>
        <v>5422000</v>
      </c>
      <c r="Z614" s="191" t="str">
        <f t="shared" si="254"/>
        <v/>
      </c>
      <c r="AA614" s="191" t="str">
        <f t="shared" si="255"/>
        <v>卖出</v>
      </c>
      <c r="AB614" s="203">
        <v>49</v>
      </c>
      <c r="AC614" s="321">
        <v>0.253</v>
      </c>
      <c r="AD614" s="205">
        <v>0.24249999999999999</v>
      </c>
      <c r="AE614" s="213"/>
      <c r="AF614" s="104"/>
    </row>
    <row r="615" spans="1:32" ht="24.95" customHeight="1" x14ac:dyDescent="0.15">
      <c r="A615" s="190" t="s">
        <v>248</v>
      </c>
      <c r="B615" s="190" t="s">
        <v>264</v>
      </c>
      <c r="C615" s="200" t="str">
        <f t="shared" si="238"/>
        <v>到期</v>
      </c>
      <c r="D615" s="100" t="s">
        <v>266</v>
      </c>
      <c r="E615" s="190" t="s">
        <v>137</v>
      </c>
      <c r="F615" s="48">
        <v>43671</v>
      </c>
      <c r="G615" s="48">
        <v>43692</v>
      </c>
      <c r="H615" s="48" t="s">
        <v>1012</v>
      </c>
      <c r="I615" s="191" t="s">
        <v>222</v>
      </c>
      <c r="J615" s="190" t="s">
        <v>56</v>
      </c>
      <c r="K615" s="104">
        <v>1000</v>
      </c>
      <c r="L615" s="104">
        <v>5422</v>
      </c>
      <c r="M615" s="104">
        <v>5422</v>
      </c>
      <c r="N615" s="104">
        <v>174.59</v>
      </c>
      <c r="O615" s="104">
        <f t="shared" si="252"/>
        <v>174590</v>
      </c>
      <c r="P615" s="101" t="s">
        <v>1307</v>
      </c>
      <c r="Q615" s="101" t="s">
        <v>1935</v>
      </c>
      <c r="R615" s="104"/>
      <c r="S615" s="104"/>
      <c r="T615" s="48"/>
      <c r="U615" s="104">
        <v>5290</v>
      </c>
      <c r="V615" s="104">
        <v>0</v>
      </c>
      <c r="W615" s="48">
        <v>43692</v>
      </c>
      <c r="X615" s="105">
        <f t="shared" si="248"/>
        <v>174590</v>
      </c>
      <c r="Y615" s="197">
        <f t="shared" si="249"/>
        <v>5422000</v>
      </c>
      <c r="Z615" s="191" t="str">
        <f t="shared" si="254"/>
        <v/>
      </c>
      <c r="AA615" s="191" t="str">
        <f t="shared" si="255"/>
        <v>买入</v>
      </c>
      <c r="AB615" s="203">
        <v>50</v>
      </c>
      <c r="AC615" s="321">
        <v>0.23499999999999999</v>
      </c>
      <c r="AD615" s="205">
        <v>0.24249999999999999</v>
      </c>
      <c r="AE615" s="213"/>
      <c r="AF615" s="104"/>
    </row>
    <row r="616" spans="1:32" ht="24.95" customHeight="1" x14ac:dyDescent="0.15">
      <c r="A616" s="190" t="s">
        <v>248</v>
      </c>
      <c r="B616" s="190" t="s">
        <v>264</v>
      </c>
      <c r="C616" s="200" t="str">
        <f t="shared" si="238"/>
        <v>到期</v>
      </c>
      <c r="D616" s="100" t="s">
        <v>266</v>
      </c>
      <c r="E616" s="190" t="s">
        <v>137</v>
      </c>
      <c r="F616" s="48">
        <v>43671</v>
      </c>
      <c r="G616" s="48">
        <v>43692</v>
      </c>
      <c r="H616" s="48" t="s">
        <v>1012</v>
      </c>
      <c r="I616" s="191" t="s">
        <v>222</v>
      </c>
      <c r="J616" s="190" t="s">
        <v>59</v>
      </c>
      <c r="K616" s="104">
        <v>1000</v>
      </c>
      <c r="L616" s="104">
        <v>5422</v>
      </c>
      <c r="M616" s="104">
        <v>5422</v>
      </c>
      <c r="N616" s="104">
        <v>174.59</v>
      </c>
      <c r="O616" s="104">
        <f t="shared" si="252"/>
        <v>174590</v>
      </c>
      <c r="P616" s="101" t="s">
        <v>1307</v>
      </c>
      <c r="Q616" s="101" t="s">
        <v>1935</v>
      </c>
      <c r="R616" s="104"/>
      <c r="S616" s="104"/>
      <c r="T616" s="48"/>
      <c r="U616" s="104">
        <v>5290</v>
      </c>
      <c r="V616" s="104">
        <f>-(L616-U616)*K616</f>
        <v>-132000</v>
      </c>
      <c r="W616" s="48">
        <v>43692</v>
      </c>
      <c r="X616" s="105">
        <f t="shared" si="248"/>
        <v>42590</v>
      </c>
      <c r="Y616" s="197">
        <f t="shared" si="249"/>
        <v>5422000</v>
      </c>
      <c r="Z616" s="191" t="str">
        <f t="shared" si="254"/>
        <v/>
      </c>
      <c r="AA616" s="191" t="str">
        <f t="shared" si="255"/>
        <v>买入</v>
      </c>
      <c r="AB616" s="203">
        <v>50</v>
      </c>
      <c r="AC616" s="321">
        <v>0.23499999999999999</v>
      </c>
      <c r="AD616" s="205">
        <v>0.24249999999999999</v>
      </c>
      <c r="AE616" s="213"/>
      <c r="AF616" s="104"/>
    </row>
    <row r="617" spans="1:32" ht="24.75" customHeight="1" x14ac:dyDescent="0.15">
      <c r="A617" s="190" t="s">
        <v>247</v>
      </c>
      <c r="B617" s="190" t="s">
        <v>264</v>
      </c>
      <c r="C617" s="200" t="str">
        <f t="shared" si="238"/>
        <v>到期</v>
      </c>
      <c r="D617" s="127" t="s">
        <v>1846</v>
      </c>
      <c r="E617" s="190" t="s">
        <v>137</v>
      </c>
      <c r="F617" s="48">
        <v>43671</v>
      </c>
      <c r="G617" s="48">
        <v>43692</v>
      </c>
      <c r="H617" s="48" t="s">
        <v>1012</v>
      </c>
      <c r="I617" s="191" t="s">
        <v>998</v>
      </c>
      <c r="J617" s="190" t="s">
        <v>986</v>
      </c>
      <c r="K617" s="104">
        <v>1000</v>
      </c>
      <c r="L617" s="104">
        <v>5410</v>
      </c>
      <c r="M617" s="104">
        <v>5410</v>
      </c>
      <c r="N617" s="104">
        <v>175.36</v>
      </c>
      <c r="O617" s="104">
        <f t="shared" ref="O617:O635" si="256">N617*K617</f>
        <v>175360</v>
      </c>
      <c r="P617" s="101" t="s">
        <v>1295</v>
      </c>
      <c r="Q617" s="101" t="s">
        <v>1936</v>
      </c>
      <c r="R617" s="104"/>
      <c r="S617" s="104"/>
      <c r="T617" s="48"/>
      <c r="U617" s="104">
        <v>5290</v>
      </c>
      <c r="V617" s="104">
        <v>0</v>
      </c>
      <c r="W617" s="48">
        <v>43692</v>
      </c>
      <c r="X617" s="105">
        <f t="shared" si="248"/>
        <v>-175360</v>
      </c>
      <c r="Y617" s="197">
        <f t="shared" ref="Y617:Y622" si="257">M617*K617</f>
        <v>5410000</v>
      </c>
      <c r="Z617" s="191" t="str">
        <f t="shared" ref="Z617:Z622" si="258">IF(C617="存续",D617&amp;H617&amp;"-"&amp;AA617,"")</f>
        <v/>
      </c>
      <c r="AA617" s="191" t="str">
        <f t="shared" ref="AA617:AA620" si="259">IF(I617="买入","卖出","买入")</f>
        <v>卖出</v>
      </c>
      <c r="AB617" s="203">
        <v>51</v>
      </c>
      <c r="AC617" s="321">
        <v>0.32900000000000001</v>
      </c>
      <c r="AD617" s="205">
        <v>0.36749999999999999</v>
      </c>
      <c r="AE617" s="205"/>
      <c r="AF617" s="104"/>
    </row>
    <row r="618" spans="1:32" ht="24.75" customHeight="1" x14ac:dyDescent="0.15">
      <c r="A618" s="190" t="s">
        <v>247</v>
      </c>
      <c r="B618" s="190" t="s">
        <v>264</v>
      </c>
      <c r="C618" s="200" t="str">
        <f t="shared" si="238"/>
        <v>到期</v>
      </c>
      <c r="D618" s="127" t="s">
        <v>1846</v>
      </c>
      <c r="E618" s="190" t="s">
        <v>137</v>
      </c>
      <c r="F618" s="48">
        <v>43671</v>
      </c>
      <c r="G618" s="48">
        <v>43692</v>
      </c>
      <c r="H618" s="48" t="s">
        <v>1012</v>
      </c>
      <c r="I618" s="191" t="s">
        <v>998</v>
      </c>
      <c r="J618" s="190" t="s">
        <v>979</v>
      </c>
      <c r="K618" s="104">
        <v>1000</v>
      </c>
      <c r="L618" s="104">
        <v>5410</v>
      </c>
      <c r="M618" s="104">
        <v>5410</v>
      </c>
      <c r="N618" s="104">
        <v>175.36</v>
      </c>
      <c r="O618" s="104">
        <f t="shared" si="256"/>
        <v>175360</v>
      </c>
      <c r="P618" s="101" t="s">
        <v>1295</v>
      </c>
      <c r="Q618" s="101" t="s">
        <v>1936</v>
      </c>
      <c r="R618" s="104"/>
      <c r="S618" s="104"/>
      <c r="T618" s="48"/>
      <c r="U618" s="104">
        <v>5290</v>
      </c>
      <c r="V618" s="104">
        <f>(M618-U618)*K618</f>
        <v>120000</v>
      </c>
      <c r="W618" s="48">
        <v>43692</v>
      </c>
      <c r="X618" s="105">
        <f t="shared" si="248"/>
        <v>-55360</v>
      </c>
      <c r="Y618" s="197">
        <f t="shared" si="257"/>
        <v>5410000</v>
      </c>
      <c r="Z618" s="191" t="str">
        <f t="shared" si="258"/>
        <v/>
      </c>
      <c r="AA618" s="191" t="str">
        <f t="shared" si="259"/>
        <v>卖出</v>
      </c>
      <c r="AB618" s="203">
        <v>51</v>
      </c>
      <c r="AC618" s="321">
        <v>0.32900000000000001</v>
      </c>
      <c r="AD618" s="205">
        <v>0.36749999999999999</v>
      </c>
      <c r="AE618" s="205"/>
      <c r="AF618" s="105"/>
    </row>
    <row r="619" spans="1:32" ht="24.95" customHeight="1" x14ac:dyDescent="0.15">
      <c r="A619" s="190" t="s">
        <v>247</v>
      </c>
      <c r="B619" s="190" t="s">
        <v>264</v>
      </c>
      <c r="C619" s="200" t="str">
        <f t="shared" si="238"/>
        <v>到期</v>
      </c>
      <c r="D619" s="127" t="s">
        <v>1021</v>
      </c>
      <c r="E619" s="190" t="s">
        <v>137</v>
      </c>
      <c r="F619" s="48">
        <v>43671</v>
      </c>
      <c r="G619" s="48">
        <v>43692</v>
      </c>
      <c r="H619" s="48" t="s">
        <v>1012</v>
      </c>
      <c r="I619" s="191" t="s">
        <v>222</v>
      </c>
      <c r="J619" s="190" t="s">
        <v>56</v>
      </c>
      <c r="K619" s="104">
        <v>1000</v>
      </c>
      <c r="L619" s="104">
        <v>5410</v>
      </c>
      <c r="M619" s="104">
        <v>5410</v>
      </c>
      <c r="N619" s="104">
        <v>162.30000000000001</v>
      </c>
      <c r="O619" s="104">
        <f t="shared" si="256"/>
        <v>162300</v>
      </c>
      <c r="P619" s="101" t="s">
        <v>1494</v>
      </c>
      <c r="Q619" s="101" t="s">
        <v>1937</v>
      </c>
      <c r="R619" s="104">
        <v>148.78</v>
      </c>
      <c r="S619" s="104">
        <f>-R619*K619</f>
        <v>-148780</v>
      </c>
      <c r="T619" s="48">
        <v>43672</v>
      </c>
      <c r="U619" s="48"/>
      <c r="V619" s="48"/>
      <c r="W619" s="48"/>
      <c r="X619" s="104">
        <f>IF(I619="买入",S619-O619,O619+S619)</f>
        <v>13520</v>
      </c>
      <c r="Y619" s="197">
        <f t="shared" si="257"/>
        <v>5410000</v>
      </c>
      <c r="Z619" s="191" t="str">
        <f t="shared" si="258"/>
        <v/>
      </c>
      <c r="AA619" s="191" t="str">
        <f t="shared" si="259"/>
        <v>买入</v>
      </c>
      <c r="AB619" s="203">
        <v>52</v>
      </c>
      <c r="AC619" s="321">
        <v>0.30399999999999999</v>
      </c>
      <c r="AD619" s="205">
        <v>0.36749999999999999</v>
      </c>
      <c r="AE619" s="205"/>
      <c r="AF619" s="105"/>
    </row>
    <row r="620" spans="1:32" ht="24.95" customHeight="1" x14ac:dyDescent="0.15">
      <c r="A620" s="190" t="s">
        <v>247</v>
      </c>
      <c r="B620" s="190" t="s">
        <v>264</v>
      </c>
      <c r="C620" s="200" t="str">
        <f t="shared" si="238"/>
        <v>到期</v>
      </c>
      <c r="D620" s="127" t="s">
        <v>1021</v>
      </c>
      <c r="E620" s="190" t="s">
        <v>137</v>
      </c>
      <c r="F620" s="48">
        <v>43671</v>
      </c>
      <c r="G620" s="48">
        <v>43692</v>
      </c>
      <c r="H620" s="48" t="s">
        <v>1012</v>
      </c>
      <c r="I620" s="191" t="s">
        <v>222</v>
      </c>
      <c r="J620" s="190" t="s">
        <v>59</v>
      </c>
      <c r="K620" s="104">
        <v>1000</v>
      </c>
      <c r="L620" s="104">
        <v>5410</v>
      </c>
      <c r="M620" s="104">
        <v>5410</v>
      </c>
      <c r="N620" s="104">
        <v>162.30000000000001</v>
      </c>
      <c r="O620" s="104">
        <f t="shared" si="256"/>
        <v>162300</v>
      </c>
      <c r="P620" s="101" t="s">
        <v>1022</v>
      </c>
      <c r="Q620" s="101" t="s">
        <v>1937</v>
      </c>
      <c r="R620" s="104">
        <v>148.78</v>
      </c>
      <c r="S620" s="104">
        <f>-R620*K620</f>
        <v>-148780</v>
      </c>
      <c r="T620" s="48">
        <v>43672</v>
      </c>
      <c r="U620" s="48"/>
      <c r="V620" s="48"/>
      <c r="W620" s="48"/>
      <c r="X620" s="104">
        <f>IF(I620="买入",S620-O620,O620+S620)</f>
        <v>13520</v>
      </c>
      <c r="Y620" s="197">
        <f t="shared" si="257"/>
        <v>5410000</v>
      </c>
      <c r="Z620" s="191" t="str">
        <f t="shared" si="258"/>
        <v/>
      </c>
      <c r="AA620" s="191" t="str">
        <f t="shared" si="259"/>
        <v>买入</v>
      </c>
      <c r="AB620" s="203">
        <v>52</v>
      </c>
      <c r="AC620" s="321">
        <v>0.30399999999999999</v>
      </c>
      <c r="AD620" s="205">
        <v>0.36749999999999999</v>
      </c>
      <c r="AE620" s="205"/>
      <c r="AF620" s="105"/>
    </row>
    <row r="621" spans="1:32" ht="24.95" customHeight="1" x14ac:dyDescent="0.15">
      <c r="A621" s="190" t="s">
        <v>265</v>
      </c>
      <c r="B621" s="190" t="s">
        <v>264</v>
      </c>
      <c r="C621" s="200" t="str">
        <f t="shared" si="238"/>
        <v>到期</v>
      </c>
      <c r="D621" s="123" t="s">
        <v>1846</v>
      </c>
      <c r="E621" s="190" t="s">
        <v>1668</v>
      </c>
      <c r="F621" s="48">
        <v>43671</v>
      </c>
      <c r="G621" s="192">
        <v>43700</v>
      </c>
      <c r="H621" s="191" t="s">
        <v>1023</v>
      </c>
      <c r="I621" s="191" t="s">
        <v>998</v>
      </c>
      <c r="J621" s="190" t="s">
        <v>986</v>
      </c>
      <c r="K621" s="105">
        <v>30</v>
      </c>
      <c r="L621" s="105">
        <v>117453</v>
      </c>
      <c r="M621" s="105">
        <v>111860</v>
      </c>
      <c r="N621" s="105">
        <v>1003.43</v>
      </c>
      <c r="O621" s="105">
        <f t="shared" si="256"/>
        <v>30102.899999999998</v>
      </c>
      <c r="P621" s="101" t="s">
        <v>1292</v>
      </c>
      <c r="Q621" s="101" t="s">
        <v>1938</v>
      </c>
      <c r="R621" s="105"/>
      <c r="S621" s="105"/>
      <c r="T621" s="191"/>
      <c r="U621" s="191">
        <v>123930</v>
      </c>
      <c r="V621" s="191">
        <f>(U621-L621)*K621</f>
        <v>194310</v>
      </c>
      <c r="W621" s="312">
        <v>43700</v>
      </c>
      <c r="X621" s="105">
        <f>IF(I621="买入",V621-O621,V621+O621)</f>
        <v>164207.1</v>
      </c>
      <c r="Y621" s="198">
        <f t="shared" si="257"/>
        <v>3355800</v>
      </c>
      <c r="Z621" s="191" t="str">
        <f t="shared" si="258"/>
        <v/>
      </c>
      <c r="AA621" s="191" t="str">
        <f>IF(I621="买入","卖出","买入")</f>
        <v>卖出</v>
      </c>
      <c r="AB621" s="203">
        <v>53</v>
      </c>
      <c r="AC621" s="321">
        <v>0.22500000000000001</v>
      </c>
      <c r="AD621" s="319"/>
      <c r="AE621" s="314"/>
      <c r="AF621" s="105"/>
    </row>
    <row r="622" spans="1:32" ht="24.95" customHeight="1" x14ac:dyDescent="0.15">
      <c r="A622" s="190" t="s">
        <v>265</v>
      </c>
      <c r="B622" s="190" t="s">
        <v>264</v>
      </c>
      <c r="C622" s="200" t="str">
        <f t="shared" si="238"/>
        <v>到期</v>
      </c>
      <c r="D622" s="123" t="s">
        <v>1846</v>
      </c>
      <c r="E622" s="190" t="s">
        <v>137</v>
      </c>
      <c r="F622" s="48">
        <v>43671</v>
      </c>
      <c r="G622" s="192">
        <v>43700</v>
      </c>
      <c r="H622" s="191" t="s">
        <v>1024</v>
      </c>
      <c r="I622" s="191" t="s">
        <v>998</v>
      </c>
      <c r="J622" s="190" t="s">
        <v>979</v>
      </c>
      <c r="K622" s="105">
        <v>30</v>
      </c>
      <c r="L622" s="105">
        <v>106267</v>
      </c>
      <c r="M622" s="105">
        <v>111860</v>
      </c>
      <c r="N622" s="105">
        <v>893.56</v>
      </c>
      <c r="O622" s="105">
        <f t="shared" si="256"/>
        <v>26806.799999999999</v>
      </c>
      <c r="P622" s="101" t="s">
        <v>1292</v>
      </c>
      <c r="Q622" s="101" t="s">
        <v>1938</v>
      </c>
      <c r="R622" s="105"/>
      <c r="S622" s="105"/>
      <c r="T622" s="191"/>
      <c r="U622" s="191">
        <v>123930</v>
      </c>
      <c r="V622" s="191">
        <v>0</v>
      </c>
      <c r="W622" s="312">
        <v>43700</v>
      </c>
      <c r="X622" s="105">
        <f>IF(I622="买入",V622-O622,V622+O622)</f>
        <v>-26806.799999999999</v>
      </c>
      <c r="Y622" s="198">
        <f t="shared" si="257"/>
        <v>3355800</v>
      </c>
      <c r="Z622" s="191" t="str">
        <f t="shared" si="258"/>
        <v/>
      </c>
      <c r="AA622" s="191" t="str">
        <f t="shared" ref="AA622" si="260">IF(I622="买入","卖出","买入")</f>
        <v>卖出</v>
      </c>
      <c r="AB622" s="203">
        <v>53</v>
      </c>
      <c r="AC622" s="321">
        <v>0.22500000000000001</v>
      </c>
      <c r="AD622" s="319"/>
      <c r="AE622" s="314"/>
      <c r="AF622" s="105"/>
    </row>
    <row r="623" spans="1:32" ht="24.95" customHeight="1" x14ac:dyDescent="0.15">
      <c r="A623" s="200" t="s">
        <v>247</v>
      </c>
      <c r="B623" s="200" t="s">
        <v>264</v>
      </c>
      <c r="C623" s="200" t="str">
        <f t="shared" si="238"/>
        <v>到期</v>
      </c>
      <c r="D623" s="127" t="s">
        <v>266</v>
      </c>
      <c r="E623" s="200" t="s">
        <v>137</v>
      </c>
      <c r="F623" s="48">
        <v>43672</v>
      </c>
      <c r="G623" s="48">
        <v>43692</v>
      </c>
      <c r="H623" s="48" t="s">
        <v>1012</v>
      </c>
      <c r="I623" s="201" t="s">
        <v>222</v>
      </c>
      <c r="J623" s="200" t="s">
        <v>56</v>
      </c>
      <c r="K623" s="104">
        <v>1000</v>
      </c>
      <c r="L623" s="104">
        <v>5410</v>
      </c>
      <c r="M623" s="104">
        <v>5410</v>
      </c>
      <c r="N623" s="104">
        <v>174.76</v>
      </c>
      <c r="O623" s="104">
        <f t="shared" si="256"/>
        <v>174760</v>
      </c>
      <c r="P623" s="101" t="s">
        <v>1308</v>
      </c>
      <c r="Q623" s="101" t="s">
        <v>1939</v>
      </c>
      <c r="R623" s="104"/>
      <c r="S623" s="104"/>
      <c r="T623" s="48"/>
      <c r="U623" s="104">
        <v>5290</v>
      </c>
      <c r="V623" s="104">
        <v>0</v>
      </c>
      <c r="W623" s="48">
        <v>43692</v>
      </c>
      <c r="X623" s="105">
        <f t="shared" ref="X623:X635" si="261">IF(I623="买入",V623-O623,V623+O623)</f>
        <v>174760</v>
      </c>
      <c r="Y623" s="198">
        <f t="shared" ref="Y623:Y635" si="262">M623*K623</f>
        <v>5410000</v>
      </c>
      <c r="Z623" s="201" t="str">
        <f t="shared" ref="Z623:Z624" si="263">IF(C623="存续",D623&amp;H623&amp;"-"&amp;AA623,"")</f>
        <v/>
      </c>
      <c r="AA623" s="201" t="str">
        <f t="shared" ref="AA623:AA624" si="264">IF(I623="买入","卖出","买入")</f>
        <v>买入</v>
      </c>
      <c r="AB623" s="203">
        <v>54</v>
      </c>
      <c r="AC623" s="321">
        <v>0.34</v>
      </c>
      <c r="AD623" s="205">
        <v>0.36749999999999999</v>
      </c>
      <c r="AE623" s="205"/>
      <c r="AF623" s="105"/>
    </row>
    <row r="624" spans="1:32" ht="24.95" customHeight="1" x14ac:dyDescent="0.15">
      <c r="A624" s="206" t="s">
        <v>247</v>
      </c>
      <c r="B624" s="206" t="s">
        <v>264</v>
      </c>
      <c r="C624" s="206" t="str">
        <f t="shared" si="238"/>
        <v>到期</v>
      </c>
      <c r="D624" s="127" t="s">
        <v>266</v>
      </c>
      <c r="E624" s="206" t="s">
        <v>137</v>
      </c>
      <c r="F624" s="48">
        <v>43672</v>
      </c>
      <c r="G624" s="48">
        <v>43692</v>
      </c>
      <c r="H624" s="48" t="s">
        <v>1012</v>
      </c>
      <c r="I624" s="207" t="s">
        <v>222</v>
      </c>
      <c r="J624" s="206" t="s">
        <v>59</v>
      </c>
      <c r="K624" s="104">
        <v>1000</v>
      </c>
      <c r="L624" s="104">
        <v>5410</v>
      </c>
      <c r="M624" s="104">
        <v>5410</v>
      </c>
      <c r="N624" s="104">
        <v>174.76</v>
      </c>
      <c r="O624" s="104">
        <f t="shared" si="256"/>
        <v>174760</v>
      </c>
      <c r="P624" s="101" t="s">
        <v>1309</v>
      </c>
      <c r="Q624" s="101" t="s">
        <v>1939</v>
      </c>
      <c r="R624" s="104"/>
      <c r="S624" s="104"/>
      <c r="T624" s="48"/>
      <c r="U624" s="104">
        <v>5290</v>
      </c>
      <c r="V624" s="104">
        <f>-(L624-U624)*K624</f>
        <v>-120000</v>
      </c>
      <c r="W624" s="48">
        <v>43692</v>
      </c>
      <c r="X624" s="105">
        <f t="shared" si="261"/>
        <v>54760</v>
      </c>
      <c r="Y624" s="198">
        <f t="shared" si="262"/>
        <v>5410000</v>
      </c>
      <c r="Z624" s="207" t="str">
        <f t="shared" si="263"/>
        <v/>
      </c>
      <c r="AA624" s="207" t="str">
        <f t="shared" si="264"/>
        <v>买入</v>
      </c>
      <c r="AB624" s="207">
        <v>54</v>
      </c>
      <c r="AC624" s="321">
        <v>0.34</v>
      </c>
      <c r="AD624" s="205">
        <v>0.36749999999999999</v>
      </c>
      <c r="AE624" s="205"/>
      <c r="AF624" s="105"/>
    </row>
    <row r="625" spans="1:32" ht="24.95" customHeight="1" x14ac:dyDescent="0.15">
      <c r="A625" s="206" t="s">
        <v>265</v>
      </c>
      <c r="B625" s="120" t="s">
        <v>263</v>
      </c>
      <c r="C625" s="206" t="str">
        <f>IF(Q625="","存续","到期")</f>
        <v>到期</v>
      </c>
      <c r="D625" s="123" t="s">
        <v>1864</v>
      </c>
      <c r="E625" s="214" t="s">
        <v>298</v>
      </c>
      <c r="F625" s="48">
        <v>43676</v>
      </c>
      <c r="G625" s="48">
        <v>43706</v>
      </c>
      <c r="H625" s="105" t="s">
        <v>988</v>
      </c>
      <c r="I625" s="207" t="s">
        <v>222</v>
      </c>
      <c r="J625" s="206" t="s">
        <v>59</v>
      </c>
      <c r="K625" s="105">
        <v>2000</v>
      </c>
      <c r="L625" s="105">
        <v>3340</v>
      </c>
      <c r="M625" s="105">
        <v>3340</v>
      </c>
      <c r="N625" s="105">
        <v>101.61</v>
      </c>
      <c r="O625" s="105">
        <f>N625*K625</f>
        <v>203220</v>
      </c>
      <c r="P625" s="232" t="s">
        <v>1048</v>
      </c>
      <c r="Q625" s="101" t="s">
        <v>1940</v>
      </c>
      <c r="R625" s="105"/>
      <c r="S625" s="105"/>
      <c r="T625" s="208"/>
      <c r="U625" s="105">
        <v>3040</v>
      </c>
      <c r="V625" s="105">
        <f>-(L625-U625)*K625</f>
        <v>-600000</v>
      </c>
      <c r="W625" s="208">
        <v>43706</v>
      </c>
      <c r="X625" s="105">
        <f t="shared" si="261"/>
        <v>-396780</v>
      </c>
      <c r="Y625" s="198">
        <f t="shared" si="262"/>
        <v>6680000</v>
      </c>
      <c r="Z625" s="207" t="str">
        <f t="shared" ref="Z625:Z635" si="265">IF(C625="存续",D625&amp;H625&amp;"-"&amp;AA625,"")</f>
        <v/>
      </c>
      <c r="AA625" s="207" t="str">
        <f t="shared" ref="AA625" si="266">IF(I625="买入","卖出","买入")</f>
        <v>买入</v>
      </c>
      <c r="AB625" s="207">
        <v>55</v>
      </c>
      <c r="AC625" s="321">
        <v>0.25</v>
      </c>
      <c r="AD625" s="205">
        <v>0.27500000000000002</v>
      </c>
      <c r="AE625" s="324" t="s">
        <v>1335</v>
      </c>
      <c r="AF625" s="105"/>
    </row>
    <row r="626" spans="1:32" ht="24.95" customHeight="1" x14ac:dyDescent="0.15">
      <c r="A626" s="209" t="s">
        <v>248</v>
      </c>
      <c r="B626" s="120" t="s">
        <v>263</v>
      </c>
      <c r="C626" s="209" t="str">
        <f t="shared" ref="C626:C635" si="267">IF(Q626="","存续","到期")</f>
        <v>到期</v>
      </c>
      <c r="D626" s="103" t="s">
        <v>1841</v>
      </c>
      <c r="E626" s="209" t="s">
        <v>298</v>
      </c>
      <c r="F626" s="48">
        <v>43676</v>
      </c>
      <c r="G626" s="211">
        <v>43704</v>
      </c>
      <c r="H626" s="210" t="s">
        <v>1020</v>
      </c>
      <c r="I626" s="210" t="s">
        <v>222</v>
      </c>
      <c r="J626" s="209" t="s">
        <v>56</v>
      </c>
      <c r="K626" s="105">
        <v>50</v>
      </c>
      <c r="L626" s="105">
        <v>49480</v>
      </c>
      <c r="M626" s="105">
        <v>47390</v>
      </c>
      <c r="N626" s="105">
        <f>393.37/2</f>
        <v>196.685</v>
      </c>
      <c r="O626" s="105">
        <f t="shared" si="256"/>
        <v>9834.25</v>
      </c>
      <c r="P626" s="232" t="s">
        <v>1049</v>
      </c>
      <c r="Q626" s="101" t="s">
        <v>1941</v>
      </c>
      <c r="R626" s="105"/>
      <c r="S626" s="105"/>
      <c r="T626" s="208"/>
      <c r="U626" s="105">
        <v>46380</v>
      </c>
      <c r="V626" s="105">
        <v>0</v>
      </c>
      <c r="W626" s="208">
        <v>43704</v>
      </c>
      <c r="X626" s="105">
        <f t="shared" si="261"/>
        <v>9834.25</v>
      </c>
      <c r="Y626" s="198">
        <f t="shared" si="262"/>
        <v>2369500</v>
      </c>
      <c r="Z626" s="210" t="str">
        <f t="shared" si="265"/>
        <v/>
      </c>
      <c r="AA626" s="210" t="str">
        <f>IF(I626="买入","卖出","买入19-新9")</f>
        <v>买入19-新9</v>
      </c>
      <c r="AB626" s="210">
        <v>56</v>
      </c>
      <c r="AC626" s="321">
        <v>0.152</v>
      </c>
      <c r="AD626" s="205">
        <v>0.152</v>
      </c>
      <c r="AE626" s="213"/>
      <c r="AF626" s="105"/>
    </row>
    <row r="627" spans="1:32" ht="24.95" customHeight="1" x14ac:dyDescent="0.15">
      <c r="A627" s="209" t="s">
        <v>248</v>
      </c>
      <c r="B627" s="120" t="s">
        <v>263</v>
      </c>
      <c r="C627" s="209" t="str">
        <f t="shared" si="267"/>
        <v>到期</v>
      </c>
      <c r="D627" s="103" t="s">
        <v>1841</v>
      </c>
      <c r="E627" s="209" t="s">
        <v>298</v>
      </c>
      <c r="F627" s="48">
        <v>43676</v>
      </c>
      <c r="G627" s="211">
        <v>43704</v>
      </c>
      <c r="H627" s="210" t="s">
        <v>1020</v>
      </c>
      <c r="I627" s="210" t="s">
        <v>222</v>
      </c>
      <c r="J627" s="209" t="s">
        <v>59</v>
      </c>
      <c r="K627" s="105">
        <v>50</v>
      </c>
      <c r="L627" s="105">
        <v>45690</v>
      </c>
      <c r="M627" s="105">
        <v>47390</v>
      </c>
      <c r="N627" s="105">
        <f t="shared" ref="N627:N635" si="268">393.37/2</f>
        <v>196.685</v>
      </c>
      <c r="O627" s="105">
        <f t="shared" si="256"/>
        <v>9834.25</v>
      </c>
      <c r="P627" s="232" t="s">
        <v>1049</v>
      </c>
      <c r="Q627" s="101" t="s">
        <v>1941</v>
      </c>
      <c r="R627" s="105"/>
      <c r="S627" s="105"/>
      <c r="T627" s="208"/>
      <c r="U627" s="105">
        <v>46380</v>
      </c>
      <c r="V627" s="105">
        <v>0</v>
      </c>
      <c r="W627" s="208">
        <v>43704</v>
      </c>
      <c r="X627" s="105">
        <f t="shared" si="261"/>
        <v>9834.25</v>
      </c>
      <c r="Y627" s="198">
        <f t="shared" si="262"/>
        <v>2369500</v>
      </c>
      <c r="Z627" s="210" t="str">
        <f t="shared" si="265"/>
        <v/>
      </c>
      <c r="AA627" s="228" t="str">
        <f>IF(I627="买入","卖出","买入19-新9")</f>
        <v>买入19-新9</v>
      </c>
      <c r="AB627" s="210">
        <v>56</v>
      </c>
      <c r="AC627" s="321">
        <v>0.152</v>
      </c>
      <c r="AD627" s="205">
        <v>0.152</v>
      </c>
      <c r="AE627" s="213"/>
      <c r="AF627" s="105"/>
    </row>
    <row r="628" spans="1:32" ht="24.95" customHeight="1" x14ac:dyDescent="0.15">
      <c r="A628" s="209" t="s">
        <v>248</v>
      </c>
      <c r="B628" s="120" t="s">
        <v>263</v>
      </c>
      <c r="C628" s="209" t="str">
        <f t="shared" si="267"/>
        <v>到期</v>
      </c>
      <c r="D628" s="103" t="s">
        <v>1842</v>
      </c>
      <c r="E628" s="209" t="s">
        <v>298</v>
      </c>
      <c r="F628" s="48">
        <v>43676</v>
      </c>
      <c r="G628" s="211">
        <v>43704</v>
      </c>
      <c r="H628" s="210" t="s">
        <v>1020</v>
      </c>
      <c r="I628" s="210" t="s">
        <v>222</v>
      </c>
      <c r="J628" s="209" t="s">
        <v>56</v>
      </c>
      <c r="K628" s="105">
        <v>50</v>
      </c>
      <c r="L628" s="105">
        <v>49480</v>
      </c>
      <c r="M628" s="105">
        <v>47390</v>
      </c>
      <c r="N628" s="105">
        <f>393.37/2</f>
        <v>196.685</v>
      </c>
      <c r="O628" s="105">
        <f t="shared" si="256"/>
        <v>9834.25</v>
      </c>
      <c r="P628" s="232" t="s">
        <v>1050</v>
      </c>
      <c r="Q628" s="101" t="s">
        <v>1942</v>
      </c>
      <c r="R628" s="105"/>
      <c r="S628" s="105"/>
      <c r="T628" s="208"/>
      <c r="U628" s="105">
        <v>46380</v>
      </c>
      <c r="V628" s="105">
        <v>0</v>
      </c>
      <c r="W628" s="208">
        <v>43704</v>
      </c>
      <c r="X628" s="105">
        <f t="shared" si="261"/>
        <v>9834.25</v>
      </c>
      <c r="Y628" s="198">
        <f t="shared" si="262"/>
        <v>2369500</v>
      </c>
      <c r="Z628" s="210" t="str">
        <f t="shared" si="265"/>
        <v/>
      </c>
      <c r="AA628" s="228" t="str">
        <f>IF(I628="买入","卖出","买入19-新9")</f>
        <v>买入19-新9</v>
      </c>
      <c r="AB628" s="210">
        <v>56</v>
      </c>
      <c r="AC628" s="321">
        <v>0.152</v>
      </c>
      <c r="AD628" s="205">
        <v>0.152</v>
      </c>
      <c r="AE628" s="213"/>
      <c r="AF628" s="105"/>
    </row>
    <row r="629" spans="1:32" ht="24.95" customHeight="1" x14ac:dyDescent="0.15">
      <c r="A629" s="209" t="s">
        <v>248</v>
      </c>
      <c r="B629" s="120" t="s">
        <v>263</v>
      </c>
      <c r="C629" s="209" t="str">
        <f t="shared" si="267"/>
        <v>到期</v>
      </c>
      <c r="D629" s="103" t="s">
        <v>1842</v>
      </c>
      <c r="E629" s="209" t="s">
        <v>298</v>
      </c>
      <c r="F629" s="48">
        <v>43676</v>
      </c>
      <c r="G629" s="211">
        <v>43704</v>
      </c>
      <c r="H629" s="210" t="s">
        <v>1020</v>
      </c>
      <c r="I629" s="210" t="s">
        <v>222</v>
      </c>
      <c r="J629" s="209" t="s">
        <v>59</v>
      </c>
      <c r="K629" s="105">
        <v>50</v>
      </c>
      <c r="L629" s="105">
        <v>45690</v>
      </c>
      <c r="M629" s="105">
        <v>47390</v>
      </c>
      <c r="N629" s="105">
        <f t="shared" si="268"/>
        <v>196.685</v>
      </c>
      <c r="O629" s="105">
        <f t="shared" si="256"/>
        <v>9834.25</v>
      </c>
      <c r="P629" s="232" t="s">
        <v>1050</v>
      </c>
      <c r="Q629" s="101" t="s">
        <v>1942</v>
      </c>
      <c r="R629" s="105"/>
      <c r="S629" s="105"/>
      <c r="T629" s="208"/>
      <c r="U629" s="105">
        <v>46380</v>
      </c>
      <c r="V629" s="105">
        <v>0</v>
      </c>
      <c r="W629" s="208">
        <v>43704</v>
      </c>
      <c r="X629" s="105">
        <f t="shared" si="261"/>
        <v>9834.25</v>
      </c>
      <c r="Y629" s="198">
        <f t="shared" si="262"/>
        <v>2369500</v>
      </c>
      <c r="Z629" s="210" t="str">
        <f t="shared" si="265"/>
        <v/>
      </c>
      <c r="AA629" s="228" t="str">
        <f>IF(I629="买入","卖出","买入19-新9")</f>
        <v>买入19-新9</v>
      </c>
      <c r="AB629" s="210">
        <v>56</v>
      </c>
      <c r="AC629" s="321">
        <v>0.152</v>
      </c>
      <c r="AD629" s="205">
        <v>0.152</v>
      </c>
      <c r="AE629" s="213"/>
      <c r="AF629" s="105"/>
    </row>
    <row r="630" spans="1:32" ht="24.95" customHeight="1" x14ac:dyDescent="0.15">
      <c r="A630" s="209" t="s">
        <v>248</v>
      </c>
      <c r="B630" s="120" t="s">
        <v>263</v>
      </c>
      <c r="C630" s="209" t="str">
        <f t="shared" si="267"/>
        <v>到期</v>
      </c>
      <c r="D630" s="103" t="s">
        <v>1843</v>
      </c>
      <c r="E630" s="209" t="s">
        <v>298</v>
      </c>
      <c r="F630" s="48">
        <v>43676</v>
      </c>
      <c r="G630" s="211">
        <v>43704</v>
      </c>
      <c r="H630" s="210" t="s">
        <v>1020</v>
      </c>
      <c r="I630" s="210" t="s">
        <v>222</v>
      </c>
      <c r="J630" s="209" t="s">
        <v>56</v>
      </c>
      <c r="K630" s="105">
        <v>50</v>
      </c>
      <c r="L630" s="105">
        <v>49480</v>
      </c>
      <c r="M630" s="105">
        <v>47390</v>
      </c>
      <c r="N630" s="105">
        <f t="shared" si="268"/>
        <v>196.685</v>
      </c>
      <c r="O630" s="105">
        <f t="shared" si="256"/>
        <v>9834.25</v>
      </c>
      <c r="P630" s="232" t="s">
        <v>1051</v>
      </c>
      <c r="Q630" s="101" t="s">
        <v>1943</v>
      </c>
      <c r="R630" s="301"/>
      <c r="S630" s="301"/>
      <c r="T630" s="212"/>
      <c r="U630" s="105">
        <v>46380</v>
      </c>
      <c r="V630" s="105">
        <v>0</v>
      </c>
      <c r="W630" s="318">
        <v>43704</v>
      </c>
      <c r="X630" s="105">
        <f t="shared" si="261"/>
        <v>9834.25</v>
      </c>
      <c r="Y630" s="198">
        <f t="shared" si="262"/>
        <v>2369500</v>
      </c>
      <c r="Z630" s="210" t="str">
        <f t="shared" si="265"/>
        <v/>
      </c>
      <c r="AA630" s="228" t="str">
        <f t="shared" ref="AA630:AA634" si="269">IF(I630="买入","卖出","买入19-新9")</f>
        <v>买入19-新9</v>
      </c>
      <c r="AB630" s="210">
        <v>56</v>
      </c>
      <c r="AC630" s="321">
        <v>0.152</v>
      </c>
      <c r="AD630" s="205">
        <v>0.152</v>
      </c>
      <c r="AE630" s="213"/>
      <c r="AF630" s="105"/>
    </row>
    <row r="631" spans="1:32" ht="24.95" customHeight="1" x14ac:dyDescent="0.15">
      <c r="A631" s="209" t="s">
        <v>248</v>
      </c>
      <c r="B631" s="120" t="s">
        <v>263</v>
      </c>
      <c r="C631" s="209" t="str">
        <f t="shared" si="267"/>
        <v>到期</v>
      </c>
      <c r="D631" s="103" t="s">
        <v>1843</v>
      </c>
      <c r="E631" s="209" t="s">
        <v>298</v>
      </c>
      <c r="F631" s="48">
        <v>43676</v>
      </c>
      <c r="G631" s="211">
        <v>43704</v>
      </c>
      <c r="H631" s="210" t="s">
        <v>1020</v>
      </c>
      <c r="I631" s="210" t="s">
        <v>222</v>
      </c>
      <c r="J631" s="209" t="s">
        <v>59</v>
      </c>
      <c r="K631" s="105">
        <v>50</v>
      </c>
      <c r="L631" s="105">
        <v>45690</v>
      </c>
      <c r="M631" s="105">
        <v>47390</v>
      </c>
      <c r="N631" s="105">
        <f t="shared" si="268"/>
        <v>196.685</v>
      </c>
      <c r="O631" s="105">
        <f t="shared" si="256"/>
        <v>9834.25</v>
      </c>
      <c r="P631" s="232" t="s">
        <v>1051</v>
      </c>
      <c r="Q631" s="101" t="s">
        <v>1943</v>
      </c>
      <c r="R631" s="301"/>
      <c r="S631" s="301"/>
      <c r="T631" s="212"/>
      <c r="U631" s="105">
        <v>46380</v>
      </c>
      <c r="V631" s="105">
        <v>0</v>
      </c>
      <c r="W631" s="318">
        <v>43704</v>
      </c>
      <c r="X631" s="105">
        <f t="shared" si="261"/>
        <v>9834.25</v>
      </c>
      <c r="Y631" s="198">
        <f t="shared" si="262"/>
        <v>2369500</v>
      </c>
      <c r="Z631" s="210" t="str">
        <f t="shared" si="265"/>
        <v/>
      </c>
      <c r="AA631" s="228" t="str">
        <f t="shared" si="269"/>
        <v>买入19-新9</v>
      </c>
      <c r="AB631" s="210">
        <v>56</v>
      </c>
      <c r="AC631" s="321">
        <v>0.152</v>
      </c>
      <c r="AD631" s="205">
        <v>0.152</v>
      </c>
      <c r="AE631" s="213"/>
      <c r="AF631" s="105"/>
    </row>
    <row r="632" spans="1:32" ht="24.95" customHeight="1" x14ac:dyDescent="0.15">
      <c r="A632" s="209" t="s">
        <v>248</v>
      </c>
      <c r="B632" s="120" t="s">
        <v>263</v>
      </c>
      <c r="C632" s="209" t="str">
        <f t="shared" si="267"/>
        <v>到期</v>
      </c>
      <c r="D632" s="103" t="s">
        <v>1844</v>
      </c>
      <c r="E632" s="209" t="s">
        <v>298</v>
      </c>
      <c r="F632" s="48">
        <v>43676</v>
      </c>
      <c r="G632" s="211">
        <v>43704</v>
      </c>
      <c r="H632" s="210" t="s">
        <v>1020</v>
      </c>
      <c r="I632" s="210" t="s">
        <v>222</v>
      </c>
      <c r="J632" s="209" t="s">
        <v>56</v>
      </c>
      <c r="K632" s="105">
        <v>50</v>
      </c>
      <c r="L632" s="105">
        <v>49480</v>
      </c>
      <c r="M632" s="105">
        <v>47390</v>
      </c>
      <c r="N632" s="105">
        <f t="shared" si="268"/>
        <v>196.685</v>
      </c>
      <c r="O632" s="105">
        <f t="shared" si="256"/>
        <v>9834.25</v>
      </c>
      <c r="P632" s="232" t="s">
        <v>1052</v>
      </c>
      <c r="Q632" s="101" t="s">
        <v>1944</v>
      </c>
      <c r="R632" s="301"/>
      <c r="S632" s="301"/>
      <c r="T632" s="212"/>
      <c r="U632" s="105">
        <v>46380</v>
      </c>
      <c r="V632" s="105">
        <v>0</v>
      </c>
      <c r="W632" s="318">
        <v>43704</v>
      </c>
      <c r="X632" s="105">
        <f t="shared" si="261"/>
        <v>9834.25</v>
      </c>
      <c r="Y632" s="198">
        <f t="shared" si="262"/>
        <v>2369500</v>
      </c>
      <c r="Z632" s="210" t="str">
        <f t="shared" si="265"/>
        <v/>
      </c>
      <c r="AA632" s="228" t="str">
        <f t="shared" si="269"/>
        <v>买入19-新9</v>
      </c>
      <c r="AB632" s="210">
        <v>56</v>
      </c>
      <c r="AC632" s="321">
        <v>0.152</v>
      </c>
      <c r="AD632" s="205">
        <v>0.152</v>
      </c>
      <c r="AE632" s="213"/>
      <c r="AF632" s="105"/>
    </row>
    <row r="633" spans="1:32" ht="24.95" customHeight="1" x14ac:dyDescent="0.15">
      <c r="A633" s="209" t="s">
        <v>248</v>
      </c>
      <c r="B633" s="120" t="s">
        <v>263</v>
      </c>
      <c r="C633" s="209" t="str">
        <f t="shared" si="267"/>
        <v>到期</v>
      </c>
      <c r="D633" s="103" t="s">
        <v>1844</v>
      </c>
      <c r="E633" s="209" t="s">
        <v>298</v>
      </c>
      <c r="F633" s="48">
        <v>43676</v>
      </c>
      <c r="G633" s="211">
        <v>43704</v>
      </c>
      <c r="H633" s="210" t="s">
        <v>1020</v>
      </c>
      <c r="I633" s="210" t="s">
        <v>222</v>
      </c>
      <c r="J633" s="209" t="s">
        <v>59</v>
      </c>
      <c r="K633" s="105">
        <v>50</v>
      </c>
      <c r="L633" s="105">
        <v>45690</v>
      </c>
      <c r="M633" s="105">
        <v>47390</v>
      </c>
      <c r="N633" s="105">
        <f t="shared" si="268"/>
        <v>196.685</v>
      </c>
      <c r="O633" s="105">
        <f t="shared" si="256"/>
        <v>9834.25</v>
      </c>
      <c r="P633" s="232" t="s">
        <v>1052</v>
      </c>
      <c r="Q633" s="101" t="s">
        <v>1944</v>
      </c>
      <c r="R633" s="301"/>
      <c r="S633" s="301"/>
      <c r="T633" s="212"/>
      <c r="U633" s="105">
        <v>46380</v>
      </c>
      <c r="V633" s="105">
        <v>0</v>
      </c>
      <c r="W633" s="318">
        <v>43704</v>
      </c>
      <c r="X633" s="105">
        <f t="shared" si="261"/>
        <v>9834.25</v>
      </c>
      <c r="Y633" s="198">
        <f t="shared" si="262"/>
        <v>2369500</v>
      </c>
      <c r="Z633" s="210" t="str">
        <f t="shared" si="265"/>
        <v/>
      </c>
      <c r="AA633" s="228" t="str">
        <f t="shared" si="269"/>
        <v>买入19-新9</v>
      </c>
      <c r="AB633" s="210">
        <v>56</v>
      </c>
      <c r="AC633" s="321">
        <v>0.152</v>
      </c>
      <c r="AD633" s="205">
        <v>0.152</v>
      </c>
      <c r="AE633" s="213"/>
      <c r="AF633" s="105"/>
    </row>
    <row r="634" spans="1:32" ht="24.95" customHeight="1" x14ac:dyDescent="0.15">
      <c r="A634" s="209" t="s">
        <v>248</v>
      </c>
      <c r="B634" s="120" t="s">
        <v>263</v>
      </c>
      <c r="C634" s="209" t="str">
        <f t="shared" si="267"/>
        <v>到期</v>
      </c>
      <c r="D634" s="103" t="s">
        <v>1845</v>
      </c>
      <c r="E634" s="209" t="s">
        <v>298</v>
      </c>
      <c r="F634" s="48">
        <v>43676</v>
      </c>
      <c r="G634" s="211">
        <v>43704</v>
      </c>
      <c r="H634" s="210" t="s">
        <v>1020</v>
      </c>
      <c r="I634" s="210" t="s">
        <v>222</v>
      </c>
      <c r="J634" s="209" t="s">
        <v>56</v>
      </c>
      <c r="K634" s="105">
        <v>50</v>
      </c>
      <c r="L634" s="105">
        <v>49480</v>
      </c>
      <c r="M634" s="105">
        <v>47390</v>
      </c>
      <c r="N634" s="105">
        <f t="shared" si="268"/>
        <v>196.685</v>
      </c>
      <c r="O634" s="105">
        <f t="shared" si="256"/>
        <v>9834.25</v>
      </c>
      <c r="P634" s="232" t="s">
        <v>1053</v>
      </c>
      <c r="Q634" s="101" t="s">
        <v>1945</v>
      </c>
      <c r="R634" s="301"/>
      <c r="S634" s="301"/>
      <c r="T634" s="212"/>
      <c r="U634" s="105">
        <v>46380</v>
      </c>
      <c r="V634" s="105">
        <v>0</v>
      </c>
      <c r="W634" s="318">
        <v>43704</v>
      </c>
      <c r="X634" s="105">
        <f t="shared" si="261"/>
        <v>9834.25</v>
      </c>
      <c r="Y634" s="198">
        <f t="shared" si="262"/>
        <v>2369500</v>
      </c>
      <c r="Z634" s="210" t="str">
        <f t="shared" si="265"/>
        <v/>
      </c>
      <c r="AA634" s="228" t="str">
        <f t="shared" si="269"/>
        <v>买入19-新9</v>
      </c>
      <c r="AB634" s="210">
        <v>56</v>
      </c>
      <c r="AC634" s="321">
        <v>0.152</v>
      </c>
      <c r="AD634" s="205">
        <v>0.152</v>
      </c>
      <c r="AE634" s="213"/>
      <c r="AF634" s="105"/>
    </row>
    <row r="635" spans="1:32" ht="24.95" customHeight="1" x14ac:dyDescent="0.15">
      <c r="A635" s="209" t="s">
        <v>248</v>
      </c>
      <c r="B635" s="120" t="s">
        <v>263</v>
      </c>
      <c r="C635" s="209" t="str">
        <f t="shared" si="267"/>
        <v>到期</v>
      </c>
      <c r="D635" s="103" t="s">
        <v>1845</v>
      </c>
      <c r="E635" s="209" t="s">
        <v>298</v>
      </c>
      <c r="F635" s="48">
        <v>43676</v>
      </c>
      <c r="G635" s="211">
        <v>43704</v>
      </c>
      <c r="H635" s="210" t="s">
        <v>1020</v>
      </c>
      <c r="I635" s="210" t="s">
        <v>222</v>
      </c>
      <c r="J635" s="209" t="s">
        <v>59</v>
      </c>
      <c r="K635" s="105">
        <v>50</v>
      </c>
      <c r="L635" s="105">
        <v>45690</v>
      </c>
      <c r="M635" s="105">
        <v>47390</v>
      </c>
      <c r="N635" s="105">
        <f t="shared" si="268"/>
        <v>196.685</v>
      </c>
      <c r="O635" s="105">
        <f t="shared" si="256"/>
        <v>9834.25</v>
      </c>
      <c r="P635" s="232" t="s">
        <v>1053</v>
      </c>
      <c r="Q635" s="101" t="s">
        <v>1945</v>
      </c>
      <c r="R635" s="301"/>
      <c r="S635" s="301"/>
      <c r="T635" s="212"/>
      <c r="U635" s="105">
        <v>46380</v>
      </c>
      <c r="V635" s="105">
        <v>0</v>
      </c>
      <c r="W635" s="318">
        <v>43704</v>
      </c>
      <c r="X635" s="105">
        <f t="shared" si="261"/>
        <v>9834.25</v>
      </c>
      <c r="Y635" s="198">
        <f t="shared" si="262"/>
        <v>2369500</v>
      </c>
      <c r="Z635" s="210" t="str">
        <f t="shared" si="265"/>
        <v/>
      </c>
      <c r="AA635" s="228" t="str">
        <f>IF(I635="买入","卖出","买入19-新9")</f>
        <v>买入19-新9</v>
      </c>
      <c r="AB635" s="210">
        <v>56</v>
      </c>
      <c r="AC635" s="321">
        <v>0.152</v>
      </c>
      <c r="AD635" s="205">
        <v>0.152</v>
      </c>
      <c r="AE635" s="213"/>
      <c r="AF635" s="105"/>
    </row>
    <row r="636" spans="1:32" ht="32.450000000000003" customHeight="1" x14ac:dyDescent="0.15">
      <c r="A636" s="215" t="s">
        <v>265</v>
      </c>
      <c r="B636" s="120" t="s">
        <v>263</v>
      </c>
      <c r="C636" s="215" t="str">
        <f>IF(Q636="","存续","到期")</f>
        <v>到期</v>
      </c>
      <c r="D636" s="123" t="s">
        <v>1836</v>
      </c>
      <c r="E636" s="215" t="s">
        <v>298</v>
      </c>
      <c r="F636" s="48">
        <v>43676</v>
      </c>
      <c r="G636" s="217">
        <v>43706</v>
      </c>
      <c r="H636" s="216" t="s">
        <v>1055</v>
      </c>
      <c r="I636" s="216" t="s">
        <v>998</v>
      </c>
      <c r="J636" s="215" t="s">
        <v>59</v>
      </c>
      <c r="K636" s="216">
        <v>2000</v>
      </c>
      <c r="L636" s="216">
        <v>5190.5</v>
      </c>
      <c r="M636" s="216">
        <v>5190.5</v>
      </c>
      <c r="N636" s="216">
        <v>141.08000000000001</v>
      </c>
      <c r="O636" s="105">
        <f t="shared" ref="O636:O643" si="270">N636*K636</f>
        <v>282160</v>
      </c>
      <c r="P636" s="232" t="s">
        <v>1054</v>
      </c>
      <c r="Q636" s="101" t="s">
        <v>1946</v>
      </c>
      <c r="R636" s="105">
        <v>90.5</v>
      </c>
      <c r="S636" s="105">
        <f>R636*K636</f>
        <v>181000</v>
      </c>
      <c r="T636" s="320">
        <v>43706</v>
      </c>
      <c r="U636" s="138">
        <v>5100</v>
      </c>
      <c r="V636" s="212"/>
      <c r="W636" s="212"/>
      <c r="X636" s="104">
        <f>IF(I636="买入",S636-O636,O636+S636)</f>
        <v>-101160</v>
      </c>
      <c r="Y636" s="198">
        <f>M636*K636</f>
        <v>10381000</v>
      </c>
      <c r="Z636" s="216" t="str">
        <f t="shared" ref="Z636" si="271">IF(C636="存续",D636&amp;H636&amp;"-"&amp;AA636,"")</f>
        <v/>
      </c>
      <c r="AA636" s="216" t="str">
        <f t="shared" ref="AA636" si="272">IF(I636="买入","卖出","买入")</f>
        <v>卖出</v>
      </c>
      <c r="AB636" s="216">
        <v>57</v>
      </c>
      <c r="AC636" s="321">
        <v>0.22500000000000001</v>
      </c>
      <c r="AD636" s="205">
        <v>0.20499999999999999</v>
      </c>
      <c r="AE636" s="324" t="s">
        <v>1335</v>
      </c>
      <c r="AF636" s="105"/>
    </row>
    <row r="637" spans="1:32" ht="24.95" customHeight="1" x14ac:dyDescent="0.15">
      <c r="A637" s="218" t="s">
        <v>247</v>
      </c>
      <c r="B637" s="218" t="s">
        <v>264</v>
      </c>
      <c r="C637" s="218" t="str">
        <f>IF(Q637="","存续","到期")</f>
        <v>到期</v>
      </c>
      <c r="D637" s="127" t="s">
        <v>1846</v>
      </c>
      <c r="E637" s="218" t="s">
        <v>137</v>
      </c>
      <c r="F637" s="48">
        <v>43676</v>
      </c>
      <c r="G637" s="220">
        <v>43700</v>
      </c>
      <c r="H637" s="219" t="s">
        <v>1056</v>
      </c>
      <c r="I637" s="219" t="s">
        <v>998</v>
      </c>
      <c r="J637" s="218" t="s">
        <v>979</v>
      </c>
      <c r="K637" s="219">
        <v>3000</v>
      </c>
      <c r="L637" s="219">
        <v>775</v>
      </c>
      <c r="M637" s="219">
        <v>775</v>
      </c>
      <c r="N637" s="219">
        <v>30.33</v>
      </c>
      <c r="O637" s="105">
        <f t="shared" si="270"/>
        <v>90990</v>
      </c>
      <c r="P637" s="101" t="s">
        <v>1296</v>
      </c>
      <c r="Q637" s="101" t="s">
        <v>1947</v>
      </c>
      <c r="R637" s="301"/>
      <c r="S637" s="301"/>
      <c r="T637" s="212"/>
      <c r="U637" s="280">
        <v>612.5</v>
      </c>
      <c r="V637" s="104">
        <f>-(U637-L637)*K637</f>
        <v>487500</v>
      </c>
      <c r="W637" s="48">
        <v>43689</v>
      </c>
      <c r="X637" s="105">
        <f t="shared" ref="X637:X638" si="273">IF(I637="买入",V637-O637,V637+O637)</f>
        <v>396510</v>
      </c>
      <c r="Y637" s="198">
        <f>M637*K637</f>
        <v>2325000</v>
      </c>
      <c r="Z637" s="219" t="str">
        <f>IF(C637="存续",D637&amp;H637&amp;"-"&amp;AA637,"")</f>
        <v/>
      </c>
      <c r="AA637" s="219" t="str">
        <f t="shared" ref="AA637" si="274">IF(I637="买入","卖出","买入")</f>
        <v>卖出</v>
      </c>
      <c r="AB637" s="219">
        <v>58</v>
      </c>
      <c r="AC637" s="321">
        <v>0.36399999999999999</v>
      </c>
      <c r="AD637" s="204">
        <v>0.38</v>
      </c>
      <c r="AE637" s="204"/>
      <c r="AF637" s="105"/>
    </row>
    <row r="638" spans="1:32" s="110" customFormat="1" ht="24.95" customHeight="1" x14ac:dyDescent="0.15">
      <c r="A638" s="225" t="s">
        <v>265</v>
      </c>
      <c r="B638" s="120" t="s">
        <v>263</v>
      </c>
      <c r="C638" s="225" t="str">
        <f>IF(Q638="","存续","到期")</f>
        <v>到期</v>
      </c>
      <c r="D638" s="123" t="s">
        <v>1833</v>
      </c>
      <c r="E638" s="225" t="s">
        <v>298</v>
      </c>
      <c r="F638" s="48">
        <v>43677</v>
      </c>
      <c r="G638" s="227">
        <v>43819</v>
      </c>
      <c r="H638" s="226" t="s">
        <v>1063</v>
      </c>
      <c r="I638" s="226" t="s">
        <v>222</v>
      </c>
      <c r="J638" s="225" t="s">
        <v>59</v>
      </c>
      <c r="K638" s="226">
        <v>500</v>
      </c>
      <c r="L638" s="226">
        <v>-300</v>
      </c>
      <c r="M638" s="226">
        <v>-270</v>
      </c>
      <c r="N638" s="226">
        <v>70.400000000000006</v>
      </c>
      <c r="O638" s="105">
        <f t="shared" si="270"/>
        <v>35200</v>
      </c>
      <c r="P638" s="232" t="s">
        <v>1805</v>
      </c>
      <c r="Q638" s="101" t="s">
        <v>1948</v>
      </c>
      <c r="R638" s="105"/>
      <c r="S638" s="105"/>
      <c r="T638" s="226"/>
      <c r="U638" s="226">
        <v>-295</v>
      </c>
      <c r="V638" s="226">
        <v>0</v>
      </c>
      <c r="W638" s="582">
        <v>43819</v>
      </c>
      <c r="X638" s="105">
        <f t="shared" si="273"/>
        <v>35200</v>
      </c>
      <c r="Y638" s="198">
        <f>ABS(M638*K638)</f>
        <v>135000</v>
      </c>
      <c r="Z638" s="226" t="str">
        <f>IF(C638="存续",D638&amp;H638&amp;"-"&amp;AA638,"")</f>
        <v/>
      </c>
      <c r="AA638" s="226" t="str">
        <f t="shared" ref="AA638" si="275">IF(I638="买入","卖出","买入")</f>
        <v>买入</v>
      </c>
      <c r="AB638" s="226">
        <v>59</v>
      </c>
      <c r="AC638" s="321">
        <v>0.20499999999999999</v>
      </c>
      <c r="AD638" s="205">
        <v>0.23499999999999999</v>
      </c>
      <c r="AE638" s="324" t="s">
        <v>1335</v>
      </c>
      <c r="AF638" s="105"/>
    </row>
    <row r="639" spans="1:32" ht="24.95" customHeight="1" x14ac:dyDescent="0.15">
      <c r="A639" s="229" t="s">
        <v>394</v>
      </c>
      <c r="B639" s="120" t="s">
        <v>263</v>
      </c>
      <c r="C639" s="229" t="str">
        <f>IF(Q639="","存续","到期")</f>
        <v>到期</v>
      </c>
      <c r="D639" s="128" t="s">
        <v>1856</v>
      </c>
      <c r="E639" s="229" t="s">
        <v>298</v>
      </c>
      <c r="F639" s="48">
        <v>43678</v>
      </c>
      <c r="G639" s="231">
        <v>43692</v>
      </c>
      <c r="H639" s="230" t="s">
        <v>1066</v>
      </c>
      <c r="I639" s="230" t="s">
        <v>1068</v>
      </c>
      <c r="J639" s="229" t="s">
        <v>1069</v>
      </c>
      <c r="K639" s="230">
        <v>30000</v>
      </c>
      <c r="L639" s="230">
        <v>893</v>
      </c>
      <c r="M639" s="230">
        <v>893</v>
      </c>
      <c r="N639" s="230">
        <v>25.8</v>
      </c>
      <c r="O639" s="230">
        <f>N639*K639</f>
        <v>774000</v>
      </c>
      <c r="P639" s="101" t="s">
        <v>1258</v>
      </c>
      <c r="Q639" s="101" t="s">
        <v>1949</v>
      </c>
      <c r="R639" s="104">
        <v>126.48</v>
      </c>
      <c r="S639" s="105">
        <f>-R639*K639</f>
        <v>-3794400</v>
      </c>
      <c r="T639" s="48">
        <v>43684</v>
      </c>
      <c r="U639" s="212"/>
      <c r="V639" s="212"/>
      <c r="W639" s="212"/>
      <c r="X639" s="104">
        <f t="shared" ref="X639:X644" si="276">IF(I639="买入",S639-O639,O639+S639)</f>
        <v>-3020400</v>
      </c>
      <c r="Y639" s="198">
        <f>ABS(M639*K639)</f>
        <v>26790000</v>
      </c>
      <c r="Z639" s="230" t="str">
        <f t="shared" ref="Z639:Z640" si="277">IF(C639="存续",D639&amp;H639&amp;"-"&amp;AA639,"")</f>
        <v/>
      </c>
      <c r="AA639" s="230" t="str">
        <f t="shared" ref="AA639:AA640" si="278">IF(I639="买入","卖出","买入")</f>
        <v>买入</v>
      </c>
      <c r="AB639" s="230">
        <v>60</v>
      </c>
      <c r="AC639" s="321">
        <v>0.35870000000000002</v>
      </c>
      <c r="AD639" s="205">
        <v>0.37669999999999998</v>
      </c>
      <c r="AE639" s="324" t="s">
        <v>1335</v>
      </c>
      <c r="AF639" s="105"/>
    </row>
    <row r="640" spans="1:32" ht="24.95" customHeight="1" x14ac:dyDescent="0.15">
      <c r="A640" s="229" t="s">
        <v>394</v>
      </c>
      <c r="B640" s="120" t="s">
        <v>263</v>
      </c>
      <c r="C640" s="229" t="str">
        <f t="shared" ref="C640" si="279">IF(Q640="","存续","到期")</f>
        <v>到期</v>
      </c>
      <c r="D640" s="128" t="s">
        <v>1856</v>
      </c>
      <c r="E640" s="229" t="s">
        <v>298</v>
      </c>
      <c r="F640" s="48">
        <v>43678</v>
      </c>
      <c r="G640" s="231">
        <v>43692</v>
      </c>
      <c r="H640" s="230" t="s">
        <v>1067</v>
      </c>
      <c r="I640" s="230" t="s">
        <v>998</v>
      </c>
      <c r="J640" s="229" t="s">
        <v>59</v>
      </c>
      <c r="K640" s="230">
        <v>30000</v>
      </c>
      <c r="L640" s="230">
        <v>733</v>
      </c>
      <c r="M640" s="230">
        <v>753</v>
      </c>
      <c r="N640" s="230">
        <v>14.14</v>
      </c>
      <c r="O640" s="230">
        <f>N640*K640</f>
        <v>424200</v>
      </c>
      <c r="P640" s="101" t="s">
        <v>1259</v>
      </c>
      <c r="Q640" s="101" t="s">
        <v>1950</v>
      </c>
      <c r="R640" s="104">
        <v>39.54</v>
      </c>
      <c r="S640" s="104">
        <f>R640*K640</f>
        <v>1186200</v>
      </c>
      <c r="T640" s="48">
        <v>43683</v>
      </c>
      <c r="U640" s="212"/>
      <c r="V640" s="212"/>
      <c r="W640" s="212"/>
      <c r="X640" s="104">
        <f t="shared" si="276"/>
        <v>762000</v>
      </c>
      <c r="Y640" s="198">
        <f>ABS(M640*K640)</f>
        <v>22590000</v>
      </c>
      <c r="Z640" s="230" t="str">
        <f t="shared" si="277"/>
        <v/>
      </c>
      <c r="AA640" s="230" t="str">
        <f t="shared" si="278"/>
        <v>卖出</v>
      </c>
      <c r="AB640" s="230">
        <v>61</v>
      </c>
      <c r="AC640" s="321">
        <v>0.38</v>
      </c>
      <c r="AD640" s="205">
        <v>0.36199999999999999</v>
      </c>
      <c r="AE640" s="324" t="s">
        <v>1335</v>
      </c>
      <c r="AF640" s="105"/>
    </row>
    <row r="641" spans="1:32" ht="24.95" customHeight="1" x14ac:dyDescent="0.15">
      <c r="A641" s="237" t="s">
        <v>265</v>
      </c>
      <c r="B641" s="120" t="s">
        <v>263</v>
      </c>
      <c r="C641" s="237" t="str">
        <f>IF(Q641="","存续","到期")</f>
        <v>到期</v>
      </c>
      <c r="D641" s="123" t="s">
        <v>1865</v>
      </c>
      <c r="E641" s="237" t="s">
        <v>1071</v>
      </c>
      <c r="F641" s="48">
        <v>43682</v>
      </c>
      <c r="G641" s="239">
        <v>43724</v>
      </c>
      <c r="H641" s="238" t="s">
        <v>1073</v>
      </c>
      <c r="I641" s="238" t="s">
        <v>1074</v>
      </c>
      <c r="J641" s="237" t="s">
        <v>1075</v>
      </c>
      <c r="K641" s="238">
        <v>12000</v>
      </c>
      <c r="L641" s="238">
        <v>4500</v>
      </c>
      <c r="M641" s="238">
        <v>4080</v>
      </c>
      <c r="N641" s="238">
        <v>6.61</v>
      </c>
      <c r="O641" s="238">
        <f t="shared" si="270"/>
        <v>79320</v>
      </c>
      <c r="P641" s="232" t="s">
        <v>1072</v>
      </c>
      <c r="Q641" s="101" t="s">
        <v>1951</v>
      </c>
      <c r="R641" s="104">
        <v>17.16</v>
      </c>
      <c r="S641" s="104">
        <f>R641*K641</f>
        <v>205920</v>
      </c>
      <c r="T641" s="48">
        <v>43704</v>
      </c>
      <c r="U641" s="212"/>
      <c r="V641" s="212"/>
      <c r="W641" s="212"/>
      <c r="X641" s="104">
        <f t="shared" si="276"/>
        <v>126600</v>
      </c>
      <c r="Y641" s="198">
        <f>ABS(M641*K641)</f>
        <v>48960000</v>
      </c>
      <c r="Z641" s="238" t="str">
        <f t="shared" ref="Z641" si="280">IF(C641="存续",D641&amp;H641&amp;"-"&amp;AA641,"")</f>
        <v/>
      </c>
      <c r="AA641" s="238" t="str">
        <f t="shared" ref="AA641" si="281">IF(I641="买入","卖出","买入")</f>
        <v>卖出</v>
      </c>
      <c r="AB641" s="238">
        <v>62</v>
      </c>
      <c r="AC641" s="321">
        <v>0.18</v>
      </c>
      <c r="AD641" s="204">
        <v>0.16</v>
      </c>
      <c r="AE641" s="204"/>
      <c r="AF641" s="105"/>
    </row>
    <row r="642" spans="1:32" ht="24.95" customHeight="1" x14ac:dyDescent="0.15">
      <c r="A642" s="240" t="s">
        <v>394</v>
      </c>
      <c r="B642" s="120" t="s">
        <v>297</v>
      </c>
      <c r="C642" s="240" t="str">
        <f t="shared" ref="C642:C643" si="282">IF(Q642="","存续","到期")</f>
        <v>到期</v>
      </c>
      <c r="D642" s="128" t="s">
        <v>1838</v>
      </c>
      <c r="E642" s="240" t="s">
        <v>255</v>
      </c>
      <c r="F642" s="48">
        <v>43682</v>
      </c>
      <c r="G642" s="242">
        <v>43700</v>
      </c>
      <c r="H642" s="241" t="s">
        <v>1066</v>
      </c>
      <c r="I642" s="241" t="s">
        <v>1068</v>
      </c>
      <c r="J642" s="240" t="s">
        <v>1075</v>
      </c>
      <c r="K642" s="241">
        <v>10000</v>
      </c>
      <c r="L642" s="241">
        <v>803</v>
      </c>
      <c r="M642" s="241">
        <v>803</v>
      </c>
      <c r="N642" s="241">
        <v>0</v>
      </c>
      <c r="O642" s="241">
        <f t="shared" si="270"/>
        <v>0</v>
      </c>
      <c r="P642" s="101" t="s">
        <v>1076</v>
      </c>
      <c r="Q642" s="101" t="s">
        <v>1952</v>
      </c>
      <c r="R642" s="109">
        <v>1</v>
      </c>
      <c r="S642" s="109">
        <f>-R642*K642</f>
        <v>-10000</v>
      </c>
      <c r="T642" s="48">
        <v>43683</v>
      </c>
      <c r="U642" s="362">
        <v>804</v>
      </c>
      <c r="V642" s="212"/>
      <c r="W642" s="212"/>
      <c r="X642" s="104">
        <f t="shared" si="276"/>
        <v>-10000</v>
      </c>
      <c r="Y642" s="198">
        <f t="shared" ref="Y642:Y643" si="283">ABS(M642*K642)</f>
        <v>8030000</v>
      </c>
      <c r="Z642" s="241" t="str">
        <f t="shared" ref="Z642:Z643" si="284">IF(C642="存续",D642&amp;H642&amp;"-"&amp;AA642,"")</f>
        <v/>
      </c>
      <c r="AA642" s="241" t="str">
        <f t="shared" ref="AA642:AA643" si="285">IF(I642="买入","卖出","买入")</f>
        <v>买入</v>
      </c>
      <c r="AB642" s="241">
        <v>63</v>
      </c>
      <c r="AC642" s="321">
        <v>0.31319999999999998</v>
      </c>
      <c r="AD642" s="319"/>
      <c r="AE642" s="113" t="s">
        <v>1716</v>
      </c>
      <c r="AF642" s="105"/>
    </row>
    <row r="643" spans="1:32" ht="24.95" customHeight="1" x14ac:dyDescent="0.15">
      <c r="A643" s="240" t="s">
        <v>394</v>
      </c>
      <c r="B643" s="120" t="s">
        <v>297</v>
      </c>
      <c r="C643" s="240" t="str">
        <f t="shared" si="282"/>
        <v>到期</v>
      </c>
      <c r="D643" s="128" t="s">
        <v>1838</v>
      </c>
      <c r="E643" s="240" t="s">
        <v>255</v>
      </c>
      <c r="F643" s="48">
        <v>43682</v>
      </c>
      <c r="G643" s="242">
        <v>43700</v>
      </c>
      <c r="H643" s="241" t="s">
        <v>1066</v>
      </c>
      <c r="I643" s="241" t="s">
        <v>998</v>
      </c>
      <c r="J643" s="240" t="s">
        <v>59</v>
      </c>
      <c r="K643" s="241">
        <v>10000</v>
      </c>
      <c r="L643" s="241">
        <v>803</v>
      </c>
      <c r="M643" s="241">
        <v>803</v>
      </c>
      <c r="N643" s="241">
        <v>0</v>
      </c>
      <c r="O643" s="241">
        <f t="shared" si="270"/>
        <v>0</v>
      </c>
      <c r="P643" s="101" t="s">
        <v>1205</v>
      </c>
      <c r="Q643" s="101" t="s">
        <v>1953</v>
      </c>
      <c r="R643" s="109">
        <v>0</v>
      </c>
      <c r="S643" s="109">
        <f>R643*K643</f>
        <v>0</v>
      </c>
      <c r="T643" s="48">
        <v>43683</v>
      </c>
      <c r="U643" s="362">
        <v>804</v>
      </c>
      <c r="V643" s="212"/>
      <c r="W643" s="212"/>
      <c r="X643" s="104">
        <f t="shared" si="276"/>
        <v>0</v>
      </c>
      <c r="Y643" s="198">
        <f t="shared" si="283"/>
        <v>8030000</v>
      </c>
      <c r="Z643" s="241" t="str">
        <f t="shared" si="284"/>
        <v/>
      </c>
      <c r="AA643" s="241" t="str">
        <f t="shared" si="285"/>
        <v>卖出</v>
      </c>
      <c r="AB643" s="241">
        <v>64</v>
      </c>
      <c r="AC643" s="321">
        <v>0.31319999999999998</v>
      </c>
      <c r="AD643" s="319"/>
      <c r="AE643" s="113" t="s">
        <v>1716</v>
      </c>
      <c r="AF643" s="105"/>
    </row>
    <row r="644" spans="1:32" ht="24.95" customHeight="1" x14ac:dyDescent="0.15">
      <c r="A644" s="243" t="s">
        <v>394</v>
      </c>
      <c r="B644" s="120" t="s">
        <v>263</v>
      </c>
      <c r="C644" s="243" t="str">
        <f t="shared" ref="C644:C654" si="286">IF(Q644="","存续","到期")</f>
        <v>到期</v>
      </c>
      <c r="D644" s="128" t="s">
        <v>1856</v>
      </c>
      <c r="E644" s="243" t="s">
        <v>298</v>
      </c>
      <c r="F644" s="48">
        <v>43683</v>
      </c>
      <c r="G644" s="245">
        <v>43692</v>
      </c>
      <c r="H644" s="244" t="s">
        <v>1067</v>
      </c>
      <c r="I644" s="244" t="s">
        <v>998</v>
      </c>
      <c r="J644" s="243" t="s">
        <v>59</v>
      </c>
      <c r="K644" s="244">
        <v>30000</v>
      </c>
      <c r="L644" s="244">
        <v>700.5</v>
      </c>
      <c r="M644" s="244">
        <v>700.5</v>
      </c>
      <c r="N644" s="244">
        <v>18.649999999999999</v>
      </c>
      <c r="O644" s="244">
        <f>N644*K644</f>
        <v>559500</v>
      </c>
      <c r="P644" s="232" t="s">
        <v>1196</v>
      </c>
      <c r="Q644" s="101" t="s">
        <v>1954</v>
      </c>
      <c r="R644" s="301">
        <v>35.31</v>
      </c>
      <c r="S644" s="104">
        <f>R644*K644</f>
        <v>1059300</v>
      </c>
      <c r="T644" s="48">
        <v>43684</v>
      </c>
      <c r="U644" s="212"/>
      <c r="V644" s="212"/>
      <c r="W644" s="212"/>
      <c r="X644" s="104">
        <f t="shared" si="276"/>
        <v>499800</v>
      </c>
      <c r="Y644" s="198">
        <f t="shared" ref="Y644:Y649" si="287">ABS(M644*K644)</f>
        <v>21015000</v>
      </c>
      <c r="Z644" s="244" t="str">
        <f t="shared" ref="Z644:Z656" si="288">IF(C644="存续",D644&amp;H644&amp;"-"&amp;AA644,"")</f>
        <v/>
      </c>
      <c r="AA644" s="244" t="str">
        <f t="shared" ref="AA644" si="289">IF(I644="买入","卖出","买入")</f>
        <v>卖出</v>
      </c>
      <c r="AB644" s="250">
        <v>65</v>
      </c>
      <c r="AC644" s="321">
        <v>0.37</v>
      </c>
      <c r="AD644" s="205">
        <v>0.35199999999999998</v>
      </c>
      <c r="AE644" s="324" t="s">
        <v>1335</v>
      </c>
      <c r="AF644" s="105"/>
    </row>
    <row r="645" spans="1:32" ht="24.95" customHeight="1" x14ac:dyDescent="0.15">
      <c r="A645" s="247" t="s">
        <v>248</v>
      </c>
      <c r="B645" s="120" t="s">
        <v>263</v>
      </c>
      <c r="C645" s="247" t="str">
        <f t="shared" si="286"/>
        <v>到期</v>
      </c>
      <c r="D645" s="103" t="s">
        <v>1841</v>
      </c>
      <c r="E645" s="247" t="s">
        <v>298</v>
      </c>
      <c r="F645" s="48">
        <v>43683</v>
      </c>
      <c r="G645" s="249">
        <v>43711</v>
      </c>
      <c r="H645" s="248" t="s">
        <v>1020</v>
      </c>
      <c r="I645" s="248" t="s">
        <v>222</v>
      </c>
      <c r="J645" s="247" t="s">
        <v>56</v>
      </c>
      <c r="K645" s="105">
        <v>50</v>
      </c>
      <c r="L645" s="248">
        <v>48290</v>
      </c>
      <c r="M645" s="248">
        <v>46140</v>
      </c>
      <c r="N645" s="248">
        <f>383/2</f>
        <v>191.5</v>
      </c>
      <c r="O645" s="248">
        <f t="shared" ref="O645:O654" si="290">N645*K645</f>
        <v>9575</v>
      </c>
      <c r="P645" s="232" t="s">
        <v>1204</v>
      </c>
      <c r="Q645" s="101" t="s">
        <v>1955</v>
      </c>
      <c r="R645" s="301"/>
      <c r="S645" s="301"/>
      <c r="T645" s="212"/>
      <c r="U645" s="333">
        <v>46370</v>
      </c>
      <c r="V645" s="333">
        <v>0</v>
      </c>
      <c r="W645" s="334">
        <v>43711</v>
      </c>
      <c r="X645" s="105">
        <f>IF(I645="买入",V645-O645,V645+O645)</f>
        <v>9575</v>
      </c>
      <c r="Y645" s="198">
        <f t="shared" si="287"/>
        <v>2307000</v>
      </c>
      <c r="Z645" s="248" t="str">
        <f t="shared" si="288"/>
        <v/>
      </c>
      <c r="AA645" s="248" t="str">
        <f>IF(I645="买入","卖出","买入19-新10")</f>
        <v>买入19-新10</v>
      </c>
      <c r="AB645" s="250">
        <v>66</v>
      </c>
      <c r="AC645" s="321">
        <v>0.152</v>
      </c>
      <c r="AD645" s="205">
        <v>0.152</v>
      </c>
      <c r="AE645" s="213"/>
      <c r="AF645" s="105"/>
    </row>
    <row r="646" spans="1:32" ht="24.95" customHeight="1" x14ac:dyDescent="0.15">
      <c r="A646" s="247" t="s">
        <v>248</v>
      </c>
      <c r="B646" s="120" t="s">
        <v>263</v>
      </c>
      <c r="C646" s="247" t="str">
        <f t="shared" si="286"/>
        <v>到期</v>
      </c>
      <c r="D646" s="103" t="s">
        <v>1841</v>
      </c>
      <c r="E646" s="247" t="s">
        <v>298</v>
      </c>
      <c r="F646" s="48">
        <v>43683</v>
      </c>
      <c r="G646" s="249">
        <v>43711</v>
      </c>
      <c r="H646" s="248" t="s">
        <v>1020</v>
      </c>
      <c r="I646" s="248" t="s">
        <v>222</v>
      </c>
      <c r="J646" s="247" t="s">
        <v>59</v>
      </c>
      <c r="K646" s="105">
        <v>50</v>
      </c>
      <c r="L646" s="248">
        <v>44600</v>
      </c>
      <c r="M646" s="248">
        <v>46140</v>
      </c>
      <c r="N646" s="248">
        <f>383/2</f>
        <v>191.5</v>
      </c>
      <c r="O646" s="248">
        <f t="shared" si="290"/>
        <v>9575</v>
      </c>
      <c r="P646" s="232" t="s">
        <v>1367</v>
      </c>
      <c r="Q646" s="101" t="s">
        <v>1955</v>
      </c>
      <c r="R646" s="301"/>
      <c r="S646" s="301"/>
      <c r="T646" s="212"/>
      <c r="U646" s="333">
        <v>46370</v>
      </c>
      <c r="V646" s="333">
        <v>0</v>
      </c>
      <c r="W646" s="334">
        <v>43711</v>
      </c>
      <c r="X646" s="105">
        <f t="shared" ref="X646:X663" si="291">IF(I646="买入",V646-O646,V646+O646)</f>
        <v>9575</v>
      </c>
      <c r="Y646" s="198">
        <f t="shared" si="287"/>
        <v>2307000</v>
      </c>
      <c r="Z646" s="248" t="str">
        <f t="shared" si="288"/>
        <v/>
      </c>
      <c r="AA646" s="248" t="str">
        <f t="shared" ref="AA646:AA654" si="292">IF(I646="买入","卖出","买入19-新10")</f>
        <v>买入19-新10</v>
      </c>
      <c r="AB646" s="250">
        <v>66</v>
      </c>
      <c r="AC646" s="321">
        <v>0.152</v>
      </c>
      <c r="AD646" s="205">
        <v>0.152</v>
      </c>
      <c r="AE646" s="213"/>
      <c r="AF646" s="105"/>
    </row>
    <row r="647" spans="1:32" ht="24.95" customHeight="1" x14ac:dyDescent="0.15">
      <c r="A647" s="247" t="s">
        <v>248</v>
      </c>
      <c r="B647" s="120" t="s">
        <v>263</v>
      </c>
      <c r="C647" s="247" t="str">
        <f t="shared" si="286"/>
        <v>到期</v>
      </c>
      <c r="D647" s="103" t="s">
        <v>1842</v>
      </c>
      <c r="E647" s="247" t="s">
        <v>298</v>
      </c>
      <c r="F647" s="48">
        <v>43683</v>
      </c>
      <c r="G647" s="249">
        <v>43711</v>
      </c>
      <c r="H647" s="248" t="s">
        <v>1020</v>
      </c>
      <c r="I647" s="248" t="s">
        <v>222</v>
      </c>
      <c r="J647" s="247" t="s">
        <v>56</v>
      </c>
      <c r="K647" s="105">
        <v>50</v>
      </c>
      <c r="L647" s="248">
        <v>48290</v>
      </c>
      <c r="M647" s="248">
        <v>46140</v>
      </c>
      <c r="N647" s="248">
        <f t="shared" ref="N647:N654" si="293">383/2</f>
        <v>191.5</v>
      </c>
      <c r="O647" s="248">
        <f t="shared" si="290"/>
        <v>9575</v>
      </c>
      <c r="P647" s="232" t="s">
        <v>1368</v>
      </c>
      <c r="Q647" s="101" t="s">
        <v>1956</v>
      </c>
      <c r="R647" s="301"/>
      <c r="S647" s="301"/>
      <c r="T647" s="212"/>
      <c r="U647" s="333">
        <v>46370</v>
      </c>
      <c r="V647" s="333">
        <v>0</v>
      </c>
      <c r="W647" s="334">
        <v>43711</v>
      </c>
      <c r="X647" s="105">
        <f t="shared" si="291"/>
        <v>9575</v>
      </c>
      <c r="Y647" s="198">
        <f t="shared" si="287"/>
        <v>2307000</v>
      </c>
      <c r="Z647" s="248" t="str">
        <f t="shared" si="288"/>
        <v/>
      </c>
      <c r="AA647" s="248" t="str">
        <f t="shared" si="292"/>
        <v>买入19-新10</v>
      </c>
      <c r="AB647" s="250">
        <v>66</v>
      </c>
      <c r="AC647" s="321">
        <v>0.152</v>
      </c>
      <c r="AD647" s="205">
        <v>0.152</v>
      </c>
      <c r="AE647" s="213"/>
      <c r="AF647" s="105"/>
    </row>
    <row r="648" spans="1:32" ht="24.95" customHeight="1" x14ac:dyDescent="0.15">
      <c r="A648" s="247" t="s">
        <v>248</v>
      </c>
      <c r="B648" s="120" t="s">
        <v>263</v>
      </c>
      <c r="C648" s="247" t="str">
        <f t="shared" si="286"/>
        <v>到期</v>
      </c>
      <c r="D648" s="103" t="s">
        <v>1842</v>
      </c>
      <c r="E648" s="247" t="s">
        <v>298</v>
      </c>
      <c r="F648" s="48">
        <v>43683</v>
      </c>
      <c r="G648" s="249">
        <v>43711</v>
      </c>
      <c r="H648" s="248" t="s">
        <v>1020</v>
      </c>
      <c r="I648" s="248" t="s">
        <v>222</v>
      </c>
      <c r="J648" s="247" t="s">
        <v>59</v>
      </c>
      <c r="K648" s="105">
        <v>50</v>
      </c>
      <c r="L648" s="248">
        <v>44600</v>
      </c>
      <c r="M648" s="248">
        <v>46140</v>
      </c>
      <c r="N648" s="248">
        <f t="shared" si="293"/>
        <v>191.5</v>
      </c>
      <c r="O648" s="248">
        <f t="shared" si="290"/>
        <v>9575</v>
      </c>
      <c r="P648" s="232" t="s">
        <v>1368</v>
      </c>
      <c r="Q648" s="101" t="s">
        <v>1956</v>
      </c>
      <c r="R648" s="301"/>
      <c r="S648" s="301"/>
      <c r="T648" s="212"/>
      <c r="U648" s="333">
        <v>46370</v>
      </c>
      <c r="V648" s="333">
        <v>0</v>
      </c>
      <c r="W648" s="334">
        <v>43711</v>
      </c>
      <c r="X648" s="105">
        <f t="shared" si="291"/>
        <v>9575</v>
      </c>
      <c r="Y648" s="198">
        <f t="shared" si="287"/>
        <v>2307000</v>
      </c>
      <c r="Z648" s="248" t="str">
        <f t="shared" si="288"/>
        <v/>
      </c>
      <c r="AA648" s="248" t="str">
        <f t="shared" si="292"/>
        <v>买入19-新10</v>
      </c>
      <c r="AB648" s="250">
        <v>66</v>
      </c>
      <c r="AC648" s="321">
        <v>0.152</v>
      </c>
      <c r="AD648" s="205">
        <v>0.152</v>
      </c>
      <c r="AE648" s="213"/>
      <c r="AF648" s="105"/>
    </row>
    <row r="649" spans="1:32" ht="24.95" customHeight="1" x14ac:dyDescent="0.15">
      <c r="A649" s="247" t="s">
        <v>248</v>
      </c>
      <c r="B649" s="120" t="s">
        <v>263</v>
      </c>
      <c r="C649" s="247" t="str">
        <f t="shared" si="286"/>
        <v>到期</v>
      </c>
      <c r="D649" s="103" t="s">
        <v>1843</v>
      </c>
      <c r="E649" s="247" t="s">
        <v>298</v>
      </c>
      <c r="F649" s="48">
        <v>43683</v>
      </c>
      <c r="G649" s="249">
        <v>43711</v>
      </c>
      <c r="H649" s="248" t="s">
        <v>1020</v>
      </c>
      <c r="I649" s="248" t="s">
        <v>222</v>
      </c>
      <c r="J649" s="247" t="s">
        <v>56</v>
      </c>
      <c r="K649" s="105">
        <v>50</v>
      </c>
      <c r="L649" s="248">
        <v>48290</v>
      </c>
      <c r="M649" s="248">
        <v>46140</v>
      </c>
      <c r="N649" s="248">
        <f t="shared" si="293"/>
        <v>191.5</v>
      </c>
      <c r="O649" s="248">
        <f t="shared" si="290"/>
        <v>9575</v>
      </c>
      <c r="P649" s="232" t="s">
        <v>1369</v>
      </c>
      <c r="Q649" s="101" t="s">
        <v>1957</v>
      </c>
      <c r="R649" s="301"/>
      <c r="S649" s="301"/>
      <c r="T649" s="212"/>
      <c r="U649" s="333">
        <v>46370</v>
      </c>
      <c r="V649" s="333">
        <v>0</v>
      </c>
      <c r="W649" s="334">
        <v>43711</v>
      </c>
      <c r="X649" s="105">
        <f t="shared" si="291"/>
        <v>9575</v>
      </c>
      <c r="Y649" s="198">
        <f t="shared" si="287"/>
        <v>2307000</v>
      </c>
      <c r="Z649" s="248" t="str">
        <f t="shared" si="288"/>
        <v/>
      </c>
      <c r="AA649" s="248" t="str">
        <f t="shared" si="292"/>
        <v>买入19-新10</v>
      </c>
      <c r="AB649" s="250">
        <v>66</v>
      </c>
      <c r="AC649" s="321">
        <v>0.152</v>
      </c>
      <c r="AD649" s="205">
        <v>0.152</v>
      </c>
      <c r="AE649" s="213"/>
      <c r="AF649" s="105"/>
    </row>
    <row r="650" spans="1:32" ht="24.95" customHeight="1" x14ac:dyDescent="0.15">
      <c r="A650" s="247" t="s">
        <v>248</v>
      </c>
      <c r="B650" s="120" t="s">
        <v>263</v>
      </c>
      <c r="C650" s="247" t="str">
        <f t="shared" si="286"/>
        <v>到期</v>
      </c>
      <c r="D650" s="103" t="s">
        <v>1843</v>
      </c>
      <c r="E650" s="247" t="s">
        <v>298</v>
      </c>
      <c r="F650" s="48">
        <v>43683</v>
      </c>
      <c r="G650" s="249">
        <v>43711</v>
      </c>
      <c r="H650" s="248" t="s">
        <v>1020</v>
      </c>
      <c r="I650" s="248" t="s">
        <v>222</v>
      </c>
      <c r="J650" s="247" t="s">
        <v>59</v>
      </c>
      <c r="K650" s="105">
        <v>50</v>
      </c>
      <c r="L650" s="248">
        <v>44600</v>
      </c>
      <c r="M650" s="248">
        <v>46140</v>
      </c>
      <c r="N650" s="248">
        <f t="shared" si="293"/>
        <v>191.5</v>
      </c>
      <c r="O650" s="248">
        <f t="shared" si="290"/>
        <v>9575</v>
      </c>
      <c r="P650" s="232" t="s">
        <v>1369</v>
      </c>
      <c r="Q650" s="101" t="s">
        <v>1957</v>
      </c>
      <c r="R650" s="301"/>
      <c r="S650" s="301"/>
      <c r="T650" s="212"/>
      <c r="U650" s="333">
        <v>46370</v>
      </c>
      <c r="V650" s="333">
        <v>0</v>
      </c>
      <c r="W650" s="334">
        <v>43711</v>
      </c>
      <c r="X650" s="105">
        <f t="shared" si="291"/>
        <v>9575</v>
      </c>
      <c r="Y650" s="198">
        <f t="shared" ref="Y650:Y654" si="294">ABS(M650*K650)</f>
        <v>2307000</v>
      </c>
      <c r="Z650" s="248" t="str">
        <f t="shared" si="288"/>
        <v/>
      </c>
      <c r="AA650" s="248" t="str">
        <f t="shared" si="292"/>
        <v>买入19-新10</v>
      </c>
      <c r="AB650" s="250">
        <v>66</v>
      </c>
      <c r="AC650" s="321">
        <v>0.152</v>
      </c>
      <c r="AD650" s="205">
        <v>0.152</v>
      </c>
      <c r="AE650" s="213"/>
      <c r="AF650" s="105"/>
    </row>
    <row r="651" spans="1:32" ht="24.95" customHeight="1" x14ac:dyDescent="0.15">
      <c r="A651" s="247" t="s">
        <v>248</v>
      </c>
      <c r="B651" s="120" t="s">
        <v>263</v>
      </c>
      <c r="C651" s="247" t="str">
        <f t="shared" si="286"/>
        <v>到期</v>
      </c>
      <c r="D651" s="103" t="s">
        <v>1844</v>
      </c>
      <c r="E651" s="247" t="s">
        <v>298</v>
      </c>
      <c r="F651" s="48">
        <v>43683</v>
      </c>
      <c r="G651" s="249">
        <v>43711</v>
      </c>
      <c r="H651" s="248" t="s">
        <v>1020</v>
      </c>
      <c r="I651" s="248" t="s">
        <v>222</v>
      </c>
      <c r="J651" s="247" t="s">
        <v>56</v>
      </c>
      <c r="K651" s="105">
        <v>50</v>
      </c>
      <c r="L651" s="248">
        <v>48290</v>
      </c>
      <c r="M651" s="248">
        <v>46140</v>
      </c>
      <c r="N651" s="248">
        <f t="shared" si="293"/>
        <v>191.5</v>
      </c>
      <c r="O651" s="248">
        <f t="shared" si="290"/>
        <v>9575</v>
      </c>
      <c r="P651" s="232" t="s">
        <v>1370</v>
      </c>
      <c r="Q651" s="101" t="s">
        <v>1958</v>
      </c>
      <c r="R651" s="301"/>
      <c r="S651" s="301"/>
      <c r="T651" s="212"/>
      <c r="U651" s="333">
        <v>46370</v>
      </c>
      <c r="V651" s="333">
        <v>0</v>
      </c>
      <c r="W651" s="334">
        <v>43711</v>
      </c>
      <c r="X651" s="105">
        <f t="shared" si="291"/>
        <v>9575</v>
      </c>
      <c r="Y651" s="198">
        <f t="shared" si="294"/>
        <v>2307000</v>
      </c>
      <c r="Z651" s="248" t="str">
        <f t="shared" si="288"/>
        <v/>
      </c>
      <c r="AA651" s="248" t="str">
        <f t="shared" si="292"/>
        <v>买入19-新10</v>
      </c>
      <c r="AB651" s="250">
        <v>66</v>
      </c>
      <c r="AC651" s="321">
        <v>0.152</v>
      </c>
      <c r="AD651" s="205">
        <v>0.152</v>
      </c>
      <c r="AE651" s="213"/>
      <c r="AF651" s="105"/>
    </row>
    <row r="652" spans="1:32" ht="24.95" customHeight="1" x14ac:dyDescent="0.15">
      <c r="A652" s="247" t="s">
        <v>248</v>
      </c>
      <c r="B652" s="120" t="s">
        <v>263</v>
      </c>
      <c r="C652" s="247" t="str">
        <f t="shared" si="286"/>
        <v>到期</v>
      </c>
      <c r="D652" s="103" t="s">
        <v>1844</v>
      </c>
      <c r="E652" s="247" t="s">
        <v>298</v>
      </c>
      <c r="F652" s="48">
        <v>43683</v>
      </c>
      <c r="G652" s="249">
        <v>43711</v>
      </c>
      <c r="H652" s="248" t="s">
        <v>1020</v>
      </c>
      <c r="I652" s="248" t="s">
        <v>222</v>
      </c>
      <c r="J652" s="247" t="s">
        <v>59</v>
      </c>
      <c r="K652" s="105">
        <v>50</v>
      </c>
      <c r="L652" s="248">
        <v>44600</v>
      </c>
      <c r="M652" s="248">
        <v>46140</v>
      </c>
      <c r="N652" s="248">
        <f t="shared" si="293"/>
        <v>191.5</v>
      </c>
      <c r="O652" s="248">
        <f t="shared" si="290"/>
        <v>9575</v>
      </c>
      <c r="P652" s="232" t="s">
        <v>1371</v>
      </c>
      <c r="Q652" s="101" t="s">
        <v>1958</v>
      </c>
      <c r="R652" s="301"/>
      <c r="S652" s="301"/>
      <c r="T652" s="212"/>
      <c r="U652" s="333">
        <v>46370</v>
      </c>
      <c r="V652" s="333">
        <v>0</v>
      </c>
      <c r="W652" s="334">
        <v>43711</v>
      </c>
      <c r="X652" s="105">
        <f t="shared" si="291"/>
        <v>9575</v>
      </c>
      <c r="Y652" s="198">
        <f t="shared" si="294"/>
        <v>2307000</v>
      </c>
      <c r="Z652" s="248" t="str">
        <f t="shared" si="288"/>
        <v/>
      </c>
      <c r="AA652" s="248" t="str">
        <f t="shared" si="292"/>
        <v>买入19-新10</v>
      </c>
      <c r="AB652" s="250">
        <v>66</v>
      </c>
      <c r="AC652" s="321">
        <v>0.152</v>
      </c>
      <c r="AD652" s="205">
        <v>0.152</v>
      </c>
      <c r="AE652" s="213"/>
      <c r="AF652" s="105"/>
    </row>
    <row r="653" spans="1:32" ht="24.95" customHeight="1" x14ac:dyDescent="0.15">
      <c r="A653" s="247" t="s">
        <v>248</v>
      </c>
      <c r="B653" s="120" t="s">
        <v>263</v>
      </c>
      <c r="C653" s="247" t="str">
        <f t="shared" si="286"/>
        <v>到期</v>
      </c>
      <c r="D653" s="103" t="s">
        <v>1845</v>
      </c>
      <c r="E653" s="247" t="s">
        <v>298</v>
      </c>
      <c r="F653" s="48">
        <v>43683</v>
      </c>
      <c r="G653" s="249">
        <v>43711</v>
      </c>
      <c r="H653" s="248" t="s">
        <v>1020</v>
      </c>
      <c r="I653" s="248" t="s">
        <v>222</v>
      </c>
      <c r="J653" s="247" t="s">
        <v>56</v>
      </c>
      <c r="K653" s="105">
        <v>50</v>
      </c>
      <c r="L653" s="248">
        <v>48290</v>
      </c>
      <c r="M653" s="248">
        <v>46140</v>
      </c>
      <c r="N653" s="248">
        <f t="shared" si="293"/>
        <v>191.5</v>
      </c>
      <c r="O653" s="248">
        <f t="shared" si="290"/>
        <v>9575</v>
      </c>
      <c r="P653" s="232" t="s">
        <v>1372</v>
      </c>
      <c r="Q653" s="101" t="s">
        <v>1959</v>
      </c>
      <c r="R653" s="301"/>
      <c r="S653" s="301"/>
      <c r="T653" s="212"/>
      <c r="U653" s="333">
        <v>46370</v>
      </c>
      <c r="V653" s="333">
        <v>0</v>
      </c>
      <c r="W653" s="334">
        <v>43711</v>
      </c>
      <c r="X653" s="105">
        <f t="shared" si="291"/>
        <v>9575</v>
      </c>
      <c r="Y653" s="198">
        <f t="shared" si="294"/>
        <v>2307000</v>
      </c>
      <c r="Z653" s="248" t="str">
        <f t="shared" si="288"/>
        <v/>
      </c>
      <c r="AA653" s="248" t="str">
        <f t="shared" si="292"/>
        <v>买入19-新10</v>
      </c>
      <c r="AB653" s="250">
        <v>66</v>
      </c>
      <c r="AC653" s="321">
        <v>0.152</v>
      </c>
      <c r="AD653" s="205">
        <v>0.152</v>
      </c>
      <c r="AE653" s="213"/>
      <c r="AF653" s="105"/>
    </row>
    <row r="654" spans="1:32" ht="24.95" customHeight="1" x14ac:dyDescent="0.15">
      <c r="A654" s="247" t="s">
        <v>248</v>
      </c>
      <c r="B654" s="120" t="s">
        <v>263</v>
      </c>
      <c r="C654" s="247" t="str">
        <f t="shared" si="286"/>
        <v>到期</v>
      </c>
      <c r="D654" s="103" t="s">
        <v>1845</v>
      </c>
      <c r="E654" s="247" t="s">
        <v>298</v>
      </c>
      <c r="F654" s="48">
        <v>43683</v>
      </c>
      <c r="G654" s="249">
        <v>43711</v>
      </c>
      <c r="H654" s="248" t="s">
        <v>1020</v>
      </c>
      <c r="I654" s="248" t="s">
        <v>222</v>
      </c>
      <c r="J654" s="247" t="s">
        <v>59</v>
      </c>
      <c r="K654" s="105">
        <v>50</v>
      </c>
      <c r="L654" s="248">
        <v>44600</v>
      </c>
      <c r="M654" s="248">
        <v>46140</v>
      </c>
      <c r="N654" s="248">
        <f t="shared" si="293"/>
        <v>191.5</v>
      </c>
      <c r="O654" s="248">
        <f t="shared" si="290"/>
        <v>9575</v>
      </c>
      <c r="P654" s="232" t="s">
        <v>1373</v>
      </c>
      <c r="Q654" s="101" t="s">
        <v>1959</v>
      </c>
      <c r="R654" s="301"/>
      <c r="S654" s="301"/>
      <c r="T654" s="212"/>
      <c r="U654" s="333">
        <v>46370</v>
      </c>
      <c r="V654" s="333">
        <v>0</v>
      </c>
      <c r="W654" s="334">
        <v>43711</v>
      </c>
      <c r="X654" s="105">
        <f t="shared" si="291"/>
        <v>9575</v>
      </c>
      <c r="Y654" s="198">
        <f t="shared" si="294"/>
        <v>2307000</v>
      </c>
      <c r="Z654" s="248" t="str">
        <f t="shared" si="288"/>
        <v/>
      </c>
      <c r="AA654" s="248" t="str">
        <f t="shared" si="292"/>
        <v>买入19-新10</v>
      </c>
      <c r="AB654" s="250">
        <v>66</v>
      </c>
      <c r="AC654" s="321">
        <v>0.152</v>
      </c>
      <c r="AD654" s="205">
        <v>0.152</v>
      </c>
      <c r="AE654" s="213"/>
      <c r="AF654" s="105"/>
    </row>
    <row r="655" spans="1:32" ht="24.95" customHeight="1" x14ac:dyDescent="0.15">
      <c r="A655" s="247" t="s">
        <v>265</v>
      </c>
      <c r="B655" s="120" t="s">
        <v>1203</v>
      </c>
      <c r="C655" s="247" t="str">
        <f t="shared" ref="C655:C661" si="295">IF(Q655="","存续","到期")</f>
        <v>到期</v>
      </c>
      <c r="D655" s="123" t="s">
        <v>1332</v>
      </c>
      <c r="E655" s="247" t="s">
        <v>255</v>
      </c>
      <c r="F655" s="48">
        <v>43683</v>
      </c>
      <c r="G655" s="249">
        <v>43713</v>
      </c>
      <c r="H655" s="248" t="s">
        <v>1202</v>
      </c>
      <c r="I655" s="248" t="s">
        <v>222</v>
      </c>
      <c r="J655" s="247" t="s">
        <v>56</v>
      </c>
      <c r="K655" s="248">
        <v>2000</v>
      </c>
      <c r="L655" s="248">
        <v>2194</v>
      </c>
      <c r="M655" s="248">
        <v>2194</v>
      </c>
      <c r="N655" s="248">
        <v>54.6</v>
      </c>
      <c r="O655" s="248">
        <f>N655*K655</f>
        <v>109200</v>
      </c>
      <c r="P655" s="232" t="s">
        <v>1197</v>
      </c>
      <c r="Q655" s="101" t="s">
        <v>1960</v>
      </c>
      <c r="R655" s="301"/>
      <c r="S655" s="301"/>
      <c r="T655" s="212"/>
      <c r="U655" s="341">
        <v>2183</v>
      </c>
      <c r="V655" s="341">
        <v>0</v>
      </c>
      <c r="W655" s="340">
        <v>43713</v>
      </c>
      <c r="X655" s="105">
        <f t="shared" si="291"/>
        <v>109200</v>
      </c>
      <c r="Y655" s="198">
        <f>ABS(M655*K655)</f>
        <v>4388000</v>
      </c>
      <c r="Z655" s="248" t="str">
        <f>IF(C655="存续",D655&amp;H655&amp;"-"&amp;AA655,"")</f>
        <v/>
      </c>
      <c r="AA655" s="248" t="str">
        <f>IF(I655="买入","卖出","买入")</f>
        <v>买入</v>
      </c>
      <c r="AB655" s="250">
        <v>67</v>
      </c>
      <c r="AC655" s="321">
        <v>0.20599999999999999</v>
      </c>
      <c r="AD655" s="205">
        <v>0.221</v>
      </c>
      <c r="AE655" s="213"/>
      <c r="AF655" s="105"/>
    </row>
    <row r="656" spans="1:32" ht="24.95" customHeight="1" x14ac:dyDescent="0.15">
      <c r="A656" s="247" t="s">
        <v>265</v>
      </c>
      <c r="B656" s="120" t="s">
        <v>263</v>
      </c>
      <c r="C656" s="247" t="str">
        <f t="shared" si="295"/>
        <v>到期</v>
      </c>
      <c r="D656" s="123" t="s">
        <v>1332</v>
      </c>
      <c r="E656" s="247" t="s">
        <v>255</v>
      </c>
      <c r="F656" s="48">
        <v>43683</v>
      </c>
      <c r="G656" s="249">
        <v>43713</v>
      </c>
      <c r="H656" s="248" t="s">
        <v>1202</v>
      </c>
      <c r="I656" s="248" t="s">
        <v>222</v>
      </c>
      <c r="J656" s="247" t="s">
        <v>59</v>
      </c>
      <c r="K656" s="248">
        <v>2000</v>
      </c>
      <c r="L656" s="248">
        <v>2194</v>
      </c>
      <c r="M656" s="248">
        <v>2194</v>
      </c>
      <c r="N656" s="248">
        <v>54.6</v>
      </c>
      <c r="O656" s="248">
        <f>N656*K656</f>
        <v>109200</v>
      </c>
      <c r="P656" s="232" t="s">
        <v>1197</v>
      </c>
      <c r="Q656" s="101" t="s">
        <v>1960</v>
      </c>
      <c r="R656" s="301"/>
      <c r="S656" s="301"/>
      <c r="T656" s="212"/>
      <c r="U656" s="341">
        <v>2183</v>
      </c>
      <c r="V656" s="341">
        <f>-(L656-U656)*K656</f>
        <v>-22000</v>
      </c>
      <c r="W656" s="340">
        <v>43713</v>
      </c>
      <c r="X656" s="105">
        <f t="shared" si="291"/>
        <v>87200</v>
      </c>
      <c r="Y656" s="198">
        <f>ABS(M656*K656)</f>
        <v>4388000</v>
      </c>
      <c r="Z656" s="248" t="str">
        <f t="shared" si="288"/>
        <v/>
      </c>
      <c r="AA656" s="248" t="str">
        <f>IF(I656="买入","卖出","买入")</f>
        <v>买入</v>
      </c>
      <c r="AB656" s="256">
        <v>67</v>
      </c>
      <c r="AC656" s="321">
        <v>0.20599999999999999</v>
      </c>
      <c r="AD656" s="205">
        <v>0.221</v>
      </c>
      <c r="AE656" s="213"/>
      <c r="AF656" s="105"/>
    </row>
    <row r="657" spans="1:32" ht="24.95" customHeight="1" x14ac:dyDescent="0.15">
      <c r="A657" s="253" t="s">
        <v>394</v>
      </c>
      <c r="B657" s="253" t="s">
        <v>264</v>
      </c>
      <c r="C657" s="253" t="str">
        <f t="shared" si="295"/>
        <v>到期</v>
      </c>
      <c r="D657" s="128" t="s">
        <v>1846</v>
      </c>
      <c r="E657" s="253" t="s">
        <v>255</v>
      </c>
      <c r="F657" s="48">
        <v>43683</v>
      </c>
      <c r="G657" s="255">
        <v>43713</v>
      </c>
      <c r="H657" s="254" t="s">
        <v>1001</v>
      </c>
      <c r="I657" s="254" t="s">
        <v>998</v>
      </c>
      <c r="J657" s="253" t="s">
        <v>1206</v>
      </c>
      <c r="K657" s="254">
        <v>10000</v>
      </c>
      <c r="L657" s="254">
        <v>696</v>
      </c>
      <c r="M657" s="254">
        <v>696</v>
      </c>
      <c r="N657" s="254">
        <v>32.090000000000003</v>
      </c>
      <c r="O657" s="254">
        <f t="shared" ref="O657:O660" si="296">N657*K657</f>
        <v>320900.00000000006</v>
      </c>
      <c r="P657" s="101" t="s">
        <v>1379</v>
      </c>
      <c r="Q657" s="101" t="s">
        <v>1961</v>
      </c>
      <c r="R657" s="105"/>
      <c r="S657" s="105"/>
      <c r="T657" s="255"/>
      <c r="U657" s="105">
        <v>647</v>
      </c>
      <c r="V657" s="105">
        <v>0</v>
      </c>
      <c r="W657" s="340">
        <v>43713</v>
      </c>
      <c r="X657" s="105">
        <f t="shared" si="291"/>
        <v>-320900.00000000006</v>
      </c>
      <c r="Y657" s="198">
        <f t="shared" ref="Y657:Y660" si="297">ABS(M657*K657)</f>
        <v>6960000</v>
      </c>
      <c r="Z657" s="254" t="str">
        <f t="shared" ref="Z657:Z658" si="298">IF(C657="存续",D657&amp;H657&amp;"-"&amp;AA657,"")</f>
        <v/>
      </c>
      <c r="AA657" s="254" t="str">
        <f t="shared" ref="AA657:AA658" si="299">IF(I657="买入","卖出","买入")</f>
        <v>卖出</v>
      </c>
      <c r="AB657" s="254">
        <v>68</v>
      </c>
      <c r="AC657" s="321">
        <v>0.38700000000000001</v>
      </c>
      <c r="AD657" s="205">
        <v>0.36899999999999999</v>
      </c>
      <c r="AE657" s="205"/>
      <c r="AF657" s="105"/>
    </row>
    <row r="658" spans="1:32" ht="24.95" customHeight="1" x14ac:dyDescent="0.15">
      <c r="A658" s="253" t="s">
        <v>394</v>
      </c>
      <c r="B658" s="253" t="s">
        <v>264</v>
      </c>
      <c r="C658" s="253" t="str">
        <f t="shared" si="295"/>
        <v>到期</v>
      </c>
      <c r="D658" s="128" t="s">
        <v>1846</v>
      </c>
      <c r="E658" s="253" t="s">
        <v>255</v>
      </c>
      <c r="F658" s="48">
        <v>43683</v>
      </c>
      <c r="G658" s="255">
        <v>43713</v>
      </c>
      <c r="H658" s="254" t="s">
        <v>1001</v>
      </c>
      <c r="I658" s="254" t="s">
        <v>998</v>
      </c>
      <c r="J658" s="253" t="s">
        <v>979</v>
      </c>
      <c r="K658" s="254">
        <v>10000</v>
      </c>
      <c r="L658" s="254">
        <v>696</v>
      </c>
      <c r="M658" s="254">
        <v>696</v>
      </c>
      <c r="N658" s="254">
        <v>32.090000000000003</v>
      </c>
      <c r="O658" s="254">
        <f t="shared" si="296"/>
        <v>320900.00000000006</v>
      </c>
      <c r="P658" s="101" t="s">
        <v>1380</v>
      </c>
      <c r="Q658" s="101" t="s">
        <v>1961</v>
      </c>
      <c r="R658" s="105"/>
      <c r="S658" s="105"/>
      <c r="T658" s="255"/>
      <c r="U658" s="105">
        <v>647</v>
      </c>
      <c r="V658" s="105">
        <f>(L658-U658)*K658</f>
        <v>490000</v>
      </c>
      <c r="W658" s="340">
        <v>43713</v>
      </c>
      <c r="X658" s="105">
        <f t="shared" si="291"/>
        <v>169099.99999999994</v>
      </c>
      <c r="Y658" s="198">
        <f t="shared" si="297"/>
        <v>6960000</v>
      </c>
      <c r="Z658" s="254" t="str">
        <f t="shared" si="298"/>
        <v/>
      </c>
      <c r="AA658" s="254" t="str">
        <f t="shared" si="299"/>
        <v>卖出</v>
      </c>
      <c r="AB658" s="256">
        <v>68</v>
      </c>
      <c r="AC658" s="321">
        <v>0.38700000000000001</v>
      </c>
      <c r="AD658" s="205">
        <v>0.36899999999999999</v>
      </c>
      <c r="AE658" s="205"/>
      <c r="AF658" s="105"/>
    </row>
    <row r="659" spans="1:32" ht="24.95" customHeight="1" x14ac:dyDescent="0.15">
      <c r="A659" s="257" t="s">
        <v>394</v>
      </c>
      <c r="B659" s="257" t="s">
        <v>264</v>
      </c>
      <c r="C659" s="257" t="str">
        <f t="shared" si="295"/>
        <v>到期</v>
      </c>
      <c r="D659" s="128" t="s">
        <v>1846</v>
      </c>
      <c r="E659" s="257" t="s">
        <v>255</v>
      </c>
      <c r="F659" s="48">
        <v>43684</v>
      </c>
      <c r="G659" s="259">
        <v>43714</v>
      </c>
      <c r="H659" s="258" t="s">
        <v>1001</v>
      </c>
      <c r="I659" s="258" t="s">
        <v>998</v>
      </c>
      <c r="J659" s="257" t="s">
        <v>1206</v>
      </c>
      <c r="K659" s="258">
        <v>10000</v>
      </c>
      <c r="L659" s="258">
        <v>694</v>
      </c>
      <c r="M659" s="258">
        <v>694</v>
      </c>
      <c r="N659" s="258">
        <v>32.619999999999997</v>
      </c>
      <c r="O659" s="258">
        <f t="shared" si="296"/>
        <v>326200</v>
      </c>
      <c r="P659" s="101" t="s">
        <v>1381</v>
      </c>
      <c r="Q659" s="101" t="s">
        <v>1962</v>
      </c>
      <c r="R659" s="105"/>
      <c r="S659" s="105"/>
      <c r="T659" s="258"/>
      <c r="U659" s="258">
        <v>629</v>
      </c>
      <c r="V659" s="258">
        <v>0</v>
      </c>
      <c r="W659" s="344">
        <v>43714</v>
      </c>
      <c r="X659" s="105">
        <f t="shared" si="291"/>
        <v>-326200</v>
      </c>
      <c r="Y659" s="198">
        <f t="shared" si="297"/>
        <v>6940000</v>
      </c>
      <c r="Z659" s="258" t="str">
        <f t="shared" ref="Z659:Z660" si="300">IF(C659="存续",D659&amp;H659&amp;"-"&amp;AA659,"")</f>
        <v/>
      </c>
      <c r="AA659" s="258" t="str">
        <f t="shared" ref="AA659:AA660" si="301">IF(I659="买入","卖出","买入")</f>
        <v>卖出</v>
      </c>
      <c r="AB659" s="258">
        <v>69</v>
      </c>
      <c r="AC659" s="321">
        <v>0.39100000000000001</v>
      </c>
      <c r="AD659" s="205">
        <v>0.373</v>
      </c>
      <c r="AE659" s="205"/>
      <c r="AF659" s="105"/>
    </row>
    <row r="660" spans="1:32" ht="24.95" customHeight="1" x14ac:dyDescent="0.15">
      <c r="A660" s="257" t="s">
        <v>394</v>
      </c>
      <c r="B660" s="257" t="s">
        <v>264</v>
      </c>
      <c r="C660" s="257" t="str">
        <f t="shared" si="295"/>
        <v>到期</v>
      </c>
      <c r="D660" s="128" t="s">
        <v>1846</v>
      </c>
      <c r="E660" s="257" t="s">
        <v>255</v>
      </c>
      <c r="F660" s="48">
        <v>43684</v>
      </c>
      <c r="G660" s="259">
        <v>43714</v>
      </c>
      <c r="H660" s="258" t="s">
        <v>1001</v>
      </c>
      <c r="I660" s="258" t="s">
        <v>998</v>
      </c>
      <c r="J660" s="257" t="s">
        <v>979</v>
      </c>
      <c r="K660" s="258">
        <v>10000</v>
      </c>
      <c r="L660" s="258">
        <v>694</v>
      </c>
      <c r="M660" s="258">
        <v>694</v>
      </c>
      <c r="N660" s="258">
        <v>32.619999999999997</v>
      </c>
      <c r="O660" s="258">
        <f t="shared" si="296"/>
        <v>326200</v>
      </c>
      <c r="P660" s="101" t="s">
        <v>1382</v>
      </c>
      <c r="Q660" s="101" t="s">
        <v>1962</v>
      </c>
      <c r="R660" s="105"/>
      <c r="S660" s="105"/>
      <c r="T660" s="258"/>
      <c r="U660" s="258">
        <v>629</v>
      </c>
      <c r="V660" s="258">
        <f>(L660-U660)*K660</f>
        <v>650000</v>
      </c>
      <c r="W660" s="344">
        <v>43714</v>
      </c>
      <c r="X660" s="105">
        <f t="shared" si="291"/>
        <v>323800</v>
      </c>
      <c r="Y660" s="198">
        <f t="shared" si="297"/>
        <v>6940000</v>
      </c>
      <c r="Z660" s="258" t="str">
        <f t="shared" si="300"/>
        <v/>
      </c>
      <c r="AA660" s="258" t="str">
        <f t="shared" si="301"/>
        <v>卖出</v>
      </c>
      <c r="AB660" s="258">
        <v>69</v>
      </c>
      <c r="AC660" s="321">
        <v>0.39100000000000001</v>
      </c>
      <c r="AD660" s="205">
        <v>0.373</v>
      </c>
      <c r="AE660" s="205"/>
      <c r="AF660" s="105"/>
    </row>
    <row r="661" spans="1:32" ht="24.95" customHeight="1" x14ac:dyDescent="0.15">
      <c r="A661" s="260" t="s">
        <v>394</v>
      </c>
      <c r="B661" s="260" t="s">
        <v>297</v>
      </c>
      <c r="C661" s="260" t="str">
        <f t="shared" si="295"/>
        <v>到期</v>
      </c>
      <c r="D661" s="128" t="s">
        <v>1855</v>
      </c>
      <c r="E661" s="260" t="s">
        <v>298</v>
      </c>
      <c r="F661" s="48">
        <v>43684</v>
      </c>
      <c r="G661" s="262">
        <v>43707</v>
      </c>
      <c r="H661" s="261" t="s">
        <v>1066</v>
      </c>
      <c r="I661" s="261" t="s">
        <v>998</v>
      </c>
      <c r="J661" s="260" t="s">
        <v>56</v>
      </c>
      <c r="K661" s="261">
        <v>1500</v>
      </c>
      <c r="L661" s="261">
        <v>750</v>
      </c>
      <c r="M661" s="261">
        <v>750</v>
      </c>
      <c r="N661" s="261">
        <v>34.090000000000003</v>
      </c>
      <c r="O661" s="261">
        <f t="shared" ref="O661:O667" si="302">N661*K661</f>
        <v>51135.000000000007</v>
      </c>
      <c r="P661" s="232" t="s">
        <v>1208</v>
      </c>
      <c r="Q661" s="101" t="s">
        <v>1963</v>
      </c>
      <c r="R661" s="105"/>
      <c r="S661" s="105"/>
      <c r="T661" s="261"/>
      <c r="U661" s="261">
        <v>725</v>
      </c>
      <c r="V661" s="261">
        <v>0</v>
      </c>
      <c r="W661" s="327">
        <v>43707</v>
      </c>
      <c r="X661" s="105">
        <f t="shared" ref="X661" si="303">IF(I661="买入",V661-O661,V661+O661)</f>
        <v>-51135.000000000007</v>
      </c>
      <c r="Y661" s="198">
        <f t="shared" ref="Y661:Y682" si="304">ABS(M661*K661)</f>
        <v>1125000</v>
      </c>
      <c r="Z661" s="261" t="str">
        <f t="shared" ref="Z661" si="305">IF(C661="存续",D661&amp;H661&amp;"-"&amp;AA661,"")</f>
        <v/>
      </c>
      <c r="AA661" s="261" t="str">
        <f t="shared" ref="AA661" si="306">IF(I661="买入","卖出","买入")</f>
        <v>卖出</v>
      </c>
      <c r="AB661" s="261">
        <v>70</v>
      </c>
      <c r="AC661" s="321">
        <v>0.43</v>
      </c>
      <c r="AD661" s="319"/>
      <c r="AE661" s="314"/>
      <c r="AF661" s="105"/>
    </row>
    <row r="662" spans="1:32" ht="24.95" customHeight="1" x14ac:dyDescent="0.15">
      <c r="A662" s="260" t="s">
        <v>394</v>
      </c>
      <c r="B662" s="260" t="s">
        <v>264</v>
      </c>
      <c r="C662" s="260" t="str">
        <f t="shared" ref="C662:C666" si="307">IF(Q662="","存续","到期")</f>
        <v>到期</v>
      </c>
      <c r="D662" s="128" t="s">
        <v>1846</v>
      </c>
      <c r="E662" s="260" t="s">
        <v>255</v>
      </c>
      <c r="F662" s="48">
        <v>43684</v>
      </c>
      <c r="G662" s="262">
        <v>43717</v>
      </c>
      <c r="H662" s="261" t="s">
        <v>1001</v>
      </c>
      <c r="I662" s="263" t="s">
        <v>998</v>
      </c>
      <c r="J662" s="260" t="s">
        <v>1206</v>
      </c>
      <c r="K662" s="261">
        <v>10000</v>
      </c>
      <c r="L662" s="261">
        <v>660</v>
      </c>
      <c r="M662" s="261">
        <v>660</v>
      </c>
      <c r="N662" s="261">
        <v>32.119999999999997</v>
      </c>
      <c r="O662" s="261">
        <f t="shared" si="302"/>
        <v>321200</v>
      </c>
      <c r="P662" s="101" t="s">
        <v>1383</v>
      </c>
      <c r="Q662" s="101" t="s">
        <v>1964</v>
      </c>
      <c r="R662" s="105"/>
      <c r="S662" s="105"/>
      <c r="T662" s="261"/>
      <c r="U662" s="261">
        <v>655.5</v>
      </c>
      <c r="V662" s="261">
        <v>0</v>
      </c>
      <c r="W662" s="345">
        <v>43717</v>
      </c>
      <c r="X662" s="105">
        <f t="shared" si="291"/>
        <v>-321200</v>
      </c>
      <c r="Y662" s="198">
        <f t="shared" si="304"/>
        <v>6600000</v>
      </c>
      <c r="Z662" s="261" t="str">
        <f>IF(C662="存续",D662&amp;H662&amp;"-"&amp;AA662,"")</f>
        <v/>
      </c>
      <c r="AA662" s="261" t="str">
        <f>IF(I662="买入","卖出","买入")</f>
        <v>卖出</v>
      </c>
      <c r="AB662" s="261">
        <v>71</v>
      </c>
      <c r="AC662" s="321">
        <v>0.39900000000000002</v>
      </c>
      <c r="AD662" s="205">
        <v>0.38100000000000001</v>
      </c>
      <c r="AE662" s="205"/>
      <c r="AF662" s="105"/>
    </row>
    <row r="663" spans="1:32" ht="24.95" customHeight="1" x14ac:dyDescent="0.15">
      <c r="A663" s="260" t="s">
        <v>394</v>
      </c>
      <c r="B663" s="260" t="s">
        <v>264</v>
      </c>
      <c r="C663" s="260" t="str">
        <f t="shared" si="307"/>
        <v>到期</v>
      </c>
      <c r="D663" s="128" t="s">
        <v>1846</v>
      </c>
      <c r="E663" s="260" t="s">
        <v>255</v>
      </c>
      <c r="F663" s="48">
        <v>43684</v>
      </c>
      <c r="G663" s="262">
        <v>43717</v>
      </c>
      <c r="H663" s="261" t="s">
        <v>1001</v>
      </c>
      <c r="I663" s="263" t="s">
        <v>998</v>
      </c>
      <c r="J663" s="260" t="s">
        <v>979</v>
      </c>
      <c r="K663" s="261">
        <v>10000</v>
      </c>
      <c r="L663" s="261">
        <v>640</v>
      </c>
      <c r="M663" s="261">
        <v>660</v>
      </c>
      <c r="N663" s="261">
        <v>22.65</v>
      </c>
      <c r="O663" s="261">
        <f t="shared" si="302"/>
        <v>226500</v>
      </c>
      <c r="P663" s="101" t="s">
        <v>1384</v>
      </c>
      <c r="Q663" s="101" t="s">
        <v>1964</v>
      </c>
      <c r="R663" s="105"/>
      <c r="S663" s="105"/>
      <c r="T663" s="261"/>
      <c r="U663" s="261">
        <v>655.5</v>
      </c>
      <c r="V663" s="261">
        <v>0</v>
      </c>
      <c r="W663" s="345">
        <v>43717</v>
      </c>
      <c r="X663" s="105">
        <f t="shared" si="291"/>
        <v>-226500</v>
      </c>
      <c r="Y663" s="198">
        <f t="shared" si="304"/>
        <v>6600000</v>
      </c>
      <c r="Z663" s="261" t="str">
        <f>IF(C663="存续",D663&amp;H663&amp;"-"&amp;AA663,"")</f>
        <v/>
      </c>
      <c r="AA663" s="261" t="str">
        <f t="shared" ref="AA663" si="308">IF(I663="买入","卖出","买入")</f>
        <v>卖出</v>
      </c>
      <c r="AB663" s="261">
        <v>71</v>
      </c>
      <c r="AC663" s="321">
        <v>0.39900000000000002</v>
      </c>
      <c r="AD663" s="205">
        <v>0.38100000000000001</v>
      </c>
      <c r="AE663" s="205"/>
      <c r="AF663" s="105"/>
    </row>
    <row r="664" spans="1:32" ht="24.95" customHeight="1" x14ac:dyDescent="0.15">
      <c r="A664" s="264" t="s">
        <v>265</v>
      </c>
      <c r="B664" s="120" t="s">
        <v>1203</v>
      </c>
      <c r="C664" s="264" t="str">
        <f t="shared" si="307"/>
        <v>到期</v>
      </c>
      <c r="D664" s="123" t="s">
        <v>1866</v>
      </c>
      <c r="E664" s="264" t="s">
        <v>298</v>
      </c>
      <c r="F664" s="48">
        <v>43685</v>
      </c>
      <c r="G664" s="266">
        <v>43700</v>
      </c>
      <c r="H664" s="265" t="s">
        <v>1209</v>
      </c>
      <c r="I664" s="265" t="s">
        <v>222</v>
      </c>
      <c r="J664" s="264" t="s">
        <v>56</v>
      </c>
      <c r="K664" s="265">
        <v>2000</v>
      </c>
      <c r="L664" s="265">
        <v>11832</v>
      </c>
      <c r="M664" s="265">
        <v>11600</v>
      </c>
      <c r="N664" s="265">
        <v>110</v>
      </c>
      <c r="O664" s="265">
        <f t="shared" si="302"/>
        <v>220000</v>
      </c>
      <c r="P664" s="232" t="s">
        <v>1210</v>
      </c>
      <c r="Q664" s="101" t="s">
        <v>1965</v>
      </c>
      <c r="R664" s="105">
        <v>32.9</v>
      </c>
      <c r="S664" s="105">
        <f>-R664*K664</f>
        <v>-65800</v>
      </c>
      <c r="T664" s="308">
        <v>43697</v>
      </c>
      <c r="U664" s="265"/>
      <c r="V664" s="265"/>
      <c r="W664" s="265"/>
      <c r="X664" s="265">
        <f>IF(I671="买入",S664-O664,O664+S664)</f>
        <v>154200</v>
      </c>
      <c r="Y664" s="265">
        <f t="shared" si="304"/>
        <v>23200000</v>
      </c>
      <c r="Z664" s="265" t="str">
        <f>IF(C664="存续",D664&amp;H664&amp;"-"&amp;AA664,"")</f>
        <v/>
      </c>
      <c r="AA664" s="265" t="str">
        <f>IF(I664="买入","卖出","买入")</f>
        <v>买入</v>
      </c>
      <c r="AB664" s="265">
        <v>72</v>
      </c>
      <c r="AC664" s="321">
        <v>0.20699999999999999</v>
      </c>
      <c r="AD664" s="205">
        <v>0.22700000000000001</v>
      </c>
      <c r="AE664" s="324" t="s">
        <v>1335</v>
      </c>
      <c r="AF664" s="105"/>
    </row>
    <row r="665" spans="1:32" ht="24.95" customHeight="1" x14ac:dyDescent="0.15">
      <c r="A665" s="270" t="s">
        <v>394</v>
      </c>
      <c r="B665" s="120" t="s">
        <v>295</v>
      </c>
      <c r="C665" s="316" t="str">
        <f t="shared" si="307"/>
        <v>到期</v>
      </c>
      <c r="D665" s="128" t="s">
        <v>1853</v>
      </c>
      <c r="E665" s="270" t="s">
        <v>255</v>
      </c>
      <c r="F665" s="272">
        <v>43686</v>
      </c>
      <c r="G665" s="272">
        <v>43735</v>
      </c>
      <c r="H665" s="265" t="s">
        <v>1212</v>
      </c>
      <c r="I665" s="271" t="s">
        <v>241</v>
      </c>
      <c r="J665" s="270" t="s">
        <v>1206</v>
      </c>
      <c r="K665" s="265">
        <v>10000</v>
      </c>
      <c r="L665" s="265">
        <v>660</v>
      </c>
      <c r="M665" s="265">
        <v>660</v>
      </c>
      <c r="N665" s="265">
        <v>37.86</v>
      </c>
      <c r="O665" s="265">
        <f t="shared" si="302"/>
        <v>378600</v>
      </c>
      <c r="P665" s="232" t="s">
        <v>1213</v>
      </c>
      <c r="Q665" s="101" t="s">
        <v>1966</v>
      </c>
      <c r="R665" s="105"/>
      <c r="S665" s="105"/>
      <c r="T665" s="265"/>
      <c r="U665" s="265">
        <v>642.5</v>
      </c>
      <c r="V665" s="265">
        <v>0</v>
      </c>
      <c r="W665" s="394">
        <v>43735</v>
      </c>
      <c r="X665" s="105">
        <f t="shared" ref="X665:X666" si="309">IF(I665="买入",V665-O665,V665+O665)</f>
        <v>-378600</v>
      </c>
      <c r="Y665" s="265">
        <f t="shared" si="304"/>
        <v>6600000</v>
      </c>
      <c r="Z665" s="271" t="str">
        <f t="shared" ref="Z665:Z666" si="310">IF(C665="存续",D665&amp;H665&amp;"-"&amp;AA665,"")</f>
        <v/>
      </c>
      <c r="AA665" s="105" t="str">
        <f t="shared" ref="AA665:AA666" si="311">IF(I665="买入","卖出","买入")</f>
        <v>卖出</v>
      </c>
      <c r="AB665" s="273">
        <v>73</v>
      </c>
      <c r="AC665" s="321">
        <v>0.38400000000000001</v>
      </c>
      <c r="AD665" s="319"/>
      <c r="AE665" s="314"/>
      <c r="AF665" s="105"/>
    </row>
    <row r="666" spans="1:32" ht="24.95" customHeight="1" x14ac:dyDescent="0.15">
      <c r="A666" s="270" t="s">
        <v>394</v>
      </c>
      <c r="B666" s="120" t="s">
        <v>295</v>
      </c>
      <c r="C666" s="316" t="str">
        <f t="shared" si="307"/>
        <v>到期</v>
      </c>
      <c r="D666" s="128" t="s">
        <v>1853</v>
      </c>
      <c r="E666" s="270" t="s">
        <v>255</v>
      </c>
      <c r="F666" s="272">
        <v>43686</v>
      </c>
      <c r="G666" s="272">
        <v>43735</v>
      </c>
      <c r="H666" s="271" t="s">
        <v>1212</v>
      </c>
      <c r="I666" s="271" t="s">
        <v>241</v>
      </c>
      <c r="J666" s="270" t="s">
        <v>979</v>
      </c>
      <c r="K666" s="271">
        <v>10000</v>
      </c>
      <c r="L666" s="271">
        <v>660</v>
      </c>
      <c r="M666" s="271">
        <v>660</v>
      </c>
      <c r="N666" s="271">
        <v>37.86</v>
      </c>
      <c r="O666" s="271">
        <f t="shared" si="302"/>
        <v>378600</v>
      </c>
      <c r="P666" s="232" t="s">
        <v>1314</v>
      </c>
      <c r="Q666" s="101" t="s">
        <v>1966</v>
      </c>
      <c r="R666" s="105"/>
      <c r="S666" s="105"/>
      <c r="T666" s="265"/>
      <c r="U666" s="393">
        <v>642.5</v>
      </c>
      <c r="V666" s="265">
        <f>(L666-U666)*K666</f>
        <v>175000</v>
      </c>
      <c r="W666" s="394">
        <v>43735</v>
      </c>
      <c r="X666" s="105">
        <f t="shared" si="309"/>
        <v>-203600</v>
      </c>
      <c r="Y666" s="275">
        <f t="shared" si="304"/>
        <v>6600000</v>
      </c>
      <c r="Z666" s="271" t="str">
        <f t="shared" si="310"/>
        <v/>
      </c>
      <c r="AA666" s="105" t="str">
        <f t="shared" si="311"/>
        <v>卖出</v>
      </c>
      <c r="AB666" s="273">
        <v>73</v>
      </c>
      <c r="AC666" s="321">
        <v>0.38400000000000001</v>
      </c>
      <c r="AD666" s="319"/>
      <c r="AE666" s="314"/>
      <c r="AF666" s="105"/>
    </row>
    <row r="667" spans="1:32" ht="24.95" customHeight="1" x14ac:dyDescent="0.15">
      <c r="A667" s="274" t="s">
        <v>394</v>
      </c>
      <c r="B667" s="274" t="s">
        <v>264</v>
      </c>
      <c r="C667" s="274" t="str">
        <f t="shared" ref="C667:C668" si="312">IF(Q667="","存续","到期")</f>
        <v>到期</v>
      </c>
      <c r="D667" s="128" t="s">
        <v>1846</v>
      </c>
      <c r="E667" s="274" t="s">
        <v>255</v>
      </c>
      <c r="F667" s="276">
        <v>43689</v>
      </c>
      <c r="G667" s="276">
        <v>43719</v>
      </c>
      <c r="H667" s="275" t="s">
        <v>1212</v>
      </c>
      <c r="I667" s="275" t="s">
        <v>998</v>
      </c>
      <c r="J667" s="274" t="s">
        <v>1206</v>
      </c>
      <c r="K667" s="265">
        <v>5000</v>
      </c>
      <c r="L667" s="265">
        <v>614</v>
      </c>
      <c r="M667" s="278">
        <v>614</v>
      </c>
      <c r="N667" s="265">
        <v>29.59</v>
      </c>
      <c r="O667" s="265">
        <f t="shared" si="302"/>
        <v>147950</v>
      </c>
      <c r="P667" s="101" t="s">
        <v>1389</v>
      </c>
      <c r="Q667" s="101" t="s">
        <v>1967</v>
      </c>
      <c r="R667" s="105"/>
      <c r="S667" s="105"/>
      <c r="T667" s="265"/>
      <c r="U667" s="265">
        <v>661</v>
      </c>
      <c r="V667" s="265">
        <f>(U667-M667)*K667</f>
        <v>235000</v>
      </c>
      <c r="W667" s="356">
        <v>43719</v>
      </c>
      <c r="X667" s="105">
        <f t="shared" ref="X667:X670" si="313">IF(I667="买入",V667-O667,V667+O667)</f>
        <v>87050</v>
      </c>
      <c r="Y667" s="275">
        <f t="shared" si="304"/>
        <v>3070000</v>
      </c>
      <c r="Z667" s="275" t="str">
        <f t="shared" ref="Z667:Z668" si="314">IF(C667="存续",D667&amp;H667&amp;"-"&amp;AA667,"")</f>
        <v/>
      </c>
      <c r="AA667" s="105" t="str">
        <f t="shared" ref="AA667:AA668" si="315">IF(I667="买入","卖出","买入")</f>
        <v>卖出</v>
      </c>
      <c r="AB667" s="275">
        <v>74</v>
      </c>
      <c r="AC667" s="321">
        <v>0.40300000000000002</v>
      </c>
      <c r="AD667" s="319"/>
      <c r="AE667" s="314"/>
      <c r="AF667" s="105"/>
    </row>
    <row r="668" spans="1:32" ht="24.95" customHeight="1" x14ac:dyDescent="0.15">
      <c r="A668" s="274" t="s">
        <v>394</v>
      </c>
      <c r="B668" s="274" t="s">
        <v>264</v>
      </c>
      <c r="C668" s="274" t="str">
        <f t="shared" si="312"/>
        <v>到期</v>
      </c>
      <c r="D668" s="128" t="s">
        <v>1846</v>
      </c>
      <c r="E668" s="274" t="s">
        <v>255</v>
      </c>
      <c r="F668" s="276">
        <v>43689</v>
      </c>
      <c r="G668" s="276">
        <v>43719</v>
      </c>
      <c r="H668" s="275" t="s">
        <v>1212</v>
      </c>
      <c r="I668" s="275" t="s">
        <v>998</v>
      </c>
      <c r="J668" s="274" t="s">
        <v>979</v>
      </c>
      <c r="K668" s="265">
        <v>5000</v>
      </c>
      <c r="L668" s="278">
        <v>614</v>
      </c>
      <c r="M668" s="278">
        <v>614</v>
      </c>
      <c r="N668" s="275">
        <v>29.59</v>
      </c>
      <c r="O668" s="275">
        <f>N668*K668</f>
        <v>147950</v>
      </c>
      <c r="P668" s="101" t="s">
        <v>1390</v>
      </c>
      <c r="Q668" s="101" t="s">
        <v>1967</v>
      </c>
      <c r="R668" s="105"/>
      <c r="S668" s="105"/>
      <c r="T668" s="265"/>
      <c r="U668" s="354">
        <v>661</v>
      </c>
      <c r="V668" s="265">
        <v>0</v>
      </c>
      <c r="W668" s="356">
        <v>43719</v>
      </c>
      <c r="X668" s="105">
        <f t="shared" si="313"/>
        <v>-147950</v>
      </c>
      <c r="Y668" s="278">
        <f t="shared" si="304"/>
        <v>3070000</v>
      </c>
      <c r="Z668" s="275" t="str">
        <f t="shared" si="314"/>
        <v/>
      </c>
      <c r="AA668" s="105" t="str">
        <f t="shared" si="315"/>
        <v>卖出</v>
      </c>
      <c r="AB668" s="275">
        <v>74</v>
      </c>
      <c r="AC668" s="321">
        <v>0.40300000000000002</v>
      </c>
      <c r="AD668" s="319"/>
      <c r="AE668" s="314"/>
      <c r="AF668" s="105"/>
    </row>
    <row r="669" spans="1:32" ht="24.95" customHeight="1" x14ac:dyDescent="0.15">
      <c r="A669" s="277" t="s">
        <v>394</v>
      </c>
      <c r="B669" s="277" t="s">
        <v>264</v>
      </c>
      <c r="C669" s="277" t="str">
        <f t="shared" ref="C669:C681" si="316">IF(Q669="","存续","到期")</f>
        <v>到期</v>
      </c>
      <c r="D669" s="128" t="s">
        <v>1846</v>
      </c>
      <c r="E669" s="277" t="s">
        <v>255</v>
      </c>
      <c r="F669" s="279">
        <v>43689</v>
      </c>
      <c r="G669" s="279">
        <v>43719</v>
      </c>
      <c r="H669" s="278" t="s">
        <v>991</v>
      </c>
      <c r="I669" s="278" t="s">
        <v>998</v>
      </c>
      <c r="J669" s="277" t="s">
        <v>986</v>
      </c>
      <c r="K669" s="278">
        <v>5000</v>
      </c>
      <c r="L669" s="265">
        <v>616</v>
      </c>
      <c r="M669" s="278">
        <v>616</v>
      </c>
      <c r="N669" s="265">
        <v>29.69</v>
      </c>
      <c r="O669" s="265">
        <f>N669*K669</f>
        <v>148450</v>
      </c>
      <c r="P669" s="101" t="s">
        <v>1391</v>
      </c>
      <c r="Q669" s="101" t="s">
        <v>1968</v>
      </c>
      <c r="R669" s="105"/>
      <c r="S669" s="105"/>
      <c r="T669" s="265"/>
      <c r="U669" s="354">
        <v>661</v>
      </c>
      <c r="V669" s="265">
        <f>(U669-L669)*K669</f>
        <v>225000</v>
      </c>
      <c r="W669" s="356">
        <v>43719</v>
      </c>
      <c r="X669" s="105">
        <f t="shared" si="313"/>
        <v>76550</v>
      </c>
      <c r="Y669" s="278">
        <f t="shared" si="304"/>
        <v>3080000</v>
      </c>
      <c r="Z669" s="278" t="str">
        <f t="shared" ref="Z669:Z685" si="317">IF(C669="存续",D669&amp;H669&amp;"-"&amp;AA669,"")</f>
        <v/>
      </c>
      <c r="AA669" s="105" t="str">
        <f t="shared" ref="AA669:AA671" si="318">IF(I669="买入","卖出","买入")</f>
        <v>卖出</v>
      </c>
      <c r="AB669" s="278">
        <v>75</v>
      </c>
      <c r="AC669" s="321">
        <v>0.40300000000000002</v>
      </c>
      <c r="AD669" s="319"/>
      <c r="AE669" s="314"/>
      <c r="AF669" s="105"/>
    </row>
    <row r="670" spans="1:32" ht="24.95" customHeight="1" x14ac:dyDescent="0.15">
      <c r="A670" s="277" t="s">
        <v>394</v>
      </c>
      <c r="B670" s="277" t="s">
        <v>264</v>
      </c>
      <c r="C670" s="277" t="str">
        <f t="shared" si="316"/>
        <v>到期</v>
      </c>
      <c r="D670" s="128" t="s">
        <v>1846</v>
      </c>
      <c r="E670" s="277" t="s">
        <v>255</v>
      </c>
      <c r="F670" s="279">
        <v>43689</v>
      </c>
      <c r="G670" s="279">
        <v>43719</v>
      </c>
      <c r="H670" s="278" t="s">
        <v>991</v>
      </c>
      <c r="I670" s="278" t="s">
        <v>998</v>
      </c>
      <c r="J670" s="277" t="s">
        <v>979</v>
      </c>
      <c r="K670" s="278">
        <v>5000</v>
      </c>
      <c r="L670" s="265">
        <v>616</v>
      </c>
      <c r="M670" s="278">
        <v>616</v>
      </c>
      <c r="N670" s="278">
        <v>29.69</v>
      </c>
      <c r="O670" s="278">
        <f>N670*K670</f>
        <v>148450</v>
      </c>
      <c r="P670" s="101" t="s">
        <v>1392</v>
      </c>
      <c r="Q670" s="101" t="s">
        <v>1968</v>
      </c>
      <c r="R670" s="105"/>
      <c r="S670" s="105"/>
      <c r="T670" s="265"/>
      <c r="U670" s="354">
        <v>661</v>
      </c>
      <c r="V670" s="265">
        <v>0</v>
      </c>
      <c r="W670" s="356">
        <v>43719</v>
      </c>
      <c r="X670" s="105">
        <f t="shared" si="313"/>
        <v>-148450</v>
      </c>
      <c r="Y670" s="278">
        <f t="shared" si="304"/>
        <v>3080000</v>
      </c>
      <c r="Z670" s="278" t="str">
        <f t="shared" si="317"/>
        <v/>
      </c>
      <c r="AA670" s="105" t="str">
        <f t="shared" si="318"/>
        <v>卖出</v>
      </c>
      <c r="AB670" s="278">
        <v>75</v>
      </c>
      <c r="AC670" s="321">
        <v>0.40300000000000002</v>
      </c>
      <c r="AD670" s="319"/>
      <c r="AE670" s="314"/>
      <c r="AF670" s="105"/>
    </row>
    <row r="671" spans="1:32" ht="24.95" customHeight="1" x14ac:dyDescent="0.15">
      <c r="A671" s="282" t="s">
        <v>265</v>
      </c>
      <c r="B671" s="120" t="s">
        <v>263</v>
      </c>
      <c r="C671" s="282" t="str">
        <f t="shared" si="316"/>
        <v>到期</v>
      </c>
      <c r="D671" s="123" t="s">
        <v>1867</v>
      </c>
      <c r="E671" s="282" t="s">
        <v>298</v>
      </c>
      <c r="F671" s="284">
        <v>43690</v>
      </c>
      <c r="G671" s="284">
        <v>43720</v>
      </c>
      <c r="H671" s="265" t="s">
        <v>901</v>
      </c>
      <c r="I671" s="283" t="s">
        <v>222</v>
      </c>
      <c r="J671" s="282" t="s">
        <v>1220</v>
      </c>
      <c r="K671" s="265">
        <v>5000</v>
      </c>
      <c r="L671" s="265">
        <v>4100</v>
      </c>
      <c r="M671" s="265">
        <v>4283</v>
      </c>
      <c r="N671" s="265">
        <v>21.28</v>
      </c>
      <c r="O671" s="265">
        <f>N671*K671</f>
        <v>106400</v>
      </c>
      <c r="P671" s="232" t="s">
        <v>1214</v>
      </c>
      <c r="Q671" s="101" t="s">
        <v>1969</v>
      </c>
      <c r="R671" s="105">
        <v>58.8</v>
      </c>
      <c r="S671" s="105">
        <f>-R671*K671</f>
        <v>-294000</v>
      </c>
      <c r="T671" s="289">
        <v>43691</v>
      </c>
      <c r="U671" s="265"/>
      <c r="V671" s="265"/>
      <c r="W671" s="265"/>
      <c r="X671" s="104">
        <f>IF(I671="买入",S671-O671,O671+S671)</f>
        <v>-187600</v>
      </c>
      <c r="Y671" s="265">
        <f t="shared" si="304"/>
        <v>21415000</v>
      </c>
      <c r="Z671" s="291" t="str">
        <f t="shared" si="317"/>
        <v/>
      </c>
      <c r="AA671" s="105" t="str">
        <f t="shared" si="318"/>
        <v>买入</v>
      </c>
      <c r="AB671" s="283">
        <v>76</v>
      </c>
      <c r="AC671" s="321">
        <v>0.16400000000000001</v>
      </c>
      <c r="AD671" s="205">
        <v>0.184</v>
      </c>
      <c r="AE671" s="205"/>
      <c r="AF671" s="105"/>
    </row>
    <row r="672" spans="1:32" ht="22.5" customHeight="1" x14ac:dyDescent="0.15">
      <c r="A672" s="282" t="s">
        <v>248</v>
      </c>
      <c r="B672" s="120" t="s">
        <v>263</v>
      </c>
      <c r="C672" s="282" t="str">
        <f t="shared" si="316"/>
        <v>到期</v>
      </c>
      <c r="D672" s="103" t="s">
        <v>1841</v>
      </c>
      <c r="E672" s="282" t="s">
        <v>298</v>
      </c>
      <c r="F672" s="284">
        <v>43690</v>
      </c>
      <c r="G672" s="284">
        <v>43718</v>
      </c>
      <c r="H672" s="283" t="s">
        <v>1020</v>
      </c>
      <c r="I672" s="283" t="s">
        <v>222</v>
      </c>
      <c r="J672" s="282" t="s">
        <v>56</v>
      </c>
      <c r="K672" s="105">
        <v>50</v>
      </c>
      <c r="L672" s="265">
        <v>48730</v>
      </c>
      <c r="M672" s="265">
        <v>46630</v>
      </c>
      <c r="N672" s="265">
        <f>387.07/2</f>
        <v>193.535</v>
      </c>
      <c r="O672" s="283">
        <f t="shared" ref="O672:O681" si="319">N672*K672</f>
        <v>9676.75</v>
      </c>
      <c r="P672" s="232" t="s">
        <v>1215</v>
      </c>
      <c r="Q672" s="101" t="s">
        <v>1970</v>
      </c>
      <c r="R672" s="105"/>
      <c r="S672" s="105"/>
      <c r="T672" s="265"/>
      <c r="U672" s="265">
        <v>47410</v>
      </c>
      <c r="V672" s="265">
        <v>0</v>
      </c>
      <c r="W672" s="349">
        <v>43718</v>
      </c>
      <c r="X672" s="105">
        <f t="shared" ref="X672:X681" si="320">IF(I672="买入",V672-O672,V672+O672)</f>
        <v>9676.75</v>
      </c>
      <c r="Y672" s="265">
        <f t="shared" si="304"/>
        <v>2331500</v>
      </c>
      <c r="Z672" s="283" t="str">
        <f t="shared" si="317"/>
        <v/>
      </c>
      <c r="AA672" s="265" t="str">
        <f>IF(I645="买入","卖出","买入19-新11")</f>
        <v>买入19-新11</v>
      </c>
      <c r="AB672" s="283">
        <v>77</v>
      </c>
      <c r="AC672" s="321">
        <v>0.152</v>
      </c>
      <c r="AD672" s="205">
        <v>0.152</v>
      </c>
      <c r="AE672" s="314"/>
      <c r="AF672" s="105"/>
    </row>
    <row r="673" spans="1:32" ht="24.95" customHeight="1" x14ac:dyDescent="0.15">
      <c r="A673" s="282" t="s">
        <v>248</v>
      </c>
      <c r="B673" s="120" t="s">
        <v>263</v>
      </c>
      <c r="C673" s="282" t="str">
        <f t="shared" si="316"/>
        <v>到期</v>
      </c>
      <c r="D673" s="103" t="s">
        <v>1841</v>
      </c>
      <c r="E673" s="282" t="s">
        <v>298</v>
      </c>
      <c r="F673" s="284">
        <v>43690</v>
      </c>
      <c r="G673" s="284">
        <v>43718</v>
      </c>
      <c r="H673" s="283" t="s">
        <v>1020</v>
      </c>
      <c r="I673" s="283" t="s">
        <v>222</v>
      </c>
      <c r="J673" s="282" t="s">
        <v>59</v>
      </c>
      <c r="K673" s="105">
        <v>50</v>
      </c>
      <c r="L673" s="265">
        <v>45000</v>
      </c>
      <c r="M673" s="283">
        <v>46630</v>
      </c>
      <c r="N673" s="283">
        <f>387.07/2</f>
        <v>193.535</v>
      </c>
      <c r="O673" s="283">
        <f t="shared" si="319"/>
        <v>9676.75</v>
      </c>
      <c r="P673" s="232" t="s">
        <v>1215</v>
      </c>
      <c r="Q673" s="101" t="s">
        <v>1970</v>
      </c>
      <c r="R673" s="105"/>
      <c r="S673" s="105"/>
      <c r="T673" s="265"/>
      <c r="U673" s="265">
        <v>47410</v>
      </c>
      <c r="V673" s="265">
        <v>0</v>
      </c>
      <c r="W673" s="349">
        <v>43718</v>
      </c>
      <c r="X673" s="105">
        <f t="shared" si="320"/>
        <v>9676.75</v>
      </c>
      <c r="Y673" s="283">
        <f t="shared" si="304"/>
        <v>2331500</v>
      </c>
      <c r="Z673" s="283" t="str">
        <f t="shared" si="317"/>
        <v/>
      </c>
      <c r="AA673" s="283" t="str">
        <f t="shared" ref="AA673:AA682" si="321">IF(I646="买入","卖出","买入19-新11")</f>
        <v>买入19-新11</v>
      </c>
      <c r="AB673" s="283">
        <v>77</v>
      </c>
      <c r="AC673" s="321">
        <v>0.152</v>
      </c>
      <c r="AD673" s="205">
        <v>0.152</v>
      </c>
      <c r="AE673" s="314"/>
      <c r="AF673" s="105"/>
    </row>
    <row r="674" spans="1:32" ht="24.95" customHeight="1" x14ac:dyDescent="0.15">
      <c r="A674" s="282" t="s">
        <v>248</v>
      </c>
      <c r="B674" s="120" t="s">
        <v>263</v>
      </c>
      <c r="C674" s="282" t="str">
        <f t="shared" si="316"/>
        <v>到期</v>
      </c>
      <c r="D674" s="103" t="s">
        <v>1842</v>
      </c>
      <c r="E674" s="282" t="s">
        <v>298</v>
      </c>
      <c r="F674" s="284">
        <v>43690</v>
      </c>
      <c r="G674" s="284">
        <v>43718</v>
      </c>
      <c r="H674" s="283" t="s">
        <v>1020</v>
      </c>
      <c r="I674" s="283" t="s">
        <v>222</v>
      </c>
      <c r="J674" s="282" t="s">
        <v>56</v>
      </c>
      <c r="K674" s="105">
        <v>50</v>
      </c>
      <c r="L674" s="283">
        <v>48730</v>
      </c>
      <c r="M674" s="283">
        <v>46630</v>
      </c>
      <c r="N674" s="283">
        <f t="shared" ref="N674:N681" si="322">387.07/2</f>
        <v>193.535</v>
      </c>
      <c r="O674" s="283">
        <f t="shared" si="319"/>
        <v>9676.75</v>
      </c>
      <c r="P674" s="232" t="s">
        <v>1216</v>
      </c>
      <c r="Q674" s="101" t="s">
        <v>1971</v>
      </c>
      <c r="R674" s="105"/>
      <c r="S674" s="105"/>
      <c r="T674" s="265"/>
      <c r="U674" s="265">
        <v>47410</v>
      </c>
      <c r="V674" s="265">
        <v>0</v>
      </c>
      <c r="W674" s="349">
        <v>43718</v>
      </c>
      <c r="X674" s="105">
        <f t="shared" si="320"/>
        <v>9676.75</v>
      </c>
      <c r="Y674" s="283">
        <f t="shared" si="304"/>
        <v>2331500</v>
      </c>
      <c r="Z674" s="283" t="str">
        <f t="shared" si="317"/>
        <v/>
      </c>
      <c r="AA674" s="283" t="str">
        <f t="shared" si="321"/>
        <v>买入19-新11</v>
      </c>
      <c r="AB674" s="283">
        <v>77</v>
      </c>
      <c r="AC674" s="321">
        <v>0.152</v>
      </c>
      <c r="AD674" s="205">
        <v>0.152</v>
      </c>
      <c r="AE674" s="314"/>
      <c r="AF674" s="105"/>
    </row>
    <row r="675" spans="1:32" ht="24.95" customHeight="1" x14ac:dyDescent="0.15">
      <c r="A675" s="282" t="s">
        <v>248</v>
      </c>
      <c r="B675" s="120" t="s">
        <v>263</v>
      </c>
      <c r="C675" s="282" t="str">
        <f t="shared" si="316"/>
        <v>到期</v>
      </c>
      <c r="D675" s="103" t="s">
        <v>1842</v>
      </c>
      <c r="E675" s="282" t="s">
        <v>298</v>
      </c>
      <c r="F675" s="284">
        <v>43690</v>
      </c>
      <c r="G675" s="284">
        <v>43718</v>
      </c>
      <c r="H675" s="283" t="s">
        <v>1020</v>
      </c>
      <c r="I675" s="283" t="s">
        <v>222</v>
      </c>
      <c r="J675" s="282" t="s">
        <v>59</v>
      </c>
      <c r="K675" s="105">
        <v>50</v>
      </c>
      <c r="L675" s="283">
        <v>45000</v>
      </c>
      <c r="M675" s="283">
        <v>46630</v>
      </c>
      <c r="N675" s="283">
        <f>387.07/2</f>
        <v>193.535</v>
      </c>
      <c r="O675" s="283">
        <f t="shared" si="319"/>
        <v>9676.75</v>
      </c>
      <c r="P675" s="232" t="s">
        <v>1216</v>
      </c>
      <c r="Q675" s="101" t="s">
        <v>1971</v>
      </c>
      <c r="R675" s="105"/>
      <c r="S675" s="105"/>
      <c r="T675" s="265"/>
      <c r="U675" s="265">
        <v>47410</v>
      </c>
      <c r="V675" s="265">
        <v>0</v>
      </c>
      <c r="W675" s="349">
        <v>43718</v>
      </c>
      <c r="X675" s="105">
        <f t="shared" si="320"/>
        <v>9676.75</v>
      </c>
      <c r="Y675" s="283">
        <f t="shared" si="304"/>
        <v>2331500</v>
      </c>
      <c r="Z675" s="283" t="str">
        <f t="shared" si="317"/>
        <v/>
      </c>
      <c r="AA675" s="283" t="str">
        <f t="shared" si="321"/>
        <v>买入19-新11</v>
      </c>
      <c r="AB675" s="283">
        <v>77</v>
      </c>
      <c r="AC675" s="321">
        <v>0.152</v>
      </c>
      <c r="AD675" s="205">
        <v>0.152</v>
      </c>
      <c r="AE675" s="314"/>
      <c r="AF675" s="105"/>
    </row>
    <row r="676" spans="1:32" ht="24.95" customHeight="1" x14ac:dyDescent="0.15">
      <c r="A676" s="282" t="s">
        <v>248</v>
      </c>
      <c r="B676" s="120" t="s">
        <v>263</v>
      </c>
      <c r="C676" s="282" t="str">
        <f t="shared" si="316"/>
        <v>到期</v>
      </c>
      <c r="D676" s="103" t="s">
        <v>1843</v>
      </c>
      <c r="E676" s="282" t="s">
        <v>298</v>
      </c>
      <c r="F676" s="284">
        <v>43690</v>
      </c>
      <c r="G676" s="284">
        <v>43718</v>
      </c>
      <c r="H676" s="283" t="s">
        <v>1020</v>
      </c>
      <c r="I676" s="283" t="s">
        <v>222</v>
      </c>
      <c r="J676" s="282" t="s">
        <v>56</v>
      </c>
      <c r="K676" s="105">
        <v>50</v>
      </c>
      <c r="L676" s="283">
        <v>48730</v>
      </c>
      <c r="M676" s="283">
        <v>46630</v>
      </c>
      <c r="N676" s="283">
        <f t="shared" si="322"/>
        <v>193.535</v>
      </c>
      <c r="O676" s="283">
        <f t="shared" si="319"/>
        <v>9676.75</v>
      </c>
      <c r="P676" s="232" t="s">
        <v>1217</v>
      </c>
      <c r="Q676" s="101" t="s">
        <v>1972</v>
      </c>
      <c r="R676" s="105"/>
      <c r="S676" s="105"/>
      <c r="T676" s="265"/>
      <c r="U676" s="265">
        <v>47410</v>
      </c>
      <c r="V676" s="265">
        <v>0</v>
      </c>
      <c r="W676" s="349">
        <v>43718</v>
      </c>
      <c r="X676" s="105">
        <f t="shared" si="320"/>
        <v>9676.75</v>
      </c>
      <c r="Y676" s="283">
        <f t="shared" si="304"/>
        <v>2331500</v>
      </c>
      <c r="Z676" s="283" t="str">
        <f t="shared" si="317"/>
        <v/>
      </c>
      <c r="AA676" s="283" t="str">
        <f t="shared" si="321"/>
        <v>买入19-新11</v>
      </c>
      <c r="AB676" s="283">
        <v>77</v>
      </c>
      <c r="AC676" s="321">
        <v>0.152</v>
      </c>
      <c r="AD676" s="205">
        <v>0.152</v>
      </c>
      <c r="AE676" s="314"/>
      <c r="AF676" s="105"/>
    </row>
    <row r="677" spans="1:32" ht="24.95" customHeight="1" x14ac:dyDescent="0.15">
      <c r="A677" s="282" t="s">
        <v>248</v>
      </c>
      <c r="B677" s="120" t="s">
        <v>263</v>
      </c>
      <c r="C677" s="282" t="str">
        <f t="shared" si="316"/>
        <v>到期</v>
      </c>
      <c r="D677" s="103" t="s">
        <v>1843</v>
      </c>
      <c r="E677" s="282" t="s">
        <v>298</v>
      </c>
      <c r="F677" s="284">
        <v>43690</v>
      </c>
      <c r="G677" s="284">
        <v>43718</v>
      </c>
      <c r="H677" s="283" t="s">
        <v>1020</v>
      </c>
      <c r="I677" s="283" t="s">
        <v>222</v>
      </c>
      <c r="J677" s="282" t="s">
        <v>59</v>
      </c>
      <c r="K677" s="105">
        <v>50</v>
      </c>
      <c r="L677" s="283">
        <v>45000</v>
      </c>
      <c r="M677" s="283">
        <v>46630</v>
      </c>
      <c r="N677" s="283">
        <f t="shared" si="322"/>
        <v>193.535</v>
      </c>
      <c r="O677" s="283">
        <f t="shared" si="319"/>
        <v>9676.75</v>
      </c>
      <c r="P677" s="232" t="s">
        <v>1217</v>
      </c>
      <c r="Q677" s="101" t="s">
        <v>1972</v>
      </c>
      <c r="R677" s="105"/>
      <c r="S677" s="105"/>
      <c r="T677" s="265"/>
      <c r="U677" s="265">
        <v>47410</v>
      </c>
      <c r="V677" s="265">
        <v>0</v>
      </c>
      <c r="W677" s="349">
        <v>43718</v>
      </c>
      <c r="X677" s="105">
        <f t="shared" si="320"/>
        <v>9676.75</v>
      </c>
      <c r="Y677" s="283">
        <f t="shared" si="304"/>
        <v>2331500</v>
      </c>
      <c r="Z677" s="283" t="str">
        <f t="shared" si="317"/>
        <v/>
      </c>
      <c r="AA677" s="283" t="str">
        <f t="shared" si="321"/>
        <v>买入19-新11</v>
      </c>
      <c r="AB677" s="283">
        <v>77</v>
      </c>
      <c r="AC677" s="321">
        <v>0.152</v>
      </c>
      <c r="AD677" s="205">
        <v>0.152</v>
      </c>
      <c r="AE677" s="314"/>
      <c r="AF677" s="105"/>
    </row>
    <row r="678" spans="1:32" ht="24.95" customHeight="1" x14ac:dyDescent="0.15">
      <c r="A678" s="282" t="s">
        <v>248</v>
      </c>
      <c r="B678" s="120" t="s">
        <v>263</v>
      </c>
      <c r="C678" s="282" t="str">
        <f t="shared" si="316"/>
        <v>到期</v>
      </c>
      <c r="D678" s="103" t="s">
        <v>1844</v>
      </c>
      <c r="E678" s="282" t="s">
        <v>298</v>
      </c>
      <c r="F678" s="284">
        <v>43690</v>
      </c>
      <c r="G678" s="284">
        <v>43718</v>
      </c>
      <c r="H678" s="283" t="s">
        <v>1020</v>
      </c>
      <c r="I678" s="283" t="s">
        <v>222</v>
      </c>
      <c r="J678" s="282" t="s">
        <v>56</v>
      </c>
      <c r="K678" s="105">
        <v>50</v>
      </c>
      <c r="L678" s="283">
        <v>48730</v>
      </c>
      <c r="M678" s="283">
        <v>46630</v>
      </c>
      <c r="N678" s="283">
        <f t="shared" si="322"/>
        <v>193.535</v>
      </c>
      <c r="O678" s="283">
        <f t="shared" si="319"/>
        <v>9676.75</v>
      </c>
      <c r="P678" s="232" t="s">
        <v>1218</v>
      </c>
      <c r="Q678" s="101" t="s">
        <v>1973</v>
      </c>
      <c r="R678" s="105"/>
      <c r="S678" s="105"/>
      <c r="T678" s="265"/>
      <c r="U678" s="265">
        <v>47410</v>
      </c>
      <c r="V678" s="265">
        <v>0</v>
      </c>
      <c r="W678" s="349">
        <v>43718</v>
      </c>
      <c r="X678" s="105">
        <f t="shared" si="320"/>
        <v>9676.75</v>
      </c>
      <c r="Y678" s="283">
        <f t="shared" si="304"/>
        <v>2331500</v>
      </c>
      <c r="Z678" s="283" t="str">
        <f t="shared" si="317"/>
        <v/>
      </c>
      <c r="AA678" s="283" t="str">
        <f t="shared" si="321"/>
        <v>买入19-新11</v>
      </c>
      <c r="AB678" s="283">
        <v>77</v>
      </c>
      <c r="AC678" s="321">
        <v>0.152</v>
      </c>
      <c r="AD678" s="205">
        <v>0.152</v>
      </c>
      <c r="AE678" s="314"/>
      <c r="AF678" s="105"/>
    </row>
    <row r="679" spans="1:32" ht="24.95" customHeight="1" x14ac:dyDescent="0.15">
      <c r="A679" s="282" t="s">
        <v>248</v>
      </c>
      <c r="B679" s="120" t="s">
        <v>263</v>
      </c>
      <c r="C679" s="282" t="str">
        <f t="shared" si="316"/>
        <v>到期</v>
      </c>
      <c r="D679" s="103" t="s">
        <v>1844</v>
      </c>
      <c r="E679" s="282" t="s">
        <v>298</v>
      </c>
      <c r="F679" s="284">
        <v>43690</v>
      </c>
      <c r="G679" s="284">
        <v>43718</v>
      </c>
      <c r="H679" s="283" t="s">
        <v>1020</v>
      </c>
      <c r="I679" s="283" t="s">
        <v>222</v>
      </c>
      <c r="J679" s="282" t="s">
        <v>59</v>
      </c>
      <c r="K679" s="105">
        <v>50</v>
      </c>
      <c r="L679" s="283">
        <v>45000</v>
      </c>
      <c r="M679" s="283">
        <v>46630</v>
      </c>
      <c r="N679" s="283">
        <f t="shared" si="322"/>
        <v>193.535</v>
      </c>
      <c r="O679" s="283">
        <f t="shared" si="319"/>
        <v>9676.75</v>
      </c>
      <c r="P679" s="232" t="s">
        <v>1218</v>
      </c>
      <c r="Q679" s="101" t="s">
        <v>1973</v>
      </c>
      <c r="R679" s="105"/>
      <c r="S679" s="105"/>
      <c r="T679" s="265"/>
      <c r="U679" s="265">
        <v>47410</v>
      </c>
      <c r="V679" s="265">
        <v>0</v>
      </c>
      <c r="W679" s="349">
        <v>43718</v>
      </c>
      <c r="X679" s="105">
        <f t="shared" si="320"/>
        <v>9676.75</v>
      </c>
      <c r="Y679" s="283">
        <f t="shared" si="304"/>
        <v>2331500</v>
      </c>
      <c r="Z679" s="283" t="str">
        <f t="shared" si="317"/>
        <v/>
      </c>
      <c r="AA679" s="283" t="str">
        <f t="shared" si="321"/>
        <v>买入19-新11</v>
      </c>
      <c r="AB679" s="283">
        <v>77</v>
      </c>
      <c r="AC679" s="321">
        <v>0.152</v>
      </c>
      <c r="AD679" s="205">
        <v>0.152</v>
      </c>
      <c r="AE679" s="314"/>
      <c r="AF679" s="105"/>
    </row>
    <row r="680" spans="1:32" ht="24.95" customHeight="1" x14ac:dyDescent="0.15">
      <c r="A680" s="282" t="s">
        <v>248</v>
      </c>
      <c r="B680" s="120" t="s">
        <v>263</v>
      </c>
      <c r="C680" s="282" t="str">
        <f t="shared" si="316"/>
        <v>到期</v>
      </c>
      <c r="D680" s="103" t="s">
        <v>1845</v>
      </c>
      <c r="E680" s="282" t="s">
        <v>298</v>
      </c>
      <c r="F680" s="284">
        <v>43690</v>
      </c>
      <c r="G680" s="284">
        <v>43718</v>
      </c>
      <c r="H680" s="283" t="s">
        <v>1020</v>
      </c>
      <c r="I680" s="283" t="s">
        <v>222</v>
      </c>
      <c r="J680" s="282" t="s">
        <v>56</v>
      </c>
      <c r="K680" s="105">
        <v>50</v>
      </c>
      <c r="L680" s="283">
        <v>48730</v>
      </c>
      <c r="M680" s="283">
        <v>46630</v>
      </c>
      <c r="N680" s="283">
        <f t="shared" si="322"/>
        <v>193.535</v>
      </c>
      <c r="O680" s="283">
        <f t="shared" si="319"/>
        <v>9676.75</v>
      </c>
      <c r="P680" s="232" t="s">
        <v>1219</v>
      </c>
      <c r="Q680" s="101" t="s">
        <v>1974</v>
      </c>
      <c r="R680" s="105"/>
      <c r="S680" s="105"/>
      <c r="T680" s="265"/>
      <c r="U680" s="265">
        <v>47410</v>
      </c>
      <c r="V680" s="265">
        <v>0</v>
      </c>
      <c r="W680" s="349">
        <v>43718</v>
      </c>
      <c r="X680" s="105">
        <f t="shared" si="320"/>
        <v>9676.75</v>
      </c>
      <c r="Y680" s="283">
        <f t="shared" si="304"/>
        <v>2331500</v>
      </c>
      <c r="Z680" s="283" t="str">
        <f t="shared" si="317"/>
        <v/>
      </c>
      <c r="AA680" s="283" t="str">
        <f t="shared" si="321"/>
        <v>买入19-新11</v>
      </c>
      <c r="AB680" s="283">
        <v>77</v>
      </c>
      <c r="AC680" s="321">
        <v>0.152</v>
      </c>
      <c r="AD680" s="205">
        <v>0.152</v>
      </c>
      <c r="AE680" s="314"/>
      <c r="AF680" s="105"/>
    </row>
    <row r="681" spans="1:32" ht="24.95" customHeight="1" x14ac:dyDescent="0.15">
      <c r="A681" s="282" t="s">
        <v>248</v>
      </c>
      <c r="B681" s="120" t="s">
        <v>263</v>
      </c>
      <c r="C681" s="282" t="str">
        <f t="shared" si="316"/>
        <v>到期</v>
      </c>
      <c r="D681" s="103" t="s">
        <v>1845</v>
      </c>
      <c r="E681" s="282" t="s">
        <v>298</v>
      </c>
      <c r="F681" s="284">
        <v>43690</v>
      </c>
      <c r="G681" s="284">
        <v>43718</v>
      </c>
      <c r="H681" s="283" t="s">
        <v>1020</v>
      </c>
      <c r="I681" s="283" t="s">
        <v>222</v>
      </c>
      <c r="J681" s="282" t="s">
        <v>59</v>
      </c>
      <c r="K681" s="105">
        <v>50</v>
      </c>
      <c r="L681" s="283">
        <v>45000</v>
      </c>
      <c r="M681" s="283">
        <v>46630</v>
      </c>
      <c r="N681" s="283">
        <f t="shared" si="322"/>
        <v>193.535</v>
      </c>
      <c r="O681" s="283">
        <f t="shared" si="319"/>
        <v>9676.75</v>
      </c>
      <c r="P681" s="232" t="s">
        <v>1219</v>
      </c>
      <c r="Q681" s="101" t="s">
        <v>1974</v>
      </c>
      <c r="R681" s="105"/>
      <c r="S681" s="105"/>
      <c r="T681" s="265"/>
      <c r="U681" s="265">
        <v>47410</v>
      </c>
      <c r="V681" s="265">
        <v>0</v>
      </c>
      <c r="W681" s="349">
        <v>43718</v>
      </c>
      <c r="X681" s="105">
        <f t="shared" si="320"/>
        <v>9676.75</v>
      </c>
      <c r="Y681" s="283">
        <f t="shared" si="304"/>
        <v>2331500</v>
      </c>
      <c r="Z681" s="283" t="str">
        <f t="shared" si="317"/>
        <v/>
      </c>
      <c r="AA681" s="283" t="str">
        <f t="shared" si="321"/>
        <v>买入19-新11</v>
      </c>
      <c r="AB681" s="283">
        <v>77</v>
      </c>
      <c r="AC681" s="321">
        <v>0.152</v>
      </c>
      <c r="AD681" s="205">
        <v>0.152</v>
      </c>
      <c r="AE681" s="314"/>
      <c r="AF681" s="105"/>
    </row>
    <row r="682" spans="1:32" ht="24.95" customHeight="1" x14ac:dyDescent="0.15">
      <c r="A682" s="285" t="s">
        <v>265</v>
      </c>
      <c r="B682" s="120" t="s">
        <v>263</v>
      </c>
      <c r="C682" s="285" t="str">
        <f t="shared" ref="C682:C703" si="323">IF(Q682="","存续","到期")</f>
        <v>到期</v>
      </c>
      <c r="D682" s="123" t="s">
        <v>932</v>
      </c>
      <c r="E682" s="285" t="s">
        <v>298</v>
      </c>
      <c r="F682" s="287">
        <v>43690</v>
      </c>
      <c r="G682" s="287">
        <v>43707</v>
      </c>
      <c r="H682" s="265" t="s">
        <v>1221</v>
      </c>
      <c r="I682" s="286" t="s">
        <v>998</v>
      </c>
      <c r="J682" s="285" t="s">
        <v>1265</v>
      </c>
      <c r="K682" s="265">
        <v>500</v>
      </c>
      <c r="L682" s="265">
        <v>7550</v>
      </c>
      <c r="M682" s="265">
        <v>7590</v>
      </c>
      <c r="N682" s="265">
        <v>49.6</v>
      </c>
      <c r="O682" s="286">
        <f>N682*K682</f>
        <v>24800</v>
      </c>
      <c r="P682" s="232" t="s">
        <v>1222</v>
      </c>
      <c r="Q682" s="101" t="s">
        <v>1975</v>
      </c>
      <c r="R682" s="105">
        <v>84.09</v>
      </c>
      <c r="S682" s="105">
        <f>R682*K682</f>
        <v>42045</v>
      </c>
      <c r="T682" s="304">
        <v>43696</v>
      </c>
      <c r="U682" s="265"/>
      <c r="V682" s="265"/>
      <c r="W682" s="265"/>
      <c r="X682" s="265">
        <f>IF(I682="买入",S682-O682,O682+S682)</f>
        <v>17245</v>
      </c>
      <c r="Y682" s="265">
        <f t="shared" si="304"/>
        <v>3795000</v>
      </c>
      <c r="Z682" s="286" t="str">
        <f t="shared" si="317"/>
        <v/>
      </c>
      <c r="AA682" s="286" t="str">
        <f t="shared" si="321"/>
        <v>买入19-新11</v>
      </c>
      <c r="AB682" s="303">
        <v>77</v>
      </c>
      <c r="AC682" s="321">
        <v>0.17199999999999999</v>
      </c>
      <c r="AD682" s="205">
        <v>0.152</v>
      </c>
      <c r="AE682" s="324" t="s">
        <v>1335</v>
      </c>
      <c r="AF682" s="105"/>
    </row>
    <row r="683" spans="1:32" ht="24.95" customHeight="1" x14ac:dyDescent="0.15">
      <c r="A683" s="290" t="s">
        <v>265</v>
      </c>
      <c r="B683" s="120" t="s">
        <v>263</v>
      </c>
      <c r="C683" s="290" t="str">
        <f t="shared" si="323"/>
        <v>到期</v>
      </c>
      <c r="D683" s="123" t="s">
        <v>1864</v>
      </c>
      <c r="E683" s="290" t="s">
        <v>298</v>
      </c>
      <c r="F683" s="292">
        <v>43691</v>
      </c>
      <c r="G683" s="292">
        <v>43711</v>
      </c>
      <c r="H683" s="291" t="s">
        <v>1223</v>
      </c>
      <c r="I683" s="291" t="s">
        <v>222</v>
      </c>
      <c r="J683" s="290" t="s">
        <v>56</v>
      </c>
      <c r="K683" s="291">
        <v>1000</v>
      </c>
      <c r="L683" s="291">
        <v>4508</v>
      </c>
      <c r="M683" s="291">
        <v>4508</v>
      </c>
      <c r="N683" s="291">
        <v>69.22</v>
      </c>
      <c r="O683" s="291">
        <f>N683*K683</f>
        <v>69220</v>
      </c>
      <c r="P683" s="232" t="s">
        <v>1279</v>
      </c>
      <c r="Q683" s="101" t="s">
        <v>1976</v>
      </c>
      <c r="R683" s="105"/>
      <c r="S683" s="105"/>
      <c r="T683" s="291"/>
      <c r="U683" s="291">
        <v>4582</v>
      </c>
      <c r="V683" s="291">
        <f>-(U683-L683)*K683</f>
        <v>-74000</v>
      </c>
      <c r="W683" s="334">
        <v>43711</v>
      </c>
      <c r="X683" s="105">
        <f t="shared" ref="X683" si="324">IF(I683="买入",V683-O683,V683+O683)</f>
        <v>-4780</v>
      </c>
      <c r="Y683" s="198">
        <f t="shared" ref="Y683" si="325">ABS(M683*K683)</f>
        <v>4508000</v>
      </c>
      <c r="Z683" s="291" t="str">
        <f t="shared" si="317"/>
        <v/>
      </c>
      <c r="AA683" s="105" t="str">
        <f t="shared" ref="AA683:AA685" si="326">IF(I683="买入","卖出","买入")</f>
        <v>买入</v>
      </c>
      <c r="AB683" s="291">
        <v>78</v>
      </c>
      <c r="AC683" s="321">
        <v>0.156</v>
      </c>
      <c r="AD683" s="205">
        <v>0.17599999999999999</v>
      </c>
      <c r="AE683" s="324" t="s">
        <v>1335</v>
      </c>
      <c r="AF683" s="105"/>
    </row>
    <row r="684" spans="1:32" ht="24.95" customHeight="1" x14ac:dyDescent="0.15">
      <c r="A684" s="293" t="s">
        <v>248</v>
      </c>
      <c r="B684" s="293" t="s">
        <v>264</v>
      </c>
      <c r="C684" s="293" t="str">
        <f t="shared" si="323"/>
        <v>到期</v>
      </c>
      <c r="D684" s="100" t="s">
        <v>1846</v>
      </c>
      <c r="E684" s="293" t="s">
        <v>137</v>
      </c>
      <c r="F684" s="48">
        <v>43691</v>
      </c>
      <c r="G684" s="48">
        <v>43707</v>
      </c>
      <c r="H684" s="48" t="s">
        <v>1012</v>
      </c>
      <c r="I684" s="294" t="s">
        <v>978</v>
      </c>
      <c r="J684" s="293" t="s">
        <v>986</v>
      </c>
      <c r="K684" s="105">
        <v>2000</v>
      </c>
      <c r="L684" s="105">
        <v>5368</v>
      </c>
      <c r="M684" s="105">
        <v>5368</v>
      </c>
      <c r="N684" s="105">
        <v>0</v>
      </c>
      <c r="O684" s="105">
        <f t="shared" ref="O684:O717" si="327">N684*K684</f>
        <v>0</v>
      </c>
      <c r="P684" s="101" t="s">
        <v>1393</v>
      </c>
      <c r="Q684" s="101" t="s">
        <v>1977</v>
      </c>
      <c r="R684" s="104">
        <v>0</v>
      </c>
      <c r="S684" s="104">
        <v>0</v>
      </c>
      <c r="T684" s="300">
        <v>43693</v>
      </c>
      <c r="U684" s="48"/>
      <c r="V684" s="48"/>
      <c r="W684" s="48"/>
      <c r="X684" s="104">
        <f t="shared" ref="X684:X685" si="328">IF(I684="买入",S684-O684,O684+S684)</f>
        <v>0</v>
      </c>
      <c r="Y684" s="198">
        <f t="shared" ref="Y684:Y685" si="329">M684*K684</f>
        <v>10736000</v>
      </c>
      <c r="Z684" s="294" t="str">
        <f t="shared" si="317"/>
        <v/>
      </c>
      <c r="AA684" s="294" t="str">
        <f t="shared" si="326"/>
        <v>买入</v>
      </c>
      <c r="AB684" s="294">
        <v>79</v>
      </c>
      <c r="AC684" s="321"/>
      <c r="AD684" s="321"/>
      <c r="AE684" s="113" t="s">
        <v>1716</v>
      </c>
      <c r="AF684" s="105"/>
    </row>
    <row r="685" spans="1:32" ht="24.95" customHeight="1" x14ac:dyDescent="0.15">
      <c r="A685" s="293" t="s">
        <v>248</v>
      </c>
      <c r="B685" s="293" t="s">
        <v>264</v>
      </c>
      <c r="C685" s="293" t="str">
        <f t="shared" si="323"/>
        <v>到期</v>
      </c>
      <c r="D685" s="100" t="s">
        <v>1846</v>
      </c>
      <c r="E685" s="293" t="s">
        <v>137</v>
      </c>
      <c r="F685" s="48">
        <v>43691</v>
      </c>
      <c r="G685" s="48">
        <v>43707</v>
      </c>
      <c r="H685" s="48" t="s">
        <v>1012</v>
      </c>
      <c r="I685" s="294" t="s">
        <v>998</v>
      </c>
      <c r="J685" s="293" t="s">
        <v>979</v>
      </c>
      <c r="K685" s="105">
        <v>2000</v>
      </c>
      <c r="L685" s="105">
        <v>5368</v>
      </c>
      <c r="M685" s="105">
        <v>5368</v>
      </c>
      <c r="N685" s="105">
        <v>0</v>
      </c>
      <c r="O685" s="105">
        <f t="shared" si="327"/>
        <v>0</v>
      </c>
      <c r="P685" s="101" t="s">
        <v>1394</v>
      </c>
      <c r="Q685" s="101" t="s">
        <v>1977</v>
      </c>
      <c r="R685" s="104">
        <v>92</v>
      </c>
      <c r="S685" s="104">
        <f>R685*K685</f>
        <v>184000</v>
      </c>
      <c r="T685" s="302">
        <v>43693</v>
      </c>
      <c r="U685" s="48"/>
      <c r="V685" s="48"/>
      <c r="W685" s="48"/>
      <c r="X685" s="104">
        <f t="shared" si="328"/>
        <v>184000</v>
      </c>
      <c r="Y685" s="198">
        <f t="shared" si="329"/>
        <v>10736000</v>
      </c>
      <c r="Z685" s="294" t="str">
        <f t="shared" si="317"/>
        <v/>
      </c>
      <c r="AA685" s="294" t="str">
        <f t="shared" si="326"/>
        <v>卖出</v>
      </c>
      <c r="AB685" s="296">
        <v>79</v>
      </c>
      <c r="AC685" s="321"/>
      <c r="AD685" s="321"/>
      <c r="AE685" s="113" t="s">
        <v>1716</v>
      </c>
      <c r="AF685" s="104"/>
    </row>
    <row r="686" spans="1:32" ht="24.95" customHeight="1" x14ac:dyDescent="0.15">
      <c r="A686" s="293" t="s">
        <v>248</v>
      </c>
      <c r="B686" s="293" t="s">
        <v>264</v>
      </c>
      <c r="C686" s="293" t="str">
        <f t="shared" si="323"/>
        <v>到期</v>
      </c>
      <c r="D686" s="100" t="s">
        <v>266</v>
      </c>
      <c r="E686" s="293" t="s">
        <v>137</v>
      </c>
      <c r="F686" s="48">
        <v>43691</v>
      </c>
      <c r="G686" s="48">
        <v>43707</v>
      </c>
      <c r="H686" s="48" t="s">
        <v>1012</v>
      </c>
      <c r="I686" s="294" t="s">
        <v>998</v>
      </c>
      <c r="J686" s="293" t="s">
        <v>56</v>
      </c>
      <c r="K686" s="105">
        <v>2000</v>
      </c>
      <c r="L686" s="105">
        <v>5368</v>
      </c>
      <c r="M686" s="105">
        <v>5368</v>
      </c>
      <c r="N686" s="105">
        <v>100</v>
      </c>
      <c r="O686" s="105">
        <f t="shared" si="327"/>
        <v>200000</v>
      </c>
      <c r="P686" s="101" t="s">
        <v>1471</v>
      </c>
      <c r="Q686" s="101" t="s">
        <v>1978</v>
      </c>
      <c r="R686" s="104">
        <v>0</v>
      </c>
      <c r="S686" s="104">
        <v>0</v>
      </c>
      <c r="T686" s="302">
        <v>43693</v>
      </c>
      <c r="U686" s="104">
        <v>5276</v>
      </c>
      <c r="V686" s="48"/>
      <c r="W686" s="48"/>
      <c r="X686" s="104">
        <f t="shared" ref="X686:X689" si="330">IF(I686="买入",S686-O686,O686+S686)</f>
        <v>-200000</v>
      </c>
      <c r="Y686" s="198">
        <f t="shared" ref="Y686:Y717" si="331">M686*K686</f>
        <v>10736000</v>
      </c>
      <c r="Z686" s="294" t="str">
        <f t="shared" ref="Z686:Z717" si="332">IF(C686="存续",D686&amp;H686&amp;"-"&amp;AA686,"")</f>
        <v/>
      </c>
      <c r="AA686" s="294" t="str">
        <f t="shared" ref="AA686:AA693" si="333">IF(I686="买入","卖出","买入")</f>
        <v>卖出</v>
      </c>
      <c r="AB686" s="296">
        <v>80</v>
      </c>
      <c r="AC686" s="321"/>
      <c r="AD686" s="321"/>
      <c r="AE686" s="113" t="s">
        <v>1716</v>
      </c>
      <c r="AF686" s="104"/>
    </row>
    <row r="687" spans="1:32" ht="24.95" customHeight="1" x14ac:dyDescent="0.15">
      <c r="A687" s="293" t="s">
        <v>248</v>
      </c>
      <c r="B687" s="293" t="s">
        <v>264</v>
      </c>
      <c r="C687" s="293" t="str">
        <f t="shared" si="323"/>
        <v>到期</v>
      </c>
      <c r="D687" s="100" t="s">
        <v>266</v>
      </c>
      <c r="E687" s="293" t="s">
        <v>137</v>
      </c>
      <c r="F687" s="48">
        <v>43691</v>
      </c>
      <c r="G687" s="48">
        <v>43707</v>
      </c>
      <c r="H687" s="48" t="s">
        <v>1012</v>
      </c>
      <c r="I687" s="294" t="s">
        <v>978</v>
      </c>
      <c r="J687" s="293" t="s">
        <v>59</v>
      </c>
      <c r="K687" s="105">
        <v>2000</v>
      </c>
      <c r="L687" s="105">
        <v>5368</v>
      </c>
      <c r="M687" s="105">
        <v>5368</v>
      </c>
      <c r="N687" s="105">
        <v>100</v>
      </c>
      <c r="O687" s="105">
        <f t="shared" si="327"/>
        <v>200000</v>
      </c>
      <c r="P687" s="101" t="s">
        <v>1471</v>
      </c>
      <c r="Q687" s="101" t="s">
        <v>1978</v>
      </c>
      <c r="R687" s="104">
        <v>92</v>
      </c>
      <c r="S687" s="104">
        <f>-R687*K687</f>
        <v>-184000</v>
      </c>
      <c r="T687" s="302">
        <v>43693</v>
      </c>
      <c r="U687" s="104">
        <v>5276</v>
      </c>
      <c r="V687" s="48"/>
      <c r="W687" s="48"/>
      <c r="X687" s="104">
        <f t="shared" si="330"/>
        <v>16000</v>
      </c>
      <c r="Y687" s="198">
        <f t="shared" si="331"/>
        <v>10736000</v>
      </c>
      <c r="Z687" s="294" t="str">
        <f t="shared" si="332"/>
        <v/>
      </c>
      <c r="AA687" s="294" t="str">
        <f t="shared" si="333"/>
        <v>买入</v>
      </c>
      <c r="AB687" s="296">
        <v>80</v>
      </c>
      <c r="AC687" s="321"/>
      <c r="AD687" s="321"/>
      <c r="AE687" s="113" t="s">
        <v>1716</v>
      </c>
      <c r="AF687" s="104"/>
    </row>
    <row r="688" spans="1:32" ht="24.95" customHeight="1" x14ac:dyDescent="0.15">
      <c r="A688" s="295" t="s">
        <v>248</v>
      </c>
      <c r="B688" s="295" t="s">
        <v>264</v>
      </c>
      <c r="C688" s="295" t="str">
        <f t="shared" si="323"/>
        <v>到期</v>
      </c>
      <c r="D688" s="100" t="s">
        <v>1846</v>
      </c>
      <c r="E688" s="295" t="s">
        <v>137</v>
      </c>
      <c r="F688" s="48">
        <v>43692</v>
      </c>
      <c r="G688" s="48">
        <v>43707</v>
      </c>
      <c r="H688" s="48" t="s">
        <v>1012</v>
      </c>
      <c r="I688" s="296" t="s">
        <v>222</v>
      </c>
      <c r="J688" s="295" t="s">
        <v>986</v>
      </c>
      <c r="K688" s="104">
        <v>1000</v>
      </c>
      <c r="L688" s="104">
        <v>5290</v>
      </c>
      <c r="M688" s="104">
        <v>5290</v>
      </c>
      <c r="N688" s="104">
        <v>0</v>
      </c>
      <c r="O688" s="104">
        <f t="shared" si="327"/>
        <v>0</v>
      </c>
      <c r="P688" s="101" t="s">
        <v>1395</v>
      </c>
      <c r="Q688" s="101" t="s">
        <v>1979</v>
      </c>
      <c r="R688" s="104">
        <v>0</v>
      </c>
      <c r="S688" s="104">
        <v>0</v>
      </c>
      <c r="T688" s="302">
        <v>43693</v>
      </c>
      <c r="U688" s="104"/>
      <c r="V688" s="104"/>
      <c r="W688" s="104"/>
      <c r="X688" s="104">
        <f t="shared" si="330"/>
        <v>0</v>
      </c>
      <c r="Y688" s="198">
        <f t="shared" si="331"/>
        <v>5290000</v>
      </c>
      <c r="Z688" s="296" t="str">
        <f t="shared" si="332"/>
        <v/>
      </c>
      <c r="AA688" s="296" t="str">
        <f t="shared" si="333"/>
        <v>买入</v>
      </c>
      <c r="AB688" s="296">
        <v>81</v>
      </c>
      <c r="AC688" s="321"/>
      <c r="AD688" s="321"/>
      <c r="AE688" s="113" t="s">
        <v>1716</v>
      </c>
      <c r="AF688" s="104"/>
    </row>
    <row r="689" spans="1:32" ht="24.95" customHeight="1" x14ac:dyDescent="0.15">
      <c r="A689" s="295" t="s">
        <v>248</v>
      </c>
      <c r="B689" s="295" t="s">
        <v>264</v>
      </c>
      <c r="C689" s="295" t="str">
        <f t="shared" si="323"/>
        <v>到期</v>
      </c>
      <c r="D689" s="100" t="s">
        <v>1846</v>
      </c>
      <c r="E689" s="295" t="s">
        <v>137</v>
      </c>
      <c r="F689" s="48">
        <v>43692</v>
      </c>
      <c r="G689" s="48">
        <v>43707</v>
      </c>
      <c r="H689" s="48" t="s">
        <v>1012</v>
      </c>
      <c r="I689" s="296" t="s">
        <v>998</v>
      </c>
      <c r="J689" s="295" t="s">
        <v>979</v>
      </c>
      <c r="K689" s="104">
        <v>1000</v>
      </c>
      <c r="L689" s="104">
        <v>5290</v>
      </c>
      <c r="M689" s="104">
        <v>5290</v>
      </c>
      <c r="N689" s="104">
        <v>0</v>
      </c>
      <c r="O689" s="104">
        <f t="shared" si="327"/>
        <v>0</v>
      </c>
      <c r="P689" s="101" t="s">
        <v>1395</v>
      </c>
      <c r="Q689" s="101" t="s">
        <v>1979</v>
      </c>
      <c r="R689" s="104">
        <v>14</v>
      </c>
      <c r="S689" s="104">
        <f>R689*K689</f>
        <v>14000</v>
      </c>
      <c r="T689" s="302">
        <v>43693</v>
      </c>
      <c r="U689" s="104"/>
      <c r="V689" s="104"/>
      <c r="W689" s="104"/>
      <c r="X689" s="104">
        <f t="shared" si="330"/>
        <v>14000</v>
      </c>
      <c r="Y689" s="198">
        <f t="shared" si="331"/>
        <v>5290000</v>
      </c>
      <c r="Z689" s="296" t="str">
        <f t="shared" si="332"/>
        <v/>
      </c>
      <c r="AA689" s="296" t="str">
        <f t="shared" si="333"/>
        <v>卖出</v>
      </c>
      <c r="AB689" s="296">
        <v>81</v>
      </c>
      <c r="AC689" s="321"/>
      <c r="AD689" s="321"/>
      <c r="AE689" s="113" t="s">
        <v>1716</v>
      </c>
      <c r="AF689" s="104"/>
    </row>
    <row r="690" spans="1:32" ht="24.95" customHeight="1" x14ac:dyDescent="0.15">
      <c r="A690" s="295" t="s">
        <v>248</v>
      </c>
      <c r="B690" s="295" t="s">
        <v>264</v>
      </c>
      <c r="C690" s="295" t="str">
        <f t="shared" si="323"/>
        <v>到期</v>
      </c>
      <c r="D690" s="100" t="s">
        <v>266</v>
      </c>
      <c r="E690" s="295" t="s">
        <v>137</v>
      </c>
      <c r="F690" s="48">
        <v>43692</v>
      </c>
      <c r="G690" s="48">
        <v>43707</v>
      </c>
      <c r="H690" s="48" t="s">
        <v>1012</v>
      </c>
      <c r="I690" s="296" t="s">
        <v>998</v>
      </c>
      <c r="J690" s="295" t="s">
        <v>56</v>
      </c>
      <c r="K690" s="104">
        <v>1000</v>
      </c>
      <c r="L690" s="104">
        <v>5290</v>
      </c>
      <c r="M690" s="104">
        <v>5290</v>
      </c>
      <c r="N690" s="104">
        <v>100</v>
      </c>
      <c r="O690" s="104">
        <f t="shared" si="327"/>
        <v>100000</v>
      </c>
      <c r="P690" s="101" t="s">
        <v>1472</v>
      </c>
      <c r="Q690" s="101" t="s">
        <v>1980</v>
      </c>
      <c r="R690" s="104">
        <v>0</v>
      </c>
      <c r="S690" s="104">
        <v>0</v>
      </c>
      <c r="T690" s="302">
        <v>43693</v>
      </c>
      <c r="U690" s="104">
        <v>5276</v>
      </c>
      <c r="V690" s="104"/>
      <c r="W690" s="104"/>
      <c r="X690" s="104">
        <f t="shared" ref="X690:X691" si="334">IF(I690="买入",S690-O690,O690+S690)</f>
        <v>-100000</v>
      </c>
      <c r="Y690" s="198">
        <f t="shared" si="331"/>
        <v>5290000</v>
      </c>
      <c r="Z690" s="296" t="str">
        <f t="shared" si="332"/>
        <v/>
      </c>
      <c r="AA690" s="296" t="str">
        <f t="shared" si="333"/>
        <v>卖出</v>
      </c>
      <c r="AB690" s="296">
        <v>82</v>
      </c>
      <c r="AC690" s="321"/>
      <c r="AD690" s="321"/>
      <c r="AE690" s="113" t="s">
        <v>1716</v>
      </c>
      <c r="AF690" s="104"/>
    </row>
    <row r="691" spans="1:32" ht="24.95" customHeight="1" x14ac:dyDescent="0.15">
      <c r="A691" s="295" t="s">
        <v>248</v>
      </c>
      <c r="B691" s="295" t="s">
        <v>264</v>
      </c>
      <c r="C691" s="295" t="str">
        <f t="shared" si="323"/>
        <v>到期</v>
      </c>
      <c r="D691" s="100" t="s">
        <v>266</v>
      </c>
      <c r="E691" s="295" t="s">
        <v>137</v>
      </c>
      <c r="F691" s="48">
        <v>43692</v>
      </c>
      <c r="G691" s="48">
        <v>43707</v>
      </c>
      <c r="H691" s="48" t="s">
        <v>1012</v>
      </c>
      <c r="I691" s="296" t="s">
        <v>222</v>
      </c>
      <c r="J691" s="295" t="s">
        <v>59</v>
      </c>
      <c r="K691" s="104">
        <v>1000</v>
      </c>
      <c r="L691" s="104">
        <v>5290</v>
      </c>
      <c r="M691" s="104">
        <v>5290</v>
      </c>
      <c r="N691" s="104">
        <v>100</v>
      </c>
      <c r="O691" s="104">
        <f t="shared" si="327"/>
        <v>100000</v>
      </c>
      <c r="P691" s="101" t="s">
        <v>1472</v>
      </c>
      <c r="Q691" s="101" t="s">
        <v>1980</v>
      </c>
      <c r="R691" s="104">
        <v>14</v>
      </c>
      <c r="S691" s="104">
        <f>-R691*K691</f>
        <v>-14000</v>
      </c>
      <c r="T691" s="302">
        <v>43693</v>
      </c>
      <c r="U691" s="104">
        <v>5276</v>
      </c>
      <c r="V691" s="104"/>
      <c r="W691" s="104"/>
      <c r="X691" s="104">
        <f t="shared" si="334"/>
        <v>86000</v>
      </c>
      <c r="Y691" s="198">
        <f t="shared" si="331"/>
        <v>5290000</v>
      </c>
      <c r="Z691" s="296" t="str">
        <f t="shared" si="332"/>
        <v/>
      </c>
      <c r="AA691" s="296" t="str">
        <f t="shared" si="333"/>
        <v>买入</v>
      </c>
      <c r="AB691" s="296">
        <v>82</v>
      </c>
      <c r="AC691" s="321"/>
      <c r="AD691" s="321"/>
      <c r="AE691" s="113" t="s">
        <v>1716</v>
      </c>
      <c r="AF691" s="104"/>
    </row>
    <row r="692" spans="1:32" ht="24.95" customHeight="1" x14ac:dyDescent="0.15">
      <c r="A692" s="298" t="s">
        <v>265</v>
      </c>
      <c r="B692" s="120" t="s">
        <v>263</v>
      </c>
      <c r="C692" s="298" t="str">
        <f t="shared" si="323"/>
        <v>到期</v>
      </c>
      <c r="D692" s="123" t="s">
        <v>1868</v>
      </c>
      <c r="E692" s="298" t="s">
        <v>298</v>
      </c>
      <c r="F692" s="48">
        <v>43693</v>
      </c>
      <c r="G692" s="48">
        <v>43784</v>
      </c>
      <c r="H692" s="48" t="s">
        <v>1202</v>
      </c>
      <c r="I692" s="299" t="s">
        <v>998</v>
      </c>
      <c r="J692" s="298" t="s">
        <v>56</v>
      </c>
      <c r="K692" s="104">
        <v>6000</v>
      </c>
      <c r="L692" s="104">
        <v>2350</v>
      </c>
      <c r="M692" s="104">
        <v>2200</v>
      </c>
      <c r="N692" s="299">
        <v>43.88</v>
      </c>
      <c r="O692" s="104">
        <f t="shared" si="327"/>
        <v>263280</v>
      </c>
      <c r="P692" s="232" t="s">
        <v>1355</v>
      </c>
      <c r="Q692" s="101" t="str">
        <f>P692&amp;"-L"</f>
        <v>OTC-C00405-L</v>
      </c>
      <c r="R692" s="104"/>
      <c r="S692" s="104"/>
      <c r="T692" s="104"/>
      <c r="U692" s="104">
        <v>1955</v>
      </c>
      <c r="V692" s="104">
        <v>0</v>
      </c>
      <c r="W692" s="48">
        <v>43784</v>
      </c>
      <c r="X692" s="105">
        <f t="shared" ref="X692" si="335">IF(I692="买入",V692-O692,V692+O692)</f>
        <v>-263280</v>
      </c>
      <c r="Y692" s="198">
        <f t="shared" si="331"/>
        <v>13200000</v>
      </c>
      <c r="Z692" s="299" t="str">
        <f t="shared" si="332"/>
        <v/>
      </c>
      <c r="AA692" s="299" t="str">
        <f t="shared" si="333"/>
        <v>卖出</v>
      </c>
      <c r="AB692" s="299">
        <v>83</v>
      </c>
      <c r="AC692" s="321">
        <v>0.23</v>
      </c>
      <c r="AD692" s="205">
        <v>0.215</v>
      </c>
      <c r="AE692" s="324" t="s">
        <v>1335</v>
      </c>
      <c r="AF692" s="104"/>
    </row>
    <row r="693" spans="1:32" ht="24.95" customHeight="1" x14ac:dyDescent="0.15">
      <c r="A693" s="298" t="s">
        <v>265</v>
      </c>
      <c r="B693" s="120" t="s">
        <v>263</v>
      </c>
      <c r="C693" s="298" t="str">
        <f t="shared" si="323"/>
        <v>到期</v>
      </c>
      <c r="D693" s="123" t="s">
        <v>1868</v>
      </c>
      <c r="E693" s="298" t="s">
        <v>298</v>
      </c>
      <c r="F693" s="48">
        <v>43693</v>
      </c>
      <c r="G693" s="48">
        <v>43720</v>
      </c>
      <c r="H693" s="48" t="s">
        <v>1202</v>
      </c>
      <c r="I693" s="299" t="s">
        <v>222</v>
      </c>
      <c r="J693" s="298" t="s">
        <v>56</v>
      </c>
      <c r="K693" s="104">
        <v>6000</v>
      </c>
      <c r="L693" s="104">
        <v>2350</v>
      </c>
      <c r="M693" s="104">
        <v>2200</v>
      </c>
      <c r="N693" s="299">
        <v>7.31</v>
      </c>
      <c r="O693" s="104">
        <f t="shared" si="327"/>
        <v>43860</v>
      </c>
      <c r="P693" s="232" t="s">
        <v>1355</v>
      </c>
      <c r="Q693" s="101" t="s">
        <v>1709</v>
      </c>
      <c r="R693" s="104"/>
      <c r="S693" s="104"/>
      <c r="T693" s="104"/>
      <c r="U693" s="104">
        <v>2248</v>
      </c>
      <c r="V693" s="104">
        <v>0</v>
      </c>
      <c r="W693" s="48">
        <v>43720</v>
      </c>
      <c r="X693" s="105">
        <f t="shared" ref="X693:X713" si="336">IF(I693="买入",V693-O693,V693+O693)</f>
        <v>43860</v>
      </c>
      <c r="Y693" s="198">
        <f t="shared" si="331"/>
        <v>13200000</v>
      </c>
      <c r="Z693" s="299" t="str">
        <f t="shared" si="332"/>
        <v/>
      </c>
      <c r="AA693" s="299" t="str">
        <f t="shared" si="333"/>
        <v>买入</v>
      </c>
      <c r="AB693" s="299">
        <v>84</v>
      </c>
      <c r="AC693" s="321">
        <v>0.2</v>
      </c>
      <c r="AD693" s="205">
        <v>0.215</v>
      </c>
      <c r="AE693" s="324" t="s">
        <v>1335</v>
      </c>
      <c r="AF693" s="104"/>
    </row>
    <row r="694" spans="1:32" ht="24.95" customHeight="1" x14ac:dyDescent="0.15">
      <c r="A694" s="305" t="s">
        <v>1267</v>
      </c>
      <c r="B694" s="120" t="s">
        <v>263</v>
      </c>
      <c r="C694" s="305" t="str">
        <f t="shared" si="323"/>
        <v>到期</v>
      </c>
      <c r="D694" s="103" t="s">
        <v>1841</v>
      </c>
      <c r="E694" s="305" t="s">
        <v>338</v>
      </c>
      <c r="F694" s="48">
        <v>43697</v>
      </c>
      <c r="G694" s="307">
        <v>43725</v>
      </c>
      <c r="H694" s="306" t="s">
        <v>1278</v>
      </c>
      <c r="I694" s="306" t="s">
        <v>222</v>
      </c>
      <c r="J694" s="305" t="s">
        <v>56</v>
      </c>
      <c r="K694" s="105">
        <v>50</v>
      </c>
      <c r="L694" s="306">
        <v>48790</v>
      </c>
      <c r="M694" s="306">
        <v>46700</v>
      </c>
      <c r="N694" s="306">
        <f>387.65/2</f>
        <v>193.82499999999999</v>
      </c>
      <c r="O694" s="104">
        <f t="shared" si="327"/>
        <v>9691.25</v>
      </c>
      <c r="P694" s="232" t="s">
        <v>1270</v>
      </c>
      <c r="Q694" s="101" t="s">
        <v>1981</v>
      </c>
      <c r="R694" s="301"/>
      <c r="S694" s="301"/>
      <c r="T694" s="212"/>
      <c r="U694" s="367">
        <v>47340</v>
      </c>
      <c r="V694" s="367">
        <v>0</v>
      </c>
      <c r="W694" s="366">
        <v>43725</v>
      </c>
      <c r="X694" s="105">
        <f t="shared" si="336"/>
        <v>9691.25</v>
      </c>
      <c r="Y694" s="198">
        <f t="shared" si="331"/>
        <v>2335000</v>
      </c>
      <c r="Z694" s="306" t="str">
        <f t="shared" si="332"/>
        <v/>
      </c>
      <c r="AA694" s="306" t="str">
        <f>IF(I694="买入","卖出","买入19-新12")</f>
        <v>买入19-新12</v>
      </c>
      <c r="AB694" s="306">
        <v>85</v>
      </c>
      <c r="AC694" s="321">
        <v>0.152</v>
      </c>
      <c r="AD694" s="321">
        <v>0.152</v>
      </c>
      <c r="AE694" s="213"/>
      <c r="AF694" s="104"/>
    </row>
    <row r="695" spans="1:32" ht="24.95" customHeight="1" x14ac:dyDescent="0.15">
      <c r="A695" s="305" t="s">
        <v>274</v>
      </c>
      <c r="B695" s="120" t="s">
        <v>1268</v>
      </c>
      <c r="C695" s="305" t="str">
        <f t="shared" si="323"/>
        <v>到期</v>
      </c>
      <c r="D695" s="103" t="s">
        <v>1841</v>
      </c>
      <c r="E695" s="305" t="s">
        <v>338</v>
      </c>
      <c r="F695" s="48">
        <v>43697</v>
      </c>
      <c r="G695" s="307">
        <v>43725</v>
      </c>
      <c r="H695" s="306" t="s">
        <v>1278</v>
      </c>
      <c r="I695" s="306" t="s">
        <v>222</v>
      </c>
      <c r="J695" s="305" t="s">
        <v>59</v>
      </c>
      <c r="K695" s="105">
        <v>50</v>
      </c>
      <c r="L695" s="306">
        <v>45050</v>
      </c>
      <c r="M695" s="306">
        <v>46700</v>
      </c>
      <c r="N695" s="306">
        <f t="shared" ref="N695:N703" si="337">387.65/2</f>
        <v>193.82499999999999</v>
      </c>
      <c r="O695" s="104">
        <f t="shared" si="327"/>
        <v>9691.25</v>
      </c>
      <c r="P695" s="232" t="s">
        <v>1271</v>
      </c>
      <c r="Q695" s="101" t="s">
        <v>1981</v>
      </c>
      <c r="R695" s="301"/>
      <c r="S695" s="301"/>
      <c r="T695" s="212"/>
      <c r="U695" s="367">
        <v>47340</v>
      </c>
      <c r="V695" s="367">
        <v>0</v>
      </c>
      <c r="W695" s="366">
        <v>43725</v>
      </c>
      <c r="X695" s="105">
        <f t="shared" si="336"/>
        <v>9691.25</v>
      </c>
      <c r="Y695" s="198">
        <f t="shared" si="331"/>
        <v>2335000</v>
      </c>
      <c r="Z695" s="306" t="str">
        <f t="shared" si="332"/>
        <v/>
      </c>
      <c r="AA695" s="306" t="str">
        <f t="shared" ref="AA695:AA703" si="338">IF(I695="买入","卖出","买入19-新12")</f>
        <v>买入19-新12</v>
      </c>
      <c r="AB695" s="306">
        <v>85</v>
      </c>
      <c r="AC695" s="321">
        <v>0.152</v>
      </c>
      <c r="AD695" s="321">
        <v>0.152</v>
      </c>
      <c r="AE695" s="213"/>
      <c r="AF695" s="105"/>
    </row>
    <row r="696" spans="1:32" ht="24.95" customHeight="1" x14ac:dyDescent="0.15">
      <c r="A696" s="305" t="s">
        <v>1267</v>
      </c>
      <c r="B696" s="120" t="s">
        <v>263</v>
      </c>
      <c r="C696" s="305" t="str">
        <f t="shared" si="323"/>
        <v>到期</v>
      </c>
      <c r="D696" s="103" t="s">
        <v>1842</v>
      </c>
      <c r="E696" s="305" t="s">
        <v>338</v>
      </c>
      <c r="F696" s="48">
        <v>43697</v>
      </c>
      <c r="G696" s="307">
        <v>43725</v>
      </c>
      <c r="H696" s="306" t="s">
        <v>1278</v>
      </c>
      <c r="I696" s="306" t="s">
        <v>222</v>
      </c>
      <c r="J696" s="305" t="s">
        <v>56</v>
      </c>
      <c r="K696" s="105">
        <v>50</v>
      </c>
      <c r="L696" s="306">
        <v>48790</v>
      </c>
      <c r="M696" s="306">
        <v>46700</v>
      </c>
      <c r="N696" s="306">
        <f t="shared" si="337"/>
        <v>193.82499999999999</v>
      </c>
      <c r="O696" s="104">
        <f t="shared" si="327"/>
        <v>9691.25</v>
      </c>
      <c r="P696" s="232" t="s">
        <v>1272</v>
      </c>
      <c r="Q696" s="101" t="s">
        <v>1982</v>
      </c>
      <c r="R696" s="301"/>
      <c r="S696" s="301"/>
      <c r="T696" s="212"/>
      <c r="U696" s="367">
        <v>47340</v>
      </c>
      <c r="V696" s="367">
        <v>0</v>
      </c>
      <c r="W696" s="366">
        <v>43725</v>
      </c>
      <c r="X696" s="105">
        <f t="shared" si="336"/>
        <v>9691.25</v>
      </c>
      <c r="Y696" s="198">
        <f t="shared" si="331"/>
        <v>2335000</v>
      </c>
      <c r="Z696" s="306" t="str">
        <f t="shared" si="332"/>
        <v/>
      </c>
      <c r="AA696" s="306" t="str">
        <f t="shared" si="338"/>
        <v>买入19-新12</v>
      </c>
      <c r="AB696" s="306">
        <v>85</v>
      </c>
      <c r="AC696" s="321">
        <v>0.152</v>
      </c>
      <c r="AD696" s="321">
        <v>0.152</v>
      </c>
      <c r="AE696" s="213"/>
      <c r="AF696" s="105"/>
    </row>
    <row r="697" spans="1:32" ht="24.95" customHeight="1" x14ac:dyDescent="0.15">
      <c r="A697" s="305" t="s">
        <v>274</v>
      </c>
      <c r="B697" s="120" t="s">
        <v>263</v>
      </c>
      <c r="C697" s="305" t="str">
        <f t="shared" si="323"/>
        <v>到期</v>
      </c>
      <c r="D697" s="103" t="s">
        <v>1842</v>
      </c>
      <c r="E697" s="305" t="s">
        <v>1269</v>
      </c>
      <c r="F697" s="48">
        <v>43697</v>
      </c>
      <c r="G697" s="307">
        <v>43725</v>
      </c>
      <c r="H697" s="306" t="s">
        <v>1278</v>
      </c>
      <c r="I697" s="306" t="s">
        <v>222</v>
      </c>
      <c r="J697" s="305" t="s">
        <v>59</v>
      </c>
      <c r="K697" s="105">
        <v>50</v>
      </c>
      <c r="L697" s="306">
        <v>45050</v>
      </c>
      <c r="M697" s="306">
        <v>46700</v>
      </c>
      <c r="N697" s="306">
        <f t="shared" si="337"/>
        <v>193.82499999999999</v>
      </c>
      <c r="O697" s="104">
        <f t="shared" si="327"/>
        <v>9691.25</v>
      </c>
      <c r="P697" s="232" t="s">
        <v>1273</v>
      </c>
      <c r="Q697" s="101" t="s">
        <v>1982</v>
      </c>
      <c r="R697" s="301"/>
      <c r="S697" s="301"/>
      <c r="T697" s="212"/>
      <c r="U697" s="367">
        <v>47340</v>
      </c>
      <c r="V697" s="367">
        <v>0</v>
      </c>
      <c r="W697" s="366">
        <v>43725</v>
      </c>
      <c r="X697" s="105">
        <f t="shared" si="336"/>
        <v>9691.25</v>
      </c>
      <c r="Y697" s="198">
        <f t="shared" si="331"/>
        <v>2335000</v>
      </c>
      <c r="Z697" s="306" t="str">
        <f t="shared" si="332"/>
        <v/>
      </c>
      <c r="AA697" s="306" t="str">
        <f t="shared" si="338"/>
        <v>买入19-新12</v>
      </c>
      <c r="AB697" s="306">
        <v>85</v>
      </c>
      <c r="AC697" s="321">
        <v>0.152</v>
      </c>
      <c r="AD697" s="321">
        <v>0.152</v>
      </c>
      <c r="AE697" s="213"/>
      <c r="AF697" s="105"/>
    </row>
    <row r="698" spans="1:32" ht="24.95" customHeight="1" x14ac:dyDescent="0.15">
      <c r="A698" s="305" t="s">
        <v>274</v>
      </c>
      <c r="B698" s="120" t="s">
        <v>263</v>
      </c>
      <c r="C698" s="305" t="str">
        <f t="shared" si="323"/>
        <v>到期</v>
      </c>
      <c r="D698" s="103" t="s">
        <v>1843</v>
      </c>
      <c r="E698" s="305" t="s">
        <v>338</v>
      </c>
      <c r="F698" s="48">
        <v>43697</v>
      </c>
      <c r="G698" s="307">
        <v>43725</v>
      </c>
      <c r="H698" s="306" t="s">
        <v>1278</v>
      </c>
      <c r="I698" s="306" t="s">
        <v>222</v>
      </c>
      <c r="J698" s="305" t="s">
        <v>56</v>
      </c>
      <c r="K698" s="105">
        <v>50</v>
      </c>
      <c r="L698" s="306">
        <v>48790</v>
      </c>
      <c r="M698" s="306">
        <v>46700</v>
      </c>
      <c r="N698" s="306">
        <f t="shared" si="337"/>
        <v>193.82499999999999</v>
      </c>
      <c r="O698" s="104">
        <f t="shared" si="327"/>
        <v>9691.25</v>
      </c>
      <c r="P698" s="232" t="s">
        <v>1274</v>
      </c>
      <c r="Q698" s="101" t="s">
        <v>1983</v>
      </c>
      <c r="R698" s="301"/>
      <c r="S698" s="301"/>
      <c r="T698" s="212"/>
      <c r="U698" s="367">
        <v>47340</v>
      </c>
      <c r="V698" s="367">
        <v>0</v>
      </c>
      <c r="W698" s="366">
        <v>43725</v>
      </c>
      <c r="X698" s="105">
        <f t="shared" si="336"/>
        <v>9691.25</v>
      </c>
      <c r="Y698" s="198">
        <f t="shared" si="331"/>
        <v>2335000</v>
      </c>
      <c r="Z698" s="306" t="str">
        <f t="shared" si="332"/>
        <v/>
      </c>
      <c r="AA698" s="306" t="str">
        <f t="shared" si="338"/>
        <v>买入19-新12</v>
      </c>
      <c r="AB698" s="306">
        <v>85</v>
      </c>
      <c r="AC698" s="321">
        <v>0.152</v>
      </c>
      <c r="AD698" s="321">
        <v>0.152</v>
      </c>
      <c r="AE698" s="213"/>
      <c r="AF698" s="105"/>
    </row>
    <row r="699" spans="1:32" ht="24.95" customHeight="1" x14ac:dyDescent="0.15">
      <c r="A699" s="305" t="s">
        <v>1267</v>
      </c>
      <c r="B699" s="120" t="s">
        <v>263</v>
      </c>
      <c r="C699" s="305" t="str">
        <f t="shared" si="323"/>
        <v>到期</v>
      </c>
      <c r="D699" s="103" t="s">
        <v>1843</v>
      </c>
      <c r="E699" s="305" t="s">
        <v>338</v>
      </c>
      <c r="F699" s="48">
        <v>43697</v>
      </c>
      <c r="G699" s="307">
        <v>43725</v>
      </c>
      <c r="H699" s="306" t="s">
        <v>1278</v>
      </c>
      <c r="I699" s="306" t="s">
        <v>222</v>
      </c>
      <c r="J699" s="305" t="s">
        <v>59</v>
      </c>
      <c r="K699" s="105">
        <v>50</v>
      </c>
      <c r="L699" s="306">
        <v>45050</v>
      </c>
      <c r="M699" s="306">
        <v>46700</v>
      </c>
      <c r="N699" s="306">
        <f t="shared" si="337"/>
        <v>193.82499999999999</v>
      </c>
      <c r="O699" s="104">
        <f t="shared" si="327"/>
        <v>9691.25</v>
      </c>
      <c r="P699" s="232" t="s">
        <v>1274</v>
      </c>
      <c r="Q699" s="101" t="s">
        <v>1983</v>
      </c>
      <c r="R699" s="301"/>
      <c r="S699" s="301"/>
      <c r="T699" s="212"/>
      <c r="U699" s="367">
        <v>47340</v>
      </c>
      <c r="V699" s="367">
        <v>0</v>
      </c>
      <c r="W699" s="366">
        <v>43725</v>
      </c>
      <c r="X699" s="105">
        <f t="shared" si="336"/>
        <v>9691.25</v>
      </c>
      <c r="Y699" s="198">
        <f t="shared" si="331"/>
        <v>2335000</v>
      </c>
      <c r="Z699" s="306" t="str">
        <f t="shared" si="332"/>
        <v/>
      </c>
      <c r="AA699" s="306" t="str">
        <f t="shared" si="338"/>
        <v>买入19-新12</v>
      </c>
      <c r="AB699" s="306">
        <v>85</v>
      </c>
      <c r="AC699" s="321">
        <v>0.152</v>
      </c>
      <c r="AD699" s="321">
        <v>0.152</v>
      </c>
      <c r="AE699" s="213"/>
      <c r="AF699" s="105"/>
    </row>
    <row r="700" spans="1:32" ht="24.95" customHeight="1" x14ac:dyDescent="0.15">
      <c r="A700" s="305" t="s">
        <v>1267</v>
      </c>
      <c r="B700" s="120" t="s">
        <v>1268</v>
      </c>
      <c r="C700" s="305" t="str">
        <f t="shared" si="323"/>
        <v>到期</v>
      </c>
      <c r="D700" s="103" t="s">
        <v>1844</v>
      </c>
      <c r="E700" s="305" t="s">
        <v>338</v>
      </c>
      <c r="F700" s="48">
        <v>43697</v>
      </c>
      <c r="G700" s="307">
        <v>43725</v>
      </c>
      <c r="H700" s="306" t="s">
        <v>1278</v>
      </c>
      <c r="I700" s="306" t="s">
        <v>222</v>
      </c>
      <c r="J700" s="305" t="s">
        <v>56</v>
      </c>
      <c r="K700" s="105">
        <v>50</v>
      </c>
      <c r="L700" s="306">
        <v>48790</v>
      </c>
      <c r="M700" s="306">
        <v>46700</v>
      </c>
      <c r="N700" s="306">
        <f t="shared" si="337"/>
        <v>193.82499999999999</v>
      </c>
      <c r="O700" s="104">
        <f t="shared" si="327"/>
        <v>9691.25</v>
      </c>
      <c r="P700" s="232" t="s">
        <v>1275</v>
      </c>
      <c r="Q700" s="101" t="s">
        <v>1984</v>
      </c>
      <c r="R700" s="301"/>
      <c r="S700" s="301"/>
      <c r="T700" s="212"/>
      <c r="U700" s="367">
        <v>47340</v>
      </c>
      <c r="V700" s="367">
        <v>0</v>
      </c>
      <c r="W700" s="366">
        <v>43725</v>
      </c>
      <c r="X700" s="105">
        <f t="shared" si="336"/>
        <v>9691.25</v>
      </c>
      <c r="Y700" s="198">
        <f t="shared" si="331"/>
        <v>2335000</v>
      </c>
      <c r="Z700" s="306" t="str">
        <f t="shared" si="332"/>
        <v/>
      </c>
      <c r="AA700" s="306" t="str">
        <f t="shared" si="338"/>
        <v>买入19-新12</v>
      </c>
      <c r="AB700" s="306">
        <v>85</v>
      </c>
      <c r="AC700" s="321">
        <v>0.152</v>
      </c>
      <c r="AD700" s="321">
        <v>0.152</v>
      </c>
      <c r="AE700" s="213"/>
      <c r="AF700" s="105"/>
    </row>
    <row r="701" spans="1:32" ht="24.95" customHeight="1" x14ac:dyDescent="0.15">
      <c r="A701" s="305" t="s">
        <v>1267</v>
      </c>
      <c r="B701" s="120" t="s">
        <v>1268</v>
      </c>
      <c r="C701" s="305" t="str">
        <f t="shared" si="323"/>
        <v>到期</v>
      </c>
      <c r="D701" s="103" t="s">
        <v>1844</v>
      </c>
      <c r="E701" s="305" t="s">
        <v>338</v>
      </c>
      <c r="F701" s="48">
        <v>43697</v>
      </c>
      <c r="G701" s="307">
        <v>43725</v>
      </c>
      <c r="H701" s="306" t="s">
        <v>1278</v>
      </c>
      <c r="I701" s="306" t="s">
        <v>222</v>
      </c>
      <c r="J701" s="305" t="s">
        <v>59</v>
      </c>
      <c r="K701" s="105">
        <v>50</v>
      </c>
      <c r="L701" s="306">
        <v>45050</v>
      </c>
      <c r="M701" s="306">
        <v>46700</v>
      </c>
      <c r="N701" s="306">
        <f t="shared" si="337"/>
        <v>193.82499999999999</v>
      </c>
      <c r="O701" s="104">
        <f t="shared" si="327"/>
        <v>9691.25</v>
      </c>
      <c r="P701" s="232" t="s">
        <v>1275</v>
      </c>
      <c r="Q701" s="101" t="s">
        <v>1984</v>
      </c>
      <c r="R701" s="301"/>
      <c r="S701" s="301"/>
      <c r="T701" s="212"/>
      <c r="U701" s="367">
        <v>47340</v>
      </c>
      <c r="V701" s="367">
        <v>0</v>
      </c>
      <c r="W701" s="366">
        <v>43725</v>
      </c>
      <c r="X701" s="105">
        <f t="shared" si="336"/>
        <v>9691.25</v>
      </c>
      <c r="Y701" s="198">
        <f t="shared" si="331"/>
        <v>2335000</v>
      </c>
      <c r="Z701" s="306" t="str">
        <f t="shared" si="332"/>
        <v/>
      </c>
      <c r="AA701" s="306" t="str">
        <f t="shared" si="338"/>
        <v>买入19-新12</v>
      </c>
      <c r="AB701" s="306">
        <v>85</v>
      </c>
      <c r="AC701" s="321">
        <v>0.152</v>
      </c>
      <c r="AD701" s="321">
        <v>0.152</v>
      </c>
      <c r="AE701" s="213"/>
      <c r="AF701" s="105"/>
    </row>
    <row r="702" spans="1:32" ht="24.95" customHeight="1" x14ac:dyDescent="0.15">
      <c r="A702" s="305" t="s">
        <v>274</v>
      </c>
      <c r="B702" s="120" t="s">
        <v>1268</v>
      </c>
      <c r="C702" s="305" t="str">
        <f t="shared" si="323"/>
        <v>到期</v>
      </c>
      <c r="D702" s="103" t="s">
        <v>1845</v>
      </c>
      <c r="E702" s="305" t="s">
        <v>338</v>
      </c>
      <c r="F702" s="48">
        <v>43697</v>
      </c>
      <c r="G702" s="307">
        <v>43725</v>
      </c>
      <c r="H702" s="306" t="s">
        <v>1278</v>
      </c>
      <c r="I702" s="306" t="s">
        <v>222</v>
      </c>
      <c r="J702" s="305" t="s">
        <v>56</v>
      </c>
      <c r="K702" s="105">
        <v>50</v>
      </c>
      <c r="L702" s="306">
        <v>48790</v>
      </c>
      <c r="M702" s="306">
        <v>46700</v>
      </c>
      <c r="N702" s="306">
        <f t="shared" si="337"/>
        <v>193.82499999999999</v>
      </c>
      <c r="O702" s="104">
        <f t="shared" si="327"/>
        <v>9691.25</v>
      </c>
      <c r="P702" s="232" t="s">
        <v>1276</v>
      </c>
      <c r="Q702" s="101" t="s">
        <v>1985</v>
      </c>
      <c r="R702" s="301"/>
      <c r="S702" s="301"/>
      <c r="T702" s="212"/>
      <c r="U702" s="367">
        <v>47340</v>
      </c>
      <c r="V702" s="367">
        <v>0</v>
      </c>
      <c r="W702" s="366">
        <v>43725</v>
      </c>
      <c r="X702" s="105">
        <f t="shared" si="336"/>
        <v>9691.25</v>
      </c>
      <c r="Y702" s="198">
        <f t="shared" si="331"/>
        <v>2335000</v>
      </c>
      <c r="Z702" s="306" t="str">
        <f t="shared" si="332"/>
        <v/>
      </c>
      <c r="AA702" s="306" t="str">
        <f t="shared" si="338"/>
        <v>买入19-新12</v>
      </c>
      <c r="AB702" s="306">
        <v>85</v>
      </c>
      <c r="AC702" s="321">
        <v>0.152</v>
      </c>
      <c r="AD702" s="321">
        <v>0.152</v>
      </c>
      <c r="AE702" s="213"/>
      <c r="AF702" s="105"/>
    </row>
    <row r="703" spans="1:32" ht="24.95" customHeight="1" x14ac:dyDescent="0.15">
      <c r="A703" s="305" t="s">
        <v>274</v>
      </c>
      <c r="B703" s="120" t="s">
        <v>263</v>
      </c>
      <c r="C703" s="305" t="str">
        <f t="shared" si="323"/>
        <v>到期</v>
      </c>
      <c r="D703" s="103" t="s">
        <v>1845</v>
      </c>
      <c r="E703" s="305" t="s">
        <v>338</v>
      </c>
      <c r="F703" s="48">
        <v>43697</v>
      </c>
      <c r="G703" s="307">
        <v>43725</v>
      </c>
      <c r="H703" s="306" t="s">
        <v>1278</v>
      </c>
      <c r="I703" s="306" t="s">
        <v>222</v>
      </c>
      <c r="J703" s="305" t="s">
        <v>59</v>
      </c>
      <c r="K703" s="105">
        <v>50</v>
      </c>
      <c r="L703" s="306">
        <v>45050</v>
      </c>
      <c r="M703" s="306">
        <v>46700</v>
      </c>
      <c r="N703" s="306">
        <f t="shared" si="337"/>
        <v>193.82499999999999</v>
      </c>
      <c r="O703" s="104">
        <f t="shared" si="327"/>
        <v>9691.25</v>
      </c>
      <c r="P703" s="232" t="s">
        <v>1277</v>
      </c>
      <c r="Q703" s="101" t="s">
        <v>1985</v>
      </c>
      <c r="R703" s="301"/>
      <c r="S703" s="301"/>
      <c r="T703" s="212"/>
      <c r="U703" s="367">
        <v>47340</v>
      </c>
      <c r="V703" s="367">
        <v>0</v>
      </c>
      <c r="W703" s="366">
        <v>43725</v>
      </c>
      <c r="X703" s="105">
        <f t="shared" si="336"/>
        <v>9691.25</v>
      </c>
      <c r="Y703" s="198">
        <f t="shared" si="331"/>
        <v>2335000</v>
      </c>
      <c r="Z703" s="306" t="str">
        <f t="shared" si="332"/>
        <v/>
      </c>
      <c r="AA703" s="306" t="str">
        <f t="shared" si="338"/>
        <v>买入19-新12</v>
      </c>
      <c r="AB703" s="306">
        <v>85</v>
      </c>
      <c r="AC703" s="321">
        <v>0.152</v>
      </c>
      <c r="AD703" s="321">
        <v>0.152</v>
      </c>
      <c r="AE703" s="213"/>
      <c r="AF703" s="105"/>
    </row>
    <row r="704" spans="1:32" ht="24.95" customHeight="1" x14ac:dyDescent="0.15">
      <c r="A704" s="316" t="s">
        <v>248</v>
      </c>
      <c r="B704" s="120" t="s">
        <v>263</v>
      </c>
      <c r="C704" s="316" t="str">
        <f t="shared" ref="C704:C717" si="339">IF(Q704="","存续","到期")</f>
        <v>到期</v>
      </c>
      <c r="D704" s="103" t="s">
        <v>1841</v>
      </c>
      <c r="E704" s="316" t="s">
        <v>298</v>
      </c>
      <c r="F704" s="48">
        <v>43704</v>
      </c>
      <c r="G704" s="318">
        <v>43732</v>
      </c>
      <c r="H704" s="317" t="s">
        <v>1278</v>
      </c>
      <c r="I704" s="317" t="s">
        <v>222</v>
      </c>
      <c r="J704" s="316" t="s">
        <v>56</v>
      </c>
      <c r="K704" s="105">
        <v>50</v>
      </c>
      <c r="L704" s="104">
        <v>48520</v>
      </c>
      <c r="M704" s="104">
        <v>46490</v>
      </c>
      <c r="N704" s="104">
        <f>385.9/2</f>
        <v>192.95</v>
      </c>
      <c r="O704" s="104">
        <f t="shared" si="327"/>
        <v>9647.5</v>
      </c>
      <c r="P704" s="232" t="s">
        <v>1316</v>
      </c>
      <c r="Q704" s="101" t="s">
        <v>1986</v>
      </c>
      <c r="R704" s="104"/>
      <c r="S704" s="104"/>
      <c r="T704" s="104"/>
      <c r="U704" s="104">
        <v>47120</v>
      </c>
      <c r="V704" s="104">
        <v>0</v>
      </c>
      <c r="W704" s="48">
        <v>43732</v>
      </c>
      <c r="X704" s="105">
        <f t="shared" si="336"/>
        <v>9647.5</v>
      </c>
      <c r="Y704" s="198">
        <f t="shared" si="331"/>
        <v>2324500</v>
      </c>
      <c r="Z704" s="317" t="str">
        <f t="shared" si="332"/>
        <v/>
      </c>
      <c r="AA704" s="317" t="str">
        <f>IF(I704="买入","卖出","买入19-新13")</f>
        <v>买入19-新13</v>
      </c>
      <c r="AB704" s="104">
        <v>86</v>
      </c>
      <c r="AC704" s="321">
        <v>0.152</v>
      </c>
      <c r="AD704" s="322">
        <v>0.152</v>
      </c>
      <c r="AE704" s="104"/>
      <c r="AF704" s="105"/>
    </row>
    <row r="705" spans="1:32" ht="24.95" customHeight="1" x14ac:dyDescent="0.15">
      <c r="A705" s="316" t="s">
        <v>248</v>
      </c>
      <c r="B705" s="120" t="s">
        <v>263</v>
      </c>
      <c r="C705" s="316" t="str">
        <f t="shared" si="339"/>
        <v>到期</v>
      </c>
      <c r="D705" s="103" t="s">
        <v>1841</v>
      </c>
      <c r="E705" s="316" t="s">
        <v>298</v>
      </c>
      <c r="F705" s="48">
        <v>43704</v>
      </c>
      <c r="G705" s="318">
        <v>43732</v>
      </c>
      <c r="H705" s="317" t="s">
        <v>1278</v>
      </c>
      <c r="I705" s="317" t="s">
        <v>222</v>
      </c>
      <c r="J705" s="316" t="s">
        <v>59</v>
      </c>
      <c r="K705" s="105">
        <v>50</v>
      </c>
      <c r="L705" s="104">
        <v>44800</v>
      </c>
      <c r="M705" s="104">
        <v>46490</v>
      </c>
      <c r="N705" s="104">
        <f t="shared" ref="N705:N713" si="340">385.9/2</f>
        <v>192.95</v>
      </c>
      <c r="O705" s="104">
        <f t="shared" si="327"/>
        <v>9647.5</v>
      </c>
      <c r="P705" s="232" t="s">
        <v>1316</v>
      </c>
      <c r="Q705" s="101" t="s">
        <v>1986</v>
      </c>
      <c r="R705" s="104"/>
      <c r="S705" s="104"/>
      <c r="T705" s="104"/>
      <c r="U705" s="104">
        <v>47120</v>
      </c>
      <c r="V705" s="104">
        <v>0</v>
      </c>
      <c r="W705" s="48">
        <v>43732</v>
      </c>
      <c r="X705" s="105">
        <f t="shared" si="336"/>
        <v>9647.5</v>
      </c>
      <c r="Y705" s="198">
        <f t="shared" si="331"/>
        <v>2324500</v>
      </c>
      <c r="Z705" s="317" t="str">
        <f t="shared" si="332"/>
        <v/>
      </c>
      <c r="AA705" s="317" t="str">
        <f t="shared" ref="AA705:AA716" si="341">IF(I705="买入","卖出","买入19-新13")</f>
        <v>买入19-新13</v>
      </c>
      <c r="AB705" s="104">
        <v>86</v>
      </c>
      <c r="AC705" s="321">
        <v>0.152</v>
      </c>
      <c r="AD705" s="322">
        <v>0.152</v>
      </c>
      <c r="AE705" s="104"/>
      <c r="AF705" s="105"/>
    </row>
    <row r="706" spans="1:32" ht="24.95" customHeight="1" x14ac:dyDescent="0.15">
      <c r="A706" s="316" t="s">
        <v>248</v>
      </c>
      <c r="B706" s="120" t="s">
        <v>263</v>
      </c>
      <c r="C706" s="316" t="str">
        <f t="shared" si="339"/>
        <v>到期</v>
      </c>
      <c r="D706" s="103" t="s">
        <v>1842</v>
      </c>
      <c r="E706" s="316" t="s">
        <v>298</v>
      </c>
      <c r="F706" s="48">
        <v>43704</v>
      </c>
      <c r="G706" s="318">
        <v>43732</v>
      </c>
      <c r="H706" s="317" t="s">
        <v>1278</v>
      </c>
      <c r="I706" s="317" t="s">
        <v>222</v>
      </c>
      <c r="J706" s="316" t="s">
        <v>56</v>
      </c>
      <c r="K706" s="105">
        <v>50</v>
      </c>
      <c r="L706" s="104">
        <v>48520</v>
      </c>
      <c r="M706" s="104">
        <v>46490</v>
      </c>
      <c r="N706" s="104">
        <f t="shared" si="340"/>
        <v>192.95</v>
      </c>
      <c r="O706" s="104">
        <f t="shared" si="327"/>
        <v>9647.5</v>
      </c>
      <c r="P706" s="232" t="s">
        <v>1318</v>
      </c>
      <c r="Q706" s="101" t="s">
        <v>1987</v>
      </c>
      <c r="R706" s="104"/>
      <c r="S706" s="104"/>
      <c r="T706" s="104"/>
      <c r="U706" s="104">
        <v>47120</v>
      </c>
      <c r="V706" s="104">
        <v>0</v>
      </c>
      <c r="W706" s="48">
        <v>43732</v>
      </c>
      <c r="X706" s="105">
        <f t="shared" si="336"/>
        <v>9647.5</v>
      </c>
      <c r="Y706" s="198">
        <f t="shared" si="331"/>
        <v>2324500</v>
      </c>
      <c r="Z706" s="317" t="str">
        <f t="shared" si="332"/>
        <v/>
      </c>
      <c r="AA706" s="317" t="str">
        <f t="shared" si="341"/>
        <v>买入19-新13</v>
      </c>
      <c r="AB706" s="104">
        <v>86</v>
      </c>
      <c r="AC706" s="321">
        <v>0.152</v>
      </c>
      <c r="AD706" s="322">
        <v>0.152</v>
      </c>
      <c r="AE706" s="104"/>
      <c r="AF706" s="105"/>
    </row>
    <row r="707" spans="1:32" ht="24.95" customHeight="1" x14ac:dyDescent="0.15">
      <c r="A707" s="316" t="s">
        <v>248</v>
      </c>
      <c r="B707" s="120" t="s">
        <v>263</v>
      </c>
      <c r="C707" s="316" t="str">
        <f t="shared" si="339"/>
        <v>到期</v>
      </c>
      <c r="D707" s="103" t="s">
        <v>1842</v>
      </c>
      <c r="E707" s="316" t="s">
        <v>298</v>
      </c>
      <c r="F707" s="48">
        <v>43704</v>
      </c>
      <c r="G707" s="318">
        <v>43732</v>
      </c>
      <c r="H707" s="317" t="s">
        <v>1278</v>
      </c>
      <c r="I707" s="317" t="s">
        <v>222</v>
      </c>
      <c r="J707" s="316" t="s">
        <v>59</v>
      </c>
      <c r="K707" s="105">
        <v>50</v>
      </c>
      <c r="L707" s="104">
        <v>44800</v>
      </c>
      <c r="M707" s="104">
        <v>46490</v>
      </c>
      <c r="N707" s="104">
        <f t="shared" si="340"/>
        <v>192.95</v>
      </c>
      <c r="O707" s="104">
        <f t="shared" si="327"/>
        <v>9647.5</v>
      </c>
      <c r="P707" s="232" t="s">
        <v>1320</v>
      </c>
      <c r="Q707" s="101" t="s">
        <v>1987</v>
      </c>
      <c r="R707" s="104"/>
      <c r="S707" s="104"/>
      <c r="T707" s="104"/>
      <c r="U707" s="104">
        <v>47120</v>
      </c>
      <c r="V707" s="104">
        <v>0</v>
      </c>
      <c r="W707" s="48">
        <v>43732</v>
      </c>
      <c r="X707" s="105">
        <f t="shared" si="336"/>
        <v>9647.5</v>
      </c>
      <c r="Y707" s="198">
        <f t="shared" si="331"/>
        <v>2324500</v>
      </c>
      <c r="Z707" s="317" t="str">
        <f t="shared" si="332"/>
        <v/>
      </c>
      <c r="AA707" s="317" t="str">
        <f t="shared" si="341"/>
        <v>买入19-新13</v>
      </c>
      <c r="AB707" s="104">
        <v>86</v>
      </c>
      <c r="AC707" s="321">
        <v>0.152</v>
      </c>
      <c r="AD707" s="322">
        <v>0.152</v>
      </c>
      <c r="AE707" s="104"/>
      <c r="AF707" s="105"/>
    </row>
    <row r="708" spans="1:32" ht="24.95" customHeight="1" x14ac:dyDescent="0.15">
      <c r="A708" s="316" t="s">
        <v>248</v>
      </c>
      <c r="B708" s="120" t="s">
        <v>263</v>
      </c>
      <c r="C708" s="316" t="str">
        <f t="shared" si="339"/>
        <v>到期</v>
      </c>
      <c r="D708" s="103" t="s">
        <v>1843</v>
      </c>
      <c r="E708" s="316" t="s">
        <v>298</v>
      </c>
      <c r="F708" s="48">
        <v>43704</v>
      </c>
      <c r="G708" s="318">
        <v>43732</v>
      </c>
      <c r="H708" s="317" t="s">
        <v>1278</v>
      </c>
      <c r="I708" s="317" t="s">
        <v>222</v>
      </c>
      <c r="J708" s="316" t="s">
        <v>56</v>
      </c>
      <c r="K708" s="105">
        <v>50</v>
      </c>
      <c r="L708" s="104">
        <v>48520</v>
      </c>
      <c r="M708" s="104">
        <v>46490</v>
      </c>
      <c r="N708" s="104">
        <f t="shared" si="340"/>
        <v>192.95</v>
      </c>
      <c r="O708" s="104">
        <f t="shared" si="327"/>
        <v>9647.5</v>
      </c>
      <c r="P708" s="232" t="s">
        <v>1321</v>
      </c>
      <c r="Q708" s="101" t="s">
        <v>1988</v>
      </c>
      <c r="R708" s="104"/>
      <c r="S708" s="104"/>
      <c r="T708" s="104"/>
      <c r="U708" s="104">
        <v>47120</v>
      </c>
      <c r="V708" s="104">
        <v>0</v>
      </c>
      <c r="W708" s="48">
        <v>43732</v>
      </c>
      <c r="X708" s="105">
        <f t="shared" si="336"/>
        <v>9647.5</v>
      </c>
      <c r="Y708" s="198">
        <f t="shared" si="331"/>
        <v>2324500</v>
      </c>
      <c r="Z708" s="317" t="str">
        <f t="shared" si="332"/>
        <v/>
      </c>
      <c r="AA708" s="317" t="str">
        <f t="shared" si="341"/>
        <v>买入19-新13</v>
      </c>
      <c r="AB708" s="104">
        <v>86</v>
      </c>
      <c r="AC708" s="321">
        <v>0.152</v>
      </c>
      <c r="AD708" s="322">
        <v>0.152</v>
      </c>
      <c r="AE708" s="104"/>
      <c r="AF708" s="105"/>
    </row>
    <row r="709" spans="1:32" ht="24.95" customHeight="1" x14ac:dyDescent="0.15">
      <c r="A709" s="316" t="s">
        <v>248</v>
      </c>
      <c r="B709" s="120" t="s">
        <v>263</v>
      </c>
      <c r="C709" s="316" t="str">
        <f t="shared" si="339"/>
        <v>到期</v>
      </c>
      <c r="D709" s="103" t="s">
        <v>1843</v>
      </c>
      <c r="E709" s="316" t="s">
        <v>298</v>
      </c>
      <c r="F709" s="48">
        <v>43704</v>
      </c>
      <c r="G709" s="318">
        <v>43732</v>
      </c>
      <c r="H709" s="317" t="s">
        <v>1278</v>
      </c>
      <c r="I709" s="317" t="s">
        <v>222</v>
      </c>
      <c r="J709" s="316" t="s">
        <v>59</v>
      </c>
      <c r="K709" s="105">
        <v>50</v>
      </c>
      <c r="L709" s="104">
        <v>44800</v>
      </c>
      <c r="M709" s="104">
        <v>46490</v>
      </c>
      <c r="N709" s="104">
        <f t="shared" si="340"/>
        <v>192.95</v>
      </c>
      <c r="O709" s="104">
        <f t="shared" si="327"/>
        <v>9647.5</v>
      </c>
      <c r="P709" s="232" t="s">
        <v>1317</v>
      </c>
      <c r="Q709" s="101" t="s">
        <v>1988</v>
      </c>
      <c r="R709" s="104"/>
      <c r="S709" s="104"/>
      <c r="T709" s="104"/>
      <c r="U709" s="104">
        <v>47120</v>
      </c>
      <c r="V709" s="104">
        <v>0</v>
      </c>
      <c r="W709" s="48">
        <v>43732</v>
      </c>
      <c r="X709" s="105">
        <f t="shared" si="336"/>
        <v>9647.5</v>
      </c>
      <c r="Y709" s="198">
        <f t="shared" si="331"/>
        <v>2324500</v>
      </c>
      <c r="Z709" s="317" t="str">
        <f t="shared" si="332"/>
        <v/>
      </c>
      <c r="AA709" s="317" t="str">
        <f t="shared" si="341"/>
        <v>买入19-新13</v>
      </c>
      <c r="AB709" s="104">
        <v>86</v>
      </c>
      <c r="AC709" s="321">
        <v>0.152</v>
      </c>
      <c r="AD709" s="322">
        <v>0.152</v>
      </c>
      <c r="AE709" s="104"/>
      <c r="AF709" s="105"/>
    </row>
    <row r="710" spans="1:32" ht="24.95" customHeight="1" x14ac:dyDescent="0.15">
      <c r="A710" s="316" t="s">
        <v>248</v>
      </c>
      <c r="B710" s="120" t="s">
        <v>263</v>
      </c>
      <c r="C710" s="316" t="str">
        <f t="shared" si="339"/>
        <v>到期</v>
      </c>
      <c r="D710" s="103" t="s">
        <v>1844</v>
      </c>
      <c r="E710" s="316" t="s">
        <v>298</v>
      </c>
      <c r="F710" s="48">
        <v>43704</v>
      </c>
      <c r="G710" s="318">
        <v>43732</v>
      </c>
      <c r="H710" s="317" t="s">
        <v>1278</v>
      </c>
      <c r="I710" s="317" t="s">
        <v>222</v>
      </c>
      <c r="J710" s="316" t="s">
        <v>56</v>
      </c>
      <c r="K710" s="105">
        <v>50</v>
      </c>
      <c r="L710" s="104">
        <v>48520</v>
      </c>
      <c r="M710" s="104">
        <v>46490</v>
      </c>
      <c r="N710" s="104">
        <f t="shared" si="340"/>
        <v>192.95</v>
      </c>
      <c r="O710" s="104">
        <f t="shared" si="327"/>
        <v>9647.5</v>
      </c>
      <c r="P710" s="232" t="s">
        <v>1319</v>
      </c>
      <c r="Q710" s="101" t="s">
        <v>1989</v>
      </c>
      <c r="R710" s="104"/>
      <c r="S710" s="104"/>
      <c r="T710" s="104"/>
      <c r="U710" s="104">
        <v>47120</v>
      </c>
      <c r="V710" s="104">
        <v>0</v>
      </c>
      <c r="W710" s="48">
        <v>43732</v>
      </c>
      <c r="X710" s="105">
        <f t="shared" si="336"/>
        <v>9647.5</v>
      </c>
      <c r="Y710" s="198">
        <f t="shared" si="331"/>
        <v>2324500</v>
      </c>
      <c r="Z710" s="317" t="str">
        <f t="shared" si="332"/>
        <v/>
      </c>
      <c r="AA710" s="317" t="str">
        <f t="shared" si="341"/>
        <v>买入19-新13</v>
      </c>
      <c r="AB710" s="104">
        <v>86</v>
      </c>
      <c r="AC710" s="321">
        <v>0.152</v>
      </c>
      <c r="AD710" s="322">
        <v>0.152</v>
      </c>
      <c r="AE710" s="104"/>
      <c r="AF710" s="105"/>
    </row>
    <row r="711" spans="1:32" ht="24.95" customHeight="1" x14ac:dyDescent="0.15">
      <c r="A711" s="316" t="s">
        <v>248</v>
      </c>
      <c r="B711" s="120" t="s">
        <v>263</v>
      </c>
      <c r="C711" s="316" t="str">
        <f t="shared" si="339"/>
        <v>到期</v>
      </c>
      <c r="D711" s="103" t="s">
        <v>1844</v>
      </c>
      <c r="E711" s="316" t="s">
        <v>298</v>
      </c>
      <c r="F711" s="48">
        <v>43704</v>
      </c>
      <c r="G711" s="318">
        <v>43732</v>
      </c>
      <c r="H711" s="317" t="s">
        <v>1278</v>
      </c>
      <c r="I711" s="317" t="s">
        <v>222</v>
      </c>
      <c r="J711" s="316" t="s">
        <v>59</v>
      </c>
      <c r="K711" s="105">
        <v>50</v>
      </c>
      <c r="L711" s="104">
        <v>44800</v>
      </c>
      <c r="M711" s="104">
        <v>46490</v>
      </c>
      <c r="N711" s="104">
        <f t="shared" si="340"/>
        <v>192.95</v>
      </c>
      <c r="O711" s="104">
        <f t="shared" si="327"/>
        <v>9647.5</v>
      </c>
      <c r="P711" s="232" t="s">
        <v>1322</v>
      </c>
      <c r="Q711" s="101" t="s">
        <v>1989</v>
      </c>
      <c r="R711" s="104"/>
      <c r="S711" s="104"/>
      <c r="T711" s="104"/>
      <c r="U711" s="104">
        <v>47120</v>
      </c>
      <c r="V711" s="104">
        <v>0</v>
      </c>
      <c r="W711" s="48">
        <v>43732</v>
      </c>
      <c r="X711" s="105">
        <f t="shared" si="336"/>
        <v>9647.5</v>
      </c>
      <c r="Y711" s="198">
        <f t="shared" si="331"/>
        <v>2324500</v>
      </c>
      <c r="Z711" s="317" t="str">
        <f t="shared" si="332"/>
        <v/>
      </c>
      <c r="AA711" s="317" t="str">
        <f t="shared" si="341"/>
        <v>买入19-新13</v>
      </c>
      <c r="AB711" s="104">
        <v>86</v>
      </c>
      <c r="AC711" s="321">
        <v>0.152</v>
      </c>
      <c r="AD711" s="322">
        <v>0.152</v>
      </c>
      <c r="AE711" s="104"/>
      <c r="AF711" s="105"/>
    </row>
    <row r="712" spans="1:32" ht="24.95" customHeight="1" x14ac:dyDescent="0.15">
      <c r="A712" s="316" t="s">
        <v>248</v>
      </c>
      <c r="B712" s="120" t="s">
        <v>263</v>
      </c>
      <c r="C712" s="316" t="str">
        <f t="shared" si="339"/>
        <v>到期</v>
      </c>
      <c r="D712" s="103" t="s">
        <v>1845</v>
      </c>
      <c r="E712" s="316" t="s">
        <v>298</v>
      </c>
      <c r="F712" s="48">
        <v>43704</v>
      </c>
      <c r="G712" s="318">
        <v>43732</v>
      </c>
      <c r="H712" s="317" t="s">
        <v>1278</v>
      </c>
      <c r="I712" s="317" t="s">
        <v>222</v>
      </c>
      <c r="J712" s="316" t="s">
        <v>56</v>
      </c>
      <c r="K712" s="105">
        <v>50</v>
      </c>
      <c r="L712" s="104">
        <v>48520</v>
      </c>
      <c r="M712" s="104">
        <v>46490</v>
      </c>
      <c r="N712" s="104">
        <f t="shared" si="340"/>
        <v>192.95</v>
      </c>
      <c r="O712" s="104">
        <f t="shared" si="327"/>
        <v>9647.5</v>
      </c>
      <c r="P712" s="232" t="s">
        <v>1323</v>
      </c>
      <c r="Q712" s="101" t="s">
        <v>1990</v>
      </c>
      <c r="R712" s="104"/>
      <c r="S712" s="104"/>
      <c r="T712" s="104"/>
      <c r="U712" s="104">
        <v>47120</v>
      </c>
      <c r="V712" s="104">
        <v>0</v>
      </c>
      <c r="W712" s="48">
        <v>43732</v>
      </c>
      <c r="X712" s="105">
        <f t="shared" si="336"/>
        <v>9647.5</v>
      </c>
      <c r="Y712" s="198">
        <f t="shared" si="331"/>
        <v>2324500</v>
      </c>
      <c r="Z712" s="317" t="str">
        <f t="shared" si="332"/>
        <v/>
      </c>
      <c r="AA712" s="317" t="str">
        <f t="shared" si="341"/>
        <v>买入19-新13</v>
      </c>
      <c r="AB712" s="104">
        <v>86</v>
      </c>
      <c r="AC712" s="321">
        <v>0.152</v>
      </c>
      <c r="AD712" s="322">
        <v>0.152</v>
      </c>
      <c r="AE712" s="104"/>
      <c r="AF712" s="105"/>
    </row>
    <row r="713" spans="1:32" ht="24.95" customHeight="1" x14ac:dyDescent="0.15">
      <c r="A713" s="316" t="s">
        <v>248</v>
      </c>
      <c r="B713" s="120" t="s">
        <v>263</v>
      </c>
      <c r="C713" s="316" t="str">
        <f t="shared" si="339"/>
        <v>到期</v>
      </c>
      <c r="D713" s="103" t="s">
        <v>1845</v>
      </c>
      <c r="E713" s="316" t="s">
        <v>298</v>
      </c>
      <c r="F713" s="48">
        <v>43704</v>
      </c>
      <c r="G713" s="318">
        <v>43732</v>
      </c>
      <c r="H713" s="317" t="s">
        <v>1278</v>
      </c>
      <c r="I713" s="317" t="s">
        <v>222</v>
      </c>
      <c r="J713" s="316" t="s">
        <v>59</v>
      </c>
      <c r="K713" s="105">
        <v>50</v>
      </c>
      <c r="L713" s="104">
        <v>44800</v>
      </c>
      <c r="M713" s="104">
        <v>46490</v>
      </c>
      <c r="N713" s="104">
        <f t="shared" si="340"/>
        <v>192.95</v>
      </c>
      <c r="O713" s="104">
        <f t="shared" si="327"/>
        <v>9647.5</v>
      </c>
      <c r="P713" s="232" t="s">
        <v>1323</v>
      </c>
      <c r="Q713" s="101" t="s">
        <v>1990</v>
      </c>
      <c r="R713" s="104"/>
      <c r="S713" s="104"/>
      <c r="T713" s="104"/>
      <c r="U713" s="104">
        <v>47120</v>
      </c>
      <c r="V713" s="104">
        <v>0</v>
      </c>
      <c r="W713" s="48">
        <v>43732</v>
      </c>
      <c r="X713" s="105">
        <f t="shared" si="336"/>
        <v>9647.5</v>
      </c>
      <c r="Y713" s="198">
        <f t="shared" si="331"/>
        <v>2324500</v>
      </c>
      <c r="Z713" s="317" t="str">
        <f t="shared" si="332"/>
        <v/>
      </c>
      <c r="AA713" s="317" t="str">
        <f t="shared" si="341"/>
        <v>买入19-新13</v>
      </c>
      <c r="AB713" s="104">
        <v>86</v>
      </c>
      <c r="AC713" s="321">
        <v>0.152</v>
      </c>
      <c r="AD713" s="322">
        <v>0.152</v>
      </c>
      <c r="AE713" s="104"/>
      <c r="AF713" s="105"/>
    </row>
    <row r="714" spans="1:32" ht="24.95" customHeight="1" x14ac:dyDescent="0.15">
      <c r="A714" s="316" t="s">
        <v>248</v>
      </c>
      <c r="B714" s="120" t="s">
        <v>263</v>
      </c>
      <c r="C714" s="316" t="str">
        <f t="shared" si="339"/>
        <v>到期</v>
      </c>
      <c r="D714" s="323" t="s">
        <v>1869</v>
      </c>
      <c r="E714" s="316" t="s">
        <v>255</v>
      </c>
      <c r="F714" s="48">
        <v>43706</v>
      </c>
      <c r="G714" s="320">
        <v>43738</v>
      </c>
      <c r="H714" s="319" t="s">
        <v>1325</v>
      </c>
      <c r="I714" s="319" t="s">
        <v>998</v>
      </c>
      <c r="J714" s="316" t="s">
        <v>56</v>
      </c>
      <c r="K714" s="105">
        <v>5150</v>
      </c>
      <c r="L714" s="104">
        <v>1954</v>
      </c>
      <c r="M714" s="104">
        <v>1954</v>
      </c>
      <c r="N714" s="104">
        <v>34.39</v>
      </c>
      <c r="O714" s="104">
        <f t="shared" si="327"/>
        <v>177108.5</v>
      </c>
      <c r="P714" s="232" t="s">
        <v>1326</v>
      </c>
      <c r="Q714" s="101" t="s">
        <v>1991</v>
      </c>
      <c r="R714" s="104">
        <v>34.39</v>
      </c>
      <c r="S714" s="104">
        <f>R714*K714</f>
        <v>177108.5</v>
      </c>
      <c r="T714" s="48">
        <v>43707</v>
      </c>
      <c r="U714" s="104">
        <v>1935</v>
      </c>
      <c r="V714" s="104"/>
      <c r="W714" s="104"/>
      <c r="X714" s="104">
        <f t="shared" ref="X714:X717" si="342">IF(I714="买入",S714-O714,O714+S714)</f>
        <v>0</v>
      </c>
      <c r="Y714" s="198">
        <f t="shared" si="331"/>
        <v>10063100</v>
      </c>
      <c r="Z714" s="319" t="str">
        <f t="shared" si="332"/>
        <v/>
      </c>
      <c r="AA714" s="319" t="str">
        <f t="shared" si="341"/>
        <v>卖出</v>
      </c>
      <c r="AB714" s="104">
        <v>87</v>
      </c>
      <c r="AC714" s="321">
        <v>0.15</v>
      </c>
      <c r="AD714" s="205">
        <v>0.15</v>
      </c>
      <c r="AE714" s="104"/>
      <c r="AF714" s="105"/>
    </row>
    <row r="715" spans="1:32" ht="24.95" customHeight="1" x14ac:dyDescent="0.15">
      <c r="A715" s="316" t="s">
        <v>248</v>
      </c>
      <c r="B715" s="120" t="s">
        <v>263</v>
      </c>
      <c r="C715" s="316" t="str">
        <f t="shared" si="339"/>
        <v>到期</v>
      </c>
      <c r="D715" s="323" t="s">
        <v>1869</v>
      </c>
      <c r="E715" s="316" t="s">
        <v>255</v>
      </c>
      <c r="F715" s="48">
        <v>43706</v>
      </c>
      <c r="G715" s="320">
        <v>43738</v>
      </c>
      <c r="H715" s="319" t="s">
        <v>1325</v>
      </c>
      <c r="I715" s="319" t="s">
        <v>222</v>
      </c>
      <c r="J715" s="316" t="s">
        <v>59</v>
      </c>
      <c r="K715" s="105">
        <v>5150</v>
      </c>
      <c r="L715" s="104">
        <v>1954</v>
      </c>
      <c r="M715" s="104">
        <v>1954</v>
      </c>
      <c r="N715" s="104">
        <v>34.39</v>
      </c>
      <c r="O715" s="104">
        <f t="shared" si="327"/>
        <v>177108.5</v>
      </c>
      <c r="P715" s="232" t="s">
        <v>1326</v>
      </c>
      <c r="Q715" s="101" t="s">
        <v>1991</v>
      </c>
      <c r="R715" s="104">
        <v>34.39</v>
      </c>
      <c r="S715" s="104">
        <f>-R715*K715</f>
        <v>-177108.5</v>
      </c>
      <c r="T715" s="48">
        <v>43707</v>
      </c>
      <c r="U715" s="104">
        <v>1935</v>
      </c>
      <c r="V715" s="104"/>
      <c r="W715" s="104"/>
      <c r="X715" s="104">
        <f t="shared" si="342"/>
        <v>0</v>
      </c>
      <c r="Y715" s="198">
        <f t="shared" si="331"/>
        <v>10063100</v>
      </c>
      <c r="Z715" s="319" t="str">
        <f t="shared" si="332"/>
        <v/>
      </c>
      <c r="AA715" s="319" t="str">
        <f>IF(I715="买入","卖出","买入")</f>
        <v>买入</v>
      </c>
      <c r="AB715" s="104">
        <v>88</v>
      </c>
      <c r="AC715" s="321">
        <v>0.15</v>
      </c>
      <c r="AD715" s="205">
        <v>0.15</v>
      </c>
      <c r="AE715" s="104"/>
      <c r="AF715" s="105"/>
    </row>
    <row r="716" spans="1:32" ht="24.95" customHeight="1" x14ac:dyDescent="0.15">
      <c r="A716" s="316" t="s">
        <v>248</v>
      </c>
      <c r="B716" s="120" t="s">
        <v>263</v>
      </c>
      <c r="C716" s="316" t="str">
        <f t="shared" si="339"/>
        <v>到期</v>
      </c>
      <c r="D716" s="323" t="s">
        <v>1869</v>
      </c>
      <c r="E716" s="316" t="s">
        <v>255</v>
      </c>
      <c r="F716" s="48">
        <v>43706</v>
      </c>
      <c r="G716" s="320">
        <v>43738</v>
      </c>
      <c r="H716" s="319" t="s">
        <v>1262</v>
      </c>
      <c r="I716" s="319" t="s">
        <v>998</v>
      </c>
      <c r="J716" s="316" t="s">
        <v>56</v>
      </c>
      <c r="K716" s="105">
        <v>5300</v>
      </c>
      <c r="L716" s="104">
        <v>1895</v>
      </c>
      <c r="M716" s="104">
        <v>1895</v>
      </c>
      <c r="N716" s="104">
        <v>33.33</v>
      </c>
      <c r="O716" s="104">
        <f t="shared" si="327"/>
        <v>176649</v>
      </c>
      <c r="P716" s="232" t="s">
        <v>1349</v>
      </c>
      <c r="Q716" s="101" t="s">
        <v>1992</v>
      </c>
      <c r="R716" s="104">
        <v>33.33</v>
      </c>
      <c r="S716" s="104">
        <f>R716*K716</f>
        <v>176649</v>
      </c>
      <c r="T716" s="48">
        <v>43707</v>
      </c>
      <c r="U716" s="104">
        <v>1875</v>
      </c>
      <c r="V716" s="104"/>
      <c r="W716" s="104"/>
      <c r="X716" s="104">
        <f t="shared" si="342"/>
        <v>0</v>
      </c>
      <c r="Y716" s="198">
        <f t="shared" si="331"/>
        <v>10043500</v>
      </c>
      <c r="Z716" s="319" t="str">
        <f t="shared" si="332"/>
        <v/>
      </c>
      <c r="AA716" s="319" t="str">
        <f t="shared" si="341"/>
        <v>卖出</v>
      </c>
      <c r="AB716" s="104">
        <v>89</v>
      </c>
      <c r="AC716" s="321">
        <v>0.15</v>
      </c>
      <c r="AD716" s="205">
        <v>0.15</v>
      </c>
      <c r="AE716" s="104"/>
      <c r="AF716" s="105"/>
    </row>
    <row r="717" spans="1:32" ht="24.95" customHeight="1" x14ac:dyDescent="0.15">
      <c r="A717" s="316" t="s">
        <v>248</v>
      </c>
      <c r="B717" s="120" t="s">
        <v>263</v>
      </c>
      <c r="C717" s="316" t="str">
        <f t="shared" si="339"/>
        <v>到期</v>
      </c>
      <c r="D717" s="323" t="s">
        <v>1869</v>
      </c>
      <c r="E717" s="316" t="s">
        <v>255</v>
      </c>
      <c r="F717" s="48">
        <v>43706</v>
      </c>
      <c r="G717" s="320">
        <v>43738</v>
      </c>
      <c r="H717" s="319" t="s">
        <v>1262</v>
      </c>
      <c r="I717" s="319" t="s">
        <v>222</v>
      </c>
      <c r="J717" s="316" t="s">
        <v>59</v>
      </c>
      <c r="K717" s="105">
        <v>5300</v>
      </c>
      <c r="L717" s="104">
        <v>1895</v>
      </c>
      <c r="M717" s="104">
        <v>1895</v>
      </c>
      <c r="N717" s="104">
        <v>33.33</v>
      </c>
      <c r="O717" s="104">
        <f t="shared" si="327"/>
        <v>176649</v>
      </c>
      <c r="P717" s="232" t="s">
        <v>1349</v>
      </c>
      <c r="Q717" s="101" t="s">
        <v>1992</v>
      </c>
      <c r="R717" s="104">
        <v>33.33</v>
      </c>
      <c r="S717" s="104">
        <f>-R717*K717</f>
        <v>-176649</v>
      </c>
      <c r="T717" s="48">
        <v>43707</v>
      </c>
      <c r="U717" s="104">
        <v>1875</v>
      </c>
      <c r="V717" s="104"/>
      <c r="W717" s="104"/>
      <c r="X717" s="104">
        <f t="shared" si="342"/>
        <v>0</v>
      </c>
      <c r="Y717" s="198">
        <f t="shared" si="331"/>
        <v>10043500</v>
      </c>
      <c r="Z717" s="319" t="str">
        <f t="shared" si="332"/>
        <v/>
      </c>
      <c r="AA717" s="319" t="str">
        <f>IF(I717="买入","卖出","买入")</f>
        <v>买入</v>
      </c>
      <c r="AB717" s="104">
        <v>90</v>
      </c>
      <c r="AC717" s="321">
        <v>0.15</v>
      </c>
      <c r="AD717" s="205">
        <v>0.15</v>
      </c>
      <c r="AE717" s="104"/>
      <c r="AF717" s="105"/>
    </row>
    <row r="718" spans="1:32" ht="24.95" customHeight="1" x14ac:dyDescent="0.15">
      <c r="A718" s="316" t="s">
        <v>248</v>
      </c>
      <c r="B718" s="120" t="s">
        <v>263</v>
      </c>
      <c r="C718" s="316" t="str">
        <f t="shared" ref="C718:C719" si="343">IF(Q718="","存续","到期")</f>
        <v>到期</v>
      </c>
      <c r="D718" s="323" t="s">
        <v>1869</v>
      </c>
      <c r="E718" s="316" t="s">
        <v>255</v>
      </c>
      <c r="F718" s="48">
        <v>43706</v>
      </c>
      <c r="G718" s="320">
        <v>43738</v>
      </c>
      <c r="H718" s="319" t="s">
        <v>1325</v>
      </c>
      <c r="I718" s="319" t="s">
        <v>222</v>
      </c>
      <c r="J718" s="316" t="s">
        <v>1327</v>
      </c>
      <c r="K718" s="105">
        <v>5150</v>
      </c>
      <c r="L718" s="104"/>
      <c r="M718" s="104">
        <v>1954</v>
      </c>
      <c r="N718" s="104"/>
      <c r="O718" s="104">
        <f t="shared" ref="O718:O719" si="344">N718*K718</f>
        <v>0</v>
      </c>
      <c r="P718" s="232" t="s">
        <v>1342</v>
      </c>
      <c r="Q718" s="101" t="s">
        <v>1993</v>
      </c>
      <c r="R718" s="104"/>
      <c r="S718" s="104"/>
      <c r="T718" s="48">
        <v>43707</v>
      </c>
      <c r="U718" s="104">
        <v>1954</v>
      </c>
      <c r="V718" s="104"/>
      <c r="W718" s="104"/>
      <c r="X718" s="104">
        <v>0</v>
      </c>
      <c r="Y718" s="198">
        <f t="shared" ref="Y718:Y720" si="345">M718*K718</f>
        <v>10063100</v>
      </c>
      <c r="Z718" s="319" t="str">
        <f>IF(C718="存续",D718&amp;H718&amp;"-"&amp;AA718&amp;AE718,"")</f>
        <v/>
      </c>
      <c r="AA718" s="319" t="str">
        <f>IF(I718="买入","卖出","买入")</f>
        <v>买入</v>
      </c>
      <c r="AB718" s="104">
        <v>91</v>
      </c>
      <c r="AC718" s="321"/>
      <c r="AD718" s="322"/>
      <c r="AE718" s="104" t="s">
        <v>1327</v>
      </c>
      <c r="AF718" s="105"/>
    </row>
    <row r="719" spans="1:32" ht="24.95" customHeight="1" x14ac:dyDescent="0.15">
      <c r="A719" s="316" t="s">
        <v>248</v>
      </c>
      <c r="B719" s="120" t="s">
        <v>263</v>
      </c>
      <c r="C719" s="316" t="str">
        <f t="shared" si="343"/>
        <v>到期</v>
      </c>
      <c r="D719" s="323" t="s">
        <v>1869</v>
      </c>
      <c r="E719" s="316" t="s">
        <v>255</v>
      </c>
      <c r="F719" s="48">
        <v>43706</v>
      </c>
      <c r="G719" s="320">
        <v>43738</v>
      </c>
      <c r="H719" s="319" t="s">
        <v>1262</v>
      </c>
      <c r="I719" s="319" t="s">
        <v>1331</v>
      </c>
      <c r="J719" s="316" t="s">
        <v>1328</v>
      </c>
      <c r="K719" s="105">
        <v>5300</v>
      </c>
      <c r="L719" s="104"/>
      <c r="M719" s="104">
        <v>1895</v>
      </c>
      <c r="N719" s="104"/>
      <c r="O719" s="104">
        <f t="shared" si="344"/>
        <v>0</v>
      </c>
      <c r="P719" s="232" t="s">
        <v>1330</v>
      </c>
      <c r="Q719" s="101" t="s">
        <v>1994</v>
      </c>
      <c r="R719" s="104"/>
      <c r="S719" s="104"/>
      <c r="T719" s="48">
        <v>43707</v>
      </c>
      <c r="U719" s="104">
        <v>1895</v>
      </c>
      <c r="V719" s="104"/>
      <c r="W719" s="104"/>
      <c r="X719" s="104">
        <v>0</v>
      </c>
      <c r="Y719" s="198">
        <f t="shared" si="345"/>
        <v>10043500</v>
      </c>
      <c r="Z719" s="319" t="str">
        <f>IF(C719="存续",D719&amp;H719&amp;"-"&amp;AA719&amp;AE719,"")</f>
        <v/>
      </c>
      <c r="AA719" s="319" t="str">
        <f>IF(I719="买入","卖出","买入")</f>
        <v>买入</v>
      </c>
      <c r="AB719" s="104">
        <v>92</v>
      </c>
      <c r="AC719" s="321"/>
      <c r="AD719" s="322"/>
      <c r="AE719" s="104" t="s">
        <v>1329</v>
      </c>
      <c r="AF719" s="105"/>
    </row>
    <row r="720" spans="1:32" ht="24.95" customHeight="1" x14ac:dyDescent="0.15">
      <c r="A720" s="316" t="s">
        <v>274</v>
      </c>
      <c r="B720" s="120" t="s">
        <v>1337</v>
      </c>
      <c r="C720" s="316" t="str">
        <f t="shared" ref="C720:C731" si="346">IF(Q720="","存续","到期")</f>
        <v>到期</v>
      </c>
      <c r="D720" s="323" t="s">
        <v>1869</v>
      </c>
      <c r="E720" s="316" t="s">
        <v>1338</v>
      </c>
      <c r="F720" s="48">
        <v>43707</v>
      </c>
      <c r="G720" s="326">
        <v>43738</v>
      </c>
      <c r="H720" s="325" t="s">
        <v>1339</v>
      </c>
      <c r="I720" s="325" t="s">
        <v>1340</v>
      </c>
      <c r="J720" s="316" t="s">
        <v>1341</v>
      </c>
      <c r="K720" s="105">
        <v>5350</v>
      </c>
      <c r="L720" s="104"/>
      <c r="M720" s="104">
        <v>1895</v>
      </c>
      <c r="N720" s="104"/>
      <c r="O720" s="104">
        <f t="shared" ref="O720" si="347">N720*K720</f>
        <v>0</v>
      </c>
      <c r="P720" s="232" t="s">
        <v>1577</v>
      </c>
      <c r="Q720" s="101" t="s">
        <v>1578</v>
      </c>
      <c r="R720" s="104"/>
      <c r="S720" s="104"/>
      <c r="T720" s="48">
        <v>43707</v>
      </c>
      <c r="U720" s="104">
        <v>1895</v>
      </c>
      <c r="V720" s="104"/>
      <c r="W720" s="104"/>
      <c r="X720" s="104">
        <v>0</v>
      </c>
      <c r="Y720" s="198">
        <f t="shared" si="345"/>
        <v>10138250</v>
      </c>
      <c r="Z720" s="325" t="str">
        <f>IF(C720="存续",D720&amp;H720&amp;"-"&amp;AA720&amp;AE720,"")</f>
        <v/>
      </c>
      <c r="AA720" s="325" t="str">
        <f>IF(I720="买入","卖出","买入")</f>
        <v>买入</v>
      </c>
      <c r="AB720" s="104">
        <v>93</v>
      </c>
      <c r="AC720" s="321"/>
      <c r="AD720" s="322"/>
      <c r="AE720" s="104" t="s">
        <v>1327</v>
      </c>
      <c r="AF720" s="105"/>
    </row>
    <row r="721" spans="1:32" ht="24.95" customHeight="1" x14ac:dyDescent="0.15">
      <c r="A721" s="316" t="s">
        <v>265</v>
      </c>
      <c r="B721" s="120" t="s">
        <v>263</v>
      </c>
      <c r="C721" s="316" t="str">
        <f t="shared" si="346"/>
        <v>到期</v>
      </c>
      <c r="D721" s="123" t="s">
        <v>1864</v>
      </c>
      <c r="E721" s="316" t="s">
        <v>298</v>
      </c>
      <c r="F721" s="329">
        <v>43710</v>
      </c>
      <c r="G721" s="329">
        <v>43726</v>
      </c>
      <c r="H721" s="328" t="s">
        <v>1223</v>
      </c>
      <c r="I721" s="328" t="s">
        <v>222</v>
      </c>
      <c r="J721" s="316" t="s">
        <v>1346</v>
      </c>
      <c r="K721" s="328">
        <v>1000</v>
      </c>
      <c r="L721" s="328">
        <v>4613</v>
      </c>
      <c r="M721" s="328">
        <v>4613</v>
      </c>
      <c r="N721" s="328">
        <v>59.24</v>
      </c>
      <c r="O721" s="328">
        <f>N721*K721</f>
        <v>59240</v>
      </c>
      <c r="P721" s="232" t="s">
        <v>1351</v>
      </c>
      <c r="Q721" s="101" t="s">
        <v>1995</v>
      </c>
      <c r="R721" s="105">
        <v>53.25</v>
      </c>
      <c r="S721" s="105">
        <f>-R721*K721</f>
        <v>-53250</v>
      </c>
      <c r="T721" s="338">
        <v>43713</v>
      </c>
      <c r="U721" s="328">
        <v>4625</v>
      </c>
      <c r="V721" s="328"/>
      <c r="W721" s="328"/>
      <c r="X721" s="104">
        <f>IF(I721="买入",S721-O721,O721+S721)</f>
        <v>5990</v>
      </c>
      <c r="Y721" s="328">
        <f t="shared" ref="Y721" si="348">ABS(M721*K721)</f>
        <v>4613000</v>
      </c>
      <c r="Z721" s="328" t="str">
        <f t="shared" ref="Z721:Z731" si="349">IF(C721="存续",D721&amp;H721&amp;"-"&amp;AA721,"")</f>
        <v/>
      </c>
      <c r="AA721" s="105" t="str">
        <f t="shared" ref="AA721" si="350">IF(I721="买入","卖出","买入")</f>
        <v>买入</v>
      </c>
      <c r="AB721" s="328">
        <v>94</v>
      </c>
      <c r="AC721" s="321">
        <v>0.15</v>
      </c>
      <c r="AD721" s="205">
        <v>0.17</v>
      </c>
      <c r="AE721" s="328" t="s">
        <v>1335</v>
      </c>
      <c r="AF721" s="105">
        <v>167200</v>
      </c>
    </row>
    <row r="722" spans="1:32" ht="24.95" customHeight="1" x14ac:dyDescent="0.15">
      <c r="A722" s="316" t="s">
        <v>248</v>
      </c>
      <c r="B722" s="120" t="s">
        <v>263</v>
      </c>
      <c r="C722" s="316" t="str">
        <f t="shared" si="346"/>
        <v>到期</v>
      </c>
      <c r="D722" s="103" t="s">
        <v>1841</v>
      </c>
      <c r="E722" s="316" t="s">
        <v>298</v>
      </c>
      <c r="F722" s="48">
        <v>43711</v>
      </c>
      <c r="G722" s="331">
        <v>43746</v>
      </c>
      <c r="H722" s="330" t="s">
        <v>1278</v>
      </c>
      <c r="I722" s="330" t="s">
        <v>222</v>
      </c>
      <c r="J722" s="316" t="s">
        <v>56</v>
      </c>
      <c r="K722" s="105">
        <v>50</v>
      </c>
      <c r="L722" s="104">
        <v>48470</v>
      </c>
      <c r="M722" s="104">
        <v>46470</v>
      </c>
      <c r="N722" s="104">
        <f>385.74/2</f>
        <v>192.87</v>
      </c>
      <c r="O722" s="104">
        <f t="shared" ref="O722:O731" si="351">N722*K722</f>
        <v>9643.5</v>
      </c>
      <c r="P722" s="232" t="s">
        <v>1358</v>
      </c>
      <c r="Q722" s="101" t="str">
        <f>P722&amp;"-L"</f>
        <v>OTC-C00419-L</v>
      </c>
      <c r="R722" s="104"/>
      <c r="S722" s="104"/>
      <c r="T722" s="104"/>
      <c r="U722" s="104">
        <v>46770</v>
      </c>
      <c r="V722" s="104">
        <v>0</v>
      </c>
      <c r="W722" s="397">
        <v>43746</v>
      </c>
      <c r="X722" s="105">
        <f t="shared" ref="X722:X731" si="352">IF(I722="买入",V722-O722,V722+O722)</f>
        <v>9643.5</v>
      </c>
      <c r="Y722" s="198">
        <f t="shared" ref="Y722:Y731" si="353">M722*K722</f>
        <v>2323500</v>
      </c>
      <c r="Z722" s="330" t="str">
        <f t="shared" si="349"/>
        <v/>
      </c>
      <c r="AA722" s="330" t="str">
        <f>IF(I722="买入","卖出","买入19-新14")</f>
        <v>买入19-新14</v>
      </c>
      <c r="AB722" s="104">
        <v>95</v>
      </c>
      <c r="AC722" s="321">
        <v>0.152</v>
      </c>
      <c r="AD722" s="322">
        <v>0.152</v>
      </c>
      <c r="AE722" s="104"/>
      <c r="AF722" s="105"/>
    </row>
    <row r="723" spans="1:32" ht="24.95" customHeight="1" x14ac:dyDescent="0.15">
      <c r="A723" s="316" t="s">
        <v>248</v>
      </c>
      <c r="B723" s="120" t="s">
        <v>263</v>
      </c>
      <c r="C723" s="316" t="str">
        <f t="shared" si="346"/>
        <v>到期</v>
      </c>
      <c r="D723" s="103" t="s">
        <v>1841</v>
      </c>
      <c r="E723" s="316" t="s">
        <v>298</v>
      </c>
      <c r="F723" s="48">
        <v>43711</v>
      </c>
      <c r="G723" s="331">
        <v>43746</v>
      </c>
      <c r="H723" s="330" t="s">
        <v>1278</v>
      </c>
      <c r="I723" s="330" t="s">
        <v>222</v>
      </c>
      <c r="J723" s="316" t="s">
        <v>59</v>
      </c>
      <c r="K723" s="105">
        <v>50</v>
      </c>
      <c r="L723" s="104">
        <v>44750</v>
      </c>
      <c r="M723" s="104">
        <v>46470</v>
      </c>
      <c r="N723" s="104">
        <f t="shared" ref="N723:N731" si="354">385.74/2</f>
        <v>192.87</v>
      </c>
      <c r="O723" s="104">
        <f t="shared" si="351"/>
        <v>9643.5</v>
      </c>
      <c r="P723" s="232" t="s">
        <v>1359</v>
      </c>
      <c r="Q723" s="101" t="str">
        <f t="shared" ref="Q723:Q731" si="355">P723&amp;"-L"</f>
        <v>OTC-C00419-L</v>
      </c>
      <c r="R723" s="104"/>
      <c r="S723" s="104"/>
      <c r="T723" s="104"/>
      <c r="U723" s="104">
        <v>46770</v>
      </c>
      <c r="V723" s="104">
        <v>0</v>
      </c>
      <c r="W723" s="397">
        <v>43746</v>
      </c>
      <c r="X723" s="105">
        <f t="shared" si="352"/>
        <v>9643.5</v>
      </c>
      <c r="Y723" s="198">
        <f t="shared" si="353"/>
        <v>2323500</v>
      </c>
      <c r="Z723" s="330" t="str">
        <f t="shared" si="349"/>
        <v/>
      </c>
      <c r="AA723" s="330" t="str">
        <f>IF(I723="买入","卖出","买入19-新14")</f>
        <v>买入19-新14</v>
      </c>
      <c r="AB723" s="104">
        <v>95</v>
      </c>
      <c r="AC723" s="321">
        <v>0.152</v>
      </c>
      <c r="AD723" s="322">
        <v>0.152</v>
      </c>
      <c r="AE723" s="104"/>
      <c r="AF723" s="105"/>
    </row>
    <row r="724" spans="1:32" ht="24.95" customHeight="1" x14ac:dyDescent="0.15">
      <c r="A724" s="316" t="s">
        <v>248</v>
      </c>
      <c r="B724" s="120" t="s">
        <v>263</v>
      </c>
      <c r="C724" s="316" t="str">
        <f t="shared" si="346"/>
        <v>到期</v>
      </c>
      <c r="D724" s="103" t="s">
        <v>1842</v>
      </c>
      <c r="E724" s="316" t="s">
        <v>298</v>
      </c>
      <c r="F724" s="48">
        <v>43711</v>
      </c>
      <c r="G724" s="331">
        <v>43746</v>
      </c>
      <c r="H724" s="330" t="s">
        <v>1278</v>
      </c>
      <c r="I724" s="330" t="s">
        <v>222</v>
      </c>
      <c r="J724" s="316" t="s">
        <v>56</v>
      </c>
      <c r="K724" s="105">
        <v>50</v>
      </c>
      <c r="L724" s="104">
        <v>48470</v>
      </c>
      <c r="M724" s="104">
        <v>46470</v>
      </c>
      <c r="N724" s="104">
        <f t="shared" si="354"/>
        <v>192.87</v>
      </c>
      <c r="O724" s="104">
        <f t="shared" si="351"/>
        <v>9643.5</v>
      </c>
      <c r="P724" s="232" t="s">
        <v>1360</v>
      </c>
      <c r="Q724" s="101" t="str">
        <f t="shared" si="355"/>
        <v>OTC-C00420-L</v>
      </c>
      <c r="R724" s="104"/>
      <c r="S724" s="104"/>
      <c r="T724" s="104"/>
      <c r="U724" s="104">
        <v>46770</v>
      </c>
      <c r="V724" s="104">
        <v>0</v>
      </c>
      <c r="W724" s="397">
        <v>43746</v>
      </c>
      <c r="X724" s="105">
        <f t="shared" si="352"/>
        <v>9643.5</v>
      </c>
      <c r="Y724" s="198">
        <f t="shared" si="353"/>
        <v>2323500</v>
      </c>
      <c r="Z724" s="330" t="str">
        <f t="shared" si="349"/>
        <v/>
      </c>
      <c r="AA724" s="330" t="s">
        <v>1348</v>
      </c>
      <c r="AB724" s="104">
        <v>95</v>
      </c>
      <c r="AC724" s="321">
        <v>0.152</v>
      </c>
      <c r="AD724" s="322">
        <v>0.152</v>
      </c>
      <c r="AE724" s="104"/>
      <c r="AF724" s="105"/>
    </row>
    <row r="725" spans="1:32" ht="24.95" customHeight="1" x14ac:dyDescent="0.15">
      <c r="A725" s="316" t="s">
        <v>248</v>
      </c>
      <c r="B725" s="120" t="s">
        <v>263</v>
      </c>
      <c r="C725" s="316" t="str">
        <f t="shared" si="346"/>
        <v>到期</v>
      </c>
      <c r="D725" s="103" t="s">
        <v>1842</v>
      </c>
      <c r="E725" s="316" t="s">
        <v>298</v>
      </c>
      <c r="F725" s="48">
        <v>43711</v>
      </c>
      <c r="G725" s="331">
        <v>43746</v>
      </c>
      <c r="H725" s="330" t="s">
        <v>1278</v>
      </c>
      <c r="I725" s="330" t="s">
        <v>222</v>
      </c>
      <c r="J725" s="316" t="s">
        <v>59</v>
      </c>
      <c r="K725" s="105">
        <v>50</v>
      </c>
      <c r="L725" s="104">
        <v>44750</v>
      </c>
      <c r="M725" s="104">
        <v>46470</v>
      </c>
      <c r="N725" s="104">
        <f t="shared" si="354"/>
        <v>192.87</v>
      </c>
      <c r="O725" s="104">
        <f t="shared" si="351"/>
        <v>9643.5</v>
      </c>
      <c r="P725" s="232" t="s">
        <v>1361</v>
      </c>
      <c r="Q725" s="101" t="str">
        <f t="shared" si="355"/>
        <v>OTC-C00420-L</v>
      </c>
      <c r="R725" s="104"/>
      <c r="S725" s="104"/>
      <c r="T725" s="104"/>
      <c r="U725" s="104">
        <v>46770</v>
      </c>
      <c r="V725" s="104">
        <v>0</v>
      </c>
      <c r="W725" s="397">
        <v>43746</v>
      </c>
      <c r="X725" s="105">
        <f t="shared" si="352"/>
        <v>9643.5</v>
      </c>
      <c r="Y725" s="198">
        <f t="shared" si="353"/>
        <v>2323500</v>
      </c>
      <c r="Z725" s="330" t="str">
        <f t="shared" si="349"/>
        <v/>
      </c>
      <c r="AA725" s="330" t="s">
        <v>1348</v>
      </c>
      <c r="AB725" s="104">
        <v>95</v>
      </c>
      <c r="AC725" s="321">
        <v>0.152</v>
      </c>
      <c r="AD725" s="322">
        <v>0.152</v>
      </c>
      <c r="AE725" s="104"/>
      <c r="AF725" s="105"/>
    </row>
    <row r="726" spans="1:32" ht="24.95" customHeight="1" x14ac:dyDescent="0.15">
      <c r="A726" s="316" t="s">
        <v>248</v>
      </c>
      <c r="B726" s="120" t="s">
        <v>263</v>
      </c>
      <c r="C726" s="316" t="str">
        <f t="shared" si="346"/>
        <v>到期</v>
      </c>
      <c r="D726" s="103" t="s">
        <v>1843</v>
      </c>
      <c r="E726" s="316" t="s">
        <v>298</v>
      </c>
      <c r="F726" s="48">
        <v>43711</v>
      </c>
      <c r="G726" s="331">
        <v>43746</v>
      </c>
      <c r="H726" s="330" t="s">
        <v>1278</v>
      </c>
      <c r="I726" s="330" t="s">
        <v>222</v>
      </c>
      <c r="J726" s="316" t="s">
        <v>56</v>
      </c>
      <c r="K726" s="105">
        <v>50</v>
      </c>
      <c r="L726" s="104">
        <v>48470</v>
      </c>
      <c r="M726" s="104">
        <v>46470</v>
      </c>
      <c r="N726" s="104">
        <f t="shared" si="354"/>
        <v>192.87</v>
      </c>
      <c r="O726" s="104">
        <f t="shared" si="351"/>
        <v>9643.5</v>
      </c>
      <c r="P726" s="232" t="s">
        <v>1362</v>
      </c>
      <c r="Q726" s="101" t="str">
        <f t="shared" si="355"/>
        <v>OTC-C00421-L</v>
      </c>
      <c r="R726" s="104"/>
      <c r="S726" s="104"/>
      <c r="T726" s="104"/>
      <c r="U726" s="104">
        <v>46770</v>
      </c>
      <c r="V726" s="104">
        <v>0</v>
      </c>
      <c r="W726" s="397">
        <v>43746</v>
      </c>
      <c r="X726" s="105">
        <f t="shared" si="352"/>
        <v>9643.5</v>
      </c>
      <c r="Y726" s="198">
        <f t="shared" si="353"/>
        <v>2323500</v>
      </c>
      <c r="Z726" s="330" t="str">
        <f t="shared" si="349"/>
        <v/>
      </c>
      <c r="AA726" s="330" t="s">
        <v>1348</v>
      </c>
      <c r="AB726" s="104">
        <v>95</v>
      </c>
      <c r="AC726" s="321">
        <v>0.152</v>
      </c>
      <c r="AD726" s="322">
        <v>0.152</v>
      </c>
      <c r="AE726" s="104"/>
      <c r="AF726" s="105"/>
    </row>
    <row r="727" spans="1:32" ht="24.95" customHeight="1" x14ac:dyDescent="0.15">
      <c r="A727" s="316" t="s">
        <v>248</v>
      </c>
      <c r="B727" s="120" t="s">
        <v>263</v>
      </c>
      <c r="C727" s="316" t="str">
        <f t="shared" si="346"/>
        <v>到期</v>
      </c>
      <c r="D727" s="103" t="s">
        <v>1843</v>
      </c>
      <c r="E727" s="316" t="s">
        <v>298</v>
      </c>
      <c r="F727" s="48">
        <v>43711</v>
      </c>
      <c r="G727" s="331">
        <v>43746</v>
      </c>
      <c r="H727" s="330" t="s">
        <v>1278</v>
      </c>
      <c r="I727" s="330" t="s">
        <v>222</v>
      </c>
      <c r="J727" s="316" t="s">
        <v>59</v>
      </c>
      <c r="K727" s="105">
        <v>50</v>
      </c>
      <c r="L727" s="104">
        <v>44750</v>
      </c>
      <c r="M727" s="104">
        <v>46470</v>
      </c>
      <c r="N727" s="104">
        <f t="shared" si="354"/>
        <v>192.87</v>
      </c>
      <c r="O727" s="104">
        <f t="shared" si="351"/>
        <v>9643.5</v>
      </c>
      <c r="P727" s="232" t="s">
        <v>1363</v>
      </c>
      <c r="Q727" s="101" t="str">
        <f t="shared" si="355"/>
        <v>OTC-C00421-L</v>
      </c>
      <c r="R727" s="104"/>
      <c r="S727" s="104"/>
      <c r="T727" s="104"/>
      <c r="U727" s="104">
        <v>46770</v>
      </c>
      <c r="V727" s="104">
        <v>0</v>
      </c>
      <c r="W727" s="397">
        <v>43746</v>
      </c>
      <c r="X727" s="105">
        <f t="shared" si="352"/>
        <v>9643.5</v>
      </c>
      <c r="Y727" s="198">
        <f t="shared" si="353"/>
        <v>2323500</v>
      </c>
      <c r="Z727" s="330" t="str">
        <f t="shared" si="349"/>
        <v/>
      </c>
      <c r="AA727" s="330" t="s">
        <v>1348</v>
      </c>
      <c r="AB727" s="104">
        <v>95</v>
      </c>
      <c r="AC727" s="321">
        <v>0.152</v>
      </c>
      <c r="AD727" s="322">
        <v>0.152</v>
      </c>
      <c r="AE727" s="104"/>
      <c r="AF727" s="105"/>
    </row>
    <row r="728" spans="1:32" ht="24.95" customHeight="1" x14ac:dyDescent="0.15">
      <c r="A728" s="316" t="s">
        <v>248</v>
      </c>
      <c r="B728" s="120" t="s">
        <v>263</v>
      </c>
      <c r="C728" s="316" t="str">
        <f t="shared" si="346"/>
        <v>到期</v>
      </c>
      <c r="D728" s="103" t="s">
        <v>1844</v>
      </c>
      <c r="E728" s="316" t="s">
        <v>298</v>
      </c>
      <c r="F728" s="48">
        <v>43711</v>
      </c>
      <c r="G728" s="331">
        <v>43746</v>
      </c>
      <c r="H728" s="330" t="s">
        <v>1278</v>
      </c>
      <c r="I728" s="330" t="s">
        <v>222</v>
      </c>
      <c r="J728" s="316" t="s">
        <v>56</v>
      </c>
      <c r="K728" s="105">
        <v>50</v>
      </c>
      <c r="L728" s="104">
        <v>48470</v>
      </c>
      <c r="M728" s="104">
        <v>46470</v>
      </c>
      <c r="N728" s="104">
        <f t="shared" si="354"/>
        <v>192.87</v>
      </c>
      <c r="O728" s="104">
        <f t="shared" si="351"/>
        <v>9643.5</v>
      </c>
      <c r="P728" s="232" t="s">
        <v>1364</v>
      </c>
      <c r="Q728" s="101" t="str">
        <f t="shared" si="355"/>
        <v>OTC-C00422-L</v>
      </c>
      <c r="R728" s="104"/>
      <c r="S728" s="104"/>
      <c r="T728" s="104"/>
      <c r="U728" s="104">
        <v>46770</v>
      </c>
      <c r="V728" s="104">
        <v>0</v>
      </c>
      <c r="W728" s="397">
        <v>43746</v>
      </c>
      <c r="X728" s="105">
        <f t="shared" si="352"/>
        <v>9643.5</v>
      </c>
      <c r="Y728" s="198">
        <f t="shared" si="353"/>
        <v>2323500</v>
      </c>
      <c r="Z728" s="330" t="str">
        <f t="shared" si="349"/>
        <v/>
      </c>
      <c r="AA728" s="330" t="s">
        <v>1348</v>
      </c>
      <c r="AB728" s="104">
        <v>95</v>
      </c>
      <c r="AC728" s="321">
        <v>0.152</v>
      </c>
      <c r="AD728" s="322">
        <v>0.152</v>
      </c>
      <c r="AE728" s="104"/>
      <c r="AF728" s="105"/>
    </row>
    <row r="729" spans="1:32" ht="24.95" customHeight="1" x14ac:dyDescent="0.15">
      <c r="A729" s="316" t="s">
        <v>248</v>
      </c>
      <c r="B729" s="120" t="s">
        <v>263</v>
      </c>
      <c r="C729" s="316" t="str">
        <f t="shared" si="346"/>
        <v>到期</v>
      </c>
      <c r="D729" s="103" t="s">
        <v>1844</v>
      </c>
      <c r="E729" s="316" t="s">
        <v>298</v>
      </c>
      <c r="F729" s="48">
        <v>43711</v>
      </c>
      <c r="G729" s="331">
        <v>43746</v>
      </c>
      <c r="H729" s="330" t="s">
        <v>1278</v>
      </c>
      <c r="I729" s="330" t="s">
        <v>222</v>
      </c>
      <c r="J729" s="316" t="s">
        <v>59</v>
      </c>
      <c r="K729" s="105">
        <v>50</v>
      </c>
      <c r="L729" s="104">
        <v>44750</v>
      </c>
      <c r="M729" s="104">
        <v>46470</v>
      </c>
      <c r="N729" s="104">
        <f t="shared" si="354"/>
        <v>192.87</v>
      </c>
      <c r="O729" s="104">
        <f t="shared" si="351"/>
        <v>9643.5</v>
      </c>
      <c r="P729" s="232" t="s">
        <v>1364</v>
      </c>
      <c r="Q729" s="101" t="str">
        <f t="shared" si="355"/>
        <v>OTC-C00422-L</v>
      </c>
      <c r="R729" s="104"/>
      <c r="S729" s="104"/>
      <c r="T729" s="104"/>
      <c r="U729" s="104">
        <v>46770</v>
      </c>
      <c r="V729" s="104">
        <v>0</v>
      </c>
      <c r="W729" s="397">
        <v>43746</v>
      </c>
      <c r="X729" s="105">
        <f t="shared" si="352"/>
        <v>9643.5</v>
      </c>
      <c r="Y729" s="198">
        <f t="shared" si="353"/>
        <v>2323500</v>
      </c>
      <c r="Z729" s="330" t="str">
        <f t="shared" si="349"/>
        <v/>
      </c>
      <c r="AA729" s="330" t="s">
        <v>1348</v>
      </c>
      <c r="AB729" s="104">
        <v>95</v>
      </c>
      <c r="AC729" s="321">
        <v>0.152</v>
      </c>
      <c r="AD729" s="322">
        <v>0.152</v>
      </c>
      <c r="AE729" s="104"/>
      <c r="AF729" s="105"/>
    </row>
    <row r="730" spans="1:32" ht="24.95" customHeight="1" x14ac:dyDescent="0.15">
      <c r="A730" s="316" t="s">
        <v>248</v>
      </c>
      <c r="B730" s="120" t="s">
        <v>263</v>
      </c>
      <c r="C730" s="316" t="str">
        <f t="shared" si="346"/>
        <v>到期</v>
      </c>
      <c r="D730" s="103" t="s">
        <v>1845</v>
      </c>
      <c r="E730" s="316" t="s">
        <v>298</v>
      </c>
      <c r="F730" s="48">
        <v>43711</v>
      </c>
      <c r="G730" s="331">
        <v>43746</v>
      </c>
      <c r="H730" s="330" t="s">
        <v>1278</v>
      </c>
      <c r="I730" s="330" t="s">
        <v>222</v>
      </c>
      <c r="J730" s="316" t="s">
        <v>56</v>
      </c>
      <c r="K730" s="105">
        <v>50</v>
      </c>
      <c r="L730" s="104">
        <v>48470</v>
      </c>
      <c r="M730" s="104">
        <v>46470</v>
      </c>
      <c r="N730" s="104">
        <f t="shared" si="354"/>
        <v>192.87</v>
      </c>
      <c r="O730" s="104">
        <f t="shared" si="351"/>
        <v>9643.5</v>
      </c>
      <c r="P730" s="232" t="s">
        <v>1365</v>
      </c>
      <c r="Q730" s="101" t="str">
        <f t="shared" si="355"/>
        <v>OTC-C00423-L</v>
      </c>
      <c r="R730" s="104"/>
      <c r="S730" s="104"/>
      <c r="T730" s="104"/>
      <c r="U730" s="104">
        <v>46770</v>
      </c>
      <c r="V730" s="104">
        <v>0</v>
      </c>
      <c r="W730" s="397">
        <v>43746</v>
      </c>
      <c r="X730" s="105">
        <f t="shared" si="352"/>
        <v>9643.5</v>
      </c>
      <c r="Y730" s="198">
        <f t="shared" si="353"/>
        <v>2323500</v>
      </c>
      <c r="Z730" s="330" t="str">
        <f t="shared" si="349"/>
        <v/>
      </c>
      <c r="AA730" s="330" t="s">
        <v>1348</v>
      </c>
      <c r="AB730" s="104">
        <v>95</v>
      </c>
      <c r="AC730" s="321">
        <v>0.152</v>
      </c>
      <c r="AD730" s="322">
        <v>0.152</v>
      </c>
      <c r="AE730" s="104"/>
      <c r="AF730" s="105"/>
    </row>
    <row r="731" spans="1:32" ht="24.95" customHeight="1" x14ac:dyDescent="0.15">
      <c r="A731" s="316" t="s">
        <v>248</v>
      </c>
      <c r="B731" s="120" t="s">
        <v>263</v>
      </c>
      <c r="C731" s="316" t="str">
        <f t="shared" si="346"/>
        <v>到期</v>
      </c>
      <c r="D731" s="103" t="s">
        <v>1845</v>
      </c>
      <c r="E731" s="316" t="s">
        <v>298</v>
      </c>
      <c r="F731" s="48">
        <v>43711</v>
      </c>
      <c r="G731" s="331">
        <v>43746</v>
      </c>
      <c r="H731" s="330" t="s">
        <v>1278</v>
      </c>
      <c r="I731" s="330" t="s">
        <v>222</v>
      </c>
      <c r="J731" s="316" t="s">
        <v>59</v>
      </c>
      <c r="K731" s="105">
        <v>50</v>
      </c>
      <c r="L731" s="104">
        <v>44750</v>
      </c>
      <c r="M731" s="104">
        <v>46470</v>
      </c>
      <c r="N731" s="104">
        <f t="shared" si="354"/>
        <v>192.87</v>
      </c>
      <c r="O731" s="104">
        <f t="shared" si="351"/>
        <v>9643.5</v>
      </c>
      <c r="P731" s="232" t="s">
        <v>1366</v>
      </c>
      <c r="Q731" s="101" t="str">
        <f t="shared" si="355"/>
        <v>OTC-C00423-L</v>
      </c>
      <c r="R731" s="104"/>
      <c r="S731" s="104"/>
      <c r="T731" s="104"/>
      <c r="U731" s="104">
        <v>46770</v>
      </c>
      <c r="V731" s="104">
        <v>0</v>
      </c>
      <c r="W731" s="397">
        <v>43746</v>
      </c>
      <c r="X731" s="105">
        <f t="shared" si="352"/>
        <v>9643.5</v>
      </c>
      <c r="Y731" s="198">
        <f t="shared" si="353"/>
        <v>2323500</v>
      </c>
      <c r="Z731" s="330" t="str">
        <f t="shared" si="349"/>
        <v/>
      </c>
      <c r="AA731" s="330" t="s">
        <v>1348</v>
      </c>
      <c r="AB731" s="104">
        <v>95</v>
      </c>
      <c r="AC731" s="321">
        <v>0.152</v>
      </c>
      <c r="AD731" s="322">
        <v>0.152</v>
      </c>
      <c r="AE731" s="104"/>
      <c r="AF731" s="105"/>
    </row>
    <row r="732" spans="1:32" ht="24.95" customHeight="1" x14ac:dyDescent="0.15">
      <c r="A732" s="316" t="s">
        <v>265</v>
      </c>
      <c r="B732" s="120" t="s">
        <v>263</v>
      </c>
      <c r="C732" s="316" t="str">
        <f t="shared" ref="C732:C745" si="356">IF(Q732="","存续","到期")</f>
        <v>到期</v>
      </c>
      <c r="D732" s="123" t="s">
        <v>1864</v>
      </c>
      <c r="E732" s="316" t="s">
        <v>298</v>
      </c>
      <c r="F732" s="336">
        <v>43712</v>
      </c>
      <c r="G732" s="336">
        <v>43727</v>
      </c>
      <c r="H732" s="335" t="s">
        <v>1399</v>
      </c>
      <c r="I732" s="335" t="s">
        <v>222</v>
      </c>
      <c r="J732" s="316" t="s">
        <v>223</v>
      </c>
      <c r="K732" s="335">
        <v>1000</v>
      </c>
      <c r="L732" s="335">
        <v>4555</v>
      </c>
      <c r="M732" s="335">
        <v>4555</v>
      </c>
      <c r="N732" s="335">
        <v>53.8</v>
      </c>
      <c r="O732" s="335">
        <f>N732*K732</f>
        <v>53800</v>
      </c>
      <c r="P732" s="232" t="s">
        <v>1350</v>
      </c>
      <c r="Q732" s="101" t="s">
        <v>1996</v>
      </c>
      <c r="R732" s="105">
        <v>438</v>
      </c>
      <c r="S732" s="105">
        <f>-R732*K732</f>
        <v>-438000</v>
      </c>
      <c r="T732" s="361">
        <v>43724</v>
      </c>
      <c r="U732" s="335">
        <v>4993</v>
      </c>
      <c r="V732" s="335"/>
      <c r="W732" s="335"/>
      <c r="X732" s="104">
        <f>IF(I732="买入",S732-O732,O732+S732)</f>
        <v>-384200</v>
      </c>
      <c r="Y732" s="335">
        <f t="shared" ref="Y732" si="357">ABS(M732*K732)</f>
        <v>4555000</v>
      </c>
      <c r="Z732" s="335" t="str">
        <f t="shared" ref="Z732" si="358">IF(C732="存续",D732&amp;H732&amp;"-"&amp;AA732,"")</f>
        <v/>
      </c>
      <c r="AA732" s="105" t="str">
        <f t="shared" ref="AA732" si="359">IF(I732="买入","卖出","买入")</f>
        <v>买入</v>
      </c>
      <c r="AB732" s="335">
        <v>96</v>
      </c>
      <c r="AC732" s="321">
        <v>0.14000000000000001</v>
      </c>
      <c r="AD732" s="205">
        <v>0.16</v>
      </c>
      <c r="AE732" s="335" t="s">
        <v>1335</v>
      </c>
      <c r="AF732" s="105">
        <f>K732*L732*0.5*(0.06+0.02)</f>
        <v>182200</v>
      </c>
    </row>
    <row r="733" spans="1:32" ht="24.95" customHeight="1" x14ac:dyDescent="0.15">
      <c r="A733" s="316" t="s">
        <v>265</v>
      </c>
      <c r="B733" s="120" t="s">
        <v>263</v>
      </c>
      <c r="C733" s="316" t="str">
        <f t="shared" si="356"/>
        <v>到期</v>
      </c>
      <c r="D733" s="123" t="s">
        <v>1332</v>
      </c>
      <c r="E733" s="316" t="s">
        <v>255</v>
      </c>
      <c r="F733" s="48">
        <v>43713</v>
      </c>
      <c r="G733" s="340">
        <v>43746</v>
      </c>
      <c r="H733" s="339" t="s">
        <v>1357</v>
      </c>
      <c r="I733" s="339" t="s">
        <v>241</v>
      </c>
      <c r="J733" s="316" t="s">
        <v>56</v>
      </c>
      <c r="K733" s="339">
        <v>200</v>
      </c>
      <c r="L733" s="339">
        <v>14330</v>
      </c>
      <c r="M733" s="339">
        <v>14330</v>
      </c>
      <c r="N733" s="339">
        <v>146.16999999999999</v>
      </c>
      <c r="O733" s="339">
        <f>N733*K733</f>
        <v>29233.999999999996</v>
      </c>
      <c r="P733" s="232" t="s">
        <v>1397</v>
      </c>
      <c r="Q733" s="101" t="str">
        <f>P733&amp;"-L"</f>
        <v>OTC-C00425-L</v>
      </c>
      <c r="R733" s="301"/>
      <c r="S733" s="301"/>
      <c r="T733" s="212"/>
      <c r="U733" s="104">
        <v>13960</v>
      </c>
      <c r="V733" s="104">
        <v>0</v>
      </c>
      <c r="W733" s="397">
        <v>43746</v>
      </c>
      <c r="X733" s="105">
        <f t="shared" ref="X733:X734" si="360">IF(I733="买入",V733-O733,V733+O733)</f>
        <v>-29233.999999999996</v>
      </c>
      <c r="Y733" s="198">
        <f>ABS(M733*K733)</f>
        <v>2866000</v>
      </c>
      <c r="Z733" s="339" t="str">
        <f>IF(C733="存续",D733&amp;H733&amp;"-"&amp;AA733,"")</f>
        <v/>
      </c>
      <c r="AA733" s="339" t="str">
        <f>IF(I733="买入","卖出","买入")</f>
        <v>卖出</v>
      </c>
      <c r="AB733" s="339">
        <v>97</v>
      </c>
      <c r="AC733" s="321">
        <v>9.6000000000000002E-2</v>
      </c>
      <c r="AD733" s="205">
        <v>7.5999999999999998E-2</v>
      </c>
      <c r="AE733" s="213"/>
      <c r="AF733" s="105"/>
    </row>
    <row r="734" spans="1:32" ht="24.95" customHeight="1" x14ac:dyDescent="0.15">
      <c r="A734" s="316" t="s">
        <v>265</v>
      </c>
      <c r="B734" s="120" t="s">
        <v>263</v>
      </c>
      <c r="C734" s="316" t="str">
        <f t="shared" si="356"/>
        <v>到期</v>
      </c>
      <c r="D734" s="123" t="s">
        <v>1332</v>
      </c>
      <c r="E734" s="316" t="s">
        <v>255</v>
      </c>
      <c r="F734" s="48">
        <v>43713</v>
      </c>
      <c r="G734" s="340">
        <v>43746</v>
      </c>
      <c r="H734" s="339" t="s">
        <v>1357</v>
      </c>
      <c r="I734" s="339" t="s">
        <v>1356</v>
      </c>
      <c r="J734" s="316" t="s">
        <v>59</v>
      </c>
      <c r="K734" s="339">
        <v>200</v>
      </c>
      <c r="L734" s="339">
        <v>14330</v>
      </c>
      <c r="M734" s="339">
        <v>14330</v>
      </c>
      <c r="N734" s="339">
        <v>146.16999999999999</v>
      </c>
      <c r="O734" s="339">
        <f>N734*K734</f>
        <v>29233.999999999996</v>
      </c>
      <c r="P734" s="232" t="s">
        <v>1398</v>
      </c>
      <c r="Q734" s="101" t="str">
        <f>P734&amp;"-L"</f>
        <v>OTC-C00425-L</v>
      </c>
      <c r="R734" s="301"/>
      <c r="S734" s="301"/>
      <c r="T734" s="212"/>
      <c r="U734" s="104">
        <v>13960</v>
      </c>
      <c r="V734" s="104">
        <f>(L734-U734)*K734</f>
        <v>74000</v>
      </c>
      <c r="W734" s="397">
        <v>43746</v>
      </c>
      <c r="X734" s="105">
        <f t="shared" si="360"/>
        <v>44766</v>
      </c>
      <c r="Y734" s="198">
        <f>ABS(M734*K734)</f>
        <v>2866000</v>
      </c>
      <c r="Z734" s="339" t="str">
        <f t="shared" ref="Z734:Z745" si="361">IF(C734="存续",D734&amp;H734&amp;"-"&amp;AA734,"")</f>
        <v/>
      </c>
      <c r="AA734" s="339" t="str">
        <f>IF(I734="买入","卖出","买入")</f>
        <v>卖出</v>
      </c>
      <c r="AB734" s="339">
        <v>97</v>
      </c>
      <c r="AC734" s="321">
        <v>9.6000000000000002E-2</v>
      </c>
      <c r="AD734" s="205">
        <v>7.5999999999999998E-2</v>
      </c>
      <c r="AE734" s="213"/>
      <c r="AF734" s="105"/>
    </row>
    <row r="735" spans="1:32" ht="24.95" customHeight="1" x14ac:dyDescent="0.15">
      <c r="A735" s="316" t="s">
        <v>248</v>
      </c>
      <c r="B735" s="316" t="s">
        <v>264</v>
      </c>
      <c r="C735" s="316" t="str">
        <f t="shared" si="356"/>
        <v>存续</v>
      </c>
      <c r="D735" s="100" t="s">
        <v>266</v>
      </c>
      <c r="E735" s="316" t="s">
        <v>137</v>
      </c>
      <c r="F735" s="48">
        <v>43714</v>
      </c>
      <c r="G735" s="48">
        <v>43896</v>
      </c>
      <c r="H735" s="48" t="s">
        <v>1396</v>
      </c>
      <c r="I735" s="342" t="s">
        <v>222</v>
      </c>
      <c r="J735" s="316" t="s">
        <v>59</v>
      </c>
      <c r="K735" s="104">
        <v>2500</v>
      </c>
      <c r="L735" s="104">
        <v>1906.1</v>
      </c>
      <c r="M735" s="104">
        <v>1945</v>
      </c>
      <c r="N735" s="104">
        <v>21.04</v>
      </c>
      <c r="O735" s="104">
        <f t="shared" ref="O735:O745" si="362">N735*K735</f>
        <v>52600</v>
      </c>
      <c r="P735" s="101" t="s">
        <v>1610</v>
      </c>
      <c r="Q735" s="101"/>
      <c r="R735" s="104"/>
      <c r="S735" s="104"/>
      <c r="T735" s="343"/>
      <c r="U735" s="104"/>
      <c r="V735" s="104"/>
      <c r="W735" s="104"/>
      <c r="X735" s="104"/>
      <c r="Y735" s="198">
        <f t="shared" ref="Y735:Y745" si="363">M735*K735</f>
        <v>4862500</v>
      </c>
      <c r="Z735" s="342" t="str">
        <f t="shared" si="361"/>
        <v>国泰君安风险管理有限公司c2005-买入</v>
      </c>
      <c r="AA735" s="342" t="str">
        <f t="shared" ref="AA735" si="364">IF(I735="买入","卖出","买入")</f>
        <v>买入</v>
      </c>
      <c r="AB735" s="342">
        <v>98</v>
      </c>
      <c r="AC735" s="321">
        <v>7.0999999999999994E-2</v>
      </c>
      <c r="AD735" s="204">
        <v>0.1</v>
      </c>
      <c r="AE735" s="342"/>
      <c r="AF735" s="104"/>
    </row>
    <row r="736" spans="1:32" ht="24.95" customHeight="1" x14ac:dyDescent="0.15">
      <c r="A736" s="316" t="s">
        <v>248</v>
      </c>
      <c r="B736" s="120" t="s">
        <v>263</v>
      </c>
      <c r="C736" s="316" t="str">
        <f t="shared" si="356"/>
        <v>到期</v>
      </c>
      <c r="D736" s="103" t="s">
        <v>1841</v>
      </c>
      <c r="E736" s="316" t="s">
        <v>298</v>
      </c>
      <c r="F736" s="48">
        <v>43718</v>
      </c>
      <c r="G736" s="347">
        <v>43746</v>
      </c>
      <c r="H736" s="346" t="s">
        <v>1278</v>
      </c>
      <c r="I736" s="346" t="s">
        <v>222</v>
      </c>
      <c r="J736" s="316" t="s">
        <v>56</v>
      </c>
      <c r="K736" s="105">
        <v>50</v>
      </c>
      <c r="L736" s="104">
        <v>49540</v>
      </c>
      <c r="M736" s="104">
        <v>47430</v>
      </c>
      <c r="N736" s="104">
        <f>393.71/2</f>
        <v>196.85499999999999</v>
      </c>
      <c r="O736" s="104">
        <f t="shared" si="362"/>
        <v>9842.75</v>
      </c>
      <c r="P736" s="232" t="s">
        <v>1407</v>
      </c>
      <c r="Q736" s="101" t="str">
        <f>P736&amp;"-L"</f>
        <v>OTC-C00427-L</v>
      </c>
      <c r="R736" s="104"/>
      <c r="S736" s="104"/>
      <c r="T736" s="104"/>
      <c r="U736" s="104">
        <v>46770</v>
      </c>
      <c r="V736" s="104">
        <v>0</v>
      </c>
      <c r="W736" s="397">
        <v>43746</v>
      </c>
      <c r="X736" s="105">
        <f t="shared" ref="X736:X744" si="365">IF(I736="买入",V736-O736,V736+O736)</f>
        <v>9842.75</v>
      </c>
      <c r="Y736" s="198">
        <f t="shared" si="363"/>
        <v>2371500</v>
      </c>
      <c r="Z736" s="346" t="str">
        <f t="shared" si="361"/>
        <v/>
      </c>
      <c r="AA736" s="346" t="str">
        <f>IF(I736="买入","卖出","买入19-新15")</f>
        <v>买入19-新15</v>
      </c>
      <c r="AB736" s="104">
        <v>99</v>
      </c>
      <c r="AC736" s="321">
        <v>0.152</v>
      </c>
      <c r="AD736" s="322">
        <v>0.152</v>
      </c>
      <c r="AE736" s="104"/>
      <c r="AF736" s="105"/>
    </row>
    <row r="737" spans="1:32" ht="24.95" customHeight="1" x14ac:dyDescent="0.15">
      <c r="A737" s="316" t="s">
        <v>248</v>
      </c>
      <c r="B737" s="120" t="s">
        <v>263</v>
      </c>
      <c r="C737" s="316" t="str">
        <f t="shared" si="356"/>
        <v>到期</v>
      </c>
      <c r="D737" s="103" t="s">
        <v>1841</v>
      </c>
      <c r="E737" s="316" t="s">
        <v>298</v>
      </c>
      <c r="F737" s="48">
        <v>43718</v>
      </c>
      <c r="G737" s="351">
        <v>43746</v>
      </c>
      <c r="H737" s="346" t="s">
        <v>1278</v>
      </c>
      <c r="I737" s="346" t="s">
        <v>222</v>
      </c>
      <c r="J737" s="316" t="s">
        <v>59</v>
      </c>
      <c r="K737" s="105">
        <v>50</v>
      </c>
      <c r="L737" s="104">
        <v>45750</v>
      </c>
      <c r="M737" s="104">
        <v>47430</v>
      </c>
      <c r="N737" s="104">
        <f t="shared" ref="N737:N745" si="366">393.71/2</f>
        <v>196.85499999999999</v>
      </c>
      <c r="O737" s="104">
        <f t="shared" si="362"/>
        <v>9842.75</v>
      </c>
      <c r="P737" s="232" t="s">
        <v>1407</v>
      </c>
      <c r="Q737" s="101" t="str">
        <f t="shared" ref="Q737:Q745" si="367">P737&amp;"-L"</f>
        <v>OTC-C00427-L</v>
      </c>
      <c r="R737" s="104"/>
      <c r="S737" s="104"/>
      <c r="T737" s="104"/>
      <c r="U737" s="104">
        <v>46770</v>
      </c>
      <c r="V737" s="104">
        <v>0</v>
      </c>
      <c r="W737" s="397">
        <v>43746</v>
      </c>
      <c r="X737" s="105">
        <f t="shared" si="365"/>
        <v>9842.75</v>
      </c>
      <c r="Y737" s="198">
        <f t="shared" si="363"/>
        <v>2371500</v>
      </c>
      <c r="Z737" s="346" t="str">
        <f t="shared" si="361"/>
        <v/>
      </c>
      <c r="AA737" s="346" t="s">
        <v>1400</v>
      </c>
      <c r="AB737" s="104">
        <v>99</v>
      </c>
      <c r="AC737" s="321">
        <v>0.152</v>
      </c>
      <c r="AD737" s="322">
        <v>0.152</v>
      </c>
      <c r="AE737" s="104"/>
      <c r="AF737" s="105"/>
    </row>
    <row r="738" spans="1:32" ht="24.95" customHeight="1" x14ac:dyDescent="0.15">
      <c r="A738" s="316" t="s">
        <v>248</v>
      </c>
      <c r="B738" s="120" t="s">
        <v>263</v>
      </c>
      <c r="C738" s="316" t="str">
        <f t="shared" si="356"/>
        <v>到期</v>
      </c>
      <c r="D738" s="103" t="s">
        <v>1842</v>
      </c>
      <c r="E738" s="316" t="s">
        <v>298</v>
      </c>
      <c r="F738" s="48">
        <v>43718</v>
      </c>
      <c r="G738" s="351">
        <v>43746</v>
      </c>
      <c r="H738" s="346" t="s">
        <v>1278</v>
      </c>
      <c r="I738" s="346" t="s">
        <v>222</v>
      </c>
      <c r="J738" s="316" t="s">
        <v>56</v>
      </c>
      <c r="K738" s="105">
        <v>50</v>
      </c>
      <c r="L738" s="104">
        <v>49540</v>
      </c>
      <c r="M738" s="104">
        <v>47430</v>
      </c>
      <c r="N738" s="104">
        <f t="shared" si="366"/>
        <v>196.85499999999999</v>
      </c>
      <c r="O738" s="104">
        <f t="shared" si="362"/>
        <v>9842.75</v>
      </c>
      <c r="P738" s="232" t="s">
        <v>1408</v>
      </c>
      <c r="Q738" s="101" t="str">
        <f t="shared" si="367"/>
        <v>OTC-C00428-L</v>
      </c>
      <c r="R738" s="104"/>
      <c r="S738" s="104"/>
      <c r="T738" s="104"/>
      <c r="U738" s="104">
        <v>46770</v>
      </c>
      <c r="V738" s="104">
        <v>0</v>
      </c>
      <c r="W738" s="397">
        <v>43746</v>
      </c>
      <c r="X738" s="105">
        <f t="shared" si="365"/>
        <v>9842.75</v>
      </c>
      <c r="Y738" s="198">
        <f t="shared" si="363"/>
        <v>2371500</v>
      </c>
      <c r="Z738" s="346" t="str">
        <f t="shared" si="361"/>
        <v/>
      </c>
      <c r="AA738" s="346" t="s">
        <v>1400</v>
      </c>
      <c r="AB738" s="104">
        <v>99</v>
      </c>
      <c r="AC738" s="321">
        <v>0.152</v>
      </c>
      <c r="AD738" s="322">
        <v>0.152</v>
      </c>
      <c r="AE738" s="104"/>
      <c r="AF738" s="105"/>
    </row>
    <row r="739" spans="1:32" ht="24.95" customHeight="1" x14ac:dyDescent="0.15">
      <c r="A739" s="316" t="s">
        <v>248</v>
      </c>
      <c r="B739" s="120" t="s">
        <v>263</v>
      </c>
      <c r="C739" s="316" t="str">
        <f t="shared" si="356"/>
        <v>到期</v>
      </c>
      <c r="D739" s="103" t="s">
        <v>1842</v>
      </c>
      <c r="E739" s="316" t="s">
        <v>298</v>
      </c>
      <c r="F739" s="48">
        <v>43718</v>
      </c>
      <c r="G739" s="351">
        <v>43746</v>
      </c>
      <c r="H739" s="346" t="s">
        <v>1278</v>
      </c>
      <c r="I739" s="346" t="s">
        <v>222</v>
      </c>
      <c r="J739" s="316" t="s">
        <v>59</v>
      </c>
      <c r="K739" s="105">
        <v>50</v>
      </c>
      <c r="L739" s="104">
        <v>45750</v>
      </c>
      <c r="M739" s="104">
        <v>47430</v>
      </c>
      <c r="N739" s="104">
        <f t="shared" si="366"/>
        <v>196.85499999999999</v>
      </c>
      <c r="O739" s="104">
        <f t="shared" si="362"/>
        <v>9842.75</v>
      </c>
      <c r="P739" s="232" t="s">
        <v>1408</v>
      </c>
      <c r="Q739" s="101" t="str">
        <f t="shared" si="367"/>
        <v>OTC-C00428-L</v>
      </c>
      <c r="R739" s="104"/>
      <c r="S739" s="104"/>
      <c r="T739" s="104"/>
      <c r="U739" s="104">
        <v>46770</v>
      </c>
      <c r="V739" s="104">
        <v>0</v>
      </c>
      <c r="W739" s="397">
        <v>43746</v>
      </c>
      <c r="X739" s="105">
        <f t="shared" si="365"/>
        <v>9842.75</v>
      </c>
      <c r="Y739" s="198">
        <f t="shared" si="363"/>
        <v>2371500</v>
      </c>
      <c r="Z739" s="346" t="str">
        <f t="shared" si="361"/>
        <v/>
      </c>
      <c r="AA739" s="346" t="s">
        <v>1400</v>
      </c>
      <c r="AB739" s="104">
        <v>99</v>
      </c>
      <c r="AC739" s="321">
        <v>0.152</v>
      </c>
      <c r="AD739" s="322">
        <v>0.152</v>
      </c>
      <c r="AE739" s="104"/>
      <c r="AF739" s="105"/>
    </row>
    <row r="740" spans="1:32" ht="24.95" customHeight="1" x14ac:dyDescent="0.15">
      <c r="A740" s="316" t="s">
        <v>248</v>
      </c>
      <c r="B740" s="120" t="s">
        <v>263</v>
      </c>
      <c r="C740" s="316" t="str">
        <f t="shared" si="356"/>
        <v>到期</v>
      </c>
      <c r="D740" s="103" t="s">
        <v>1843</v>
      </c>
      <c r="E740" s="316" t="s">
        <v>298</v>
      </c>
      <c r="F740" s="48">
        <v>43718</v>
      </c>
      <c r="G740" s="351">
        <v>43746</v>
      </c>
      <c r="H740" s="346" t="s">
        <v>1278</v>
      </c>
      <c r="I740" s="346" t="s">
        <v>222</v>
      </c>
      <c r="J740" s="316" t="s">
        <v>56</v>
      </c>
      <c r="K740" s="105">
        <v>50</v>
      </c>
      <c r="L740" s="104">
        <v>49540</v>
      </c>
      <c r="M740" s="104">
        <v>47430</v>
      </c>
      <c r="N740" s="104">
        <f t="shared" si="366"/>
        <v>196.85499999999999</v>
      </c>
      <c r="O740" s="104">
        <f t="shared" si="362"/>
        <v>9842.75</v>
      </c>
      <c r="P740" s="232" t="s">
        <v>1409</v>
      </c>
      <c r="Q740" s="101" t="str">
        <f t="shared" si="367"/>
        <v>OTC-C00429-L</v>
      </c>
      <c r="R740" s="104"/>
      <c r="S740" s="104"/>
      <c r="T740" s="104"/>
      <c r="U740" s="104">
        <v>46770</v>
      </c>
      <c r="V740" s="104">
        <v>0</v>
      </c>
      <c r="W740" s="397">
        <v>43746</v>
      </c>
      <c r="X740" s="105">
        <f t="shared" si="365"/>
        <v>9842.75</v>
      </c>
      <c r="Y740" s="198">
        <f t="shared" si="363"/>
        <v>2371500</v>
      </c>
      <c r="Z740" s="346" t="str">
        <f t="shared" si="361"/>
        <v/>
      </c>
      <c r="AA740" s="346" t="s">
        <v>1400</v>
      </c>
      <c r="AB740" s="104">
        <v>99</v>
      </c>
      <c r="AC740" s="321">
        <v>0.152</v>
      </c>
      <c r="AD740" s="322">
        <v>0.152</v>
      </c>
      <c r="AE740" s="104"/>
      <c r="AF740" s="105"/>
    </row>
    <row r="741" spans="1:32" ht="24.95" customHeight="1" x14ac:dyDescent="0.15">
      <c r="A741" s="316" t="s">
        <v>248</v>
      </c>
      <c r="B741" s="120" t="s">
        <v>263</v>
      </c>
      <c r="C741" s="316" t="str">
        <f t="shared" si="356"/>
        <v>到期</v>
      </c>
      <c r="D741" s="103" t="s">
        <v>1843</v>
      </c>
      <c r="E741" s="316" t="s">
        <v>298</v>
      </c>
      <c r="F741" s="48">
        <v>43718</v>
      </c>
      <c r="G741" s="351">
        <v>43746</v>
      </c>
      <c r="H741" s="346" t="s">
        <v>1278</v>
      </c>
      <c r="I741" s="346" t="s">
        <v>222</v>
      </c>
      <c r="J741" s="316" t="s">
        <v>59</v>
      </c>
      <c r="K741" s="105">
        <v>50</v>
      </c>
      <c r="L741" s="104">
        <v>45750</v>
      </c>
      <c r="M741" s="104">
        <v>47430</v>
      </c>
      <c r="N741" s="104">
        <f t="shared" si="366"/>
        <v>196.85499999999999</v>
      </c>
      <c r="O741" s="104">
        <f t="shared" si="362"/>
        <v>9842.75</v>
      </c>
      <c r="P741" s="232" t="s">
        <v>1409</v>
      </c>
      <c r="Q741" s="101" t="str">
        <f t="shared" si="367"/>
        <v>OTC-C00429-L</v>
      </c>
      <c r="R741" s="104"/>
      <c r="S741" s="104"/>
      <c r="T741" s="104"/>
      <c r="U741" s="104">
        <v>46770</v>
      </c>
      <c r="V741" s="104">
        <v>0</v>
      </c>
      <c r="W741" s="397">
        <v>43746</v>
      </c>
      <c r="X741" s="105">
        <f t="shared" si="365"/>
        <v>9842.75</v>
      </c>
      <c r="Y741" s="198">
        <f t="shared" si="363"/>
        <v>2371500</v>
      </c>
      <c r="Z741" s="346" t="str">
        <f t="shared" si="361"/>
        <v/>
      </c>
      <c r="AA741" s="346" t="s">
        <v>1400</v>
      </c>
      <c r="AB741" s="104">
        <v>99</v>
      </c>
      <c r="AC741" s="321">
        <v>0.152</v>
      </c>
      <c r="AD741" s="322">
        <v>0.152</v>
      </c>
      <c r="AE741" s="104"/>
      <c r="AF741" s="105"/>
    </row>
    <row r="742" spans="1:32" ht="24.95" customHeight="1" x14ac:dyDescent="0.15">
      <c r="A742" s="316" t="s">
        <v>248</v>
      </c>
      <c r="B742" s="120" t="s">
        <v>263</v>
      </c>
      <c r="C742" s="316" t="str">
        <f t="shared" si="356"/>
        <v>到期</v>
      </c>
      <c r="D742" s="103" t="s">
        <v>1844</v>
      </c>
      <c r="E742" s="316" t="s">
        <v>298</v>
      </c>
      <c r="F742" s="48">
        <v>43718</v>
      </c>
      <c r="G742" s="351">
        <v>43746</v>
      </c>
      <c r="H742" s="346" t="s">
        <v>1278</v>
      </c>
      <c r="I742" s="346" t="s">
        <v>222</v>
      </c>
      <c r="J742" s="316" t="s">
        <v>56</v>
      </c>
      <c r="K742" s="105">
        <v>50</v>
      </c>
      <c r="L742" s="104">
        <v>49540</v>
      </c>
      <c r="M742" s="104">
        <v>47430</v>
      </c>
      <c r="N742" s="104">
        <f t="shared" si="366"/>
        <v>196.85499999999999</v>
      </c>
      <c r="O742" s="104">
        <f t="shared" si="362"/>
        <v>9842.75</v>
      </c>
      <c r="P742" s="232" t="s">
        <v>1410</v>
      </c>
      <c r="Q742" s="101" t="str">
        <f>P742&amp;"-L"</f>
        <v>OTC-C00430-L</v>
      </c>
      <c r="R742" s="104"/>
      <c r="S742" s="104"/>
      <c r="T742" s="104"/>
      <c r="U742" s="104">
        <v>46770</v>
      </c>
      <c r="V742" s="104">
        <v>0</v>
      </c>
      <c r="W742" s="397">
        <v>43746</v>
      </c>
      <c r="X742" s="105">
        <f t="shared" si="365"/>
        <v>9842.75</v>
      </c>
      <c r="Y742" s="198">
        <f t="shared" si="363"/>
        <v>2371500</v>
      </c>
      <c r="Z742" s="346" t="str">
        <f t="shared" si="361"/>
        <v/>
      </c>
      <c r="AA742" s="346" t="s">
        <v>1400</v>
      </c>
      <c r="AB742" s="104">
        <v>99</v>
      </c>
      <c r="AC742" s="321">
        <v>0.152</v>
      </c>
      <c r="AD742" s="322">
        <v>0.152</v>
      </c>
      <c r="AE742" s="104"/>
      <c r="AF742" s="105"/>
    </row>
    <row r="743" spans="1:32" ht="24.95" customHeight="1" x14ac:dyDescent="0.15">
      <c r="A743" s="316" t="s">
        <v>248</v>
      </c>
      <c r="B743" s="120" t="s">
        <v>263</v>
      </c>
      <c r="C743" s="316" t="str">
        <f t="shared" si="356"/>
        <v>到期</v>
      </c>
      <c r="D743" s="103" t="s">
        <v>1844</v>
      </c>
      <c r="E743" s="316" t="s">
        <v>298</v>
      </c>
      <c r="F743" s="48">
        <v>43718</v>
      </c>
      <c r="G743" s="351">
        <v>43746</v>
      </c>
      <c r="H743" s="346" t="s">
        <v>1278</v>
      </c>
      <c r="I743" s="346" t="s">
        <v>222</v>
      </c>
      <c r="J743" s="316" t="s">
        <v>59</v>
      </c>
      <c r="K743" s="105">
        <v>50</v>
      </c>
      <c r="L743" s="104">
        <v>45750</v>
      </c>
      <c r="M743" s="104">
        <v>47430</v>
      </c>
      <c r="N743" s="104">
        <f t="shared" si="366"/>
        <v>196.85499999999999</v>
      </c>
      <c r="O743" s="104">
        <f t="shared" si="362"/>
        <v>9842.75</v>
      </c>
      <c r="P743" s="232" t="s">
        <v>1410</v>
      </c>
      <c r="Q743" s="101" t="str">
        <f t="shared" si="367"/>
        <v>OTC-C00430-L</v>
      </c>
      <c r="R743" s="104"/>
      <c r="S743" s="104"/>
      <c r="T743" s="104"/>
      <c r="U743" s="104">
        <v>46770</v>
      </c>
      <c r="V743" s="104">
        <v>0</v>
      </c>
      <c r="W743" s="397">
        <v>43746</v>
      </c>
      <c r="X743" s="105">
        <f t="shared" si="365"/>
        <v>9842.75</v>
      </c>
      <c r="Y743" s="198">
        <f t="shared" si="363"/>
        <v>2371500</v>
      </c>
      <c r="Z743" s="346" t="str">
        <f t="shared" si="361"/>
        <v/>
      </c>
      <c r="AA743" s="346" t="s">
        <v>1400</v>
      </c>
      <c r="AB743" s="104">
        <v>99</v>
      </c>
      <c r="AC743" s="321">
        <v>0.152</v>
      </c>
      <c r="AD743" s="322">
        <v>0.152</v>
      </c>
      <c r="AE743" s="104"/>
      <c r="AF743" s="105"/>
    </row>
    <row r="744" spans="1:32" ht="24.95" customHeight="1" x14ac:dyDescent="0.15">
      <c r="A744" s="316" t="s">
        <v>248</v>
      </c>
      <c r="B744" s="120" t="s">
        <v>263</v>
      </c>
      <c r="C744" s="316" t="str">
        <f t="shared" si="356"/>
        <v>到期</v>
      </c>
      <c r="D744" s="103" t="s">
        <v>1845</v>
      </c>
      <c r="E744" s="316" t="s">
        <v>298</v>
      </c>
      <c r="F744" s="48">
        <v>43718</v>
      </c>
      <c r="G744" s="351">
        <v>43746</v>
      </c>
      <c r="H744" s="346" t="s">
        <v>1278</v>
      </c>
      <c r="I744" s="346" t="s">
        <v>222</v>
      </c>
      <c r="J744" s="316" t="s">
        <v>56</v>
      </c>
      <c r="K744" s="105">
        <v>50</v>
      </c>
      <c r="L744" s="104">
        <v>49540</v>
      </c>
      <c r="M744" s="104">
        <v>47430</v>
      </c>
      <c r="N744" s="104">
        <f t="shared" si="366"/>
        <v>196.85499999999999</v>
      </c>
      <c r="O744" s="104">
        <f t="shared" si="362"/>
        <v>9842.75</v>
      </c>
      <c r="P744" s="232" t="s">
        <v>1411</v>
      </c>
      <c r="Q744" s="101" t="str">
        <f t="shared" si="367"/>
        <v>OTC-C00431-L</v>
      </c>
      <c r="R744" s="104"/>
      <c r="S744" s="104"/>
      <c r="T744" s="104"/>
      <c r="U744" s="104">
        <v>46770</v>
      </c>
      <c r="V744" s="104">
        <v>0</v>
      </c>
      <c r="W744" s="397">
        <v>43746</v>
      </c>
      <c r="X744" s="105">
        <f t="shared" si="365"/>
        <v>9842.75</v>
      </c>
      <c r="Y744" s="198">
        <f t="shared" si="363"/>
        <v>2371500</v>
      </c>
      <c r="Z744" s="346" t="str">
        <f t="shared" si="361"/>
        <v/>
      </c>
      <c r="AA744" s="346" t="s">
        <v>1400</v>
      </c>
      <c r="AB744" s="104">
        <v>99</v>
      </c>
      <c r="AC744" s="321">
        <v>0.152</v>
      </c>
      <c r="AD744" s="322">
        <v>0.152</v>
      </c>
      <c r="AE744" s="104"/>
      <c r="AF744" s="105"/>
    </row>
    <row r="745" spans="1:32" ht="24.95" customHeight="1" x14ac:dyDescent="0.15">
      <c r="A745" s="316" t="s">
        <v>248</v>
      </c>
      <c r="B745" s="120" t="s">
        <v>263</v>
      </c>
      <c r="C745" s="316" t="str">
        <f t="shared" si="356"/>
        <v>到期</v>
      </c>
      <c r="D745" s="103" t="s">
        <v>1845</v>
      </c>
      <c r="E745" s="316" t="s">
        <v>298</v>
      </c>
      <c r="F745" s="48">
        <v>43718</v>
      </c>
      <c r="G745" s="351">
        <v>43746</v>
      </c>
      <c r="H745" s="346" t="s">
        <v>1278</v>
      </c>
      <c r="I745" s="346" t="s">
        <v>222</v>
      </c>
      <c r="J745" s="316" t="s">
        <v>59</v>
      </c>
      <c r="K745" s="105">
        <v>50</v>
      </c>
      <c r="L745" s="104">
        <v>45750</v>
      </c>
      <c r="M745" s="104">
        <v>47430</v>
      </c>
      <c r="N745" s="104">
        <f t="shared" si="366"/>
        <v>196.85499999999999</v>
      </c>
      <c r="O745" s="104">
        <f t="shared" si="362"/>
        <v>9842.75</v>
      </c>
      <c r="P745" s="232" t="s">
        <v>1411</v>
      </c>
      <c r="Q745" s="101" t="str">
        <f t="shared" si="367"/>
        <v>OTC-C00431-L</v>
      </c>
      <c r="R745" s="104"/>
      <c r="S745" s="104"/>
      <c r="T745" s="104"/>
      <c r="U745" s="104">
        <v>46770</v>
      </c>
      <c r="V745" s="104">
        <v>0</v>
      </c>
      <c r="W745" s="397">
        <v>43746</v>
      </c>
      <c r="X745" s="105">
        <f>IF(I745="买入",V745-O745,V745+O745)</f>
        <v>9842.75</v>
      </c>
      <c r="Y745" s="198">
        <f t="shared" si="363"/>
        <v>2371500</v>
      </c>
      <c r="Z745" s="346" t="str">
        <f t="shared" si="361"/>
        <v/>
      </c>
      <c r="AA745" s="346" t="s">
        <v>1400</v>
      </c>
      <c r="AB745" s="104">
        <v>99</v>
      </c>
      <c r="AC745" s="321">
        <v>0.152</v>
      </c>
      <c r="AD745" s="322">
        <v>0.152</v>
      </c>
      <c r="AE745" s="104"/>
      <c r="AF745" s="105"/>
    </row>
    <row r="746" spans="1:32" ht="24.95" customHeight="1" x14ac:dyDescent="0.15">
      <c r="A746" s="316" t="s">
        <v>265</v>
      </c>
      <c r="B746" s="120" t="s">
        <v>263</v>
      </c>
      <c r="C746" s="316" t="str">
        <f t="shared" ref="C746" si="368">IF(Q746="","存续","到期")</f>
        <v>到期</v>
      </c>
      <c r="D746" s="123" t="s">
        <v>1870</v>
      </c>
      <c r="E746" s="316" t="s">
        <v>1401</v>
      </c>
      <c r="F746" s="48">
        <v>43718</v>
      </c>
      <c r="G746" s="349">
        <v>43733</v>
      </c>
      <c r="H746" s="348" t="s">
        <v>1403</v>
      </c>
      <c r="I746" s="348" t="s">
        <v>1402</v>
      </c>
      <c r="J746" s="316" t="s">
        <v>59</v>
      </c>
      <c r="K746" s="348">
        <v>300</v>
      </c>
      <c r="L746" s="348">
        <v>5210</v>
      </c>
      <c r="M746" s="348">
        <v>5210</v>
      </c>
      <c r="N746" s="348">
        <v>77.11</v>
      </c>
      <c r="O746" s="348">
        <f>N746*K746</f>
        <v>23133</v>
      </c>
      <c r="P746" s="232" t="s">
        <v>1412</v>
      </c>
      <c r="Q746" s="101" t="s">
        <v>1997</v>
      </c>
      <c r="R746" s="301"/>
      <c r="S746" s="301"/>
      <c r="T746" s="212"/>
      <c r="U746" s="388">
        <v>5144</v>
      </c>
      <c r="V746" s="388">
        <f>-(L746-U746)*K746</f>
        <v>-19800</v>
      </c>
      <c r="W746" s="387">
        <v>43733</v>
      </c>
      <c r="X746" s="105">
        <f t="shared" ref="X746" si="369">IF(I746="买入",V746-O746,V746+O746)</f>
        <v>3333</v>
      </c>
      <c r="Y746" s="198">
        <f>ABS(M746*K746)</f>
        <v>1563000</v>
      </c>
      <c r="Z746" s="348" t="str">
        <f t="shared" ref="Z746:Z751" si="370">IF(C746="存续",D746&amp;H746&amp;"-"&amp;AA746,"")</f>
        <v/>
      </c>
      <c r="AA746" s="348" t="str">
        <f>IF(I746="买入","卖出","买入")</f>
        <v>买入</v>
      </c>
      <c r="AB746" s="348">
        <v>100</v>
      </c>
      <c r="AC746" s="321">
        <v>0.182</v>
      </c>
      <c r="AD746" s="205">
        <v>0.21199999999999999</v>
      </c>
      <c r="AE746" s="213"/>
      <c r="AF746" s="353">
        <f>K746*L746*0.5056*0.08</f>
        <v>63220.224000000002</v>
      </c>
    </row>
    <row r="747" spans="1:32" ht="24.95" customHeight="1" x14ac:dyDescent="0.15">
      <c r="A747" s="316" t="s">
        <v>265</v>
      </c>
      <c r="B747" s="120" t="s">
        <v>263</v>
      </c>
      <c r="C747" s="316" t="str">
        <f t="shared" ref="C747:C751" si="371">IF(Q747="","存续","到期")</f>
        <v>到期</v>
      </c>
      <c r="D747" s="123" t="s">
        <v>1871</v>
      </c>
      <c r="E747" s="316" t="s">
        <v>1401</v>
      </c>
      <c r="F747" s="48">
        <v>43718</v>
      </c>
      <c r="G747" s="351">
        <v>43754</v>
      </c>
      <c r="H747" s="350" t="s">
        <v>1404</v>
      </c>
      <c r="I747" s="350" t="s">
        <v>1405</v>
      </c>
      <c r="J747" s="316" t="s">
        <v>1406</v>
      </c>
      <c r="K747" s="350">
        <v>2000</v>
      </c>
      <c r="L747" s="350">
        <v>4748</v>
      </c>
      <c r="M747" s="350">
        <v>4748</v>
      </c>
      <c r="N747" s="350">
        <v>89.9</v>
      </c>
      <c r="O747" s="350">
        <f>N747*K747</f>
        <v>179800</v>
      </c>
      <c r="P747" s="232" t="s">
        <v>1413</v>
      </c>
      <c r="Q747" s="101" t="s">
        <v>1998</v>
      </c>
      <c r="R747" s="105">
        <v>552</v>
      </c>
      <c r="S747" s="105">
        <f>R747*K747</f>
        <v>1104000</v>
      </c>
      <c r="T747" s="48">
        <v>43725</v>
      </c>
      <c r="U747" s="364">
        <v>5300</v>
      </c>
      <c r="V747" s="212"/>
      <c r="W747" s="212"/>
      <c r="X747" s="104">
        <f>IF(I747="买入",S747-O747,O747+S747)</f>
        <v>924200</v>
      </c>
      <c r="Y747" s="198">
        <f>ABS(M747*K747)</f>
        <v>9496000</v>
      </c>
      <c r="Z747" s="350" t="str">
        <f t="shared" si="370"/>
        <v/>
      </c>
      <c r="AA747" s="350" t="str">
        <f>IF(I747="买入","卖出","买入")</f>
        <v>卖出</v>
      </c>
      <c r="AB747" s="350">
        <v>101</v>
      </c>
      <c r="AC747" s="321">
        <v>0.17</v>
      </c>
      <c r="AD747" s="205">
        <v>0.14000000000000001</v>
      </c>
      <c r="AE747" s="352" t="s">
        <v>1335</v>
      </c>
      <c r="AF747" s="105"/>
    </row>
    <row r="748" spans="1:32" ht="24.75" customHeight="1" x14ac:dyDescent="0.15">
      <c r="A748" s="316" t="s">
        <v>394</v>
      </c>
      <c r="B748" s="316" t="s">
        <v>264</v>
      </c>
      <c r="C748" s="316" t="str">
        <f>IF(Q748="","存续","到期")</f>
        <v>到期</v>
      </c>
      <c r="D748" s="128" t="s">
        <v>1846</v>
      </c>
      <c r="E748" s="316" t="s">
        <v>255</v>
      </c>
      <c r="F748" s="355">
        <v>43719</v>
      </c>
      <c r="G748" s="355">
        <v>43825</v>
      </c>
      <c r="H748" s="354" t="s">
        <v>991</v>
      </c>
      <c r="I748" s="354" t="s">
        <v>998</v>
      </c>
      <c r="J748" s="316" t="s">
        <v>986</v>
      </c>
      <c r="K748" s="354">
        <v>10000</v>
      </c>
      <c r="L748" s="354">
        <v>661</v>
      </c>
      <c r="M748" s="354">
        <v>661</v>
      </c>
      <c r="N748" s="354">
        <v>0</v>
      </c>
      <c r="O748" s="354">
        <f>N748*K748</f>
        <v>0</v>
      </c>
      <c r="P748" s="101" t="s">
        <v>1540</v>
      </c>
      <c r="Q748" s="101" t="s">
        <v>1999</v>
      </c>
      <c r="R748" s="105">
        <f>U748-L748</f>
        <v>10</v>
      </c>
      <c r="S748" s="105">
        <f t="shared" ref="S748:S749" si="372">R748*K748</f>
        <v>100000</v>
      </c>
      <c r="T748" s="368">
        <v>43725</v>
      </c>
      <c r="U748" s="364">
        <v>671</v>
      </c>
      <c r="V748" s="354"/>
      <c r="W748" s="354"/>
      <c r="X748" s="104">
        <f t="shared" ref="X748:X749" si="373">IF(I748="买入",S748-O748,O748+S748)</f>
        <v>100000</v>
      </c>
      <c r="Y748" s="354">
        <f>ABS(M748*K748)</f>
        <v>6610000</v>
      </c>
      <c r="Z748" s="354" t="str">
        <f>IF(C748="存续",D748&amp;H748&amp;"-"&amp;AA748,"")</f>
        <v/>
      </c>
      <c r="AA748" s="105" t="str">
        <f>IF(I748="买入","卖出","买入")</f>
        <v>卖出</v>
      </c>
      <c r="AB748" s="354">
        <v>102</v>
      </c>
      <c r="AC748" s="321"/>
      <c r="AD748" s="321"/>
      <c r="AE748" s="113" t="s">
        <v>1716</v>
      </c>
      <c r="AF748" s="105"/>
    </row>
    <row r="749" spans="1:32" ht="24.95" customHeight="1" x14ac:dyDescent="0.15">
      <c r="A749" s="316" t="s">
        <v>394</v>
      </c>
      <c r="B749" s="316" t="s">
        <v>264</v>
      </c>
      <c r="C749" s="316" t="str">
        <f t="shared" si="371"/>
        <v>到期</v>
      </c>
      <c r="D749" s="128" t="s">
        <v>1846</v>
      </c>
      <c r="E749" s="316" t="s">
        <v>255</v>
      </c>
      <c r="F749" s="355">
        <v>43719</v>
      </c>
      <c r="G749" s="355">
        <v>43825</v>
      </c>
      <c r="H749" s="354" t="s">
        <v>1212</v>
      </c>
      <c r="I749" s="354" t="s">
        <v>1432</v>
      </c>
      <c r="J749" s="316" t="s">
        <v>979</v>
      </c>
      <c r="K749" s="354">
        <v>10000</v>
      </c>
      <c r="L749" s="354">
        <v>661</v>
      </c>
      <c r="M749" s="354">
        <v>661</v>
      </c>
      <c r="N749" s="354">
        <v>0</v>
      </c>
      <c r="O749" s="354">
        <f>N749*K749</f>
        <v>0</v>
      </c>
      <c r="P749" s="101" t="s">
        <v>1541</v>
      </c>
      <c r="Q749" s="101" t="s">
        <v>1999</v>
      </c>
      <c r="R749" s="105">
        <v>0</v>
      </c>
      <c r="S749" s="105">
        <f t="shared" si="372"/>
        <v>0</v>
      </c>
      <c r="T749" s="368">
        <v>43725</v>
      </c>
      <c r="U749" s="364">
        <v>671</v>
      </c>
      <c r="V749" s="354"/>
      <c r="W749" s="354"/>
      <c r="X749" s="104">
        <f t="shared" si="373"/>
        <v>0</v>
      </c>
      <c r="Y749" s="354">
        <f t="shared" ref="Y749" si="374">ABS(M749*K749)</f>
        <v>6610000</v>
      </c>
      <c r="Z749" s="354" t="str">
        <f t="shared" si="370"/>
        <v/>
      </c>
      <c r="AA749" s="105" t="str">
        <f t="shared" ref="AA749:AA751" si="375">IF(I749="买入","卖出","买入")</f>
        <v>买入</v>
      </c>
      <c r="AB749" s="354">
        <v>102</v>
      </c>
      <c r="AC749" s="321"/>
      <c r="AD749" s="321"/>
      <c r="AE749" s="113" t="s">
        <v>1716</v>
      </c>
      <c r="AF749" s="105"/>
    </row>
    <row r="750" spans="1:32" ht="24.95" customHeight="1" x14ac:dyDescent="0.15">
      <c r="A750" s="316" t="s">
        <v>248</v>
      </c>
      <c r="B750" s="120" t="s">
        <v>263</v>
      </c>
      <c r="C750" s="316" t="str">
        <f t="shared" si="371"/>
        <v>到期</v>
      </c>
      <c r="D750" s="100" t="s">
        <v>1527</v>
      </c>
      <c r="E750" s="316" t="s">
        <v>255</v>
      </c>
      <c r="F750" s="48">
        <v>43717</v>
      </c>
      <c r="G750" s="360">
        <v>43808</v>
      </c>
      <c r="H750" s="359" t="s">
        <v>1438</v>
      </c>
      <c r="I750" s="359" t="s">
        <v>241</v>
      </c>
      <c r="J750" s="316" t="s">
        <v>1439</v>
      </c>
      <c r="K750" s="105">
        <v>25</v>
      </c>
      <c r="L750" s="104"/>
      <c r="M750" s="104">
        <v>5797.25</v>
      </c>
      <c r="N750" s="104"/>
      <c r="O750" s="104">
        <f t="shared" ref="O750:O751" si="376">N750*K750</f>
        <v>0</v>
      </c>
      <c r="P750" s="104" t="s">
        <v>1433</v>
      </c>
      <c r="Q750" s="101" t="s">
        <v>2000</v>
      </c>
      <c r="R750" s="104"/>
      <c r="S750" s="104"/>
      <c r="T750" s="48">
        <v>43719</v>
      </c>
      <c r="U750" s="104">
        <v>5805.75</v>
      </c>
      <c r="V750" s="104"/>
      <c r="W750" s="104"/>
      <c r="X750" s="104">
        <v>1512.41</v>
      </c>
      <c r="Y750" s="198">
        <f>M750*K750</f>
        <v>144931.25</v>
      </c>
      <c r="Z750" s="359" t="str">
        <f t="shared" si="370"/>
        <v/>
      </c>
      <c r="AA750" s="105" t="str">
        <f t="shared" si="375"/>
        <v>卖出</v>
      </c>
      <c r="AB750" s="105">
        <v>103</v>
      </c>
      <c r="AC750" s="321"/>
      <c r="AD750" s="321"/>
      <c r="AE750" s="359" t="s">
        <v>1313</v>
      </c>
      <c r="AF750" s="105"/>
    </row>
    <row r="751" spans="1:32" ht="24.95" customHeight="1" x14ac:dyDescent="0.15">
      <c r="A751" s="316" t="s">
        <v>248</v>
      </c>
      <c r="B751" s="120" t="s">
        <v>263</v>
      </c>
      <c r="C751" s="316" t="str">
        <f t="shared" si="371"/>
        <v>到期</v>
      </c>
      <c r="D751" s="100" t="s">
        <v>1527</v>
      </c>
      <c r="E751" s="316" t="s">
        <v>255</v>
      </c>
      <c r="F751" s="48">
        <v>43717</v>
      </c>
      <c r="G751" s="360">
        <v>43808</v>
      </c>
      <c r="H751" s="359" t="s">
        <v>1435</v>
      </c>
      <c r="I751" s="359" t="s">
        <v>222</v>
      </c>
      <c r="J751" s="316" t="s">
        <v>1313</v>
      </c>
      <c r="K751" s="105">
        <v>25</v>
      </c>
      <c r="L751" s="104"/>
      <c r="M751" s="104">
        <v>5800.75</v>
      </c>
      <c r="N751" s="104"/>
      <c r="O751" s="104">
        <f t="shared" si="376"/>
        <v>0</v>
      </c>
      <c r="P751" s="104" t="s">
        <v>1434</v>
      </c>
      <c r="Q751" s="101" t="s">
        <v>2001</v>
      </c>
      <c r="R751" s="104"/>
      <c r="S751" s="104"/>
      <c r="T751" s="48">
        <v>43719</v>
      </c>
      <c r="U751" s="104">
        <v>5800</v>
      </c>
      <c r="V751" s="104"/>
      <c r="W751" s="104"/>
      <c r="X751" s="104">
        <v>133.44</v>
      </c>
      <c r="Y751" s="198">
        <f t="shared" ref="Y751" si="377">M751*K751</f>
        <v>145018.75</v>
      </c>
      <c r="Z751" s="359" t="str">
        <f t="shared" si="370"/>
        <v/>
      </c>
      <c r="AA751" s="105" t="str">
        <f t="shared" si="375"/>
        <v>买入</v>
      </c>
      <c r="AB751" s="105">
        <v>104</v>
      </c>
      <c r="AC751" s="321"/>
      <c r="AD751" s="321"/>
      <c r="AE751" s="359" t="s">
        <v>1313</v>
      </c>
      <c r="AF751" s="105"/>
    </row>
    <row r="752" spans="1:32" ht="24.95" customHeight="1" x14ac:dyDescent="0.15">
      <c r="A752" s="316" t="s">
        <v>265</v>
      </c>
      <c r="B752" s="120" t="s">
        <v>263</v>
      </c>
      <c r="C752" s="316" t="str">
        <f t="shared" ref="C752:C766" si="378">IF(Q752="","存续","到期")</f>
        <v>到期</v>
      </c>
      <c r="D752" s="123" t="s">
        <v>1871</v>
      </c>
      <c r="E752" s="316" t="s">
        <v>298</v>
      </c>
      <c r="F752" s="48">
        <v>43720</v>
      </c>
      <c r="G752" s="358">
        <v>43752</v>
      </c>
      <c r="H752" s="357" t="s">
        <v>1223</v>
      </c>
      <c r="I752" s="357" t="s">
        <v>241</v>
      </c>
      <c r="J752" s="316" t="s">
        <v>223</v>
      </c>
      <c r="K752" s="357">
        <v>3000</v>
      </c>
      <c r="L752" s="357">
        <v>5000</v>
      </c>
      <c r="M752" s="357">
        <v>4770</v>
      </c>
      <c r="N752" s="357">
        <v>19.079999999999998</v>
      </c>
      <c r="O752" s="357">
        <f>N752*K752</f>
        <v>57239.999999999993</v>
      </c>
      <c r="P752" s="232" t="s">
        <v>1440</v>
      </c>
      <c r="Q752" s="101" t="s">
        <v>2002</v>
      </c>
      <c r="R752" s="105">
        <v>300</v>
      </c>
      <c r="S752" s="105">
        <f>R752*K752</f>
        <v>900000</v>
      </c>
      <c r="T752" s="48">
        <v>43725</v>
      </c>
      <c r="U752" s="364">
        <v>5300</v>
      </c>
      <c r="V752" s="212"/>
      <c r="W752" s="212"/>
      <c r="X752" s="364">
        <f>IF(I752="买入",S752-O752,O752+S752)</f>
        <v>842760</v>
      </c>
      <c r="Y752" s="198">
        <f>ABS(M752*K752)</f>
        <v>14310000</v>
      </c>
      <c r="Z752" s="357" t="str">
        <f t="shared" ref="Z752:Z766" si="379">IF(C752="存续",D752&amp;H752&amp;"-"&amp;AA752,"")</f>
        <v/>
      </c>
      <c r="AA752" s="357" t="str">
        <f>IF(I752="买入","卖出","买入")</f>
        <v>卖出</v>
      </c>
      <c r="AB752" s="357">
        <v>105</v>
      </c>
      <c r="AC752" s="321">
        <v>0.183</v>
      </c>
      <c r="AD752" s="205">
        <v>0.153</v>
      </c>
      <c r="AE752" s="357" t="s">
        <v>1335</v>
      </c>
      <c r="AF752" s="105"/>
    </row>
    <row r="753" spans="1:32" ht="24.95" customHeight="1" x14ac:dyDescent="0.15">
      <c r="A753" s="316" t="s">
        <v>265</v>
      </c>
      <c r="B753" s="120" t="s">
        <v>1443</v>
      </c>
      <c r="C753" s="316" t="str">
        <f>IF(Q753="","存续","到期")</f>
        <v>到期</v>
      </c>
      <c r="D753" s="123" t="s">
        <v>1872</v>
      </c>
      <c r="E753" s="316" t="s">
        <v>1445</v>
      </c>
      <c r="F753" s="48">
        <v>43725</v>
      </c>
      <c r="G753" s="363">
        <v>43752</v>
      </c>
      <c r="H753" s="362" t="s">
        <v>1223</v>
      </c>
      <c r="I753" s="362" t="s">
        <v>1446</v>
      </c>
      <c r="J753" s="316" t="s">
        <v>1447</v>
      </c>
      <c r="K753" s="362">
        <v>1000</v>
      </c>
      <c r="L753" s="362">
        <v>5288</v>
      </c>
      <c r="M753" s="362">
        <v>5288</v>
      </c>
      <c r="N753" s="362">
        <f>5288*2.55%</f>
        <v>134.84399999999999</v>
      </c>
      <c r="O753" s="362">
        <f>N753*K753</f>
        <v>134844</v>
      </c>
      <c r="P753" s="232" t="s">
        <v>1483</v>
      </c>
      <c r="Q753" s="101" t="s">
        <v>2003</v>
      </c>
      <c r="R753" s="105">
        <v>28.75</v>
      </c>
      <c r="S753" s="105">
        <f>-R753*K753</f>
        <v>-28750</v>
      </c>
      <c r="T753" s="376">
        <v>43728</v>
      </c>
      <c r="U753" s="375">
        <v>5042</v>
      </c>
      <c r="V753" s="212"/>
      <c r="W753" s="212"/>
      <c r="X753" s="375">
        <f>IF(I753="买入",S753-O753,O753+S753)</f>
        <v>106094</v>
      </c>
      <c r="Y753" s="198">
        <f t="shared" ref="Y753:Y756" si="380">ABS(M753*K753)</f>
        <v>5288000</v>
      </c>
      <c r="Z753" s="362" t="str">
        <f t="shared" si="379"/>
        <v/>
      </c>
      <c r="AA753" s="362" t="str">
        <f t="shared" ref="AA753:AA756" si="381">IF(I753="买入","卖出","买入")</f>
        <v>买入</v>
      </c>
      <c r="AB753" s="362">
        <v>106</v>
      </c>
      <c r="AC753" s="321">
        <v>0.26200000000000001</v>
      </c>
      <c r="AD753" s="205"/>
      <c r="AE753" s="362"/>
      <c r="AF753" s="105"/>
    </row>
    <row r="754" spans="1:32" ht="24.95" customHeight="1" x14ac:dyDescent="0.15">
      <c r="A754" s="316" t="s">
        <v>265</v>
      </c>
      <c r="B754" s="120" t="s">
        <v>1442</v>
      </c>
      <c r="C754" s="316" t="str">
        <f t="shared" si="378"/>
        <v>到期</v>
      </c>
      <c r="D754" s="123" t="s">
        <v>1873</v>
      </c>
      <c r="E754" s="316" t="s">
        <v>1444</v>
      </c>
      <c r="F754" s="48">
        <v>43725</v>
      </c>
      <c r="G754" s="363">
        <v>43754</v>
      </c>
      <c r="H754" s="362" t="s">
        <v>1223</v>
      </c>
      <c r="I754" s="362" t="s">
        <v>1448</v>
      </c>
      <c r="J754" s="316" t="s">
        <v>223</v>
      </c>
      <c r="K754" s="362">
        <v>2000</v>
      </c>
      <c r="L754" s="362">
        <v>5288.4</v>
      </c>
      <c r="M754" s="362">
        <v>5288.4</v>
      </c>
      <c r="N754" s="362">
        <v>147.55000000000001</v>
      </c>
      <c r="O754" s="362">
        <f t="shared" ref="O754:O766" si="382">N754*K754</f>
        <v>295100</v>
      </c>
      <c r="P754" s="232" t="s">
        <v>1737</v>
      </c>
      <c r="Q754" s="101" t="s">
        <v>1738</v>
      </c>
      <c r="R754" s="105">
        <v>22.44</v>
      </c>
      <c r="S754" s="105">
        <f>-R754*K754</f>
        <v>-44880</v>
      </c>
      <c r="T754" s="382">
        <v>43731</v>
      </c>
      <c r="U754" s="381">
        <v>5013</v>
      </c>
      <c r="V754" s="212"/>
      <c r="W754" s="212"/>
      <c r="X754" s="383">
        <f>IF(I754="买入",S754-O754,O754+S754)</f>
        <v>250220</v>
      </c>
      <c r="Y754" s="198">
        <f t="shared" si="380"/>
        <v>10576800</v>
      </c>
      <c r="Z754" s="362" t="str">
        <f t="shared" si="379"/>
        <v/>
      </c>
      <c r="AA754" s="362" t="str">
        <f t="shared" si="381"/>
        <v>买入</v>
      </c>
      <c r="AB754" s="362">
        <v>107</v>
      </c>
      <c r="AC754" s="321">
        <v>0.26900000000000002</v>
      </c>
      <c r="AD754" s="205"/>
      <c r="AE754" s="213"/>
      <c r="AF754" s="353"/>
    </row>
    <row r="755" spans="1:32" ht="24.95" customHeight="1" x14ac:dyDescent="0.15">
      <c r="A755" s="316" t="s">
        <v>1449</v>
      </c>
      <c r="B755" s="120" t="s">
        <v>264</v>
      </c>
      <c r="C755" s="316" t="str">
        <f t="shared" si="378"/>
        <v>到期</v>
      </c>
      <c r="D755" s="128" t="s">
        <v>1874</v>
      </c>
      <c r="E755" s="316" t="s">
        <v>1451</v>
      </c>
      <c r="F755" s="366">
        <v>43725</v>
      </c>
      <c r="G755" s="366">
        <v>43754</v>
      </c>
      <c r="H755" s="365" t="s">
        <v>1452</v>
      </c>
      <c r="I755" s="365" t="s">
        <v>1453</v>
      </c>
      <c r="J755" s="316" t="s">
        <v>56</v>
      </c>
      <c r="K755" s="365">
        <v>5000</v>
      </c>
      <c r="L755" s="365">
        <v>659</v>
      </c>
      <c r="M755" s="365">
        <v>659</v>
      </c>
      <c r="N755" s="365">
        <v>27.24</v>
      </c>
      <c r="O755" s="365">
        <f t="shared" si="382"/>
        <v>136200</v>
      </c>
      <c r="P755" s="232" t="s">
        <v>1488</v>
      </c>
      <c r="Q755" s="101" t="str">
        <f t="shared" ref="Q755:Q756" si="383">P755&amp;"-L"</f>
        <v>OTC-C00438-L</v>
      </c>
      <c r="R755" s="105"/>
      <c r="S755" s="105"/>
      <c r="T755" s="365"/>
      <c r="U755" s="365">
        <v>617</v>
      </c>
      <c r="V755" s="365">
        <v>0</v>
      </c>
      <c r="W755" s="414">
        <v>43754</v>
      </c>
      <c r="X755" s="365">
        <f>IF(I755="买入",V755-O755,V755+O755)</f>
        <v>-136200</v>
      </c>
      <c r="Y755" s="198">
        <f t="shared" si="380"/>
        <v>3295000</v>
      </c>
      <c r="Z755" s="365" t="str">
        <f t="shared" si="379"/>
        <v/>
      </c>
      <c r="AA755" s="105" t="str">
        <f t="shared" si="381"/>
        <v>卖出</v>
      </c>
      <c r="AB755" s="365">
        <v>108</v>
      </c>
      <c r="AC755" s="321">
        <v>0.39300000000000002</v>
      </c>
      <c r="AD755" s="365"/>
      <c r="AE755" s="365"/>
      <c r="AF755" s="105"/>
    </row>
    <row r="756" spans="1:32" ht="24.95" customHeight="1" x14ac:dyDescent="0.15">
      <c r="A756" s="316" t="s">
        <v>1450</v>
      </c>
      <c r="B756" s="120" t="s">
        <v>264</v>
      </c>
      <c r="C756" s="316" t="str">
        <f t="shared" si="378"/>
        <v>到期</v>
      </c>
      <c r="D756" s="128" t="s">
        <v>1874</v>
      </c>
      <c r="E756" s="316" t="s">
        <v>255</v>
      </c>
      <c r="F756" s="366">
        <v>43725</v>
      </c>
      <c r="G756" s="366">
        <v>43754</v>
      </c>
      <c r="H756" s="365" t="s">
        <v>1452</v>
      </c>
      <c r="I756" s="365" t="s">
        <v>1453</v>
      </c>
      <c r="J756" s="316" t="s">
        <v>59</v>
      </c>
      <c r="K756" s="365">
        <v>5000</v>
      </c>
      <c r="L756" s="365">
        <v>659</v>
      </c>
      <c r="M756" s="365">
        <v>659</v>
      </c>
      <c r="N756" s="365">
        <v>27.24</v>
      </c>
      <c r="O756" s="365">
        <f t="shared" si="382"/>
        <v>136200</v>
      </c>
      <c r="P756" s="232" t="s">
        <v>1488</v>
      </c>
      <c r="Q756" s="101" t="str">
        <f t="shared" si="383"/>
        <v>OTC-C00438-L</v>
      </c>
      <c r="R756" s="105"/>
      <c r="S756" s="105"/>
      <c r="T756" s="365"/>
      <c r="U756" s="365">
        <v>617</v>
      </c>
      <c r="V756" s="365">
        <f>(L756-U756)*K756</f>
        <v>210000</v>
      </c>
      <c r="W756" s="414">
        <v>43754</v>
      </c>
      <c r="X756" s="413">
        <f>IF(I756="买入",V756-O756,V756+O756)</f>
        <v>73800</v>
      </c>
      <c r="Y756" s="198">
        <f t="shared" si="380"/>
        <v>3295000</v>
      </c>
      <c r="Z756" s="365" t="str">
        <f t="shared" si="379"/>
        <v/>
      </c>
      <c r="AA756" s="105" t="str">
        <f t="shared" si="381"/>
        <v>卖出</v>
      </c>
      <c r="AB756" s="365">
        <v>108</v>
      </c>
      <c r="AC756" s="321">
        <v>0.39300000000000002</v>
      </c>
      <c r="AD756" s="365"/>
      <c r="AE756" s="365"/>
      <c r="AF756" s="105"/>
    </row>
    <row r="757" spans="1:32" ht="24.95" customHeight="1" x14ac:dyDescent="0.15">
      <c r="A757" s="316" t="s">
        <v>248</v>
      </c>
      <c r="B757" s="120" t="s">
        <v>263</v>
      </c>
      <c r="C757" s="316" t="str">
        <f t="shared" si="378"/>
        <v>到期</v>
      </c>
      <c r="D757" s="103" t="s">
        <v>1841</v>
      </c>
      <c r="E757" s="316" t="s">
        <v>298</v>
      </c>
      <c r="F757" s="48">
        <v>43725</v>
      </c>
      <c r="G757" s="366">
        <v>43753</v>
      </c>
      <c r="H757" s="365" t="s">
        <v>1455</v>
      </c>
      <c r="I757" s="365" t="s">
        <v>222</v>
      </c>
      <c r="J757" s="316" t="s">
        <v>56</v>
      </c>
      <c r="K757" s="105">
        <v>50</v>
      </c>
      <c r="L757" s="104">
        <v>49450</v>
      </c>
      <c r="M757" s="104">
        <v>47330</v>
      </c>
      <c r="N757" s="104">
        <f>392.88/2</f>
        <v>196.44</v>
      </c>
      <c r="O757" s="104">
        <f t="shared" si="382"/>
        <v>9822</v>
      </c>
      <c r="P757" s="232" t="s">
        <v>1456</v>
      </c>
      <c r="Q757" s="101" t="str">
        <f>P757&amp;"-L"</f>
        <v>OTC-C00439-L</v>
      </c>
      <c r="R757" s="104"/>
      <c r="S757" s="104"/>
      <c r="T757" s="104"/>
      <c r="U757" s="104">
        <v>46960</v>
      </c>
      <c r="V757" s="104">
        <v>0</v>
      </c>
      <c r="W757" s="410">
        <v>43753</v>
      </c>
      <c r="X757" s="105">
        <f t="shared" ref="X757:X766" si="384">IF(I757="买入",V757-O757,V757+O757)</f>
        <v>9822</v>
      </c>
      <c r="Y757" s="198">
        <f t="shared" ref="Y757:Y766" si="385">M757*K757</f>
        <v>2366500</v>
      </c>
      <c r="Z757" s="365" t="str">
        <f t="shared" si="379"/>
        <v/>
      </c>
      <c r="AA757" s="365" t="str">
        <f>IF(I757="买入","卖出","买入19-新16")</f>
        <v>买入19-新16</v>
      </c>
      <c r="AB757" s="104">
        <v>109</v>
      </c>
      <c r="AC757" s="321">
        <v>0.152</v>
      </c>
      <c r="AD757" s="322">
        <v>0.152</v>
      </c>
      <c r="AE757" s="104"/>
      <c r="AF757" s="105">
        <v>31250</v>
      </c>
    </row>
    <row r="758" spans="1:32" ht="24.95" customHeight="1" x14ac:dyDescent="0.15">
      <c r="A758" s="316" t="s">
        <v>248</v>
      </c>
      <c r="B758" s="120" t="s">
        <v>263</v>
      </c>
      <c r="C758" s="316" t="str">
        <f t="shared" si="378"/>
        <v>到期</v>
      </c>
      <c r="D758" s="103" t="s">
        <v>1841</v>
      </c>
      <c r="E758" s="316" t="s">
        <v>298</v>
      </c>
      <c r="F758" s="48">
        <v>43725</v>
      </c>
      <c r="G758" s="366">
        <v>43753</v>
      </c>
      <c r="H758" s="365" t="s">
        <v>1454</v>
      </c>
      <c r="I758" s="365" t="s">
        <v>222</v>
      </c>
      <c r="J758" s="316" t="s">
        <v>59</v>
      </c>
      <c r="K758" s="105">
        <v>50</v>
      </c>
      <c r="L758" s="104">
        <v>45660</v>
      </c>
      <c r="M758" s="104">
        <v>47330</v>
      </c>
      <c r="N758" s="104">
        <f t="shared" ref="N758:N766" si="386">392.88/2</f>
        <v>196.44</v>
      </c>
      <c r="O758" s="104">
        <f t="shared" si="382"/>
        <v>9822</v>
      </c>
      <c r="P758" s="232" t="s">
        <v>1456</v>
      </c>
      <c r="Q758" s="101" t="str">
        <f t="shared" ref="Q758:Q766" si="387">P758&amp;"-L"</f>
        <v>OTC-C00439-L</v>
      </c>
      <c r="R758" s="104"/>
      <c r="S758" s="104"/>
      <c r="T758" s="104"/>
      <c r="U758" s="104">
        <v>46960</v>
      </c>
      <c r="V758" s="104">
        <v>0</v>
      </c>
      <c r="W758" s="410">
        <v>43753</v>
      </c>
      <c r="X758" s="105">
        <f t="shared" si="384"/>
        <v>9822</v>
      </c>
      <c r="Y758" s="198">
        <f t="shared" si="385"/>
        <v>2366500</v>
      </c>
      <c r="Z758" s="365" t="str">
        <f t="shared" si="379"/>
        <v/>
      </c>
      <c r="AA758" s="365" t="str">
        <f t="shared" ref="AA758:AA766" si="388">IF(I758="买入","卖出","买入19-新16")</f>
        <v>买入19-新16</v>
      </c>
      <c r="AB758" s="104">
        <v>109</v>
      </c>
      <c r="AC758" s="321">
        <v>0.152</v>
      </c>
      <c r="AD758" s="322">
        <v>0.152</v>
      </c>
      <c r="AE758" s="104"/>
      <c r="AF758" s="105">
        <v>31250</v>
      </c>
    </row>
    <row r="759" spans="1:32" ht="24.95" customHeight="1" x14ac:dyDescent="0.15">
      <c r="A759" s="316" t="s">
        <v>248</v>
      </c>
      <c r="B759" s="120" t="s">
        <v>263</v>
      </c>
      <c r="C759" s="316" t="str">
        <f t="shared" si="378"/>
        <v>到期</v>
      </c>
      <c r="D759" s="103" t="s">
        <v>1842</v>
      </c>
      <c r="E759" s="316" t="s">
        <v>298</v>
      </c>
      <c r="F759" s="48">
        <v>43725</v>
      </c>
      <c r="G759" s="366">
        <v>43753</v>
      </c>
      <c r="H759" s="365" t="s">
        <v>1454</v>
      </c>
      <c r="I759" s="365" t="s">
        <v>222</v>
      </c>
      <c r="J759" s="316" t="s">
        <v>56</v>
      </c>
      <c r="K759" s="105">
        <v>50</v>
      </c>
      <c r="L759" s="104">
        <v>49450</v>
      </c>
      <c r="M759" s="104">
        <v>47330</v>
      </c>
      <c r="N759" s="104">
        <f t="shared" si="386"/>
        <v>196.44</v>
      </c>
      <c r="O759" s="104">
        <f t="shared" si="382"/>
        <v>9822</v>
      </c>
      <c r="P759" s="232" t="s">
        <v>1457</v>
      </c>
      <c r="Q759" s="101" t="str">
        <f t="shared" si="387"/>
        <v>OTC-C00440-L</v>
      </c>
      <c r="R759" s="104"/>
      <c r="S759" s="104"/>
      <c r="T759" s="104"/>
      <c r="U759" s="104">
        <v>46960</v>
      </c>
      <c r="V759" s="104">
        <v>0</v>
      </c>
      <c r="W759" s="410">
        <v>43753</v>
      </c>
      <c r="X759" s="105">
        <f t="shared" si="384"/>
        <v>9822</v>
      </c>
      <c r="Y759" s="198">
        <f t="shared" si="385"/>
        <v>2366500</v>
      </c>
      <c r="Z759" s="365" t="str">
        <f t="shared" si="379"/>
        <v/>
      </c>
      <c r="AA759" s="365" t="str">
        <f t="shared" si="388"/>
        <v>买入19-新16</v>
      </c>
      <c r="AB759" s="104">
        <v>109</v>
      </c>
      <c r="AC759" s="321">
        <v>0.152</v>
      </c>
      <c r="AD759" s="322">
        <v>0.152</v>
      </c>
      <c r="AE759" s="104"/>
      <c r="AF759" s="105">
        <v>31250</v>
      </c>
    </row>
    <row r="760" spans="1:32" ht="24.95" customHeight="1" x14ac:dyDescent="0.15">
      <c r="A760" s="316" t="s">
        <v>248</v>
      </c>
      <c r="B760" s="120" t="s">
        <v>263</v>
      </c>
      <c r="C760" s="316" t="str">
        <f t="shared" si="378"/>
        <v>到期</v>
      </c>
      <c r="D760" s="103" t="s">
        <v>1842</v>
      </c>
      <c r="E760" s="316" t="s">
        <v>298</v>
      </c>
      <c r="F760" s="48">
        <v>43725</v>
      </c>
      <c r="G760" s="366">
        <v>43753</v>
      </c>
      <c r="H760" s="365" t="s">
        <v>1454</v>
      </c>
      <c r="I760" s="365" t="s">
        <v>222</v>
      </c>
      <c r="J760" s="316" t="s">
        <v>59</v>
      </c>
      <c r="K760" s="105">
        <v>50</v>
      </c>
      <c r="L760" s="104">
        <v>45660</v>
      </c>
      <c r="M760" s="104">
        <v>47330</v>
      </c>
      <c r="N760" s="104">
        <f t="shared" si="386"/>
        <v>196.44</v>
      </c>
      <c r="O760" s="104">
        <f t="shared" si="382"/>
        <v>9822</v>
      </c>
      <c r="P760" s="232" t="s">
        <v>1457</v>
      </c>
      <c r="Q760" s="101" t="str">
        <f t="shared" si="387"/>
        <v>OTC-C00440-L</v>
      </c>
      <c r="R760" s="104"/>
      <c r="S760" s="104"/>
      <c r="T760" s="104"/>
      <c r="U760" s="104">
        <v>46960</v>
      </c>
      <c r="V760" s="104">
        <v>0</v>
      </c>
      <c r="W760" s="410">
        <v>43753</v>
      </c>
      <c r="X760" s="105">
        <f t="shared" si="384"/>
        <v>9822</v>
      </c>
      <c r="Y760" s="198">
        <f t="shared" si="385"/>
        <v>2366500</v>
      </c>
      <c r="Z760" s="365" t="str">
        <f t="shared" si="379"/>
        <v/>
      </c>
      <c r="AA760" s="365" t="str">
        <f t="shared" si="388"/>
        <v>买入19-新16</v>
      </c>
      <c r="AB760" s="104">
        <v>109</v>
      </c>
      <c r="AC760" s="321">
        <v>0.152</v>
      </c>
      <c r="AD760" s="322">
        <v>0.152</v>
      </c>
      <c r="AE760" s="104"/>
      <c r="AF760" s="105">
        <v>31250</v>
      </c>
    </row>
    <row r="761" spans="1:32" ht="24.95" customHeight="1" x14ac:dyDescent="0.15">
      <c r="A761" s="316" t="s">
        <v>248</v>
      </c>
      <c r="B761" s="120" t="s">
        <v>263</v>
      </c>
      <c r="C761" s="316" t="str">
        <f t="shared" si="378"/>
        <v>到期</v>
      </c>
      <c r="D761" s="103" t="s">
        <v>1843</v>
      </c>
      <c r="E761" s="316" t="s">
        <v>298</v>
      </c>
      <c r="F761" s="48">
        <v>43725</v>
      </c>
      <c r="G761" s="366">
        <v>43753</v>
      </c>
      <c r="H761" s="365" t="s">
        <v>1454</v>
      </c>
      <c r="I761" s="365" t="s">
        <v>222</v>
      </c>
      <c r="J761" s="316" t="s">
        <v>56</v>
      </c>
      <c r="K761" s="105">
        <v>50</v>
      </c>
      <c r="L761" s="104">
        <v>49450</v>
      </c>
      <c r="M761" s="104">
        <v>47330</v>
      </c>
      <c r="N761" s="104">
        <f t="shared" si="386"/>
        <v>196.44</v>
      </c>
      <c r="O761" s="104">
        <f t="shared" si="382"/>
        <v>9822</v>
      </c>
      <c r="P761" s="232" t="s">
        <v>1458</v>
      </c>
      <c r="Q761" s="101" t="str">
        <f t="shared" si="387"/>
        <v>OTC-C00441-L</v>
      </c>
      <c r="R761" s="104"/>
      <c r="S761" s="104"/>
      <c r="T761" s="104"/>
      <c r="U761" s="104">
        <v>46960</v>
      </c>
      <c r="V761" s="104">
        <v>0</v>
      </c>
      <c r="W761" s="410">
        <v>43753</v>
      </c>
      <c r="X761" s="105">
        <f t="shared" si="384"/>
        <v>9822</v>
      </c>
      <c r="Y761" s="198">
        <f t="shared" si="385"/>
        <v>2366500</v>
      </c>
      <c r="Z761" s="365" t="str">
        <f t="shared" si="379"/>
        <v/>
      </c>
      <c r="AA761" s="365" t="str">
        <f t="shared" si="388"/>
        <v>买入19-新16</v>
      </c>
      <c r="AB761" s="104">
        <v>109</v>
      </c>
      <c r="AC761" s="321">
        <v>0.152</v>
      </c>
      <c r="AD761" s="322">
        <v>0.152</v>
      </c>
      <c r="AE761" s="104"/>
      <c r="AF761" s="105">
        <v>31250</v>
      </c>
    </row>
    <row r="762" spans="1:32" ht="24.95" customHeight="1" x14ac:dyDescent="0.15">
      <c r="A762" s="316" t="s">
        <v>248</v>
      </c>
      <c r="B762" s="120" t="s">
        <v>263</v>
      </c>
      <c r="C762" s="316" t="str">
        <f t="shared" si="378"/>
        <v>到期</v>
      </c>
      <c r="D762" s="103" t="s">
        <v>1843</v>
      </c>
      <c r="E762" s="316" t="s">
        <v>298</v>
      </c>
      <c r="F762" s="48">
        <v>43725</v>
      </c>
      <c r="G762" s="366">
        <v>43753</v>
      </c>
      <c r="H762" s="365" t="s">
        <v>1454</v>
      </c>
      <c r="I762" s="365" t="s">
        <v>222</v>
      </c>
      <c r="J762" s="316" t="s">
        <v>59</v>
      </c>
      <c r="K762" s="105">
        <v>50</v>
      </c>
      <c r="L762" s="104">
        <v>45660</v>
      </c>
      <c r="M762" s="104">
        <v>47330</v>
      </c>
      <c r="N762" s="104">
        <f t="shared" si="386"/>
        <v>196.44</v>
      </c>
      <c r="O762" s="104">
        <f t="shared" si="382"/>
        <v>9822</v>
      </c>
      <c r="P762" s="232" t="s">
        <v>1459</v>
      </c>
      <c r="Q762" s="101" t="str">
        <f t="shared" si="387"/>
        <v>OTC-C00441-L</v>
      </c>
      <c r="R762" s="104"/>
      <c r="S762" s="104"/>
      <c r="T762" s="104"/>
      <c r="U762" s="104">
        <v>46960</v>
      </c>
      <c r="V762" s="104">
        <v>0</v>
      </c>
      <c r="W762" s="410">
        <v>43753</v>
      </c>
      <c r="X762" s="105">
        <f t="shared" si="384"/>
        <v>9822</v>
      </c>
      <c r="Y762" s="198">
        <f t="shared" si="385"/>
        <v>2366500</v>
      </c>
      <c r="Z762" s="365" t="str">
        <f t="shared" si="379"/>
        <v/>
      </c>
      <c r="AA762" s="365" t="str">
        <f t="shared" si="388"/>
        <v>买入19-新16</v>
      </c>
      <c r="AB762" s="104">
        <v>109</v>
      </c>
      <c r="AC762" s="321">
        <v>0.152</v>
      </c>
      <c r="AD762" s="322">
        <v>0.152</v>
      </c>
      <c r="AE762" s="104"/>
      <c r="AF762" s="105">
        <v>31250</v>
      </c>
    </row>
    <row r="763" spans="1:32" ht="24.95" customHeight="1" x14ac:dyDescent="0.15">
      <c r="A763" s="316" t="s">
        <v>248</v>
      </c>
      <c r="B763" s="120" t="s">
        <v>263</v>
      </c>
      <c r="C763" s="316" t="str">
        <f t="shared" si="378"/>
        <v>到期</v>
      </c>
      <c r="D763" s="103" t="s">
        <v>1844</v>
      </c>
      <c r="E763" s="316" t="s">
        <v>298</v>
      </c>
      <c r="F763" s="48">
        <v>43725</v>
      </c>
      <c r="G763" s="366">
        <v>43753</v>
      </c>
      <c r="H763" s="365" t="s">
        <v>1454</v>
      </c>
      <c r="I763" s="365" t="s">
        <v>222</v>
      </c>
      <c r="J763" s="316" t="s">
        <v>56</v>
      </c>
      <c r="K763" s="105">
        <v>50</v>
      </c>
      <c r="L763" s="104">
        <v>49450</v>
      </c>
      <c r="M763" s="104">
        <v>47330</v>
      </c>
      <c r="N763" s="104">
        <f t="shared" si="386"/>
        <v>196.44</v>
      </c>
      <c r="O763" s="104">
        <f t="shared" si="382"/>
        <v>9822</v>
      </c>
      <c r="P763" s="232" t="s">
        <v>1460</v>
      </c>
      <c r="Q763" s="101" t="str">
        <f t="shared" si="387"/>
        <v>OTC-C00442-L</v>
      </c>
      <c r="R763" s="104"/>
      <c r="S763" s="104"/>
      <c r="T763" s="104"/>
      <c r="U763" s="104">
        <v>46960</v>
      </c>
      <c r="V763" s="104">
        <v>0</v>
      </c>
      <c r="W763" s="410">
        <v>43753</v>
      </c>
      <c r="X763" s="105">
        <f t="shared" si="384"/>
        <v>9822</v>
      </c>
      <c r="Y763" s="198">
        <f t="shared" si="385"/>
        <v>2366500</v>
      </c>
      <c r="Z763" s="365" t="str">
        <f t="shared" si="379"/>
        <v/>
      </c>
      <c r="AA763" s="365" t="str">
        <f t="shared" si="388"/>
        <v>买入19-新16</v>
      </c>
      <c r="AB763" s="104">
        <v>109</v>
      </c>
      <c r="AC763" s="321">
        <v>0.152</v>
      </c>
      <c r="AD763" s="322">
        <v>0.152</v>
      </c>
      <c r="AE763" s="104"/>
      <c r="AF763" s="105">
        <v>31250</v>
      </c>
    </row>
    <row r="764" spans="1:32" ht="24.95" customHeight="1" x14ac:dyDescent="0.15">
      <c r="A764" s="316" t="s">
        <v>248</v>
      </c>
      <c r="B764" s="120" t="s">
        <v>263</v>
      </c>
      <c r="C764" s="316" t="str">
        <f t="shared" si="378"/>
        <v>到期</v>
      </c>
      <c r="D764" s="103" t="s">
        <v>1844</v>
      </c>
      <c r="E764" s="316" t="s">
        <v>298</v>
      </c>
      <c r="F764" s="48">
        <v>43725</v>
      </c>
      <c r="G764" s="366">
        <v>43753</v>
      </c>
      <c r="H764" s="365" t="s">
        <v>1454</v>
      </c>
      <c r="I764" s="365" t="s">
        <v>222</v>
      </c>
      <c r="J764" s="316" t="s">
        <v>59</v>
      </c>
      <c r="K764" s="105">
        <v>50</v>
      </c>
      <c r="L764" s="104">
        <v>45660</v>
      </c>
      <c r="M764" s="104">
        <v>47330</v>
      </c>
      <c r="N764" s="104">
        <f t="shared" si="386"/>
        <v>196.44</v>
      </c>
      <c r="O764" s="104">
        <f t="shared" si="382"/>
        <v>9822</v>
      </c>
      <c r="P764" s="232" t="s">
        <v>1461</v>
      </c>
      <c r="Q764" s="101" t="str">
        <f t="shared" si="387"/>
        <v>OTC-C00442-L</v>
      </c>
      <c r="R764" s="104"/>
      <c r="S764" s="104"/>
      <c r="T764" s="104"/>
      <c r="U764" s="104">
        <v>46960</v>
      </c>
      <c r="V764" s="104">
        <v>0</v>
      </c>
      <c r="W764" s="410">
        <v>43753</v>
      </c>
      <c r="X764" s="105">
        <f t="shared" si="384"/>
        <v>9822</v>
      </c>
      <c r="Y764" s="198">
        <f t="shared" si="385"/>
        <v>2366500</v>
      </c>
      <c r="Z764" s="365" t="str">
        <f t="shared" si="379"/>
        <v/>
      </c>
      <c r="AA764" s="365" t="str">
        <f t="shared" si="388"/>
        <v>买入19-新16</v>
      </c>
      <c r="AB764" s="104">
        <v>109</v>
      </c>
      <c r="AC764" s="321">
        <v>0.152</v>
      </c>
      <c r="AD764" s="322">
        <v>0.152</v>
      </c>
      <c r="AE764" s="104"/>
      <c r="AF764" s="105">
        <v>31250</v>
      </c>
    </row>
    <row r="765" spans="1:32" ht="24.95" customHeight="1" x14ac:dyDescent="0.15">
      <c r="A765" s="316" t="s">
        <v>248</v>
      </c>
      <c r="B765" s="120" t="s">
        <v>263</v>
      </c>
      <c r="C765" s="316" t="str">
        <f t="shared" si="378"/>
        <v>到期</v>
      </c>
      <c r="D765" s="103" t="s">
        <v>1845</v>
      </c>
      <c r="E765" s="316" t="s">
        <v>298</v>
      </c>
      <c r="F765" s="48">
        <v>43725</v>
      </c>
      <c r="G765" s="366">
        <v>43753</v>
      </c>
      <c r="H765" s="365" t="s">
        <v>1454</v>
      </c>
      <c r="I765" s="365" t="s">
        <v>222</v>
      </c>
      <c r="J765" s="316" t="s">
        <v>56</v>
      </c>
      <c r="K765" s="105">
        <v>50</v>
      </c>
      <c r="L765" s="104">
        <v>49450</v>
      </c>
      <c r="M765" s="104">
        <v>47330</v>
      </c>
      <c r="N765" s="104">
        <f t="shared" si="386"/>
        <v>196.44</v>
      </c>
      <c r="O765" s="104">
        <f t="shared" si="382"/>
        <v>9822</v>
      </c>
      <c r="P765" s="232" t="s">
        <v>1462</v>
      </c>
      <c r="Q765" s="101" t="str">
        <f t="shared" si="387"/>
        <v>OTC-C00443-L</v>
      </c>
      <c r="R765" s="104"/>
      <c r="S765" s="104"/>
      <c r="T765" s="104"/>
      <c r="U765" s="104">
        <v>46960</v>
      </c>
      <c r="V765" s="104">
        <v>0</v>
      </c>
      <c r="W765" s="410">
        <v>43753</v>
      </c>
      <c r="X765" s="105">
        <f t="shared" si="384"/>
        <v>9822</v>
      </c>
      <c r="Y765" s="198">
        <f t="shared" si="385"/>
        <v>2366500</v>
      </c>
      <c r="Z765" s="365" t="str">
        <f t="shared" si="379"/>
        <v/>
      </c>
      <c r="AA765" s="365" t="str">
        <f t="shared" si="388"/>
        <v>买入19-新16</v>
      </c>
      <c r="AB765" s="104">
        <v>109</v>
      </c>
      <c r="AC765" s="321">
        <v>0.152</v>
      </c>
      <c r="AD765" s="322">
        <v>0.152</v>
      </c>
      <c r="AE765" s="104"/>
      <c r="AF765" s="105">
        <v>31250</v>
      </c>
    </row>
    <row r="766" spans="1:32" ht="24.95" customHeight="1" x14ac:dyDescent="0.15">
      <c r="A766" s="316" t="s">
        <v>248</v>
      </c>
      <c r="B766" s="120" t="s">
        <v>263</v>
      </c>
      <c r="C766" s="316" t="str">
        <f t="shared" si="378"/>
        <v>到期</v>
      </c>
      <c r="D766" s="103" t="s">
        <v>1845</v>
      </c>
      <c r="E766" s="316" t="s">
        <v>298</v>
      </c>
      <c r="F766" s="48">
        <v>43725</v>
      </c>
      <c r="G766" s="366">
        <v>43753</v>
      </c>
      <c r="H766" s="365" t="s">
        <v>1454</v>
      </c>
      <c r="I766" s="365" t="s">
        <v>222</v>
      </c>
      <c r="J766" s="316" t="s">
        <v>59</v>
      </c>
      <c r="K766" s="105">
        <v>50</v>
      </c>
      <c r="L766" s="104">
        <v>45660</v>
      </c>
      <c r="M766" s="104">
        <v>47330</v>
      </c>
      <c r="N766" s="104">
        <f t="shared" si="386"/>
        <v>196.44</v>
      </c>
      <c r="O766" s="104">
        <f t="shared" si="382"/>
        <v>9822</v>
      </c>
      <c r="P766" s="232" t="s">
        <v>1462</v>
      </c>
      <c r="Q766" s="101" t="str">
        <f t="shared" si="387"/>
        <v>OTC-C00443-L</v>
      </c>
      <c r="R766" s="104"/>
      <c r="S766" s="104"/>
      <c r="T766" s="104"/>
      <c r="U766" s="104">
        <v>46960</v>
      </c>
      <c r="V766" s="104">
        <v>0</v>
      </c>
      <c r="W766" s="410">
        <v>43753</v>
      </c>
      <c r="X766" s="105">
        <f t="shared" si="384"/>
        <v>9822</v>
      </c>
      <c r="Y766" s="198">
        <f t="shared" si="385"/>
        <v>2366500</v>
      </c>
      <c r="Z766" s="365" t="str">
        <f t="shared" si="379"/>
        <v/>
      </c>
      <c r="AA766" s="365" t="str">
        <f t="shared" si="388"/>
        <v>买入19-新16</v>
      </c>
      <c r="AB766" s="104">
        <v>109</v>
      </c>
      <c r="AC766" s="321">
        <v>0.152</v>
      </c>
      <c r="AD766" s="322">
        <v>0.152</v>
      </c>
      <c r="AE766" s="104"/>
      <c r="AF766" s="105">
        <v>31250</v>
      </c>
    </row>
    <row r="767" spans="1:32" ht="24.95" customHeight="1" x14ac:dyDescent="0.15">
      <c r="A767" s="316" t="s">
        <v>394</v>
      </c>
      <c r="B767" s="120" t="s">
        <v>263</v>
      </c>
      <c r="C767" s="316" t="str">
        <f>IF(Q767="","存续","到期")</f>
        <v>到期</v>
      </c>
      <c r="D767" s="128" t="s">
        <v>1846</v>
      </c>
      <c r="E767" s="316" t="s">
        <v>255</v>
      </c>
      <c r="F767" s="370">
        <v>43727</v>
      </c>
      <c r="G767" s="370">
        <v>43755</v>
      </c>
      <c r="H767" s="369" t="s">
        <v>991</v>
      </c>
      <c r="I767" s="369" t="s">
        <v>1463</v>
      </c>
      <c r="J767" s="316" t="s">
        <v>986</v>
      </c>
      <c r="K767" s="369">
        <v>20000</v>
      </c>
      <c r="L767" s="369">
        <v>700</v>
      </c>
      <c r="M767" s="369">
        <v>661</v>
      </c>
      <c r="N767" s="369">
        <v>13.04</v>
      </c>
      <c r="O767" s="369">
        <f>N767*K767</f>
        <v>260799.99999999997</v>
      </c>
      <c r="P767" s="101" t="s">
        <v>1542</v>
      </c>
      <c r="Q767" s="101" t="str">
        <f>P767&amp;"-L"</f>
        <v>OTC-C00444-L</v>
      </c>
      <c r="R767" s="105"/>
      <c r="S767" s="105"/>
      <c r="T767" s="370"/>
      <c r="U767" s="369">
        <v>615</v>
      </c>
      <c r="V767" s="369">
        <v>0</v>
      </c>
      <c r="W767" s="419">
        <v>43755</v>
      </c>
      <c r="X767" s="423">
        <f>IF(I767="买入",V767-O767,V767+O767)</f>
        <v>-260799.99999999997</v>
      </c>
      <c r="Y767" s="369">
        <f>ABS(M767*K767)</f>
        <v>13220000</v>
      </c>
      <c r="Z767" s="369" t="str">
        <f>IF(C767="存续",D767&amp;H767&amp;"-"&amp;AA767,"")</f>
        <v/>
      </c>
      <c r="AA767" s="105" t="str">
        <f>IF(I767="买入","卖出","买入")</f>
        <v>卖出</v>
      </c>
      <c r="AB767" s="104">
        <v>110</v>
      </c>
      <c r="AC767" s="321">
        <v>0.39800000000000002</v>
      </c>
      <c r="AD767" s="369"/>
      <c r="AE767" s="369"/>
      <c r="AF767" s="105"/>
    </row>
    <row r="768" spans="1:32" ht="24.95" customHeight="1" x14ac:dyDescent="0.15">
      <c r="A768" s="316" t="s">
        <v>394</v>
      </c>
      <c r="B768" s="120" t="s">
        <v>263</v>
      </c>
      <c r="C768" s="316" t="str">
        <f>IF(Q768="","存续","到期")</f>
        <v>到期</v>
      </c>
      <c r="D768" s="128" t="s">
        <v>1846</v>
      </c>
      <c r="E768" s="316" t="s">
        <v>255</v>
      </c>
      <c r="F768" s="370">
        <v>43727</v>
      </c>
      <c r="G768" s="370">
        <v>43825</v>
      </c>
      <c r="H768" s="369" t="s">
        <v>991</v>
      </c>
      <c r="I768" s="369" t="s">
        <v>978</v>
      </c>
      <c r="J768" s="316" t="s">
        <v>986</v>
      </c>
      <c r="K768" s="369">
        <v>6400</v>
      </c>
      <c r="L768" s="369">
        <v>661</v>
      </c>
      <c r="M768" s="369">
        <v>661</v>
      </c>
      <c r="N768" s="369">
        <v>0</v>
      </c>
      <c r="O768" s="369">
        <f>N768*K768</f>
        <v>0</v>
      </c>
      <c r="P768" s="101" t="s">
        <v>1543</v>
      </c>
      <c r="Q768" s="101" t="str">
        <f>P768&amp;"-L"</f>
        <v>OTC-C00445-L</v>
      </c>
      <c r="R768" s="105">
        <v>0</v>
      </c>
      <c r="S768" s="105">
        <v>0</v>
      </c>
      <c r="T768" s="370">
        <v>43768</v>
      </c>
      <c r="U768" s="369">
        <v>620.5</v>
      </c>
      <c r="V768" s="369"/>
      <c r="W768" s="369"/>
      <c r="X768" s="104">
        <f t="shared" ref="X768:X769" si="389">IF(I768="买入",S768-O768,O768+S768)</f>
        <v>0</v>
      </c>
      <c r="Y768" s="369">
        <f>ABS(M768*K768)</f>
        <v>4230400</v>
      </c>
      <c r="Z768" s="369" t="str">
        <f>IF(C768="存续",D768&amp;H768&amp;"-"&amp;AA768,"")</f>
        <v/>
      </c>
      <c r="AA768" s="105" t="str">
        <f>IF(I768="买入","卖出","买入")</f>
        <v>买入</v>
      </c>
      <c r="AB768" s="369">
        <v>111</v>
      </c>
      <c r="AC768" s="321"/>
      <c r="AD768" s="321"/>
      <c r="AE768" s="113" t="s">
        <v>1716</v>
      </c>
      <c r="AF768" s="105"/>
    </row>
    <row r="769" spans="1:35" ht="24.95" customHeight="1" x14ac:dyDescent="0.15">
      <c r="A769" s="316" t="s">
        <v>394</v>
      </c>
      <c r="B769" s="120" t="s">
        <v>263</v>
      </c>
      <c r="C769" s="316" t="str">
        <f t="shared" ref="C769:C772" si="390">IF(Q769="","存续","到期")</f>
        <v>到期</v>
      </c>
      <c r="D769" s="128" t="s">
        <v>1846</v>
      </c>
      <c r="E769" s="316" t="s">
        <v>255</v>
      </c>
      <c r="F769" s="370">
        <v>43727</v>
      </c>
      <c r="G769" s="370">
        <v>43825</v>
      </c>
      <c r="H769" s="369" t="s">
        <v>991</v>
      </c>
      <c r="I769" s="369" t="s">
        <v>1463</v>
      </c>
      <c r="J769" s="316" t="s">
        <v>979</v>
      </c>
      <c r="K769" s="369">
        <v>6400</v>
      </c>
      <c r="L769" s="369">
        <v>661</v>
      </c>
      <c r="M769" s="369">
        <v>661</v>
      </c>
      <c r="N769" s="369">
        <v>0</v>
      </c>
      <c r="O769" s="369">
        <f>N769*K769</f>
        <v>0</v>
      </c>
      <c r="P769" s="101" t="s">
        <v>1544</v>
      </c>
      <c r="Q769" s="101" t="str">
        <f>P769&amp;"-L"</f>
        <v>OTC-C00445-L</v>
      </c>
      <c r="R769" s="105">
        <f>L769-U769</f>
        <v>40.5</v>
      </c>
      <c r="S769" s="105">
        <f>R769*K769</f>
        <v>259200</v>
      </c>
      <c r="T769" s="453">
        <v>43768</v>
      </c>
      <c r="U769" s="369">
        <v>620.5</v>
      </c>
      <c r="V769" s="369"/>
      <c r="W769" s="369"/>
      <c r="X769" s="104">
        <f t="shared" si="389"/>
        <v>259200</v>
      </c>
      <c r="Y769" s="369">
        <f t="shared" ref="Y769" si="391">ABS(M769*K769)</f>
        <v>4230400</v>
      </c>
      <c r="Z769" s="369" t="str">
        <f t="shared" ref="Z769:Z771" si="392">IF(C769="存续",D769&amp;H769&amp;"-"&amp;AA769,"")</f>
        <v/>
      </c>
      <c r="AA769" s="105" t="str">
        <f t="shared" ref="AA769" si="393">IF(I769="买入","卖出","买入")</f>
        <v>卖出</v>
      </c>
      <c r="AB769" s="369">
        <v>111</v>
      </c>
      <c r="AC769" s="321"/>
      <c r="AD769" s="321"/>
      <c r="AE769" s="113" t="s">
        <v>1716</v>
      </c>
      <c r="AF769" s="105"/>
    </row>
    <row r="770" spans="1:35" ht="24.95" customHeight="1" x14ac:dyDescent="0.15">
      <c r="A770" s="316" t="s">
        <v>248</v>
      </c>
      <c r="B770" s="120" t="s">
        <v>263</v>
      </c>
      <c r="C770" s="316" t="str">
        <f t="shared" si="390"/>
        <v>到期</v>
      </c>
      <c r="D770" s="323" t="s">
        <v>1869</v>
      </c>
      <c r="E770" s="316" t="s">
        <v>255</v>
      </c>
      <c r="F770" s="48">
        <v>43728</v>
      </c>
      <c r="G770" s="372">
        <v>43759</v>
      </c>
      <c r="H770" s="371" t="s">
        <v>1325</v>
      </c>
      <c r="I770" s="371" t="s">
        <v>998</v>
      </c>
      <c r="J770" s="316" t="s">
        <v>56</v>
      </c>
      <c r="K770" s="105">
        <v>5200</v>
      </c>
      <c r="L770" s="104">
        <v>1925</v>
      </c>
      <c r="M770" s="104">
        <v>1925</v>
      </c>
      <c r="N770" s="104">
        <v>16.77</v>
      </c>
      <c r="O770" s="104">
        <f t="shared" ref="O770:O772" si="394">N770*K770</f>
        <v>87204</v>
      </c>
      <c r="P770" s="232" t="s">
        <v>1484</v>
      </c>
      <c r="Q770" s="101" t="str">
        <f>P770&amp;"-L"</f>
        <v>OTC-C00446-L</v>
      </c>
      <c r="R770" s="104"/>
      <c r="S770" s="104"/>
      <c r="T770" s="48"/>
      <c r="U770" s="104">
        <v>1922</v>
      </c>
      <c r="V770" s="104">
        <v>0</v>
      </c>
      <c r="W770" s="48">
        <v>43759</v>
      </c>
      <c r="X770" s="426">
        <f t="shared" ref="X770:X772" si="395">IF(I770="买入",V770-O770,V770+O770)</f>
        <v>-87204</v>
      </c>
      <c r="Y770" s="198">
        <f t="shared" ref="Y770:Y772" si="396">M770*K770</f>
        <v>10010000</v>
      </c>
      <c r="Z770" s="371" t="str">
        <f t="shared" si="392"/>
        <v/>
      </c>
      <c r="AA770" s="371" t="str">
        <f t="shared" ref="AA770" si="397">IF(I770="买入","卖出","买入19-新13")</f>
        <v>卖出</v>
      </c>
      <c r="AB770" s="371">
        <v>112</v>
      </c>
      <c r="AC770" s="321">
        <v>8.4000000000000005E-2</v>
      </c>
      <c r="AD770" s="205"/>
      <c r="AE770" s="104"/>
      <c r="AF770" s="105"/>
    </row>
    <row r="771" spans="1:35" ht="24.95" customHeight="1" x14ac:dyDescent="0.15">
      <c r="A771" s="316" t="s">
        <v>248</v>
      </c>
      <c r="B771" s="120" t="s">
        <v>263</v>
      </c>
      <c r="C771" s="316" t="str">
        <f t="shared" si="390"/>
        <v>到期</v>
      </c>
      <c r="D771" s="323" t="s">
        <v>1869</v>
      </c>
      <c r="E771" s="316" t="s">
        <v>255</v>
      </c>
      <c r="F771" s="48">
        <v>43728</v>
      </c>
      <c r="G771" s="372">
        <v>43759</v>
      </c>
      <c r="H771" s="371" t="s">
        <v>1325</v>
      </c>
      <c r="I771" s="371" t="s">
        <v>222</v>
      </c>
      <c r="J771" s="316" t="s">
        <v>59</v>
      </c>
      <c r="K771" s="105">
        <v>5200</v>
      </c>
      <c r="L771" s="104">
        <v>1925</v>
      </c>
      <c r="M771" s="104">
        <v>1925</v>
      </c>
      <c r="N771" s="104">
        <v>16.77</v>
      </c>
      <c r="O771" s="104">
        <f t="shared" si="394"/>
        <v>87204</v>
      </c>
      <c r="P771" s="232" t="s">
        <v>1485</v>
      </c>
      <c r="Q771" s="101" t="str">
        <f>P771&amp;"-L"</f>
        <v>OTC-C00446-L</v>
      </c>
      <c r="R771" s="104"/>
      <c r="S771" s="104"/>
      <c r="T771" s="48"/>
      <c r="U771" s="104">
        <v>1922</v>
      </c>
      <c r="V771" s="104">
        <f>-(L771-U771)*K771</f>
        <v>-15600</v>
      </c>
      <c r="W771" s="48">
        <v>43759</v>
      </c>
      <c r="X771" s="426">
        <f t="shared" si="395"/>
        <v>71604</v>
      </c>
      <c r="Y771" s="198">
        <f t="shared" si="396"/>
        <v>10010000</v>
      </c>
      <c r="Z771" s="371" t="str">
        <f t="shared" si="392"/>
        <v/>
      </c>
      <c r="AA771" s="371" t="str">
        <f>IF(I771="买入","卖出","买入")</f>
        <v>买入</v>
      </c>
      <c r="AB771" s="371">
        <v>113</v>
      </c>
      <c r="AC771" s="321">
        <v>8.4000000000000005E-2</v>
      </c>
      <c r="AD771" s="205"/>
      <c r="AE771" s="104"/>
      <c r="AF771" s="105"/>
    </row>
    <row r="772" spans="1:35" ht="24.95" customHeight="1" x14ac:dyDescent="0.15">
      <c r="A772" s="316" t="s">
        <v>248</v>
      </c>
      <c r="B772" s="120" t="s">
        <v>263</v>
      </c>
      <c r="C772" s="316" t="str">
        <f t="shared" si="390"/>
        <v>到期</v>
      </c>
      <c r="D772" s="323" t="s">
        <v>1869</v>
      </c>
      <c r="E772" s="316" t="s">
        <v>255</v>
      </c>
      <c r="F772" s="48">
        <v>43728</v>
      </c>
      <c r="G772" s="372">
        <v>43759</v>
      </c>
      <c r="H772" s="371" t="s">
        <v>1325</v>
      </c>
      <c r="I772" s="371" t="s">
        <v>222</v>
      </c>
      <c r="J772" s="316" t="s">
        <v>1327</v>
      </c>
      <c r="K772" s="105">
        <v>5200</v>
      </c>
      <c r="L772" s="104"/>
      <c r="M772" s="104">
        <v>1925</v>
      </c>
      <c r="N772" s="104"/>
      <c r="O772" s="104">
        <f t="shared" si="394"/>
        <v>0</v>
      </c>
      <c r="P772" s="232" t="s">
        <v>1475</v>
      </c>
      <c r="Q772" s="101" t="s">
        <v>2004</v>
      </c>
      <c r="R772" s="104"/>
      <c r="S772" s="104"/>
      <c r="T772" s="48"/>
      <c r="U772" s="104">
        <v>1922</v>
      </c>
      <c r="V772" s="104">
        <f>(M772-U772)*K772</f>
        <v>15600</v>
      </c>
      <c r="W772" s="48">
        <v>43759</v>
      </c>
      <c r="X772" s="426">
        <f t="shared" si="395"/>
        <v>15600</v>
      </c>
      <c r="Y772" s="198">
        <f t="shared" si="396"/>
        <v>10010000</v>
      </c>
      <c r="Z772" s="371" t="str">
        <f>IF(C772="存续",D772&amp;H772&amp;"-"&amp;AA772&amp;AE772,"")</f>
        <v/>
      </c>
      <c r="AA772" s="371" t="str">
        <f>IF(I772="买入","卖出","买入")</f>
        <v>买入</v>
      </c>
      <c r="AB772" s="371">
        <v>114</v>
      </c>
      <c r="AC772" s="321"/>
      <c r="AD772" s="322"/>
      <c r="AE772" s="104" t="s">
        <v>1327</v>
      </c>
      <c r="AF772" s="105"/>
    </row>
    <row r="773" spans="1:35" ht="24.95" customHeight="1" x14ac:dyDescent="0.15">
      <c r="A773" s="316" t="s">
        <v>394</v>
      </c>
      <c r="B773" s="120" t="s">
        <v>263</v>
      </c>
      <c r="C773" s="316" t="str">
        <f>IF(Q773="","存续","到期")</f>
        <v>到期</v>
      </c>
      <c r="D773" s="128" t="s">
        <v>266</v>
      </c>
      <c r="E773" s="316" t="s">
        <v>255</v>
      </c>
      <c r="F773" s="48">
        <v>43728</v>
      </c>
      <c r="G773" s="374">
        <v>43762</v>
      </c>
      <c r="H773" s="373" t="s">
        <v>1465</v>
      </c>
      <c r="I773" s="373" t="s">
        <v>1466</v>
      </c>
      <c r="J773" s="316" t="s">
        <v>56</v>
      </c>
      <c r="K773" s="373">
        <v>2000</v>
      </c>
      <c r="L773" s="373">
        <v>1440</v>
      </c>
      <c r="M773" s="373">
        <v>1440</v>
      </c>
      <c r="N773" s="373">
        <v>32.5</v>
      </c>
      <c r="O773" s="373">
        <f t="shared" ref="O773:O780" si="398">N773*K773</f>
        <v>65000</v>
      </c>
      <c r="P773" s="101" t="s">
        <v>1611</v>
      </c>
      <c r="Q773" s="101" t="s">
        <v>2005</v>
      </c>
      <c r="R773" s="105">
        <v>0</v>
      </c>
      <c r="S773" s="105">
        <f>R773*K773</f>
        <v>0</v>
      </c>
      <c r="T773" s="374">
        <v>43732</v>
      </c>
      <c r="U773" s="373">
        <v>1437</v>
      </c>
      <c r="V773" s="373"/>
      <c r="W773" s="373"/>
      <c r="X773" s="384">
        <f t="shared" ref="X773:X774" si="399">IF(I773="买入",S773-O773,O773+S773)</f>
        <v>-65000</v>
      </c>
      <c r="Y773" s="373">
        <f>ABS(M773*K773)</f>
        <v>2880000</v>
      </c>
      <c r="Z773" s="373" t="str">
        <f>IF(C773="存续",D773&amp;H773&amp;"-"&amp;AA773,"")</f>
        <v/>
      </c>
      <c r="AA773" s="105" t="str">
        <f>IF(I773="买入","卖出","买入")</f>
        <v>卖出</v>
      </c>
      <c r="AB773" s="373">
        <v>115</v>
      </c>
      <c r="AC773" s="321"/>
      <c r="AD773" s="321"/>
      <c r="AE773" s="113" t="s">
        <v>1716</v>
      </c>
      <c r="AF773" s="105"/>
    </row>
    <row r="774" spans="1:35" ht="24.95" customHeight="1" x14ac:dyDescent="0.15">
      <c r="A774" s="316" t="s">
        <v>394</v>
      </c>
      <c r="B774" s="120" t="s">
        <v>263</v>
      </c>
      <c r="C774" s="316" t="str">
        <f t="shared" ref="C774" si="400">IF(Q774="","存续","到期")</f>
        <v>到期</v>
      </c>
      <c r="D774" s="128" t="s">
        <v>266</v>
      </c>
      <c r="E774" s="316" t="s">
        <v>255</v>
      </c>
      <c r="F774" s="48">
        <v>43728</v>
      </c>
      <c r="G774" s="374">
        <v>43762</v>
      </c>
      <c r="H774" s="373" t="s">
        <v>1465</v>
      </c>
      <c r="I774" s="373" t="s">
        <v>978</v>
      </c>
      <c r="J774" s="316" t="s">
        <v>59</v>
      </c>
      <c r="K774" s="373">
        <v>2000</v>
      </c>
      <c r="L774" s="373">
        <v>1440</v>
      </c>
      <c r="M774" s="373">
        <v>1440</v>
      </c>
      <c r="N774" s="373">
        <v>32.5</v>
      </c>
      <c r="O774" s="373">
        <f t="shared" si="398"/>
        <v>65000</v>
      </c>
      <c r="P774" s="101" t="s">
        <v>1611</v>
      </c>
      <c r="Q774" s="101" t="s">
        <v>2005</v>
      </c>
      <c r="R774" s="105">
        <v>3</v>
      </c>
      <c r="S774" s="105">
        <f>-R774*K774</f>
        <v>-6000</v>
      </c>
      <c r="T774" s="374">
        <v>43732</v>
      </c>
      <c r="U774" s="373">
        <v>1437</v>
      </c>
      <c r="V774" s="373"/>
      <c r="W774" s="373"/>
      <c r="X774" s="384">
        <f t="shared" si="399"/>
        <v>59000</v>
      </c>
      <c r="Y774" s="373">
        <f t="shared" ref="Y774:Y775" si="401">ABS(M774*K774)</f>
        <v>2880000</v>
      </c>
      <c r="Z774" s="373" t="str">
        <f t="shared" ref="Z774:Z775" si="402">IF(C774="存续",D774&amp;H774&amp;"-"&amp;AA774,"")</f>
        <v/>
      </c>
      <c r="AA774" s="105" t="str">
        <f t="shared" ref="AA774:AA775" si="403">IF(I774="买入","卖出","买入")</f>
        <v>买入</v>
      </c>
      <c r="AB774" s="373">
        <v>115</v>
      </c>
      <c r="AC774" s="321"/>
      <c r="AD774" s="321"/>
      <c r="AE774" s="113" t="s">
        <v>1716</v>
      </c>
      <c r="AF774" s="105"/>
    </row>
    <row r="775" spans="1:35" ht="24.95" customHeight="1" x14ac:dyDescent="0.15">
      <c r="A775" s="316" t="s">
        <v>394</v>
      </c>
      <c r="B775" s="120" t="s">
        <v>263</v>
      </c>
      <c r="C775" s="316" t="str">
        <f t="shared" ref="C775" si="404">IF(Q775="","存续","到期")</f>
        <v>到期</v>
      </c>
      <c r="D775" s="128" t="s">
        <v>266</v>
      </c>
      <c r="E775" s="316" t="s">
        <v>255</v>
      </c>
      <c r="F775" s="48">
        <v>43728</v>
      </c>
      <c r="G775" s="374">
        <v>43762</v>
      </c>
      <c r="H775" s="373" t="s">
        <v>1465</v>
      </c>
      <c r="I775" s="373" t="s">
        <v>316</v>
      </c>
      <c r="J775" s="316" t="s">
        <v>59</v>
      </c>
      <c r="K775" s="373">
        <v>7000</v>
      </c>
      <c r="L775" s="373">
        <v>1396.8</v>
      </c>
      <c r="M775" s="373">
        <v>1440</v>
      </c>
      <c r="N775" s="138">
        <v>14.92</v>
      </c>
      <c r="O775" s="373">
        <f t="shared" si="398"/>
        <v>104440</v>
      </c>
      <c r="P775" s="101" t="s">
        <v>1612</v>
      </c>
      <c r="Q775" s="101" t="s">
        <v>1736</v>
      </c>
      <c r="R775" s="105"/>
      <c r="S775" s="105"/>
      <c r="T775" s="374"/>
      <c r="U775" s="373">
        <v>1513</v>
      </c>
      <c r="V775" s="373">
        <v>0</v>
      </c>
      <c r="W775" s="438">
        <v>43762</v>
      </c>
      <c r="X775" s="437">
        <f t="shared" ref="X775:X776" si="405">IF(I775="买入",V775-O775,V775+O775)</f>
        <v>-104440</v>
      </c>
      <c r="Y775" s="373">
        <f t="shared" si="401"/>
        <v>10080000</v>
      </c>
      <c r="Z775" s="373" t="str">
        <f t="shared" si="402"/>
        <v/>
      </c>
      <c r="AA775" s="105" t="str">
        <f t="shared" si="403"/>
        <v>卖出</v>
      </c>
      <c r="AB775" s="373">
        <v>116</v>
      </c>
      <c r="AC775" s="321">
        <v>0.2</v>
      </c>
      <c r="AD775" s="373"/>
      <c r="AE775" s="373"/>
      <c r="AF775" s="105"/>
    </row>
    <row r="776" spans="1:35" ht="24.95" customHeight="1" x14ac:dyDescent="0.15">
      <c r="A776" s="316" t="s">
        <v>394</v>
      </c>
      <c r="B776" s="120" t="s">
        <v>263</v>
      </c>
      <c r="C776" s="316" t="str">
        <f>IF(Q776="","存续","到期")</f>
        <v>到期</v>
      </c>
      <c r="D776" s="128" t="s">
        <v>1846</v>
      </c>
      <c r="E776" s="316" t="s">
        <v>255</v>
      </c>
      <c r="F776" s="48">
        <v>43728</v>
      </c>
      <c r="G776" s="374">
        <v>43763</v>
      </c>
      <c r="H776" s="373" t="s">
        <v>1465</v>
      </c>
      <c r="I776" s="373" t="s">
        <v>998</v>
      </c>
      <c r="J776" s="316" t="s">
        <v>1468</v>
      </c>
      <c r="K776" s="373">
        <v>8000</v>
      </c>
      <c r="L776" s="373">
        <v>1396.8</v>
      </c>
      <c r="M776" s="373">
        <v>1440</v>
      </c>
      <c r="N776" s="373">
        <v>15.62</v>
      </c>
      <c r="O776" s="373">
        <f t="shared" si="398"/>
        <v>124960</v>
      </c>
      <c r="P776" s="101" t="s">
        <v>1545</v>
      </c>
      <c r="Q776" s="101" t="str">
        <f>P776&amp;"-L"</f>
        <v>OTC-C00447-L</v>
      </c>
      <c r="R776" s="105"/>
      <c r="S776" s="105"/>
      <c r="T776" s="374"/>
      <c r="U776" s="373">
        <v>1505</v>
      </c>
      <c r="V776" s="373">
        <v>0</v>
      </c>
      <c r="W776" s="440">
        <v>43763</v>
      </c>
      <c r="X776" s="439">
        <f t="shared" si="405"/>
        <v>-124960</v>
      </c>
      <c r="Y776" s="373">
        <f>ABS(M776*K776)</f>
        <v>11520000</v>
      </c>
      <c r="Z776" s="373" t="str">
        <f>IF(C776="存续",D776&amp;H776&amp;"-"&amp;AA776,"")</f>
        <v/>
      </c>
      <c r="AA776" s="105" t="str">
        <f>IF(I776="买入","卖出","买入")</f>
        <v>卖出</v>
      </c>
      <c r="AB776" s="104">
        <v>117</v>
      </c>
      <c r="AC776" s="321">
        <v>0.2</v>
      </c>
      <c r="AD776" s="373"/>
      <c r="AE776" s="373"/>
      <c r="AF776" s="105"/>
    </row>
    <row r="777" spans="1:35" ht="24.95" customHeight="1" x14ac:dyDescent="0.15">
      <c r="A777" s="316" t="s">
        <v>394</v>
      </c>
      <c r="B777" s="120" t="s">
        <v>263</v>
      </c>
      <c r="C777" s="316" t="str">
        <f>IF(Q777="","存续","到期")</f>
        <v>到期</v>
      </c>
      <c r="D777" s="128" t="s">
        <v>1846</v>
      </c>
      <c r="E777" s="316" t="s">
        <v>255</v>
      </c>
      <c r="F777" s="48">
        <v>43728</v>
      </c>
      <c r="G777" s="374">
        <v>43825</v>
      </c>
      <c r="H777" s="373" t="s">
        <v>1465</v>
      </c>
      <c r="I777" s="373" t="s">
        <v>1466</v>
      </c>
      <c r="J777" s="316" t="s">
        <v>986</v>
      </c>
      <c r="K777" s="373">
        <v>2200</v>
      </c>
      <c r="L777" s="373">
        <v>1440</v>
      </c>
      <c r="M777" s="373">
        <v>1440</v>
      </c>
      <c r="N777" s="373">
        <v>0</v>
      </c>
      <c r="O777" s="373">
        <f t="shared" si="398"/>
        <v>0</v>
      </c>
      <c r="P777" s="101" t="s">
        <v>1546</v>
      </c>
      <c r="Q777" s="101" t="str">
        <f>P777&amp;"-L"</f>
        <v>OTC-C00448-L</v>
      </c>
      <c r="R777" s="105">
        <f>U777-L777</f>
        <v>50</v>
      </c>
      <c r="S777" s="105">
        <f>R777*K777</f>
        <v>110000</v>
      </c>
      <c r="T777" s="453">
        <v>43768</v>
      </c>
      <c r="U777" s="373">
        <v>1490</v>
      </c>
      <c r="V777" s="373"/>
      <c r="W777" s="373"/>
      <c r="X777" s="104">
        <f t="shared" ref="X777:X778" si="406">IF(I777="买入",S777-O777,O777+S777)</f>
        <v>110000</v>
      </c>
      <c r="Y777" s="373">
        <f>ABS(M777*K777)</f>
        <v>3168000</v>
      </c>
      <c r="Z777" s="373" t="str">
        <f>IF(C777="存续",D777&amp;H777&amp;"-"&amp;AA777,"")</f>
        <v/>
      </c>
      <c r="AA777" s="105" t="str">
        <f>IF(I777="买入","卖出","买入")</f>
        <v>卖出</v>
      </c>
      <c r="AB777" s="373">
        <v>118</v>
      </c>
      <c r="AC777" s="321"/>
      <c r="AD777" s="321"/>
      <c r="AE777" s="113" t="s">
        <v>1716</v>
      </c>
      <c r="AF777" s="105"/>
    </row>
    <row r="778" spans="1:35" ht="24.95" customHeight="1" x14ac:dyDescent="0.15">
      <c r="A778" s="316" t="s">
        <v>394</v>
      </c>
      <c r="B778" s="120" t="s">
        <v>263</v>
      </c>
      <c r="C778" s="316" t="str">
        <f t="shared" ref="C778:C780" si="407">IF(Q778="","存续","到期")</f>
        <v>到期</v>
      </c>
      <c r="D778" s="128" t="s">
        <v>1846</v>
      </c>
      <c r="E778" s="316" t="s">
        <v>255</v>
      </c>
      <c r="F778" s="48">
        <v>43728</v>
      </c>
      <c r="G778" s="374">
        <v>43825</v>
      </c>
      <c r="H778" s="373" t="s">
        <v>1465</v>
      </c>
      <c r="I778" s="373" t="s">
        <v>1467</v>
      </c>
      <c r="J778" s="316" t="s">
        <v>979</v>
      </c>
      <c r="K778" s="373">
        <v>2200</v>
      </c>
      <c r="L778" s="373">
        <v>1440</v>
      </c>
      <c r="M778" s="373">
        <v>1440</v>
      </c>
      <c r="N778" s="373">
        <v>0</v>
      </c>
      <c r="O778" s="373">
        <f t="shared" si="398"/>
        <v>0</v>
      </c>
      <c r="P778" s="101" t="s">
        <v>1546</v>
      </c>
      <c r="Q778" s="101" t="str">
        <f>P778&amp;"-L"</f>
        <v>OTC-C00448-L</v>
      </c>
      <c r="R778" s="105">
        <v>0</v>
      </c>
      <c r="S778" s="105">
        <f>R778*K778</f>
        <v>0</v>
      </c>
      <c r="T778" s="453">
        <v>43768</v>
      </c>
      <c r="U778" s="373">
        <v>1490</v>
      </c>
      <c r="V778" s="373"/>
      <c r="W778" s="373"/>
      <c r="X778" s="104">
        <f t="shared" si="406"/>
        <v>0</v>
      </c>
      <c r="Y778" s="373">
        <f t="shared" ref="Y778" si="408">ABS(M778*K778)</f>
        <v>3168000</v>
      </c>
      <c r="Z778" s="373" t="str">
        <f t="shared" ref="Z778:Z780" si="409">IF(C778="存续",D778&amp;H778&amp;"-"&amp;AA778,"")</f>
        <v/>
      </c>
      <c r="AA778" s="105" t="str">
        <f t="shared" ref="AA778:AA780" si="410">IF(I778="买入","卖出","买入")</f>
        <v>买入</v>
      </c>
      <c r="AB778" s="373">
        <v>118</v>
      </c>
      <c r="AC778" s="321"/>
      <c r="AD778" s="321"/>
      <c r="AE778" s="113" t="s">
        <v>1716</v>
      </c>
      <c r="AF778" s="105"/>
    </row>
    <row r="779" spans="1:35" ht="24" customHeight="1" x14ac:dyDescent="0.15">
      <c r="A779" s="316" t="s">
        <v>248</v>
      </c>
      <c r="B779" s="120" t="s">
        <v>263</v>
      </c>
      <c r="C779" s="316" t="str">
        <f t="shared" si="407"/>
        <v>到期</v>
      </c>
      <c r="D779" s="100" t="s">
        <v>1861</v>
      </c>
      <c r="E779" s="316" t="s">
        <v>137</v>
      </c>
      <c r="F779" s="48">
        <v>43731</v>
      </c>
      <c r="G779" s="48">
        <v>43791</v>
      </c>
      <c r="H779" s="377" t="s">
        <v>1476</v>
      </c>
      <c r="I779" s="377" t="s">
        <v>241</v>
      </c>
      <c r="J779" s="386" t="s">
        <v>973</v>
      </c>
      <c r="K779" s="105">
        <v>21043.75</v>
      </c>
      <c r="L779" s="105">
        <v>1930</v>
      </c>
      <c r="M779" s="105">
        <v>1930</v>
      </c>
      <c r="N779" s="105">
        <v>33</v>
      </c>
      <c r="O779" s="105">
        <f t="shared" si="398"/>
        <v>694443.75</v>
      </c>
      <c r="P779" s="101" t="s">
        <v>1043</v>
      </c>
      <c r="Q779" s="101" t="str">
        <f>P779&amp;"-L-2"</f>
        <v>OTC-C00344-L-2</v>
      </c>
      <c r="R779" s="105"/>
      <c r="S779" s="105"/>
      <c r="T779" s="378"/>
      <c r="U779" s="104">
        <v>1925.25</v>
      </c>
      <c r="V779" s="104">
        <f>20*K779</f>
        <v>420875</v>
      </c>
      <c r="W779" s="48">
        <v>43791</v>
      </c>
      <c r="X779" s="105">
        <f t="shared" ref="X779:X780" si="411">IF(I779="买入",V779-O779,V779+O779)</f>
        <v>-273568.75</v>
      </c>
      <c r="Y779" s="197">
        <f>M779*K779</f>
        <v>40614437.5</v>
      </c>
      <c r="Z779" s="377" t="str">
        <f t="shared" si="409"/>
        <v/>
      </c>
      <c r="AA779" s="377" t="str">
        <f t="shared" si="410"/>
        <v>卖出</v>
      </c>
      <c r="AB779" s="377">
        <v>119</v>
      </c>
      <c r="AC779" s="321">
        <v>0.155</v>
      </c>
      <c r="AD779" s="377"/>
      <c r="AE779" s="377" t="s">
        <v>1333</v>
      </c>
      <c r="AF779" s="105"/>
      <c r="AG779" s="108" t="s">
        <v>1478</v>
      </c>
      <c r="AH779" s="337">
        <v>0.7</v>
      </c>
      <c r="AI779" s="108" t="s">
        <v>1477</v>
      </c>
    </row>
    <row r="780" spans="1:35" ht="24" customHeight="1" x14ac:dyDescent="0.15">
      <c r="A780" s="316" t="s">
        <v>248</v>
      </c>
      <c r="B780" s="120" t="s">
        <v>263</v>
      </c>
      <c r="C780" s="316" t="str">
        <f t="shared" si="407"/>
        <v>到期</v>
      </c>
      <c r="D780" s="100" t="s">
        <v>1862</v>
      </c>
      <c r="E780" s="316" t="s">
        <v>137</v>
      </c>
      <c r="F780" s="48">
        <v>43731</v>
      </c>
      <c r="G780" s="48">
        <v>43791</v>
      </c>
      <c r="H780" s="377" t="s">
        <v>1476</v>
      </c>
      <c r="I780" s="377" t="s">
        <v>241</v>
      </c>
      <c r="J780" s="386" t="s">
        <v>973</v>
      </c>
      <c r="K780" s="105">
        <v>21043.75</v>
      </c>
      <c r="L780" s="105">
        <v>1930</v>
      </c>
      <c r="M780" s="105">
        <v>1930</v>
      </c>
      <c r="N780" s="105">
        <v>33</v>
      </c>
      <c r="O780" s="105">
        <f t="shared" si="398"/>
        <v>694443.75</v>
      </c>
      <c r="P780" s="101" t="s">
        <v>1207</v>
      </c>
      <c r="Q780" s="101" t="str">
        <f>P780&amp;"-L-2"</f>
        <v>OTC-C00345-L-2</v>
      </c>
      <c r="R780" s="105"/>
      <c r="S780" s="105"/>
      <c r="T780" s="378"/>
      <c r="U780" s="104">
        <v>1925.25</v>
      </c>
      <c r="V780" s="104">
        <f>20*K780</f>
        <v>420875</v>
      </c>
      <c r="W780" s="48">
        <v>43791</v>
      </c>
      <c r="X780" s="105">
        <f t="shared" si="411"/>
        <v>-273568.75</v>
      </c>
      <c r="Y780" s="197">
        <f t="shared" ref="Y780" si="412">M780*K780</f>
        <v>40614437.5</v>
      </c>
      <c r="Z780" s="377" t="str">
        <f t="shared" si="409"/>
        <v/>
      </c>
      <c r="AA780" s="377" t="str">
        <f t="shared" si="410"/>
        <v>卖出</v>
      </c>
      <c r="AB780" s="377">
        <v>120</v>
      </c>
      <c r="AC780" s="321">
        <v>0.155</v>
      </c>
      <c r="AD780" s="377"/>
      <c r="AE780" s="377" t="s">
        <v>1333</v>
      </c>
      <c r="AF780" s="105"/>
      <c r="AG780" s="108" t="s">
        <v>1479</v>
      </c>
      <c r="AH780" s="337">
        <v>0.7</v>
      </c>
      <c r="AI780" s="108" t="s">
        <v>1477</v>
      </c>
    </row>
    <row r="781" spans="1:35" ht="24.95" customHeight="1" x14ac:dyDescent="0.15">
      <c r="A781" s="316" t="s">
        <v>394</v>
      </c>
      <c r="B781" s="120" t="s">
        <v>263</v>
      </c>
      <c r="C781" s="316" t="str">
        <f>IF(Q781="","存续","到期")</f>
        <v>到期</v>
      </c>
      <c r="D781" s="128" t="s">
        <v>1846</v>
      </c>
      <c r="E781" s="316" t="s">
        <v>255</v>
      </c>
      <c r="F781" s="48">
        <v>43731</v>
      </c>
      <c r="G781" s="380">
        <v>43761</v>
      </c>
      <c r="H781" s="379" t="s">
        <v>1480</v>
      </c>
      <c r="I781" s="379" t="s">
        <v>1466</v>
      </c>
      <c r="J781" s="316" t="s">
        <v>986</v>
      </c>
      <c r="K781" s="379">
        <v>1500</v>
      </c>
      <c r="L781" s="379">
        <v>3510</v>
      </c>
      <c r="M781" s="379">
        <v>3510</v>
      </c>
      <c r="N781" s="379">
        <v>76.52</v>
      </c>
      <c r="O781" s="379">
        <f t="shared" ref="O781:O792" si="413">N781*K781</f>
        <v>114780</v>
      </c>
      <c r="P781" s="101" t="s">
        <v>1547</v>
      </c>
      <c r="Q781" s="101" t="str">
        <f>P781&amp;"-L"</f>
        <v>OTC-C00449-L</v>
      </c>
      <c r="R781" s="105"/>
      <c r="S781" s="105"/>
      <c r="T781" s="380"/>
      <c r="U781" s="379">
        <v>3312</v>
      </c>
      <c r="V781" s="379">
        <v>0</v>
      </c>
      <c r="W781" s="432">
        <v>43761</v>
      </c>
      <c r="X781" s="431">
        <f t="shared" ref="X781:X807" si="414">IF(I781="买入",V781-O781,V781+O781)</f>
        <v>-114780</v>
      </c>
      <c r="Y781" s="379">
        <f>ABS(M781*K781)</f>
        <v>5265000</v>
      </c>
      <c r="Z781" s="379" t="str">
        <f>IF(C781="存续",D781&amp;H781&amp;"-"&amp;AA781,"")</f>
        <v/>
      </c>
      <c r="AA781" s="105" t="str">
        <f>IF(I781="买入","卖出","买入")</f>
        <v>卖出</v>
      </c>
      <c r="AB781" s="379">
        <v>121</v>
      </c>
      <c r="AC781" s="321">
        <v>0.20849999999999999</v>
      </c>
      <c r="AD781" s="379"/>
      <c r="AE781" s="379"/>
      <c r="AF781" s="105"/>
    </row>
    <row r="782" spans="1:35" ht="24.95" customHeight="1" x14ac:dyDescent="0.15">
      <c r="A782" s="316" t="s">
        <v>394</v>
      </c>
      <c r="B782" s="120" t="s">
        <v>263</v>
      </c>
      <c r="C782" s="316" t="str">
        <f t="shared" ref="C782:C795" si="415">IF(Q782="","存续","到期")</f>
        <v>到期</v>
      </c>
      <c r="D782" s="128" t="s">
        <v>1846</v>
      </c>
      <c r="E782" s="316" t="s">
        <v>255</v>
      </c>
      <c r="F782" s="48">
        <v>43731</v>
      </c>
      <c r="G782" s="380">
        <v>43761</v>
      </c>
      <c r="H782" s="379" t="s">
        <v>1481</v>
      </c>
      <c r="I782" s="379" t="s">
        <v>1482</v>
      </c>
      <c r="J782" s="316" t="s">
        <v>979</v>
      </c>
      <c r="K782" s="379">
        <v>1500</v>
      </c>
      <c r="L782" s="379">
        <v>3510</v>
      </c>
      <c r="M782" s="379">
        <v>3510</v>
      </c>
      <c r="N782" s="379">
        <v>76.52</v>
      </c>
      <c r="O782" s="379">
        <f t="shared" si="413"/>
        <v>114780</v>
      </c>
      <c r="P782" s="101" t="s">
        <v>1548</v>
      </c>
      <c r="Q782" s="101" t="str">
        <f>P782&amp;"-L"</f>
        <v>OTC-C00449-L</v>
      </c>
      <c r="R782" s="105"/>
      <c r="S782" s="105"/>
      <c r="T782" s="380"/>
      <c r="U782" s="379">
        <v>3312</v>
      </c>
      <c r="V782" s="379">
        <f>(L782-U782)*K782</f>
        <v>297000</v>
      </c>
      <c r="W782" s="432">
        <v>43761</v>
      </c>
      <c r="X782" s="431">
        <f t="shared" si="414"/>
        <v>182220</v>
      </c>
      <c r="Y782" s="379">
        <f t="shared" ref="Y782" si="416">ABS(M782*K782)</f>
        <v>5265000</v>
      </c>
      <c r="Z782" s="379" t="str">
        <f t="shared" ref="Z782:Z795" si="417">IF(C782="存续",D782&amp;H782&amp;"-"&amp;AA782,"")</f>
        <v/>
      </c>
      <c r="AA782" s="105" t="str">
        <f t="shared" ref="AA782" si="418">IF(I782="买入","卖出","买入")</f>
        <v>卖出</v>
      </c>
      <c r="AB782" s="379">
        <v>121</v>
      </c>
      <c r="AC782" s="321">
        <v>0.20849999999999999</v>
      </c>
      <c r="AD782" s="379"/>
      <c r="AE782" s="379"/>
      <c r="AF782" s="105"/>
    </row>
    <row r="783" spans="1:35" ht="24.95" customHeight="1" x14ac:dyDescent="0.15">
      <c r="A783" s="316" t="s">
        <v>248</v>
      </c>
      <c r="B783" s="120" t="s">
        <v>263</v>
      </c>
      <c r="C783" s="316" t="str">
        <f t="shared" si="415"/>
        <v>到期</v>
      </c>
      <c r="D783" s="103" t="s">
        <v>1841</v>
      </c>
      <c r="E783" s="316" t="s">
        <v>298</v>
      </c>
      <c r="F783" s="48">
        <v>43732</v>
      </c>
      <c r="G783" s="385">
        <v>43760</v>
      </c>
      <c r="H783" s="384" t="s">
        <v>1455</v>
      </c>
      <c r="I783" s="384" t="s">
        <v>222</v>
      </c>
      <c r="J783" s="316" t="s">
        <v>56</v>
      </c>
      <c r="K783" s="105">
        <v>50</v>
      </c>
      <c r="L783" s="104">
        <v>49280</v>
      </c>
      <c r="M783" s="104">
        <v>47160</v>
      </c>
      <c r="N783" s="104">
        <f>391.47/2</f>
        <v>195.73500000000001</v>
      </c>
      <c r="O783" s="104">
        <f t="shared" si="413"/>
        <v>9786.75</v>
      </c>
      <c r="P783" s="101" t="s">
        <v>1489</v>
      </c>
      <c r="Q783" s="101" t="str">
        <f>P783&amp;"-L"</f>
        <v>OTC-C00450-L</v>
      </c>
      <c r="R783" s="104"/>
      <c r="S783" s="104"/>
      <c r="T783" s="104"/>
      <c r="U783" s="104">
        <v>47120</v>
      </c>
      <c r="V783" s="104">
        <v>0</v>
      </c>
      <c r="W783" s="429">
        <v>43760</v>
      </c>
      <c r="X783" s="430">
        <f t="shared" si="414"/>
        <v>9786.75</v>
      </c>
      <c r="Y783" s="198">
        <f t="shared" ref="Y783:Y792" si="419">M783*K783</f>
        <v>2358000</v>
      </c>
      <c r="Z783" s="384" t="str">
        <f t="shared" si="417"/>
        <v/>
      </c>
      <c r="AA783" s="384" t="str">
        <f>IF(I783="买入","卖出","买入19-新17")</f>
        <v>买入19-新17</v>
      </c>
      <c r="AB783" s="384">
        <v>122</v>
      </c>
      <c r="AC783" s="321">
        <v>0.152</v>
      </c>
      <c r="AD783" s="322">
        <v>0.152</v>
      </c>
      <c r="AE783" s="104"/>
      <c r="AF783" s="105">
        <v>31250</v>
      </c>
    </row>
    <row r="784" spans="1:35" ht="24.95" customHeight="1" x14ac:dyDescent="0.15">
      <c r="A784" s="316" t="s">
        <v>248</v>
      </c>
      <c r="B784" s="120" t="s">
        <v>263</v>
      </c>
      <c r="C784" s="316" t="str">
        <f t="shared" si="415"/>
        <v>到期</v>
      </c>
      <c r="D784" s="103" t="s">
        <v>1841</v>
      </c>
      <c r="E784" s="316" t="s">
        <v>298</v>
      </c>
      <c r="F784" s="48">
        <v>43732</v>
      </c>
      <c r="G784" s="385">
        <v>43760</v>
      </c>
      <c r="H784" s="384" t="s">
        <v>1454</v>
      </c>
      <c r="I784" s="384" t="s">
        <v>222</v>
      </c>
      <c r="J784" s="316" t="s">
        <v>59</v>
      </c>
      <c r="K784" s="105">
        <v>50</v>
      </c>
      <c r="L784" s="104">
        <v>45510</v>
      </c>
      <c r="M784" s="104">
        <v>47160</v>
      </c>
      <c r="N784" s="104">
        <f t="shared" ref="N784:N792" si="420">391.47/2</f>
        <v>195.73500000000001</v>
      </c>
      <c r="O784" s="104">
        <f t="shared" si="413"/>
        <v>9786.75</v>
      </c>
      <c r="P784" s="101" t="s">
        <v>1489</v>
      </c>
      <c r="Q784" s="101" t="str">
        <f t="shared" ref="Q784:Q792" si="421">P784&amp;"-L"</f>
        <v>OTC-C00450-L</v>
      </c>
      <c r="R784" s="104"/>
      <c r="S784" s="104"/>
      <c r="T784" s="104"/>
      <c r="U784" s="104">
        <v>47120</v>
      </c>
      <c r="V784" s="104">
        <v>0</v>
      </c>
      <c r="W784" s="429">
        <v>43760</v>
      </c>
      <c r="X784" s="430">
        <f t="shared" si="414"/>
        <v>9786.75</v>
      </c>
      <c r="Y784" s="198">
        <f t="shared" si="419"/>
        <v>2358000</v>
      </c>
      <c r="Z784" s="384" t="str">
        <f t="shared" si="417"/>
        <v/>
      </c>
      <c r="AA784" s="384" t="str">
        <f t="shared" ref="AA784:AA792" si="422">IF(I784="买入","卖出","买入19-新17")</f>
        <v>买入19-新17</v>
      </c>
      <c r="AB784" s="384">
        <v>122</v>
      </c>
      <c r="AC784" s="321">
        <v>0.152</v>
      </c>
      <c r="AD784" s="322">
        <v>0.152</v>
      </c>
      <c r="AE784" s="104"/>
      <c r="AF784" s="105">
        <v>31250</v>
      </c>
    </row>
    <row r="785" spans="1:32" ht="24.95" customHeight="1" x14ac:dyDescent="0.15">
      <c r="A785" s="316" t="s">
        <v>248</v>
      </c>
      <c r="B785" s="120" t="s">
        <v>263</v>
      </c>
      <c r="C785" s="316" t="str">
        <f t="shared" si="415"/>
        <v>到期</v>
      </c>
      <c r="D785" s="103" t="s">
        <v>1842</v>
      </c>
      <c r="E785" s="316" t="s">
        <v>298</v>
      </c>
      <c r="F785" s="48">
        <v>43732</v>
      </c>
      <c r="G785" s="385">
        <v>43760</v>
      </c>
      <c r="H785" s="384" t="s">
        <v>1454</v>
      </c>
      <c r="I785" s="384" t="s">
        <v>222</v>
      </c>
      <c r="J785" s="316" t="s">
        <v>56</v>
      </c>
      <c r="K785" s="105">
        <v>50</v>
      </c>
      <c r="L785" s="104">
        <v>49280</v>
      </c>
      <c r="M785" s="104">
        <v>47160</v>
      </c>
      <c r="N785" s="104">
        <f t="shared" si="420"/>
        <v>195.73500000000001</v>
      </c>
      <c r="O785" s="104">
        <f t="shared" si="413"/>
        <v>9786.75</v>
      </c>
      <c r="P785" s="101" t="s">
        <v>1490</v>
      </c>
      <c r="Q785" s="101" t="str">
        <f t="shared" si="421"/>
        <v>OTC-C00451-L</v>
      </c>
      <c r="R785" s="104"/>
      <c r="S785" s="104"/>
      <c r="T785" s="104"/>
      <c r="U785" s="104">
        <v>47120</v>
      </c>
      <c r="V785" s="104">
        <v>0</v>
      </c>
      <c r="W785" s="429">
        <v>43760</v>
      </c>
      <c r="X785" s="430">
        <f t="shared" si="414"/>
        <v>9786.75</v>
      </c>
      <c r="Y785" s="198">
        <f t="shared" si="419"/>
        <v>2358000</v>
      </c>
      <c r="Z785" s="384" t="str">
        <f t="shared" si="417"/>
        <v/>
      </c>
      <c r="AA785" s="384" t="str">
        <f t="shared" si="422"/>
        <v>买入19-新17</v>
      </c>
      <c r="AB785" s="384">
        <v>122</v>
      </c>
      <c r="AC785" s="321">
        <v>0.152</v>
      </c>
      <c r="AD785" s="322">
        <v>0.152</v>
      </c>
      <c r="AE785" s="104"/>
      <c r="AF785" s="105">
        <v>31250</v>
      </c>
    </row>
    <row r="786" spans="1:32" ht="24.95" customHeight="1" x14ac:dyDescent="0.15">
      <c r="A786" s="316" t="s">
        <v>248</v>
      </c>
      <c r="B786" s="120" t="s">
        <v>263</v>
      </c>
      <c r="C786" s="316" t="str">
        <f t="shared" si="415"/>
        <v>到期</v>
      </c>
      <c r="D786" s="103" t="s">
        <v>1842</v>
      </c>
      <c r="E786" s="316" t="s">
        <v>298</v>
      </c>
      <c r="F786" s="48">
        <v>43732</v>
      </c>
      <c r="G786" s="385">
        <v>43760</v>
      </c>
      <c r="H786" s="384" t="s">
        <v>1454</v>
      </c>
      <c r="I786" s="384" t="s">
        <v>222</v>
      </c>
      <c r="J786" s="316" t="s">
        <v>59</v>
      </c>
      <c r="K786" s="105">
        <v>50</v>
      </c>
      <c r="L786" s="104">
        <v>45510</v>
      </c>
      <c r="M786" s="104">
        <v>47160</v>
      </c>
      <c r="N786" s="104">
        <f t="shared" si="420"/>
        <v>195.73500000000001</v>
      </c>
      <c r="O786" s="104">
        <f t="shared" si="413"/>
        <v>9786.75</v>
      </c>
      <c r="P786" s="101" t="s">
        <v>1490</v>
      </c>
      <c r="Q786" s="101" t="str">
        <f t="shared" si="421"/>
        <v>OTC-C00451-L</v>
      </c>
      <c r="R786" s="104"/>
      <c r="S786" s="104"/>
      <c r="T786" s="104"/>
      <c r="U786" s="104">
        <v>47120</v>
      </c>
      <c r="V786" s="104">
        <v>0</v>
      </c>
      <c r="W786" s="429">
        <v>43760</v>
      </c>
      <c r="X786" s="430">
        <f t="shared" si="414"/>
        <v>9786.75</v>
      </c>
      <c r="Y786" s="198">
        <f t="shared" si="419"/>
        <v>2358000</v>
      </c>
      <c r="Z786" s="384" t="str">
        <f t="shared" si="417"/>
        <v/>
      </c>
      <c r="AA786" s="384" t="str">
        <f t="shared" si="422"/>
        <v>买入19-新17</v>
      </c>
      <c r="AB786" s="384">
        <v>122</v>
      </c>
      <c r="AC786" s="321">
        <v>0.152</v>
      </c>
      <c r="AD786" s="322">
        <v>0.152</v>
      </c>
      <c r="AE786" s="104"/>
      <c r="AF786" s="105">
        <v>31250</v>
      </c>
    </row>
    <row r="787" spans="1:32" ht="24.95" customHeight="1" x14ac:dyDescent="0.15">
      <c r="A787" s="316" t="s">
        <v>248</v>
      </c>
      <c r="B787" s="120" t="s">
        <v>263</v>
      </c>
      <c r="C787" s="316" t="str">
        <f t="shared" si="415"/>
        <v>到期</v>
      </c>
      <c r="D787" s="103" t="s">
        <v>1843</v>
      </c>
      <c r="E787" s="316" t="s">
        <v>298</v>
      </c>
      <c r="F787" s="48">
        <v>43732</v>
      </c>
      <c r="G787" s="385">
        <v>43760</v>
      </c>
      <c r="H787" s="384" t="s">
        <v>1454</v>
      </c>
      <c r="I787" s="384" t="s">
        <v>222</v>
      </c>
      <c r="J787" s="316" t="s">
        <v>56</v>
      </c>
      <c r="K787" s="105">
        <v>50</v>
      </c>
      <c r="L787" s="104">
        <v>49280</v>
      </c>
      <c r="M787" s="104">
        <v>47160</v>
      </c>
      <c r="N787" s="104">
        <f t="shared" si="420"/>
        <v>195.73500000000001</v>
      </c>
      <c r="O787" s="104">
        <f t="shared" si="413"/>
        <v>9786.75</v>
      </c>
      <c r="P787" s="101" t="s">
        <v>1491</v>
      </c>
      <c r="Q787" s="101" t="str">
        <f t="shared" si="421"/>
        <v>OTC-C00452-L</v>
      </c>
      <c r="R787" s="104"/>
      <c r="S787" s="104"/>
      <c r="T787" s="104"/>
      <c r="U787" s="104">
        <v>47120</v>
      </c>
      <c r="V787" s="104">
        <v>0</v>
      </c>
      <c r="W787" s="429">
        <v>43760</v>
      </c>
      <c r="X787" s="430">
        <f t="shared" si="414"/>
        <v>9786.75</v>
      </c>
      <c r="Y787" s="198">
        <f t="shared" si="419"/>
        <v>2358000</v>
      </c>
      <c r="Z787" s="384" t="str">
        <f t="shared" si="417"/>
        <v/>
      </c>
      <c r="AA787" s="384" t="str">
        <f t="shared" si="422"/>
        <v>买入19-新17</v>
      </c>
      <c r="AB787" s="384">
        <v>122</v>
      </c>
      <c r="AC787" s="321">
        <v>0.152</v>
      </c>
      <c r="AD787" s="322">
        <v>0.152</v>
      </c>
      <c r="AE787" s="104"/>
      <c r="AF787" s="105">
        <v>31250</v>
      </c>
    </row>
    <row r="788" spans="1:32" ht="24.95" customHeight="1" x14ac:dyDescent="0.15">
      <c r="A788" s="316" t="s">
        <v>248</v>
      </c>
      <c r="B788" s="120" t="s">
        <v>263</v>
      </c>
      <c r="C788" s="316" t="str">
        <f t="shared" si="415"/>
        <v>到期</v>
      </c>
      <c r="D788" s="103" t="s">
        <v>1843</v>
      </c>
      <c r="E788" s="316" t="s">
        <v>298</v>
      </c>
      <c r="F788" s="48">
        <v>43732</v>
      </c>
      <c r="G788" s="385">
        <v>43760</v>
      </c>
      <c r="H788" s="384" t="s">
        <v>1454</v>
      </c>
      <c r="I788" s="384" t="s">
        <v>222</v>
      </c>
      <c r="J788" s="316" t="s">
        <v>59</v>
      </c>
      <c r="K788" s="105">
        <v>50</v>
      </c>
      <c r="L788" s="104">
        <v>45510</v>
      </c>
      <c r="M788" s="104">
        <v>47160</v>
      </c>
      <c r="N788" s="104">
        <f t="shared" si="420"/>
        <v>195.73500000000001</v>
      </c>
      <c r="O788" s="104">
        <f t="shared" si="413"/>
        <v>9786.75</v>
      </c>
      <c r="P788" s="101" t="s">
        <v>1491</v>
      </c>
      <c r="Q788" s="101" t="str">
        <f t="shared" si="421"/>
        <v>OTC-C00452-L</v>
      </c>
      <c r="R788" s="104"/>
      <c r="S788" s="104"/>
      <c r="T788" s="104"/>
      <c r="U788" s="104">
        <v>47120</v>
      </c>
      <c r="V788" s="104">
        <v>0</v>
      </c>
      <c r="W788" s="429">
        <v>43760</v>
      </c>
      <c r="X788" s="430">
        <f t="shared" si="414"/>
        <v>9786.75</v>
      </c>
      <c r="Y788" s="198">
        <f t="shared" si="419"/>
        <v>2358000</v>
      </c>
      <c r="Z788" s="384" t="str">
        <f t="shared" si="417"/>
        <v/>
      </c>
      <c r="AA788" s="384" t="str">
        <f t="shared" si="422"/>
        <v>买入19-新17</v>
      </c>
      <c r="AB788" s="384">
        <v>122</v>
      </c>
      <c r="AC788" s="321">
        <v>0.152</v>
      </c>
      <c r="AD788" s="322">
        <v>0.152</v>
      </c>
      <c r="AE788" s="104"/>
      <c r="AF788" s="105">
        <v>31250</v>
      </c>
    </row>
    <row r="789" spans="1:32" ht="24.95" customHeight="1" x14ac:dyDescent="0.15">
      <c r="A789" s="316" t="s">
        <v>248</v>
      </c>
      <c r="B789" s="120" t="s">
        <v>263</v>
      </c>
      <c r="C789" s="316" t="str">
        <f t="shared" si="415"/>
        <v>到期</v>
      </c>
      <c r="D789" s="103" t="s">
        <v>1844</v>
      </c>
      <c r="E789" s="316" t="s">
        <v>298</v>
      </c>
      <c r="F789" s="48">
        <v>43732</v>
      </c>
      <c r="G789" s="385">
        <v>43760</v>
      </c>
      <c r="H789" s="384" t="s">
        <v>1454</v>
      </c>
      <c r="I789" s="384" t="s">
        <v>222</v>
      </c>
      <c r="J789" s="316" t="s">
        <v>56</v>
      </c>
      <c r="K789" s="105">
        <v>50</v>
      </c>
      <c r="L789" s="104">
        <v>49280</v>
      </c>
      <c r="M789" s="104">
        <v>47160</v>
      </c>
      <c r="N789" s="104">
        <f t="shared" si="420"/>
        <v>195.73500000000001</v>
      </c>
      <c r="O789" s="104">
        <f t="shared" si="413"/>
        <v>9786.75</v>
      </c>
      <c r="P789" s="101" t="s">
        <v>1492</v>
      </c>
      <c r="Q789" s="101" t="str">
        <f t="shared" si="421"/>
        <v>OTC-C00453-L</v>
      </c>
      <c r="R789" s="104"/>
      <c r="S789" s="104"/>
      <c r="T789" s="104"/>
      <c r="U789" s="104">
        <v>47120</v>
      </c>
      <c r="V789" s="104">
        <v>0</v>
      </c>
      <c r="W789" s="429">
        <v>43760</v>
      </c>
      <c r="X789" s="430">
        <f t="shared" si="414"/>
        <v>9786.75</v>
      </c>
      <c r="Y789" s="198">
        <f t="shared" si="419"/>
        <v>2358000</v>
      </c>
      <c r="Z789" s="384" t="str">
        <f t="shared" si="417"/>
        <v/>
      </c>
      <c r="AA789" s="384" t="str">
        <f t="shared" si="422"/>
        <v>买入19-新17</v>
      </c>
      <c r="AB789" s="384">
        <v>122</v>
      </c>
      <c r="AC789" s="321">
        <v>0.152</v>
      </c>
      <c r="AD789" s="322">
        <v>0.152</v>
      </c>
      <c r="AE789" s="104"/>
      <c r="AF789" s="105">
        <v>31250</v>
      </c>
    </row>
    <row r="790" spans="1:32" ht="24.95" customHeight="1" x14ac:dyDescent="0.15">
      <c r="A790" s="316" t="s">
        <v>248</v>
      </c>
      <c r="B790" s="120" t="s">
        <v>263</v>
      </c>
      <c r="C790" s="316" t="str">
        <f t="shared" si="415"/>
        <v>到期</v>
      </c>
      <c r="D790" s="103" t="s">
        <v>1844</v>
      </c>
      <c r="E790" s="316" t="s">
        <v>298</v>
      </c>
      <c r="F790" s="48">
        <v>43732</v>
      </c>
      <c r="G790" s="385">
        <v>43760</v>
      </c>
      <c r="H790" s="384" t="s">
        <v>1454</v>
      </c>
      <c r="I790" s="384" t="s">
        <v>222</v>
      </c>
      <c r="J790" s="316" t="s">
        <v>59</v>
      </c>
      <c r="K790" s="105">
        <v>50</v>
      </c>
      <c r="L790" s="104">
        <v>45510</v>
      </c>
      <c r="M790" s="104">
        <v>47160</v>
      </c>
      <c r="N790" s="104">
        <f t="shared" si="420"/>
        <v>195.73500000000001</v>
      </c>
      <c r="O790" s="104">
        <f t="shared" si="413"/>
        <v>9786.75</v>
      </c>
      <c r="P790" s="101" t="s">
        <v>1492</v>
      </c>
      <c r="Q790" s="101" t="str">
        <f t="shared" si="421"/>
        <v>OTC-C00453-L</v>
      </c>
      <c r="R790" s="104"/>
      <c r="S790" s="104"/>
      <c r="T790" s="104"/>
      <c r="U790" s="104">
        <v>47120</v>
      </c>
      <c r="V790" s="104">
        <v>0</v>
      </c>
      <c r="W790" s="429">
        <v>43760</v>
      </c>
      <c r="X790" s="430">
        <f t="shared" si="414"/>
        <v>9786.75</v>
      </c>
      <c r="Y790" s="198">
        <f t="shared" si="419"/>
        <v>2358000</v>
      </c>
      <c r="Z790" s="384" t="str">
        <f t="shared" si="417"/>
        <v/>
      </c>
      <c r="AA790" s="384" t="str">
        <f t="shared" si="422"/>
        <v>买入19-新17</v>
      </c>
      <c r="AB790" s="384">
        <v>122</v>
      </c>
      <c r="AC790" s="321">
        <v>0.152</v>
      </c>
      <c r="AD790" s="322">
        <v>0.152</v>
      </c>
      <c r="AE790" s="104"/>
      <c r="AF790" s="105">
        <v>31250</v>
      </c>
    </row>
    <row r="791" spans="1:32" ht="24.95" customHeight="1" x14ac:dyDescent="0.15">
      <c r="A791" s="316" t="s">
        <v>248</v>
      </c>
      <c r="B791" s="120" t="s">
        <v>263</v>
      </c>
      <c r="C791" s="316" t="str">
        <f t="shared" si="415"/>
        <v>到期</v>
      </c>
      <c r="D791" s="103" t="s">
        <v>1845</v>
      </c>
      <c r="E791" s="316" t="s">
        <v>298</v>
      </c>
      <c r="F791" s="48">
        <v>43732</v>
      </c>
      <c r="G791" s="385">
        <v>43760</v>
      </c>
      <c r="H791" s="384" t="s">
        <v>1454</v>
      </c>
      <c r="I791" s="384" t="s">
        <v>222</v>
      </c>
      <c r="J791" s="316" t="s">
        <v>56</v>
      </c>
      <c r="K791" s="105">
        <v>50</v>
      </c>
      <c r="L791" s="104">
        <v>49280</v>
      </c>
      <c r="M791" s="104">
        <v>47160</v>
      </c>
      <c r="N791" s="104">
        <f t="shared" si="420"/>
        <v>195.73500000000001</v>
      </c>
      <c r="O791" s="104">
        <f t="shared" si="413"/>
        <v>9786.75</v>
      </c>
      <c r="P791" s="101" t="s">
        <v>1493</v>
      </c>
      <c r="Q791" s="101" t="str">
        <f t="shared" si="421"/>
        <v>OTC-C00454-L</v>
      </c>
      <c r="R791" s="104"/>
      <c r="S791" s="104"/>
      <c r="T791" s="104"/>
      <c r="U791" s="104">
        <v>47120</v>
      </c>
      <c r="V791" s="104">
        <v>0</v>
      </c>
      <c r="W791" s="429">
        <v>43760</v>
      </c>
      <c r="X791" s="430">
        <f t="shared" si="414"/>
        <v>9786.75</v>
      </c>
      <c r="Y791" s="198">
        <f t="shared" si="419"/>
        <v>2358000</v>
      </c>
      <c r="Z791" s="384" t="str">
        <f t="shared" si="417"/>
        <v/>
      </c>
      <c r="AA791" s="384" t="str">
        <f t="shared" si="422"/>
        <v>买入19-新17</v>
      </c>
      <c r="AB791" s="384">
        <v>122</v>
      </c>
      <c r="AC791" s="321">
        <v>0.152</v>
      </c>
      <c r="AD791" s="322">
        <v>0.152</v>
      </c>
      <c r="AE791" s="104"/>
      <c r="AF791" s="105">
        <v>31250</v>
      </c>
    </row>
    <row r="792" spans="1:32" ht="24.95" customHeight="1" x14ac:dyDescent="0.15">
      <c r="A792" s="316" t="s">
        <v>248</v>
      </c>
      <c r="B792" s="120" t="s">
        <v>263</v>
      </c>
      <c r="C792" s="316" t="str">
        <f t="shared" si="415"/>
        <v>到期</v>
      </c>
      <c r="D792" s="103" t="s">
        <v>1845</v>
      </c>
      <c r="E792" s="316" t="s">
        <v>298</v>
      </c>
      <c r="F792" s="48">
        <v>43732</v>
      </c>
      <c r="G792" s="385">
        <v>43760</v>
      </c>
      <c r="H792" s="384" t="s">
        <v>1454</v>
      </c>
      <c r="I792" s="384" t="s">
        <v>222</v>
      </c>
      <c r="J792" s="316" t="s">
        <v>59</v>
      </c>
      <c r="K792" s="105">
        <v>50</v>
      </c>
      <c r="L792" s="104">
        <v>45510</v>
      </c>
      <c r="M792" s="104">
        <v>47160</v>
      </c>
      <c r="N792" s="104">
        <f t="shared" si="420"/>
        <v>195.73500000000001</v>
      </c>
      <c r="O792" s="104">
        <f t="shared" si="413"/>
        <v>9786.75</v>
      </c>
      <c r="P792" s="101" t="s">
        <v>1493</v>
      </c>
      <c r="Q792" s="101" t="str">
        <f t="shared" si="421"/>
        <v>OTC-C00454-L</v>
      </c>
      <c r="R792" s="104"/>
      <c r="S792" s="104"/>
      <c r="T792" s="104"/>
      <c r="U792" s="104">
        <v>47120</v>
      </c>
      <c r="V792" s="104">
        <v>0</v>
      </c>
      <c r="W792" s="429">
        <v>43760</v>
      </c>
      <c r="X792" s="430">
        <f t="shared" si="414"/>
        <v>9786.75</v>
      </c>
      <c r="Y792" s="198">
        <f t="shared" si="419"/>
        <v>2358000</v>
      </c>
      <c r="Z792" s="384" t="str">
        <f t="shared" si="417"/>
        <v/>
      </c>
      <c r="AA792" s="384" t="str">
        <f t="shared" si="422"/>
        <v>买入19-新17</v>
      </c>
      <c r="AB792" s="384">
        <v>122</v>
      </c>
      <c r="AC792" s="321">
        <v>0.152</v>
      </c>
      <c r="AD792" s="322">
        <v>0.152</v>
      </c>
      <c r="AE792" s="104"/>
      <c r="AF792" s="105">
        <v>31250</v>
      </c>
    </row>
    <row r="793" spans="1:32" ht="24.95" customHeight="1" x14ac:dyDescent="0.15">
      <c r="A793" s="316" t="s">
        <v>265</v>
      </c>
      <c r="B793" s="120" t="s">
        <v>263</v>
      </c>
      <c r="C793" s="316" t="str">
        <f t="shared" si="415"/>
        <v>到期</v>
      </c>
      <c r="D793" s="123" t="s">
        <v>1870</v>
      </c>
      <c r="E793" s="316" t="s">
        <v>298</v>
      </c>
      <c r="F793" s="48">
        <v>43733</v>
      </c>
      <c r="G793" s="389">
        <v>43763</v>
      </c>
      <c r="H793" s="388" t="s">
        <v>1403</v>
      </c>
      <c r="I793" s="388" t="s">
        <v>1402</v>
      </c>
      <c r="J793" s="316" t="s">
        <v>59</v>
      </c>
      <c r="K793" s="388">
        <v>200</v>
      </c>
      <c r="L793" s="388">
        <v>5150</v>
      </c>
      <c r="M793" s="388">
        <v>5150</v>
      </c>
      <c r="N793" s="388">
        <f>5150*2.1%</f>
        <v>108.15</v>
      </c>
      <c r="O793" s="388">
        <f>N793*K793</f>
        <v>21630</v>
      </c>
      <c r="P793" s="101" t="s">
        <v>1499</v>
      </c>
      <c r="Q793" s="101" t="str">
        <f>P793&amp;"-L"</f>
        <v>OTC-C00455-L</v>
      </c>
      <c r="R793" s="441">
        <v>248</v>
      </c>
      <c r="S793" s="441">
        <f>-R793*K793</f>
        <v>-49600</v>
      </c>
      <c r="T793" s="442">
        <v>43763</v>
      </c>
      <c r="U793" s="441">
        <v>4902</v>
      </c>
      <c r="V793" s="212"/>
      <c r="W793" s="440"/>
      <c r="X793" s="441">
        <f t="shared" ref="X793" si="423">IF(I793="买入",S793-O793,O793+S793)</f>
        <v>-27970</v>
      </c>
      <c r="Y793" s="198">
        <f>ABS(M793*K793)</f>
        <v>1030000</v>
      </c>
      <c r="Z793" s="388" t="str">
        <f t="shared" si="417"/>
        <v/>
      </c>
      <c r="AA793" s="388" t="str">
        <f>IF(I793="买入","卖出","买入")</f>
        <v>买入</v>
      </c>
      <c r="AB793" s="388">
        <v>123</v>
      </c>
      <c r="AC793" s="321">
        <v>0.2</v>
      </c>
      <c r="AD793" s="205">
        <v>0.24</v>
      </c>
      <c r="AE793" s="213"/>
      <c r="AF793" s="353">
        <f>K793*L793*0.5056*0.08</f>
        <v>41661.440000000002</v>
      </c>
    </row>
    <row r="794" spans="1:32" ht="24.95" customHeight="1" x14ac:dyDescent="0.15">
      <c r="A794" s="316" t="s">
        <v>394</v>
      </c>
      <c r="B794" s="120" t="s">
        <v>264</v>
      </c>
      <c r="C794" s="316" t="str">
        <f t="shared" si="415"/>
        <v>到期</v>
      </c>
      <c r="D794" s="128" t="s">
        <v>1850</v>
      </c>
      <c r="E794" s="316" t="s">
        <v>340</v>
      </c>
      <c r="F794" s="48">
        <v>43733</v>
      </c>
      <c r="G794" s="389">
        <v>43763</v>
      </c>
      <c r="H794" s="388" t="s">
        <v>1495</v>
      </c>
      <c r="I794" s="388" t="s">
        <v>241</v>
      </c>
      <c r="J794" s="316" t="s">
        <v>59</v>
      </c>
      <c r="K794" s="105">
        <v>7000</v>
      </c>
      <c r="L794" s="105">
        <v>623</v>
      </c>
      <c r="M794" s="105">
        <v>623</v>
      </c>
      <c r="N794" s="105">
        <v>25.85</v>
      </c>
      <c r="O794" s="105">
        <f t="shared" ref="O794:O806" si="424">N794*K794</f>
        <v>180950</v>
      </c>
      <c r="P794" s="104" t="s">
        <v>1496</v>
      </c>
      <c r="Q794" s="101" t="str">
        <f>P794&amp;"-L"</f>
        <v>OTC-C00456-L</v>
      </c>
      <c r="R794" s="105"/>
      <c r="S794" s="105"/>
      <c r="T794" s="388"/>
      <c r="U794" s="388">
        <v>634.5</v>
      </c>
      <c r="V794" s="316">
        <v>0</v>
      </c>
      <c r="W794" s="440">
        <v>43763</v>
      </c>
      <c r="X794" s="439">
        <f t="shared" si="414"/>
        <v>-180950</v>
      </c>
      <c r="Y794" s="198">
        <f t="shared" ref="Y794" si="425">M794*K794</f>
        <v>4361000</v>
      </c>
      <c r="Z794" s="105" t="str">
        <f t="shared" si="417"/>
        <v/>
      </c>
      <c r="AA794" s="105" t="str">
        <f t="shared" ref="AA794:AA795" si="426">IF(I794="买入","卖出","买入")</f>
        <v>卖出</v>
      </c>
      <c r="AB794" s="105">
        <v>124</v>
      </c>
      <c r="AC794" s="205">
        <v>0.39500000000000002</v>
      </c>
      <c r="AD794" s="105"/>
      <c r="AE794" s="105"/>
      <c r="AF794" s="105"/>
    </row>
    <row r="795" spans="1:32" ht="24.95" customHeight="1" x14ac:dyDescent="0.15">
      <c r="A795" s="316" t="s">
        <v>248</v>
      </c>
      <c r="B795" s="120" t="s">
        <v>1497</v>
      </c>
      <c r="C795" s="316" t="str">
        <f t="shared" si="415"/>
        <v>到期</v>
      </c>
      <c r="D795" s="100" t="s">
        <v>1846</v>
      </c>
      <c r="E795" s="316" t="s">
        <v>255</v>
      </c>
      <c r="F795" s="48">
        <v>43735</v>
      </c>
      <c r="G795" s="392">
        <v>43763</v>
      </c>
      <c r="H795" s="391" t="s">
        <v>1498</v>
      </c>
      <c r="I795" s="391" t="s">
        <v>1331</v>
      </c>
      <c r="J795" s="316" t="s">
        <v>986</v>
      </c>
      <c r="K795" s="391">
        <v>200</v>
      </c>
      <c r="L795" s="391">
        <v>4500</v>
      </c>
      <c r="M795" s="391">
        <v>4400</v>
      </c>
      <c r="N795" s="391">
        <v>76</v>
      </c>
      <c r="O795" s="391">
        <f t="shared" si="424"/>
        <v>15200</v>
      </c>
      <c r="P795" s="101" t="s">
        <v>1549</v>
      </c>
      <c r="Q795" s="101" t="str">
        <f>P795&amp;"-L"</f>
        <v>OTC-C00457-L</v>
      </c>
      <c r="R795" s="105"/>
      <c r="S795" s="105"/>
      <c r="T795" s="392"/>
      <c r="U795" s="391">
        <v>4418</v>
      </c>
      <c r="V795" s="391">
        <v>0</v>
      </c>
      <c r="W795" s="440">
        <v>43763</v>
      </c>
      <c r="X795" s="439">
        <f t="shared" si="414"/>
        <v>15200</v>
      </c>
      <c r="Y795" s="391">
        <f t="shared" ref="Y795" si="427">ABS(M795*K795)</f>
        <v>880000</v>
      </c>
      <c r="Z795" s="391" t="str">
        <f t="shared" si="417"/>
        <v/>
      </c>
      <c r="AA795" s="105" t="str">
        <f t="shared" si="426"/>
        <v>买入</v>
      </c>
      <c r="AB795" s="391">
        <v>125</v>
      </c>
      <c r="AC795" s="321">
        <v>0.26550000000000001</v>
      </c>
      <c r="AD795" s="391"/>
      <c r="AE795" s="391"/>
      <c r="AF795" s="105"/>
    </row>
    <row r="796" spans="1:32" ht="24.95" customHeight="1" x14ac:dyDescent="0.15">
      <c r="A796" s="316" t="s">
        <v>248</v>
      </c>
      <c r="B796" s="120" t="s">
        <v>263</v>
      </c>
      <c r="C796" s="316" t="str">
        <f t="shared" ref="C796:C807" si="428">IF(Q796="","存续","到期")</f>
        <v>到期</v>
      </c>
      <c r="D796" s="103" t="s">
        <v>1841</v>
      </c>
      <c r="E796" s="316" t="s">
        <v>298</v>
      </c>
      <c r="F796" s="48">
        <v>43746</v>
      </c>
      <c r="G796" s="396">
        <v>43774</v>
      </c>
      <c r="H796" s="395" t="s">
        <v>1455</v>
      </c>
      <c r="I796" s="395" t="s">
        <v>222</v>
      </c>
      <c r="J796" s="316" t="s">
        <v>56</v>
      </c>
      <c r="K796" s="105">
        <v>50</v>
      </c>
      <c r="L796" s="104">
        <v>49050</v>
      </c>
      <c r="M796" s="104">
        <v>46940</v>
      </c>
      <c r="N796" s="104">
        <f>389.64/2</f>
        <v>194.82</v>
      </c>
      <c r="O796" s="104">
        <f t="shared" si="424"/>
        <v>9741</v>
      </c>
      <c r="P796" s="101" t="s">
        <v>1531</v>
      </c>
      <c r="Q796" s="101" t="str">
        <f>P796&amp;"-L"</f>
        <v>OTC-C00458-L</v>
      </c>
      <c r="R796" s="104"/>
      <c r="S796" s="104"/>
      <c r="T796" s="104"/>
      <c r="U796" s="104">
        <v>47250</v>
      </c>
      <c r="V796" s="104">
        <v>0</v>
      </c>
      <c r="W796" s="470">
        <v>43774</v>
      </c>
      <c r="X796" s="105">
        <f t="shared" si="414"/>
        <v>9741</v>
      </c>
      <c r="Y796" s="198">
        <f t="shared" ref="Y796:Y806" si="429">M796*K796</f>
        <v>2347000</v>
      </c>
      <c r="Z796" s="395" t="str">
        <f t="shared" ref="Z796:Z807" si="430">IF(C796="存续",D796&amp;H796&amp;"-"&amp;AA796,"")</f>
        <v/>
      </c>
      <c r="AA796" s="395" t="str">
        <f>IF(I796="买入","卖出","买入19-新18")</f>
        <v>买入19-新18</v>
      </c>
      <c r="AB796" s="395">
        <v>126</v>
      </c>
      <c r="AC796" s="321">
        <v>0.152</v>
      </c>
      <c r="AD796" s="322">
        <v>0.152</v>
      </c>
      <c r="AE796" s="104"/>
      <c r="AF796" s="105">
        <v>31250</v>
      </c>
    </row>
    <row r="797" spans="1:32" ht="24.95" customHeight="1" x14ac:dyDescent="0.15">
      <c r="A797" s="316" t="s">
        <v>248</v>
      </c>
      <c r="B797" s="120" t="s">
        <v>263</v>
      </c>
      <c r="C797" s="316" t="str">
        <f t="shared" si="428"/>
        <v>到期</v>
      </c>
      <c r="D797" s="103" t="s">
        <v>1841</v>
      </c>
      <c r="E797" s="316" t="s">
        <v>298</v>
      </c>
      <c r="F797" s="48">
        <v>43746</v>
      </c>
      <c r="G797" s="396">
        <v>43774</v>
      </c>
      <c r="H797" s="395" t="s">
        <v>1454</v>
      </c>
      <c r="I797" s="395" t="s">
        <v>222</v>
      </c>
      <c r="J797" s="316" t="s">
        <v>59</v>
      </c>
      <c r="K797" s="105">
        <v>50</v>
      </c>
      <c r="L797" s="104">
        <v>45300</v>
      </c>
      <c r="M797" s="104">
        <v>46940</v>
      </c>
      <c r="N797" s="104">
        <f t="shared" ref="N797:N805" si="431">389.64/2</f>
        <v>194.82</v>
      </c>
      <c r="O797" s="104">
        <f t="shared" si="424"/>
        <v>9741</v>
      </c>
      <c r="P797" s="101" t="s">
        <v>1531</v>
      </c>
      <c r="Q797" s="101" t="str">
        <f t="shared" ref="Q797:Q805" si="432">P797&amp;"-L"</f>
        <v>OTC-C00458-L</v>
      </c>
      <c r="R797" s="104"/>
      <c r="S797" s="104"/>
      <c r="T797" s="104"/>
      <c r="U797" s="104">
        <v>47250</v>
      </c>
      <c r="V797" s="104">
        <v>0</v>
      </c>
      <c r="W797" s="470">
        <v>43774</v>
      </c>
      <c r="X797" s="105">
        <f t="shared" si="414"/>
        <v>9741</v>
      </c>
      <c r="Y797" s="198">
        <f t="shared" si="429"/>
        <v>2347000</v>
      </c>
      <c r="Z797" s="395" t="str">
        <f t="shared" si="430"/>
        <v/>
      </c>
      <c r="AA797" s="395" t="str">
        <f t="shared" ref="AA797:AA805" si="433">IF(I797="买入","卖出","买入19-新18")</f>
        <v>买入19-新18</v>
      </c>
      <c r="AB797" s="395">
        <v>126</v>
      </c>
      <c r="AC797" s="321">
        <v>0.152</v>
      </c>
      <c r="AD797" s="322">
        <v>0.152</v>
      </c>
      <c r="AE797" s="104"/>
      <c r="AF797" s="105">
        <v>31250</v>
      </c>
    </row>
    <row r="798" spans="1:32" ht="24.95" customHeight="1" x14ac:dyDescent="0.15">
      <c r="A798" s="316" t="s">
        <v>248</v>
      </c>
      <c r="B798" s="120" t="s">
        <v>263</v>
      </c>
      <c r="C798" s="316" t="str">
        <f t="shared" si="428"/>
        <v>到期</v>
      </c>
      <c r="D798" s="103" t="s">
        <v>1842</v>
      </c>
      <c r="E798" s="316" t="s">
        <v>298</v>
      </c>
      <c r="F798" s="48">
        <v>43746</v>
      </c>
      <c r="G798" s="396">
        <v>43774</v>
      </c>
      <c r="H798" s="395" t="s">
        <v>1454</v>
      </c>
      <c r="I798" s="395" t="s">
        <v>222</v>
      </c>
      <c r="J798" s="316" t="s">
        <v>56</v>
      </c>
      <c r="K798" s="105">
        <v>50</v>
      </c>
      <c r="L798" s="104">
        <v>49050</v>
      </c>
      <c r="M798" s="104">
        <v>46940</v>
      </c>
      <c r="N798" s="104">
        <f t="shared" si="431"/>
        <v>194.82</v>
      </c>
      <c r="O798" s="104">
        <f t="shared" si="424"/>
        <v>9741</v>
      </c>
      <c r="P798" s="101" t="s">
        <v>1532</v>
      </c>
      <c r="Q798" s="101" t="str">
        <f t="shared" si="432"/>
        <v>OTC-C00459-L</v>
      </c>
      <c r="R798" s="104"/>
      <c r="S798" s="104"/>
      <c r="T798" s="104"/>
      <c r="U798" s="104">
        <v>47250</v>
      </c>
      <c r="V798" s="104">
        <v>0</v>
      </c>
      <c r="W798" s="470">
        <v>43774</v>
      </c>
      <c r="X798" s="105">
        <f t="shared" si="414"/>
        <v>9741</v>
      </c>
      <c r="Y798" s="198">
        <f t="shared" si="429"/>
        <v>2347000</v>
      </c>
      <c r="Z798" s="395" t="str">
        <f t="shared" si="430"/>
        <v/>
      </c>
      <c r="AA798" s="395" t="str">
        <f t="shared" si="433"/>
        <v>买入19-新18</v>
      </c>
      <c r="AB798" s="395">
        <v>126</v>
      </c>
      <c r="AC798" s="321">
        <v>0.152</v>
      </c>
      <c r="AD798" s="322">
        <v>0.152</v>
      </c>
      <c r="AE798" s="104"/>
      <c r="AF798" s="105">
        <v>31250</v>
      </c>
    </row>
    <row r="799" spans="1:32" ht="24.95" customHeight="1" x14ac:dyDescent="0.15">
      <c r="A799" s="316" t="s">
        <v>248</v>
      </c>
      <c r="B799" s="120" t="s">
        <v>263</v>
      </c>
      <c r="C799" s="316" t="str">
        <f t="shared" si="428"/>
        <v>到期</v>
      </c>
      <c r="D799" s="103" t="s">
        <v>1842</v>
      </c>
      <c r="E799" s="316" t="s">
        <v>298</v>
      </c>
      <c r="F799" s="48">
        <v>43746</v>
      </c>
      <c r="G799" s="396">
        <v>43774</v>
      </c>
      <c r="H799" s="395" t="s">
        <v>1454</v>
      </c>
      <c r="I799" s="395" t="s">
        <v>222</v>
      </c>
      <c r="J799" s="316" t="s">
        <v>59</v>
      </c>
      <c r="K799" s="105">
        <v>50</v>
      </c>
      <c r="L799" s="104">
        <v>45300</v>
      </c>
      <c r="M799" s="104">
        <v>46940</v>
      </c>
      <c r="N799" s="104">
        <f t="shared" si="431"/>
        <v>194.82</v>
      </c>
      <c r="O799" s="104">
        <f t="shared" si="424"/>
        <v>9741</v>
      </c>
      <c r="P799" s="101" t="s">
        <v>1533</v>
      </c>
      <c r="Q799" s="101" t="str">
        <f t="shared" si="432"/>
        <v>OTC-C00459-L</v>
      </c>
      <c r="R799" s="104"/>
      <c r="S799" s="104"/>
      <c r="T799" s="104"/>
      <c r="U799" s="104">
        <v>47250</v>
      </c>
      <c r="V799" s="104">
        <v>0</v>
      </c>
      <c r="W799" s="470">
        <v>43774</v>
      </c>
      <c r="X799" s="105">
        <f t="shared" si="414"/>
        <v>9741</v>
      </c>
      <c r="Y799" s="198">
        <f t="shared" si="429"/>
        <v>2347000</v>
      </c>
      <c r="Z799" s="395" t="str">
        <f t="shared" si="430"/>
        <v/>
      </c>
      <c r="AA799" s="395" t="str">
        <f t="shared" si="433"/>
        <v>买入19-新18</v>
      </c>
      <c r="AB799" s="395">
        <v>126</v>
      </c>
      <c r="AC799" s="321">
        <v>0.152</v>
      </c>
      <c r="AD799" s="322">
        <v>0.152</v>
      </c>
      <c r="AE799" s="104"/>
      <c r="AF799" s="105">
        <v>31250</v>
      </c>
    </row>
    <row r="800" spans="1:32" ht="24.95" customHeight="1" x14ac:dyDescent="0.15">
      <c r="A800" s="316" t="s">
        <v>248</v>
      </c>
      <c r="B800" s="120" t="s">
        <v>263</v>
      </c>
      <c r="C800" s="316" t="str">
        <f t="shared" si="428"/>
        <v>到期</v>
      </c>
      <c r="D800" s="103" t="s">
        <v>1843</v>
      </c>
      <c r="E800" s="316" t="s">
        <v>298</v>
      </c>
      <c r="F800" s="48">
        <v>43746</v>
      </c>
      <c r="G800" s="396">
        <v>43774</v>
      </c>
      <c r="H800" s="395" t="s">
        <v>1454</v>
      </c>
      <c r="I800" s="395" t="s">
        <v>222</v>
      </c>
      <c r="J800" s="316" t="s">
        <v>56</v>
      </c>
      <c r="K800" s="105">
        <v>50</v>
      </c>
      <c r="L800" s="104">
        <v>49050</v>
      </c>
      <c r="M800" s="104">
        <v>46940</v>
      </c>
      <c r="N800" s="104">
        <f t="shared" si="431"/>
        <v>194.82</v>
      </c>
      <c r="O800" s="104">
        <f t="shared" si="424"/>
        <v>9741</v>
      </c>
      <c r="P800" s="101" t="s">
        <v>1534</v>
      </c>
      <c r="Q800" s="101" t="str">
        <f t="shared" si="432"/>
        <v>OTC-C00460-L</v>
      </c>
      <c r="R800" s="104"/>
      <c r="S800" s="104"/>
      <c r="T800" s="104"/>
      <c r="U800" s="104">
        <v>47250</v>
      </c>
      <c r="V800" s="104">
        <v>0</v>
      </c>
      <c r="W800" s="470">
        <v>43774</v>
      </c>
      <c r="X800" s="105">
        <f t="shared" si="414"/>
        <v>9741</v>
      </c>
      <c r="Y800" s="198">
        <f t="shared" si="429"/>
        <v>2347000</v>
      </c>
      <c r="Z800" s="395" t="str">
        <f t="shared" si="430"/>
        <v/>
      </c>
      <c r="AA800" s="395" t="str">
        <f t="shared" si="433"/>
        <v>买入19-新18</v>
      </c>
      <c r="AB800" s="395">
        <v>126</v>
      </c>
      <c r="AC800" s="321">
        <v>0.152</v>
      </c>
      <c r="AD800" s="322">
        <v>0.152</v>
      </c>
      <c r="AE800" s="104"/>
      <c r="AF800" s="105">
        <v>31250</v>
      </c>
    </row>
    <row r="801" spans="1:32" ht="24.95" customHeight="1" x14ac:dyDescent="0.15">
      <c r="A801" s="316" t="s">
        <v>248</v>
      </c>
      <c r="B801" s="120" t="s">
        <v>263</v>
      </c>
      <c r="C801" s="316" t="str">
        <f t="shared" si="428"/>
        <v>到期</v>
      </c>
      <c r="D801" s="103" t="s">
        <v>1843</v>
      </c>
      <c r="E801" s="316" t="s">
        <v>298</v>
      </c>
      <c r="F801" s="48">
        <v>43746</v>
      </c>
      <c r="G801" s="396">
        <v>43774</v>
      </c>
      <c r="H801" s="395" t="s">
        <v>1454</v>
      </c>
      <c r="I801" s="395" t="s">
        <v>222</v>
      </c>
      <c r="J801" s="316" t="s">
        <v>59</v>
      </c>
      <c r="K801" s="105">
        <v>50</v>
      </c>
      <c r="L801" s="104">
        <v>45300</v>
      </c>
      <c r="M801" s="104">
        <v>46940</v>
      </c>
      <c r="N801" s="104">
        <f t="shared" si="431"/>
        <v>194.82</v>
      </c>
      <c r="O801" s="104">
        <f t="shared" si="424"/>
        <v>9741</v>
      </c>
      <c r="P801" s="101" t="s">
        <v>1535</v>
      </c>
      <c r="Q801" s="101" t="str">
        <f t="shared" si="432"/>
        <v>OTC-C00460-L</v>
      </c>
      <c r="R801" s="104"/>
      <c r="S801" s="104"/>
      <c r="T801" s="104"/>
      <c r="U801" s="104">
        <v>47250</v>
      </c>
      <c r="V801" s="104">
        <v>0</v>
      </c>
      <c r="W801" s="470">
        <v>43774</v>
      </c>
      <c r="X801" s="105">
        <f t="shared" si="414"/>
        <v>9741</v>
      </c>
      <c r="Y801" s="198">
        <f t="shared" si="429"/>
        <v>2347000</v>
      </c>
      <c r="Z801" s="395" t="str">
        <f t="shared" si="430"/>
        <v/>
      </c>
      <c r="AA801" s="395" t="str">
        <f t="shared" si="433"/>
        <v>买入19-新18</v>
      </c>
      <c r="AB801" s="395">
        <v>126</v>
      </c>
      <c r="AC801" s="321">
        <v>0.152</v>
      </c>
      <c r="AD801" s="322">
        <v>0.152</v>
      </c>
      <c r="AE801" s="104"/>
      <c r="AF801" s="105">
        <v>31250</v>
      </c>
    </row>
    <row r="802" spans="1:32" ht="24.95" customHeight="1" x14ac:dyDescent="0.15">
      <c r="A802" s="316" t="s">
        <v>248</v>
      </c>
      <c r="B802" s="120" t="s">
        <v>263</v>
      </c>
      <c r="C802" s="316" t="str">
        <f t="shared" si="428"/>
        <v>到期</v>
      </c>
      <c r="D802" s="103" t="s">
        <v>1844</v>
      </c>
      <c r="E802" s="316" t="s">
        <v>298</v>
      </c>
      <c r="F802" s="48">
        <v>43746</v>
      </c>
      <c r="G802" s="396">
        <v>43774</v>
      </c>
      <c r="H802" s="395" t="s">
        <v>1454</v>
      </c>
      <c r="I802" s="395" t="s">
        <v>222</v>
      </c>
      <c r="J802" s="316" t="s">
        <v>56</v>
      </c>
      <c r="K802" s="105">
        <v>50</v>
      </c>
      <c r="L802" s="104">
        <v>49050</v>
      </c>
      <c r="M802" s="104">
        <v>46940</v>
      </c>
      <c r="N802" s="104">
        <f t="shared" si="431"/>
        <v>194.82</v>
      </c>
      <c r="O802" s="104">
        <f t="shared" si="424"/>
        <v>9741</v>
      </c>
      <c r="P802" s="101" t="s">
        <v>1536</v>
      </c>
      <c r="Q802" s="101" t="str">
        <f t="shared" si="432"/>
        <v>OTC-C00461-L</v>
      </c>
      <c r="R802" s="104"/>
      <c r="S802" s="104"/>
      <c r="T802" s="104"/>
      <c r="U802" s="104">
        <v>47250</v>
      </c>
      <c r="V802" s="104">
        <v>0</v>
      </c>
      <c r="W802" s="470">
        <v>43774</v>
      </c>
      <c r="X802" s="105">
        <f t="shared" si="414"/>
        <v>9741</v>
      </c>
      <c r="Y802" s="198">
        <f t="shared" si="429"/>
        <v>2347000</v>
      </c>
      <c r="Z802" s="395" t="str">
        <f t="shared" si="430"/>
        <v/>
      </c>
      <c r="AA802" s="395" t="str">
        <f t="shared" si="433"/>
        <v>买入19-新18</v>
      </c>
      <c r="AB802" s="395">
        <v>126</v>
      </c>
      <c r="AC802" s="321">
        <v>0.152</v>
      </c>
      <c r="AD802" s="322">
        <v>0.152</v>
      </c>
      <c r="AE802" s="104"/>
      <c r="AF802" s="105">
        <v>31250</v>
      </c>
    </row>
    <row r="803" spans="1:32" ht="24.95" customHeight="1" x14ac:dyDescent="0.15">
      <c r="A803" s="316" t="s">
        <v>248</v>
      </c>
      <c r="B803" s="120" t="s">
        <v>263</v>
      </c>
      <c r="C803" s="316" t="str">
        <f t="shared" si="428"/>
        <v>到期</v>
      </c>
      <c r="D803" s="103" t="s">
        <v>1844</v>
      </c>
      <c r="E803" s="316" t="s">
        <v>298</v>
      </c>
      <c r="F803" s="48">
        <v>43746</v>
      </c>
      <c r="G803" s="396">
        <v>43774</v>
      </c>
      <c r="H803" s="395" t="s">
        <v>1454</v>
      </c>
      <c r="I803" s="395" t="s">
        <v>222</v>
      </c>
      <c r="J803" s="316" t="s">
        <v>59</v>
      </c>
      <c r="K803" s="105">
        <v>50</v>
      </c>
      <c r="L803" s="104">
        <v>45300</v>
      </c>
      <c r="M803" s="104">
        <v>46940</v>
      </c>
      <c r="N803" s="104">
        <f t="shared" si="431"/>
        <v>194.82</v>
      </c>
      <c r="O803" s="104">
        <f t="shared" si="424"/>
        <v>9741</v>
      </c>
      <c r="P803" s="101" t="s">
        <v>1536</v>
      </c>
      <c r="Q803" s="101" t="str">
        <f t="shared" si="432"/>
        <v>OTC-C00461-L</v>
      </c>
      <c r="R803" s="104"/>
      <c r="S803" s="104"/>
      <c r="T803" s="104"/>
      <c r="U803" s="104">
        <v>47250</v>
      </c>
      <c r="V803" s="104">
        <v>0</v>
      </c>
      <c r="W803" s="470">
        <v>43774</v>
      </c>
      <c r="X803" s="105">
        <f t="shared" si="414"/>
        <v>9741</v>
      </c>
      <c r="Y803" s="198">
        <f t="shared" si="429"/>
        <v>2347000</v>
      </c>
      <c r="Z803" s="395" t="str">
        <f t="shared" si="430"/>
        <v/>
      </c>
      <c r="AA803" s="395" t="str">
        <f t="shared" si="433"/>
        <v>买入19-新18</v>
      </c>
      <c r="AB803" s="395">
        <v>126</v>
      </c>
      <c r="AC803" s="321">
        <v>0.152</v>
      </c>
      <c r="AD803" s="322">
        <v>0.152</v>
      </c>
      <c r="AE803" s="104"/>
      <c r="AF803" s="105">
        <v>31250</v>
      </c>
    </row>
    <row r="804" spans="1:32" ht="24.95" customHeight="1" x14ac:dyDescent="0.15">
      <c r="A804" s="316" t="s">
        <v>248</v>
      </c>
      <c r="B804" s="120" t="s">
        <v>263</v>
      </c>
      <c r="C804" s="316" t="str">
        <f t="shared" si="428"/>
        <v>到期</v>
      </c>
      <c r="D804" s="103" t="s">
        <v>1845</v>
      </c>
      <c r="E804" s="316" t="s">
        <v>298</v>
      </c>
      <c r="F804" s="48">
        <v>43746</v>
      </c>
      <c r="G804" s="396">
        <v>43774</v>
      </c>
      <c r="H804" s="395" t="s">
        <v>1454</v>
      </c>
      <c r="I804" s="395" t="s">
        <v>222</v>
      </c>
      <c r="J804" s="316" t="s">
        <v>56</v>
      </c>
      <c r="K804" s="105">
        <v>50</v>
      </c>
      <c r="L804" s="104">
        <v>49050</v>
      </c>
      <c r="M804" s="104">
        <v>46940</v>
      </c>
      <c r="N804" s="104">
        <f t="shared" si="431"/>
        <v>194.82</v>
      </c>
      <c r="O804" s="104">
        <f t="shared" si="424"/>
        <v>9741</v>
      </c>
      <c r="P804" s="101" t="s">
        <v>1537</v>
      </c>
      <c r="Q804" s="101" t="str">
        <f t="shared" si="432"/>
        <v>OTC-C00462-L</v>
      </c>
      <c r="R804" s="104"/>
      <c r="S804" s="104"/>
      <c r="T804" s="104"/>
      <c r="U804" s="104">
        <v>47250</v>
      </c>
      <c r="V804" s="104">
        <v>0</v>
      </c>
      <c r="W804" s="470">
        <v>43774</v>
      </c>
      <c r="X804" s="105">
        <f t="shared" si="414"/>
        <v>9741</v>
      </c>
      <c r="Y804" s="198">
        <f t="shared" si="429"/>
        <v>2347000</v>
      </c>
      <c r="Z804" s="395" t="str">
        <f t="shared" si="430"/>
        <v/>
      </c>
      <c r="AA804" s="395" t="str">
        <f t="shared" si="433"/>
        <v>买入19-新18</v>
      </c>
      <c r="AB804" s="395">
        <v>126</v>
      </c>
      <c r="AC804" s="321">
        <v>0.152</v>
      </c>
      <c r="AD804" s="322">
        <v>0.152</v>
      </c>
      <c r="AE804" s="104"/>
      <c r="AF804" s="105">
        <v>31250</v>
      </c>
    </row>
    <row r="805" spans="1:32" ht="24.95" customHeight="1" x14ac:dyDescent="0.15">
      <c r="A805" s="316" t="s">
        <v>248</v>
      </c>
      <c r="B805" s="120" t="s">
        <v>263</v>
      </c>
      <c r="C805" s="316" t="str">
        <f t="shared" si="428"/>
        <v>到期</v>
      </c>
      <c r="D805" s="103" t="s">
        <v>1845</v>
      </c>
      <c r="E805" s="316" t="s">
        <v>298</v>
      </c>
      <c r="F805" s="48">
        <v>43746</v>
      </c>
      <c r="G805" s="396">
        <v>43774</v>
      </c>
      <c r="H805" s="395" t="s">
        <v>1454</v>
      </c>
      <c r="I805" s="395" t="s">
        <v>222</v>
      </c>
      <c r="J805" s="316" t="s">
        <v>59</v>
      </c>
      <c r="K805" s="105">
        <v>50</v>
      </c>
      <c r="L805" s="104">
        <v>45300</v>
      </c>
      <c r="M805" s="104">
        <v>46940</v>
      </c>
      <c r="N805" s="104">
        <f t="shared" si="431"/>
        <v>194.82</v>
      </c>
      <c r="O805" s="104">
        <f t="shared" si="424"/>
        <v>9741</v>
      </c>
      <c r="P805" s="101" t="s">
        <v>1538</v>
      </c>
      <c r="Q805" s="101" t="str">
        <f t="shared" si="432"/>
        <v>OTC-C00462-L</v>
      </c>
      <c r="R805" s="104"/>
      <c r="S805" s="104"/>
      <c r="T805" s="104"/>
      <c r="U805" s="104">
        <v>47250</v>
      </c>
      <c r="V805" s="104">
        <v>0</v>
      </c>
      <c r="W805" s="470">
        <v>43774</v>
      </c>
      <c r="X805" s="105">
        <f t="shared" si="414"/>
        <v>9741</v>
      </c>
      <c r="Y805" s="198">
        <f t="shared" si="429"/>
        <v>2347000</v>
      </c>
      <c r="Z805" s="395" t="str">
        <f t="shared" si="430"/>
        <v/>
      </c>
      <c r="AA805" s="395" t="str">
        <f t="shared" si="433"/>
        <v>买入19-新18</v>
      </c>
      <c r="AB805" s="395">
        <v>126</v>
      </c>
      <c r="AC805" s="321">
        <v>0.152</v>
      </c>
      <c r="AD805" s="322">
        <v>0.152</v>
      </c>
      <c r="AE805" s="104"/>
      <c r="AF805" s="105">
        <v>31250</v>
      </c>
    </row>
    <row r="806" spans="1:32" ht="24" customHeight="1" x14ac:dyDescent="0.15">
      <c r="A806" s="316" t="s">
        <v>248</v>
      </c>
      <c r="B806" s="120" t="s">
        <v>263</v>
      </c>
      <c r="C806" s="316" t="str">
        <f t="shared" si="428"/>
        <v>到期</v>
      </c>
      <c r="D806" s="100" t="s">
        <v>1875</v>
      </c>
      <c r="E806" s="316" t="s">
        <v>1500</v>
      </c>
      <c r="F806" s="48">
        <v>43747</v>
      </c>
      <c r="G806" s="48">
        <v>43780</v>
      </c>
      <c r="H806" s="398" t="s">
        <v>1501</v>
      </c>
      <c r="I806" s="398" t="s">
        <v>1502</v>
      </c>
      <c r="J806" s="386" t="s">
        <v>1503</v>
      </c>
      <c r="K806" s="105">
        <v>100</v>
      </c>
      <c r="L806" s="105">
        <v>10385</v>
      </c>
      <c r="M806" s="105">
        <v>10385</v>
      </c>
      <c r="N806" s="105">
        <v>232.31200000000001</v>
      </c>
      <c r="O806" s="105">
        <f t="shared" si="424"/>
        <v>23231.200000000001</v>
      </c>
      <c r="P806" s="101" t="s">
        <v>1539</v>
      </c>
      <c r="Q806" s="101" t="str">
        <f>P806&amp;"-L"</f>
        <v>OTC-C00465-L</v>
      </c>
      <c r="R806" s="105"/>
      <c r="S806" s="105"/>
      <c r="T806" s="399"/>
      <c r="U806" s="104">
        <v>10925</v>
      </c>
      <c r="V806" s="104">
        <v>0</v>
      </c>
      <c r="W806" s="48">
        <v>43780</v>
      </c>
      <c r="X806" s="105">
        <f t="shared" si="414"/>
        <v>23231.200000000001</v>
      </c>
      <c r="Y806" s="197">
        <f t="shared" si="429"/>
        <v>1038500</v>
      </c>
      <c r="Z806" s="398" t="str">
        <f t="shared" si="430"/>
        <v/>
      </c>
      <c r="AA806" s="398" t="str">
        <f t="shared" ref="AA806:AA807" si="434">IF(I806="买入","卖出","买入")</f>
        <v>买入</v>
      </c>
      <c r="AB806" s="398">
        <v>127</v>
      </c>
      <c r="AC806" s="321">
        <v>0.1825</v>
      </c>
      <c r="AD806" s="205">
        <v>0.245</v>
      </c>
      <c r="AE806" s="398"/>
      <c r="AF806" s="105">
        <v>45370</v>
      </c>
    </row>
    <row r="807" spans="1:32" ht="24.95" customHeight="1" x14ac:dyDescent="0.15">
      <c r="A807" s="316" t="s">
        <v>265</v>
      </c>
      <c r="B807" s="120" t="s">
        <v>263</v>
      </c>
      <c r="C807" s="316" t="str">
        <f t="shared" si="428"/>
        <v>到期</v>
      </c>
      <c r="D807" s="123" t="s">
        <v>1864</v>
      </c>
      <c r="E807" s="316" t="s">
        <v>298</v>
      </c>
      <c r="F807" s="405">
        <v>43752</v>
      </c>
      <c r="G807" s="405">
        <v>43780</v>
      </c>
      <c r="H807" s="404" t="s">
        <v>1223</v>
      </c>
      <c r="I807" s="404" t="s">
        <v>222</v>
      </c>
      <c r="J807" s="316" t="s">
        <v>223</v>
      </c>
      <c r="K807" s="404">
        <v>1000</v>
      </c>
      <c r="L807" s="404">
        <v>5000</v>
      </c>
      <c r="M807" s="404">
        <v>4710</v>
      </c>
      <c r="N807" s="404">
        <v>25.515000000000001</v>
      </c>
      <c r="O807" s="404">
        <f>N807*K807</f>
        <v>25515</v>
      </c>
      <c r="P807" s="101" t="s">
        <v>1555</v>
      </c>
      <c r="Q807" s="101" t="str">
        <f>P807&amp;"-L"</f>
        <v>OTC-C00466-L</v>
      </c>
      <c r="R807" s="105"/>
      <c r="S807" s="105"/>
      <c r="T807" s="405"/>
      <c r="U807" s="404">
        <v>4451</v>
      </c>
      <c r="V807" s="404">
        <v>0</v>
      </c>
      <c r="W807" s="483">
        <v>43780</v>
      </c>
      <c r="X807" s="105">
        <f t="shared" si="414"/>
        <v>25515</v>
      </c>
      <c r="Y807" s="404">
        <f t="shared" ref="Y807" si="435">ABS(M807*K807)</f>
        <v>4710000</v>
      </c>
      <c r="Z807" s="404" t="str">
        <f t="shared" si="430"/>
        <v/>
      </c>
      <c r="AA807" s="105" t="str">
        <f t="shared" si="434"/>
        <v>买入</v>
      </c>
      <c r="AB807" s="404">
        <v>128</v>
      </c>
      <c r="AC807" s="321">
        <v>0.21</v>
      </c>
      <c r="AD807" s="205">
        <v>0.25</v>
      </c>
      <c r="AE807" s="404" t="s">
        <v>1335</v>
      </c>
      <c r="AF807" s="105">
        <v>105185</v>
      </c>
    </row>
    <row r="808" spans="1:32" ht="24.95" customHeight="1" x14ac:dyDescent="0.15">
      <c r="A808" s="316" t="s">
        <v>394</v>
      </c>
      <c r="B808" s="120" t="s">
        <v>264</v>
      </c>
      <c r="C808" s="316" t="str">
        <f>IF(Q808="","存续","到期")</f>
        <v>到期</v>
      </c>
      <c r="D808" s="128" t="s">
        <v>1846</v>
      </c>
      <c r="E808" s="316" t="s">
        <v>255</v>
      </c>
      <c r="F808" s="407">
        <v>43753</v>
      </c>
      <c r="G808" s="407">
        <v>43777</v>
      </c>
      <c r="H808" s="406" t="s">
        <v>985</v>
      </c>
      <c r="I808" s="406" t="s">
        <v>275</v>
      </c>
      <c r="J808" s="316" t="s">
        <v>986</v>
      </c>
      <c r="K808" s="406">
        <v>1500</v>
      </c>
      <c r="L808" s="406">
        <v>3345</v>
      </c>
      <c r="M808" s="406">
        <v>3345</v>
      </c>
      <c r="N808" s="406">
        <v>70.58</v>
      </c>
      <c r="O808" s="406">
        <f t="shared" ref="O808:O819" si="436">N808*K808</f>
        <v>105870</v>
      </c>
      <c r="P808" s="101" t="s">
        <v>1650</v>
      </c>
      <c r="Q808" s="101" t="str">
        <f>P808&amp;"-L"</f>
        <v>OTC-C00467-L</v>
      </c>
      <c r="R808" s="105"/>
      <c r="S808" s="105"/>
      <c r="T808" s="407"/>
      <c r="U808" s="406">
        <v>3412</v>
      </c>
      <c r="V808" s="481">
        <f>-(U808-L808)*K808</f>
        <v>-100500</v>
      </c>
      <c r="W808" s="480">
        <v>43777</v>
      </c>
      <c r="X808" s="105">
        <f t="shared" ref="X808:X820" si="437">IF(I808="买入",V808-O808,V808+O808)</f>
        <v>5370</v>
      </c>
      <c r="Y808" s="406">
        <f>ABS(M808*K808)</f>
        <v>5017500</v>
      </c>
      <c r="Z808" s="406" t="str">
        <f>IF(C808="存续",D808&amp;H808&amp;"-"&amp;AA808,"")</f>
        <v/>
      </c>
      <c r="AA808" s="105" t="str">
        <f>IF(I808="买入","卖出","买入")</f>
        <v>买入</v>
      </c>
      <c r="AB808" s="406">
        <v>129</v>
      </c>
      <c r="AC808" s="321">
        <v>0.192</v>
      </c>
      <c r="AD808" s="406"/>
      <c r="AE808" s="406"/>
      <c r="AF808" s="105"/>
    </row>
    <row r="809" spans="1:32" ht="24.95" customHeight="1" x14ac:dyDescent="0.15">
      <c r="A809" s="316" t="s">
        <v>394</v>
      </c>
      <c r="B809" s="120" t="s">
        <v>264</v>
      </c>
      <c r="C809" s="316" t="str">
        <f t="shared" ref="C809:C820" si="438">IF(Q809="","存续","到期")</f>
        <v>到期</v>
      </c>
      <c r="D809" s="128" t="s">
        <v>1846</v>
      </c>
      <c r="E809" s="316" t="s">
        <v>255</v>
      </c>
      <c r="F809" s="407">
        <v>43753</v>
      </c>
      <c r="G809" s="407">
        <v>43777</v>
      </c>
      <c r="H809" s="406" t="s">
        <v>985</v>
      </c>
      <c r="I809" s="406" t="s">
        <v>222</v>
      </c>
      <c r="J809" s="316" t="s">
        <v>979</v>
      </c>
      <c r="K809" s="406">
        <v>1500</v>
      </c>
      <c r="L809" s="406">
        <v>3345</v>
      </c>
      <c r="M809" s="406">
        <v>3345</v>
      </c>
      <c r="N809" s="406">
        <v>70.58</v>
      </c>
      <c r="O809" s="406">
        <f t="shared" si="436"/>
        <v>105870</v>
      </c>
      <c r="P809" s="101" t="s">
        <v>1651</v>
      </c>
      <c r="Q809" s="101" t="str">
        <f>P809&amp;"-L"</f>
        <v>OTC-C00467-L</v>
      </c>
      <c r="R809" s="105"/>
      <c r="S809" s="105"/>
      <c r="T809" s="407"/>
      <c r="U809" s="406">
        <v>3412</v>
      </c>
      <c r="V809" s="406">
        <v>0</v>
      </c>
      <c r="W809" s="480">
        <v>43777</v>
      </c>
      <c r="X809" s="105">
        <f t="shared" si="437"/>
        <v>105870</v>
      </c>
      <c r="Y809" s="406">
        <f t="shared" ref="Y809" si="439">ABS(M809*K809)</f>
        <v>5017500</v>
      </c>
      <c r="Z809" s="406" t="str">
        <f t="shared" ref="Z809:Z820" si="440">IF(C809="存续",D809&amp;H809&amp;"-"&amp;AA809,"")</f>
        <v/>
      </c>
      <c r="AA809" s="105" t="str">
        <f t="shared" ref="AA809" si="441">IF(I809="买入","卖出","买入")</f>
        <v>买入</v>
      </c>
      <c r="AB809" s="406">
        <v>129</v>
      </c>
      <c r="AC809" s="321">
        <v>0.192</v>
      </c>
      <c r="AD809" s="406"/>
      <c r="AE809" s="406"/>
      <c r="AF809" s="105"/>
    </row>
    <row r="810" spans="1:32" ht="24.95" customHeight="1" x14ac:dyDescent="0.15">
      <c r="A810" s="316" t="s">
        <v>248</v>
      </c>
      <c r="B810" s="120" t="s">
        <v>263</v>
      </c>
      <c r="C810" s="316" t="str">
        <f t="shared" si="438"/>
        <v>到期</v>
      </c>
      <c r="D810" s="103" t="s">
        <v>1841</v>
      </c>
      <c r="E810" s="316" t="s">
        <v>298</v>
      </c>
      <c r="F810" s="48">
        <v>43753</v>
      </c>
      <c r="G810" s="409">
        <v>43781</v>
      </c>
      <c r="H810" s="408" t="s">
        <v>1550</v>
      </c>
      <c r="I810" s="408" t="s">
        <v>222</v>
      </c>
      <c r="J810" s="316" t="s">
        <v>56</v>
      </c>
      <c r="K810" s="105">
        <v>50</v>
      </c>
      <c r="L810" s="104">
        <v>49150</v>
      </c>
      <c r="M810" s="104">
        <v>47030</v>
      </c>
      <c r="N810" s="104">
        <f>390.39/2</f>
        <v>195.19499999999999</v>
      </c>
      <c r="O810" s="104">
        <f t="shared" si="436"/>
        <v>9759.75</v>
      </c>
      <c r="P810" s="101" t="s">
        <v>1556</v>
      </c>
      <c r="Q810" s="101" t="str">
        <f>P810&amp;"-L"</f>
        <v>OTC-C00468-L</v>
      </c>
      <c r="R810" s="104"/>
      <c r="S810" s="104"/>
      <c r="T810" s="104"/>
      <c r="U810" s="104">
        <v>47270</v>
      </c>
      <c r="V810" s="104">
        <v>0</v>
      </c>
      <c r="W810" s="490">
        <v>43781</v>
      </c>
      <c r="X810" s="105">
        <f t="shared" si="437"/>
        <v>9759.75</v>
      </c>
      <c r="Y810" s="198">
        <f t="shared" ref="Y810:Y819" si="442">M810*K810</f>
        <v>2351500</v>
      </c>
      <c r="Z810" s="408" t="str">
        <f t="shared" si="440"/>
        <v/>
      </c>
      <c r="AA810" s="408" t="str">
        <f>IF(I810="买入","卖出","买入19-新19")</f>
        <v>买入19-新19</v>
      </c>
      <c r="AB810" s="408">
        <v>130</v>
      </c>
      <c r="AC810" s="321">
        <v>0.152</v>
      </c>
      <c r="AD810" s="322">
        <v>0.152</v>
      </c>
      <c r="AE810" s="104"/>
      <c r="AF810" s="105">
        <v>31250</v>
      </c>
    </row>
    <row r="811" spans="1:32" ht="24.95" customHeight="1" x14ac:dyDescent="0.15">
      <c r="A811" s="316" t="s">
        <v>248</v>
      </c>
      <c r="B811" s="120" t="s">
        <v>263</v>
      </c>
      <c r="C811" s="316" t="str">
        <f t="shared" si="438"/>
        <v>到期</v>
      </c>
      <c r="D811" s="103" t="s">
        <v>1841</v>
      </c>
      <c r="E811" s="316" t="s">
        <v>298</v>
      </c>
      <c r="F811" s="48">
        <v>43753</v>
      </c>
      <c r="G811" s="409">
        <v>43781</v>
      </c>
      <c r="H811" s="408" t="s">
        <v>1550</v>
      </c>
      <c r="I811" s="408" t="s">
        <v>222</v>
      </c>
      <c r="J811" s="316" t="s">
        <v>59</v>
      </c>
      <c r="K811" s="105">
        <v>50</v>
      </c>
      <c r="L811" s="104">
        <v>45380</v>
      </c>
      <c r="M811" s="104">
        <v>47030</v>
      </c>
      <c r="N811" s="104">
        <f t="shared" ref="N811:N819" si="443">390.39/2</f>
        <v>195.19499999999999</v>
      </c>
      <c r="O811" s="104">
        <f t="shared" si="436"/>
        <v>9759.75</v>
      </c>
      <c r="P811" s="101" t="s">
        <v>1556</v>
      </c>
      <c r="Q811" s="101" t="str">
        <f t="shared" ref="Q811:Q819" si="444">P811&amp;"-L"</f>
        <v>OTC-C00468-L</v>
      </c>
      <c r="R811" s="104"/>
      <c r="S811" s="104"/>
      <c r="T811" s="104"/>
      <c r="U811" s="104">
        <v>47270</v>
      </c>
      <c r="V811" s="104">
        <v>0</v>
      </c>
      <c r="W811" s="490">
        <v>43781</v>
      </c>
      <c r="X811" s="105">
        <f t="shared" si="437"/>
        <v>9759.75</v>
      </c>
      <c r="Y811" s="198">
        <f t="shared" si="442"/>
        <v>2351500</v>
      </c>
      <c r="Z811" s="408" t="str">
        <f t="shared" si="440"/>
        <v/>
      </c>
      <c r="AA811" s="408" t="str">
        <f t="shared" ref="AA811:AA819" si="445">IF(I811="买入","卖出","买入19-新19")</f>
        <v>买入19-新19</v>
      </c>
      <c r="AB811" s="408">
        <v>130</v>
      </c>
      <c r="AC811" s="321">
        <v>0.152</v>
      </c>
      <c r="AD811" s="322">
        <v>0.152</v>
      </c>
      <c r="AE811" s="104"/>
      <c r="AF811" s="105">
        <v>31250</v>
      </c>
    </row>
    <row r="812" spans="1:32" ht="24.95" customHeight="1" x14ac:dyDescent="0.15">
      <c r="A812" s="316" t="s">
        <v>248</v>
      </c>
      <c r="B812" s="120" t="s">
        <v>263</v>
      </c>
      <c r="C812" s="316" t="str">
        <f t="shared" si="438"/>
        <v>到期</v>
      </c>
      <c r="D812" s="103" t="s">
        <v>1842</v>
      </c>
      <c r="E812" s="316" t="s">
        <v>298</v>
      </c>
      <c r="F812" s="48">
        <v>43753</v>
      </c>
      <c r="G812" s="409">
        <v>43781</v>
      </c>
      <c r="H812" s="408" t="s">
        <v>1550</v>
      </c>
      <c r="I812" s="408" t="s">
        <v>222</v>
      </c>
      <c r="J812" s="316" t="s">
        <v>56</v>
      </c>
      <c r="K812" s="105">
        <v>50</v>
      </c>
      <c r="L812" s="104">
        <v>49150</v>
      </c>
      <c r="M812" s="104">
        <v>47030</v>
      </c>
      <c r="N812" s="104">
        <f t="shared" si="443"/>
        <v>195.19499999999999</v>
      </c>
      <c r="O812" s="104">
        <f t="shared" si="436"/>
        <v>9759.75</v>
      </c>
      <c r="P812" s="101" t="s">
        <v>1557</v>
      </c>
      <c r="Q812" s="101" t="str">
        <f t="shared" si="444"/>
        <v>OTC-C00469-L</v>
      </c>
      <c r="R812" s="104"/>
      <c r="S812" s="104"/>
      <c r="T812" s="104"/>
      <c r="U812" s="104">
        <v>47270</v>
      </c>
      <c r="V812" s="104">
        <v>0</v>
      </c>
      <c r="W812" s="490">
        <v>43781</v>
      </c>
      <c r="X812" s="105">
        <f t="shared" si="437"/>
        <v>9759.75</v>
      </c>
      <c r="Y812" s="198">
        <f t="shared" si="442"/>
        <v>2351500</v>
      </c>
      <c r="Z812" s="408" t="str">
        <f t="shared" si="440"/>
        <v/>
      </c>
      <c r="AA812" s="408" t="str">
        <f t="shared" si="445"/>
        <v>买入19-新19</v>
      </c>
      <c r="AB812" s="408">
        <v>130</v>
      </c>
      <c r="AC812" s="321">
        <v>0.152</v>
      </c>
      <c r="AD812" s="322">
        <v>0.152</v>
      </c>
      <c r="AE812" s="104"/>
      <c r="AF812" s="105">
        <v>31250</v>
      </c>
    </row>
    <row r="813" spans="1:32" ht="24.95" customHeight="1" x14ac:dyDescent="0.15">
      <c r="A813" s="316" t="s">
        <v>248</v>
      </c>
      <c r="B813" s="120" t="s">
        <v>263</v>
      </c>
      <c r="C813" s="316" t="str">
        <f t="shared" si="438"/>
        <v>到期</v>
      </c>
      <c r="D813" s="103" t="s">
        <v>1842</v>
      </c>
      <c r="E813" s="316" t="s">
        <v>298</v>
      </c>
      <c r="F813" s="48">
        <v>43753</v>
      </c>
      <c r="G813" s="409">
        <v>43781</v>
      </c>
      <c r="H813" s="408" t="s">
        <v>1550</v>
      </c>
      <c r="I813" s="408" t="s">
        <v>222</v>
      </c>
      <c r="J813" s="316" t="s">
        <v>59</v>
      </c>
      <c r="K813" s="105">
        <v>50</v>
      </c>
      <c r="L813" s="104">
        <v>45380</v>
      </c>
      <c r="M813" s="104">
        <v>47030</v>
      </c>
      <c r="N813" s="104">
        <f t="shared" si="443"/>
        <v>195.19499999999999</v>
      </c>
      <c r="O813" s="104">
        <f t="shared" si="436"/>
        <v>9759.75</v>
      </c>
      <c r="P813" s="101" t="s">
        <v>1558</v>
      </c>
      <c r="Q813" s="101" t="str">
        <f t="shared" si="444"/>
        <v>OTC-C00469-L</v>
      </c>
      <c r="R813" s="104"/>
      <c r="S813" s="104"/>
      <c r="T813" s="104"/>
      <c r="U813" s="104">
        <v>47270</v>
      </c>
      <c r="V813" s="104">
        <v>0</v>
      </c>
      <c r="W813" s="490">
        <v>43781</v>
      </c>
      <c r="X813" s="105">
        <f t="shared" si="437"/>
        <v>9759.75</v>
      </c>
      <c r="Y813" s="198">
        <f t="shared" si="442"/>
        <v>2351500</v>
      </c>
      <c r="Z813" s="408" t="str">
        <f t="shared" si="440"/>
        <v/>
      </c>
      <c r="AA813" s="408" t="str">
        <f t="shared" si="445"/>
        <v>买入19-新19</v>
      </c>
      <c r="AB813" s="408">
        <v>130</v>
      </c>
      <c r="AC813" s="321">
        <v>0.152</v>
      </c>
      <c r="AD813" s="322">
        <v>0.152</v>
      </c>
      <c r="AE813" s="104"/>
      <c r="AF813" s="105">
        <v>31250</v>
      </c>
    </row>
    <row r="814" spans="1:32" ht="24.95" customHeight="1" x14ac:dyDescent="0.15">
      <c r="A814" s="316" t="s">
        <v>248</v>
      </c>
      <c r="B814" s="120" t="s">
        <v>263</v>
      </c>
      <c r="C814" s="316" t="str">
        <f t="shared" si="438"/>
        <v>到期</v>
      </c>
      <c r="D814" s="103" t="s">
        <v>1843</v>
      </c>
      <c r="E814" s="316" t="s">
        <v>298</v>
      </c>
      <c r="F814" s="48">
        <v>43753</v>
      </c>
      <c r="G814" s="409">
        <v>43781</v>
      </c>
      <c r="H814" s="408" t="s">
        <v>1550</v>
      </c>
      <c r="I814" s="408" t="s">
        <v>222</v>
      </c>
      <c r="J814" s="316" t="s">
        <v>56</v>
      </c>
      <c r="K814" s="105">
        <v>50</v>
      </c>
      <c r="L814" s="104">
        <v>49150</v>
      </c>
      <c r="M814" s="104">
        <v>47030</v>
      </c>
      <c r="N814" s="104">
        <f t="shared" si="443"/>
        <v>195.19499999999999</v>
      </c>
      <c r="O814" s="104">
        <f t="shared" si="436"/>
        <v>9759.75</v>
      </c>
      <c r="P814" s="101" t="s">
        <v>1559</v>
      </c>
      <c r="Q814" s="101" t="str">
        <f t="shared" si="444"/>
        <v>OTC-C00470-L</v>
      </c>
      <c r="R814" s="104"/>
      <c r="S814" s="104"/>
      <c r="T814" s="104"/>
      <c r="U814" s="104">
        <v>47270</v>
      </c>
      <c r="V814" s="104">
        <v>0</v>
      </c>
      <c r="W814" s="490">
        <v>43781</v>
      </c>
      <c r="X814" s="105">
        <f t="shared" si="437"/>
        <v>9759.75</v>
      </c>
      <c r="Y814" s="198">
        <f t="shared" si="442"/>
        <v>2351500</v>
      </c>
      <c r="Z814" s="408" t="str">
        <f t="shared" si="440"/>
        <v/>
      </c>
      <c r="AA814" s="408" t="str">
        <f t="shared" si="445"/>
        <v>买入19-新19</v>
      </c>
      <c r="AB814" s="408">
        <v>130</v>
      </c>
      <c r="AC814" s="321">
        <v>0.152</v>
      </c>
      <c r="AD814" s="322">
        <v>0.152</v>
      </c>
      <c r="AE814" s="104"/>
      <c r="AF814" s="105">
        <v>31250</v>
      </c>
    </row>
    <row r="815" spans="1:32" ht="24.95" customHeight="1" x14ac:dyDescent="0.15">
      <c r="A815" s="316" t="s">
        <v>248</v>
      </c>
      <c r="B815" s="120" t="s">
        <v>263</v>
      </c>
      <c r="C815" s="316" t="str">
        <f t="shared" si="438"/>
        <v>到期</v>
      </c>
      <c r="D815" s="103" t="s">
        <v>1843</v>
      </c>
      <c r="E815" s="316" t="s">
        <v>298</v>
      </c>
      <c r="F815" s="48">
        <v>43753</v>
      </c>
      <c r="G815" s="409">
        <v>43781</v>
      </c>
      <c r="H815" s="408" t="s">
        <v>1550</v>
      </c>
      <c r="I815" s="408" t="s">
        <v>222</v>
      </c>
      <c r="J815" s="316" t="s">
        <v>59</v>
      </c>
      <c r="K815" s="105">
        <v>50</v>
      </c>
      <c r="L815" s="104">
        <v>45380</v>
      </c>
      <c r="M815" s="104">
        <v>47030</v>
      </c>
      <c r="N815" s="104">
        <f t="shared" si="443"/>
        <v>195.19499999999999</v>
      </c>
      <c r="O815" s="104">
        <f t="shared" si="436"/>
        <v>9759.75</v>
      </c>
      <c r="P815" s="101" t="s">
        <v>1559</v>
      </c>
      <c r="Q815" s="101" t="str">
        <f t="shared" si="444"/>
        <v>OTC-C00470-L</v>
      </c>
      <c r="R815" s="104"/>
      <c r="S815" s="104"/>
      <c r="T815" s="104"/>
      <c r="U815" s="104">
        <v>47270</v>
      </c>
      <c r="V815" s="104">
        <v>0</v>
      </c>
      <c r="W815" s="490">
        <v>43781</v>
      </c>
      <c r="X815" s="105">
        <f t="shared" si="437"/>
        <v>9759.75</v>
      </c>
      <c r="Y815" s="198">
        <f t="shared" si="442"/>
        <v>2351500</v>
      </c>
      <c r="Z815" s="408" t="str">
        <f t="shared" si="440"/>
        <v/>
      </c>
      <c r="AA815" s="408" t="str">
        <f t="shared" si="445"/>
        <v>买入19-新19</v>
      </c>
      <c r="AB815" s="408">
        <v>130</v>
      </c>
      <c r="AC815" s="321">
        <v>0.152</v>
      </c>
      <c r="AD815" s="322">
        <v>0.152</v>
      </c>
      <c r="AE815" s="104"/>
      <c r="AF815" s="105">
        <v>31250</v>
      </c>
    </row>
    <row r="816" spans="1:32" ht="24.95" customHeight="1" x14ac:dyDescent="0.15">
      <c r="A816" s="316" t="s">
        <v>248</v>
      </c>
      <c r="B816" s="120" t="s">
        <v>263</v>
      </c>
      <c r="C816" s="316" t="str">
        <f t="shared" si="438"/>
        <v>到期</v>
      </c>
      <c r="D816" s="103" t="s">
        <v>1844</v>
      </c>
      <c r="E816" s="316" t="s">
        <v>298</v>
      </c>
      <c r="F816" s="48">
        <v>43753</v>
      </c>
      <c r="G816" s="409">
        <v>43781</v>
      </c>
      <c r="H816" s="408" t="s">
        <v>1550</v>
      </c>
      <c r="I816" s="408" t="s">
        <v>222</v>
      </c>
      <c r="J816" s="316" t="s">
        <v>56</v>
      </c>
      <c r="K816" s="105">
        <v>50</v>
      </c>
      <c r="L816" s="104">
        <v>49150</v>
      </c>
      <c r="M816" s="104">
        <v>47030</v>
      </c>
      <c r="N816" s="104">
        <f t="shared" si="443"/>
        <v>195.19499999999999</v>
      </c>
      <c r="O816" s="104">
        <f t="shared" si="436"/>
        <v>9759.75</v>
      </c>
      <c r="P816" s="101" t="s">
        <v>1560</v>
      </c>
      <c r="Q816" s="101" t="str">
        <f t="shared" si="444"/>
        <v>OTC-C00471-L</v>
      </c>
      <c r="R816" s="104"/>
      <c r="S816" s="104"/>
      <c r="T816" s="104"/>
      <c r="U816" s="104">
        <v>47270</v>
      </c>
      <c r="V816" s="104">
        <v>0</v>
      </c>
      <c r="W816" s="490">
        <v>43781</v>
      </c>
      <c r="X816" s="105">
        <f t="shared" si="437"/>
        <v>9759.75</v>
      </c>
      <c r="Y816" s="198">
        <f t="shared" si="442"/>
        <v>2351500</v>
      </c>
      <c r="Z816" s="408" t="str">
        <f t="shared" si="440"/>
        <v/>
      </c>
      <c r="AA816" s="408" t="str">
        <f t="shared" si="445"/>
        <v>买入19-新19</v>
      </c>
      <c r="AB816" s="408">
        <v>130</v>
      </c>
      <c r="AC816" s="321">
        <v>0.152</v>
      </c>
      <c r="AD816" s="322">
        <v>0.152</v>
      </c>
      <c r="AE816" s="104"/>
      <c r="AF816" s="105">
        <v>31250</v>
      </c>
    </row>
    <row r="817" spans="1:32" ht="24.95" customHeight="1" x14ac:dyDescent="0.15">
      <c r="A817" s="316" t="s">
        <v>248</v>
      </c>
      <c r="B817" s="120" t="s">
        <v>263</v>
      </c>
      <c r="C817" s="316" t="str">
        <f t="shared" si="438"/>
        <v>到期</v>
      </c>
      <c r="D817" s="103" t="s">
        <v>1844</v>
      </c>
      <c r="E817" s="316" t="s">
        <v>298</v>
      </c>
      <c r="F817" s="48">
        <v>43753</v>
      </c>
      <c r="G817" s="409">
        <v>43781</v>
      </c>
      <c r="H817" s="408" t="s">
        <v>1550</v>
      </c>
      <c r="I817" s="408" t="s">
        <v>222</v>
      </c>
      <c r="J817" s="316" t="s">
        <v>59</v>
      </c>
      <c r="K817" s="105">
        <v>50</v>
      </c>
      <c r="L817" s="104">
        <v>45380</v>
      </c>
      <c r="M817" s="104">
        <v>47030</v>
      </c>
      <c r="N817" s="104">
        <f t="shared" si="443"/>
        <v>195.19499999999999</v>
      </c>
      <c r="O817" s="104">
        <f t="shared" si="436"/>
        <v>9759.75</v>
      </c>
      <c r="P817" s="101" t="s">
        <v>1561</v>
      </c>
      <c r="Q817" s="101" t="str">
        <f t="shared" si="444"/>
        <v>OTC-C00471-L</v>
      </c>
      <c r="R817" s="104"/>
      <c r="S817" s="104"/>
      <c r="T817" s="104"/>
      <c r="U817" s="104">
        <v>47270</v>
      </c>
      <c r="V817" s="104">
        <v>0</v>
      </c>
      <c r="W817" s="490">
        <v>43781</v>
      </c>
      <c r="X817" s="105">
        <f t="shared" si="437"/>
        <v>9759.75</v>
      </c>
      <c r="Y817" s="198">
        <f t="shared" si="442"/>
        <v>2351500</v>
      </c>
      <c r="Z817" s="408" t="str">
        <f t="shared" si="440"/>
        <v/>
      </c>
      <c r="AA817" s="408" t="str">
        <f t="shared" si="445"/>
        <v>买入19-新19</v>
      </c>
      <c r="AB817" s="408">
        <v>130</v>
      </c>
      <c r="AC817" s="321">
        <v>0.152</v>
      </c>
      <c r="AD817" s="322">
        <v>0.152</v>
      </c>
      <c r="AE817" s="104"/>
      <c r="AF817" s="105">
        <v>31250</v>
      </c>
    </row>
    <row r="818" spans="1:32" ht="24.95" customHeight="1" x14ac:dyDescent="0.15">
      <c r="A818" s="316" t="s">
        <v>248</v>
      </c>
      <c r="B818" s="120" t="s">
        <v>263</v>
      </c>
      <c r="C818" s="316" t="str">
        <f t="shared" si="438"/>
        <v>到期</v>
      </c>
      <c r="D818" s="103" t="s">
        <v>1845</v>
      </c>
      <c r="E818" s="316" t="s">
        <v>298</v>
      </c>
      <c r="F818" s="48">
        <v>43753</v>
      </c>
      <c r="G818" s="409">
        <v>43781</v>
      </c>
      <c r="H818" s="408" t="s">
        <v>1550</v>
      </c>
      <c r="I818" s="408" t="s">
        <v>222</v>
      </c>
      <c r="J818" s="316" t="s">
        <v>56</v>
      </c>
      <c r="K818" s="105">
        <v>50</v>
      </c>
      <c r="L818" s="104">
        <v>49150</v>
      </c>
      <c r="M818" s="104">
        <v>47030</v>
      </c>
      <c r="N818" s="104">
        <f t="shared" si="443"/>
        <v>195.19499999999999</v>
      </c>
      <c r="O818" s="104">
        <f t="shared" si="436"/>
        <v>9759.75</v>
      </c>
      <c r="P818" s="101" t="s">
        <v>1562</v>
      </c>
      <c r="Q818" s="101" t="str">
        <f t="shared" si="444"/>
        <v>OTC-C00472-L</v>
      </c>
      <c r="R818" s="104"/>
      <c r="S818" s="104"/>
      <c r="T818" s="104"/>
      <c r="U818" s="104">
        <v>47270</v>
      </c>
      <c r="V818" s="104">
        <v>0</v>
      </c>
      <c r="W818" s="490">
        <v>43781</v>
      </c>
      <c r="X818" s="105">
        <f t="shared" si="437"/>
        <v>9759.75</v>
      </c>
      <c r="Y818" s="198">
        <f t="shared" si="442"/>
        <v>2351500</v>
      </c>
      <c r="Z818" s="408" t="str">
        <f t="shared" si="440"/>
        <v/>
      </c>
      <c r="AA818" s="408" t="str">
        <f t="shared" si="445"/>
        <v>买入19-新19</v>
      </c>
      <c r="AB818" s="408">
        <v>130</v>
      </c>
      <c r="AC818" s="321">
        <v>0.152</v>
      </c>
      <c r="AD818" s="322">
        <v>0.152</v>
      </c>
      <c r="AE818" s="104"/>
      <c r="AF818" s="105">
        <v>31250</v>
      </c>
    </row>
    <row r="819" spans="1:32" ht="24.95" customHeight="1" x14ac:dyDescent="0.15">
      <c r="A819" s="316" t="s">
        <v>248</v>
      </c>
      <c r="B819" s="120" t="s">
        <v>263</v>
      </c>
      <c r="C819" s="316" t="str">
        <f t="shared" si="438"/>
        <v>到期</v>
      </c>
      <c r="D819" s="103" t="s">
        <v>1845</v>
      </c>
      <c r="E819" s="316" t="s">
        <v>298</v>
      </c>
      <c r="F819" s="48">
        <v>43753</v>
      </c>
      <c r="G819" s="409">
        <v>43781</v>
      </c>
      <c r="H819" s="408" t="s">
        <v>1550</v>
      </c>
      <c r="I819" s="408" t="s">
        <v>222</v>
      </c>
      <c r="J819" s="316" t="s">
        <v>59</v>
      </c>
      <c r="K819" s="105">
        <v>50</v>
      </c>
      <c r="L819" s="104">
        <v>45380</v>
      </c>
      <c r="M819" s="104">
        <v>47030</v>
      </c>
      <c r="N819" s="104">
        <f t="shared" si="443"/>
        <v>195.19499999999999</v>
      </c>
      <c r="O819" s="104">
        <f t="shared" si="436"/>
        <v>9759.75</v>
      </c>
      <c r="P819" s="101" t="s">
        <v>1562</v>
      </c>
      <c r="Q819" s="101" t="str">
        <f t="shared" si="444"/>
        <v>OTC-C00472-L</v>
      </c>
      <c r="R819" s="104"/>
      <c r="S819" s="104"/>
      <c r="T819" s="104"/>
      <c r="U819" s="104">
        <v>47270</v>
      </c>
      <c r="V819" s="104">
        <v>0</v>
      </c>
      <c r="W819" s="490">
        <v>43781</v>
      </c>
      <c r="X819" s="105">
        <f t="shared" si="437"/>
        <v>9759.75</v>
      </c>
      <c r="Y819" s="198">
        <f t="shared" si="442"/>
        <v>2351500</v>
      </c>
      <c r="Z819" s="408" t="str">
        <f t="shared" si="440"/>
        <v/>
      </c>
      <c r="AA819" s="408" t="str">
        <f t="shared" si="445"/>
        <v>买入19-新19</v>
      </c>
      <c r="AB819" s="408">
        <v>130</v>
      </c>
      <c r="AC819" s="321">
        <v>0.152</v>
      </c>
      <c r="AD819" s="322">
        <v>0.152</v>
      </c>
      <c r="AE819" s="104"/>
      <c r="AF819" s="105">
        <v>31250</v>
      </c>
    </row>
    <row r="820" spans="1:32" ht="24.95" customHeight="1" x14ac:dyDescent="0.15">
      <c r="A820" s="316" t="s">
        <v>265</v>
      </c>
      <c r="B820" s="120" t="s">
        <v>263</v>
      </c>
      <c r="C820" s="316" t="str">
        <f t="shared" si="438"/>
        <v>到期</v>
      </c>
      <c r="D820" s="123" t="s">
        <v>1876</v>
      </c>
      <c r="E820" s="316" t="s">
        <v>298</v>
      </c>
      <c r="F820" s="412">
        <v>43754</v>
      </c>
      <c r="G820" s="412">
        <v>43784</v>
      </c>
      <c r="H820" s="413" t="s">
        <v>1563</v>
      </c>
      <c r="I820" s="411" t="s">
        <v>1551</v>
      </c>
      <c r="J820" s="386" t="s">
        <v>973</v>
      </c>
      <c r="K820" s="411">
        <v>3100</v>
      </c>
      <c r="L820" s="411">
        <v>11551</v>
      </c>
      <c r="M820" s="411">
        <v>11551</v>
      </c>
      <c r="N820" s="411">
        <v>800</v>
      </c>
      <c r="O820" s="411">
        <f>N820*K820</f>
        <v>2480000</v>
      </c>
      <c r="P820" s="101" t="s">
        <v>1644</v>
      </c>
      <c r="Q820" s="101" t="str">
        <f>P820&amp;"-L"</f>
        <v>OTC-C00473-L</v>
      </c>
      <c r="R820" s="105"/>
      <c r="S820" s="105"/>
      <c r="T820" s="412"/>
      <c r="U820" s="411">
        <v>11550.08695652174</v>
      </c>
      <c r="V820" s="411">
        <f>2000000/3100*K820</f>
        <v>2000000</v>
      </c>
      <c r="W820" s="48">
        <v>43784</v>
      </c>
      <c r="X820" s="105">
        <f t="shared" si="437"/>
        <v>-480000</v>
      </c>
      <c r="Y820" s="411">
        <f t="shared" ref="Y820" si="446">ABS(M820*K820)</f>
        <v>35808100</v>
      </c>
      <c r="Z820" s="411" t="str">
        <f t="shared" si="440"/>
        <v/>
      </c>
      <c r="AA820" s="105" t="str">
        <f t="shared" ref="AA820" si="447">IF(I820="买入","卖出","买入")</f>
        <v>卖出</v>
      </c>
      <c r="AB820" s="413">
        <v>131</v>
      </c>
      <c r="AC820" s="321">
        <v>0.35</v>
      </c>
      <c r="AD820" s="205"/>
      <c r="AE820" s="415" t="s">
        <v>1554</v>
      </c>
      <c r="AF820" s="105"/>
    </row>
    <row r="821" spans="1:32" ht="24.95" customHeight="1" x14ac:dyDescent="0.15">
      <c r="A821" s="316" t="s">
        <v>265</v>
      </c>
      <c r="B821" s="120" t="s">
        <v>263</v>
      </c>
      <c r="C821" s="316" t="str">
        <f t="shared" ref="C821:C823" si="448">IF(Q821="","存续","到期")</f>
        <v>存续</v>
      </c>
      <c r="D821" s="123" t="s">
        <v>1833</v>
      </c>
      <c r="E821" s="316" t="s">
        <v>298</v>
      </c>
      <c r="F821" s="414">
        <v>43754</v>
      </c>
      <c r="G821" s="414">
        <v>43941</v>
      </c>
      <c r="H821" s="413" t="s">
        <v>1552</v>
      </c>
      <c r="I821" s="413" t="s">
        <v>275</v>
      </c>
      <c r="J821" s="316" t="s">
        <v>1553</v>
      </c>
      <c r="K821" s="413">
        <v>1000</v>
      </c>
      <c r="L821" s="413">
        <v>11000</v>
      </c>
      <c r="M821" s="413">
        <v>11770</v>
      </c>
      <c r="N821" s="413">
        <v>361.50700000000001</v>
      </c>
      <c r="O821" s="413">
        <f>N821*K821</f>
        <v>361507</v>
      </c>
      <c r="P821" s="101" t="s">
        <v>1570</v>
      </c>
      <c r="Q821" s="101"/>
      <c r="R821" s="105"/>
      <c r="S821" s="105"/>
      <c r="T821" s="414"/>
      <c r="U821" s="413"/>
      <c r="V821" s="413"/>
      <c r="W821" s="413"/>
      <c r="X821" s="104"/>
      <c r="Y821" s="413">
        <f t="shared" ref="Y821:Y823" si="449">ABS(M821*K821)</f>
        <v>11770000</v>
      </c>
      <c r="Z821" s="413" t="str">
        <f t="shared" ref="Z821:Z823" si="450">IF(C821="存续",D821&amp;H821&amp;"-"&amp;AA821,"")</f>
        <v>宁波中哲物产有限公司ru2005-买入</v>
      </c>
      <c r="AA821" s="105" t="str">
        <f t="shared" ref="AA821:AA823" si="451">IF(I821="买入","卖出","买入")</f>
        <v>买入</v>
      </c>
      <c r="AB821" s="413">
        <v>132</v>
      </c>
      <c r="AC821" s="321">
        <v>0.21</v>
      </c>
      <c r="AD821" s="205">
        <v>0.24</v>
      </c>
      <c r="AE821" s="413" t="s">
        <v>1335</v>
      </c>
      <c r="AF821" s="105">
        <v>182000</v>
      </c>
    </row>
    <row r="822" spans="1:32" ht="24.95" customHeight="1" x14ac:dyDescent="0.15">
      <c r="A822" s="316" t="s">
        <v>394</v>
      </c>
      <c r="B822" s="120" t="s">
        <v>264</v>
      </c>
      <c r="C822" s="316" t="str">
        <f t="shared" si="448"/>
        <v>到期</v>
      </c>
      <c r="D822" s="128" t="s">
        <v>1874</v>
      </c>
      <c r="E822" s="316" t="s">
        <v>1451</v>
      </c>
      <c r="F822" s="414">
        <v>43754</v>
      </c>
      <c r="G822" s="414">
        <v>43825</v>
      </c>
      <c r="H822" s="413" t="s">
        <v>1056</v>
      </c>
      <c r="I822" s="413" t="s">
        <v>1564</v>
      </c>
      <c r="J822" s="316" t="s">
        <v>1565</v>
      </c>
      <c r="K822" s="413">
        <v>5000</v>
      </c>
      <c r="L822" s="413">
        <v>617</v>
      </c>
      <c r="M822" s="413">
        <v>617</v>
      </c>
      <c r="N822" s="413">
        <v>40</v>
      </c>
      <c r="O822" s="413">
        <f t="shared" ref="O822:O824" si="452">N822*K822</f>
        <v>200000</v>
      </c>
      <c r="P822" s="232" t="s">
        <v>1575</v>
      </c>
      <c r="Q822" s="101" t="str">
        <f>P822&amp;"-L"</f>
        <v>OTC-C00475-L</v>
      </c>
      <c r="R822" s="105">
        <v>0</v>
      </c>
      <c r="S822" s="105">
        <f>-R822*K822</f>
        <v>0</v>
      </c>
      <c r="T822" s="417">
        <v>43755</v>
      </c>
      <c r="U822" s="413">
        <v>614.5</v>
      </c>
      <c r="V822" s="413"/>
      <c r="W822" s="413"/>
      <c r="X822" s="416">
        <f t="shared" ref="X822:X823" si="453">IF(I822="买入",S822-O822,O822+S822)</f>
        <v>200000</v>
      </c>
      <c r="Y822" s="198">
        <f t="shared" si="449"/>
        <v>3085000</v>
      </c>
      <c r="Z822" s="413" t="str">
        <f t="shared" si="450"/>
        <v/>
      </c>
      <c r="AA822" s="105" t="str">
        <f t="shared" si="451"/>
        <v>买入</v>
      </c>
      <c r="AB822" s="413">
        <v>133</v>
      </c>
      <c r="AC822" s="321"/>
      <c r="AD822" s="321"/>
      <c r="AE822" s="113" t="s">
        <v>1716</v>
      </c>
      <c r="AF822" s="105"/>
    </row>
    <row r="823" spans="1:32" ht="24.95" customHeight="1" x14ac:dyDescent="0.15">
      <c r="A823" s="316" t="s">
        <v>394</v>
      </c>
      <c r="B823" s="120" t="s">
        <v>264</v>
      </c>
      <c r="C823" s="316" t="str">
        <f t="shared" si="448"/>
        <v>到期</v>
      </c>
      <c r="D823" s="128" t="s">
        <v>1874</v>
      </c>
      <c r="E823" s="316" t="s">
        <v>255</v>
      </c>
      <c r="F823" s="414">
        <v>43754</v>
      </c>
      <c r="G823" s="414">
        <v>43825</v>
      </c>
      <c r="H823" s="413" t="s">
        <v>1056</v>
      </c>
      <c r="I823" s="413" t="s">
        <v>1356</v>
      </c>
      <c r="J823" s="316" t="s">
        <v>1566</v>
      </c>
      <c r="K823" s="413">
        <v>5000</v>
      </c>
      <c r="L823" s="413">
        <v>617</v>
      </c>
      <c r="M823" s="413">
        <v>617</v>
      </c>
      <c r="N823" s="413">
        <v>40</v>
      </c>
      <c r="O823" s="413">
        <f t="shared" si="452"/>
        <v>200000</v>
      </c>
      <c r="P823" s="232" t="s">
        <v>1575</v>
      </c>
      <c r="Q823" s="101" t="str">
        <f>P823&amp;"-L"</f>
        <v>OTC-C00475-L</v>
      </c>
      <c r="R823" s="105">
        <f>L823-U823</f>
        <v>2.5</v>
      </c>
      <c r="S823" s="105">
        <f>R823*K823</f>
        <v>12500</v>
      </c>
      <c r="T823" s="417">
        <v>43755</v>
      </c>
      <c r="U823" s="413">
        <v>614.5</v>
      </c>
      <c r="V823" s="413"/>
      <c r="W823" s="413"/>
      <c r="X823" s="416">
        <f t="shared" si="453"/>
        <v>-187500</v>
      </c>
      <c r="Y823" s="198">
        <f t="shared" si="449"/>
        <v>3085000</v>
      </c>
      <c r="Z823" s="413" t="str">
        <f t="shared" si="450"/>
        <v/>
      </c>
      <c r="AA823" s="105" t="str">
        <f t="shared" si="451"/>
        <v>卖出</v>
      </c>
      <c r="AB823" s="413">
        <v>133</v>
      </c>
      <c r="AC823" s="321"/>
      <c r="AD823" s="321"/>
      <c r="AE823" s="113" t="s">
        <v>1716</v>
      </c>
      <c r="AF823" s="105"/>
    </row>
    <row r="824" spans="1:32" ht="24.95" customHeight="1" x14ac:dyDescent="0.15">
      <c r="A824" s="316" t="s">
        <v>394</v>
      </c>
      <c r="B824" s="120" t="s">
        <v>1567</v>
      </c>
      <c r="C824" s="316" t="str">
        <f t="shared" ref="C824:C827" si="454">IF(Q824="","存续","到期")</f>
        <v>到期</v>
      </c>
      <c r="D824" s="128" t="s">
        <v>1877</v>
      </c>
      <c r="E824" s="316" t="s">
        <v>255</v>
      </c>
      <c r="F824" s="419">
        <v>43755</v>
      </c>
      <c r="G824" s="419">
        <v>43768</v>
      </c>
      <c r="H824" s="418" t="s">
        <v>1465</v>
      </c>
      <c r="I824" s="418" t="s">
        <v>318</v>
      </c>
      <c r="J824" s="316" t="s">
        <v>59</v>
      </c>
      <c r="K824" s="418">
        <v>39859</v>
      </c>
      <c r="L824" s="418">
        <v>1399.6130000000001</v>
      </c>
      <c r="M824" s="418">
        <v>1442.9</v>
      </c>
      <c r="N824" s="418">
        <f>400000/39859</f>
        <v>10.035374695802705</v>
      </c>
      <c r="O824" s="420">
        <f t="shared" si="452"/>
        <v>400000</v>
      </c>
      <c r="P824" s="101" t="s">
        <v>1571</v>
      </c>
      <c r="Q824" s="101" t="str">
        <f>P824&amp;"-L"</f>
        <v>OTC-C00476-L</v>
      </c>
      <c r="R824" s="105"/>
      <c r="S824" s="105"/>
      <c r="T824" s="419"/>
      <c r="U824" s="418">
        <v>1482</v>
      </c>
      <c r="V824" s="418">
        <v>0</v>
      </c>
      <c r="W824" s="455">
        <v>43768</v>
      </c>
      <c r="X824" s="454">
        <f t="shared" ref="X824" si="455">IF(I824="买入",V824-O824,V824+O824)</f>
        <v>-400000</v>
      </c>
      <c r="Y824" s="198">
        <f t="shared" ref="Y824:Y827" si="456">ABS(M824*K824)</f>
        <v>57512551.100000001</v>
      </c>
      <c r="Z824" s="418" t="str">
        <f t="shared" ref="Z824:Z828" si="457">IF(C824="存续",D824&amp;H824&amp;"-"&amp;AA824,"")</f>
        <v/>
      </c>
      <c r="AA824" s="105" t="str">
        <f t="shared" ref="AA824:AA827" si="458">IF(I824="买入","卖出","买入")</f>
        <v>卖出</v>
      </c>
      <c r="AB824" s="418">
        <v>134</v>
      </c>
      <c r="AC824" s="321">
        <v>0.2399</v>
      </c>
      <c r="AD824" s="321">
        <v>0.2</v>
      </c>
      <c r="AE824" s="418"/>
      <c r="AF824" s="105"/>
    </row>
    <row r="825" spans="1:32" ht="24.95" customHeight="1" x14ac:dyDescent="0.15">
      <c r="A825" s="316" t="s">
        <v>265</v>
      </c>
      <c r="B825" s="120" t="s">
        <v>263</v>
      </c>
      <c r="C825" s="316" t="str">
        <f t="shared" si="454"/>
        <v>存续</v>
      </c>
      <c r="D825" s="123" t="s">
        <v>1833</v>
      </c>
      <c r="E825" s="316" t="s">
        <v>298</v>
      </c>
      <c r="F825" s="422">
        <v>43755</v>
      </c>
      <c r="G825" s="422">
        <v>43941</v>
      </c>
      <c r="H825" s="421" t="s">
        <v>1552</v>
      </c>
      <c r="I825" s="421" t="s">
        <v>275</v>
      </c>
      <c r="J825" s="316" t="s">
        <v>224</v>
      </c>
      <c r="K825" s="421">
        <v>1000</v>
      </c>
      <c r="L825" s="421">
        <v>10500</v>
      </c>
      <c r="M825" s="421">
        <v>11735</v>
      </c>
      <c r="N825" s="421">
        <v>160.376</v>
      </c>
      <c r="O825" s="421">
        <f>N825*K825</f>
        <v>160376</v>
      </c>
      <c r="P825" s="101" t="s">
        <v>1572</v>
      </c>
      <c r="Q825" s="101"/>
      <c r="R825" s="105"/>
      <c r="S825" s="105"/>
      <c r="T825" s="422"/>
      <c r="U825" s="421"/>
      <c r="V825" s="421"/>
      <c r="W825" s="421"/>
      <c r="X825" s="104"/>
      <c r="Y825" s="421">
        <f t="shared" si="456"/>
        <v>11735000</v>
      </c>
      <c r="Z825" s="421" t="str">
        <f t="shared" si="457"/>
        <v>宁波中哲物产有限公司ru2005-买入</v>
      </c>
      <c r="AA825" s="105" t="str">
        <f t="shared" si="458"/>
        <v>买入</v>
      </c>
      <c r="AB825" s="421">
        <v>135</v>
      </c>
      <c r="AC825" s="321">
        <v>0.185</v>
      </c>
      <c r="AD825" s="205">
        <v>0.22</v>
      </c>
      <c r="AE825" s="421" t="s">
        <v>1335</v>
      </c>
      <c r="AF825" s="105">
        <v>182270</v>
      </c>
    </row>
    <row r="826" spans="1:32" ht="24.95" customHeight="1" x14ac:dyDescent="0.15">
      <c r="A826" s="316" t="s">
        <v>394</v>
      </c>
      <c r="B826" s="120" t="s">
        <v>264</v>
      </c>
      <c r="C826" s="316" t="str">
        <f t="shared" ref="C826" si="459">IF(Q826="","存续","到期")</f>
        <v>到期</v>
      </c>
      <c r="D826" s="128" t="s">
        <v>1878</v>
      </c>
      <c r="E826" s="316" t="s">
        <v>1569</v>
      </c>
      <c r="F826" s="425">
        <v>43756</v>
      </c>
      <c r="G826" s="425">
        <v>43769</v>
      </c>
      <c r="H826" s="424" t="s">
        <v>1465</v>
      </c>
      <c r="I826" s="424" t="s">
        <v>978</v>
      </c>
      <c r="J826" s="316" t="s">
        <v>224</v>
      </c>
      <c r="K826" s="424">
        <v>10000</v>
      </c>
      <c r="L826" s="424">
        <v>1435</v>
      </c>
      <c r="M826" s="424">
        <v>1435</v>
      </c>
      <c r="N826" s="424">
        <v>25.03</v>
      </c>
      <c r="O826" s="424">
        <f>N826*K826</f>
        <v>250300</v>
      </c>
      <c r="P826" s="101" t="s">
        <v>1587</v>
      </c>
      <c r="Q826" s="101" t="str">
        <f>P826&amp;"-L"</f>
        <v>OTC-C00478-L</v>
      </c>
      <c r="R826" s="105"/>
      <c r="S826" s="105"/>
      <c r="T826" s="424"/>
      <c r="U826" s="424">
        <v>1485</v>
      </c>
      <c r="V826" s="424">
        <v>0</v>
      </c>
      <c r="W826" s="425">
        <v>43769</v>
      </c>
      <c r="X826" s="105">
        <f>IF(I826="买入",V826-O826,V826+O826)</f>
        <v>250300</v>
      </c>
      <c r="Y826" s="424">
        <f t="shared" si="456"/>
        <v>14350000</v>
      </c>
      <c r="Z826" s="424" t="str">
        <f t="shared" si="457"/>
        <v/>
      </c>
      <c r="AA826" s="105" t="str">
        <f t="shared" si="458"/>
        <v>买入</v>
      </c>
      <c r="AB826" s="424">
        <v>136</v>
      </c>
      <c r="AC826" s="321">
        <v>0.219</v>
      </c>
      <c r="AD826" s="424"/>
      <c r="AE826" s="424"/>
      <c r="AF826" s="105"/>
    </row>
    <row r="827" spans="1:32" ht="24.95" customHeight="1" x14ac:dyDescent="0.15">
      <c r="A827" s="316" t="s">
        <v>394</v>
      </c>
      <c r="B827" s="120" t="s">
        <v>264</v>
      </c>
      <c r="C827" s="316" t="str">
        <f t="shared" si="454"/>
        <v>到期</v>
      </c>
      <c r="D827" s="128" t="s">
        <v>1853</v>
      </c>
      <c r="E827" s="316" t="s">
        <v>255</v>
      </c>
      <c r="F827" s="425">
        <v>43756</v>
      </c>
      <c r="G827" s="425">
        <v>43783</v>
      </c>
      <c r="H827" s="424" t="s">
        <v>1465</v>
      </c>
      <c r="I827" s="424" t="s">
        <v>1568</v>
      </c>
      <c r="J827" s="316" t="s">
        <v>992</v>
      </c>
      <c r="K827" s="424">
        <v>10000</v>
      </c>
      <c r="L827" s="424">
        <v>1435</v>
      </c>
      <c r="M827" s="424">
        <v>1435</v>
      </c>
      <c r="N827" s="424">
        <v>36.159999999999997</v>
      </c>
      <c r="O827" s="424">
        <f t="shared" ref="O827" si="460">N827*K827</f>
        <v>361599.99999999994</v>
      </c>
      <c r="P827" s="101" t="s">
        <v>1573</v>
      </c>
      <c r="Q827" s="101" t="str">
        <f>P827&amp;"-L"</f>
        <v>OTC-C00479-L</v>
      </c>
      <c r="R827" s="105"/>
      <c r="S827" s="105"/>
      <c r="T827" s="424"/>
      <c r="U827" s="424">
        <v>1494</v>
      </c>
      <c r="V827" s="424">
        <v>0</v>
      </c>
      <c r="W827" s="496">
        <v>43783</v>
      </c>
      <c r="X827" s="105">
        <f t="shared" ref="X827" si="461">IF(I827="买入",V827-O827,V827+O827)</f>
        <v>361599.99999999994</v>
      </c>
      <c r="Y827" s="424">
        <f t="shared" si="456"/>
        <v>14350000</v>
      </c>
      <c r="Z827" s="424" t="str">
        <f t="shared" si="457"/>
        <v/>
      </c>
      <c r="AA827" s="105" t="str">
        <f t="shared" si="458"/>
        <v>买入</v>
      </c>
      <c r="AB827" s="424">
        <v>137</v>
      </c>
      <c r="AC827" s="321">
        <v>0.223</v>
      </c>
      <c r="AD827" s="424"/>
      <c r="AE827" s="424"/>
      <c r="AF827" s="105">
        <v>492010</v>
      </c>
    </row>
    <row r="828" spans="1:32" ht="24.95" customHeight="1" x14ac:dyDescent="0.15">
      <c r="A828" s="316" t="s">
        <v>265</v>
      </c>
      <c r="B828" s="120" t="s">
        <v>263</v>
      </c>
      <c r="C828" s="316" t="str">
        <f t="shared" ref="C828" si="462">IF(Q828="","存续","到期")</f>
        <v>到期</v>
      </c>
      <c r="D828" s="123" t="s">
        <v>1835</v>
      </c>
      <c r="E828" s="316" t="s">
        <v>1336</v>
      </c>
      <c r="F828" s="427">
        <v>43759</v>
      </c>
      <c r="G828" s="427">
        <v>43770</v>
      </c>
      <c r="H828" s="426" t="s">
        <v>1552</v>
      </c>
      <c r="I828" s="426" t="s">
        <v>1574</v>
      </c>
      <c r="J828" s="316" t="s">
        <v>56</v>
      </c>
      <c r="K828" s="426">
        <v>200</v>
      </c>
      <c r="L828" s="426">
        <v>12355</v>
      </c>
      <c r="M828" s="426">
        <v>11880</v>
      </c>
      <c r="N828" s="426">
        <v>20</v>
      </c>
      <c r="O828" s="426">
        <f>N828*K828</f>
        <v>4000</v>
      </c>
      <c r="P828" s="101" t="s">
        <v>1576</v>
      </c>
      <c r="Q828" s="101" t="str">
        <f>P828&amp;"-L"</f>
        <v>OTC-C00480-L</v>
      </c>
      <c r="R828" s="105"/>
      <c r="S828" s="105"/>
      <c r="T828" s="427"/>
      <c r="U828" s="426">
        <v>12050</v>
      </c>
      <c r="V828" s="426">
        <v>0</v>
      </c>
      <c r="W828" s="460">
        <v>43770</v>
      </c>
      <c r="X828" s="105">
        <f t="shared" ref="X828:X840" si="463">IF(I828="买入",V828-O828,V828+O828)</f>
        <v>-4000</v>
      </c>
      <c r="Y828" s="426">
        <f t="shared" ref="Y828" si="464">ABS(M828*K828)</f>
        <v>2376000</v>
      </c>
      <c r="Z828" s="426" t="str">
        <f t="shared" si="457"/>
        <v/>
      </c>
      <c r="AA828" s="105" t="str">
        <f t="shared" ref="AA828" si="465">IF(I828="买入","卖出","买入")</f>
        <v>卖出</v>
      </c>
      <c r="AB828" s="426">
        <v>138</v>
      </c>
      <c r="AC828" s="321">
        <v>0.17</v>
      </c>
      <c r="AD828" s="205">
        <v>0.2</v>
      </c>
      <c r="AE828" s="426" t="s">
        <v>1335</v>
      </c>
      <c r="AF828" s="105"/>
    </row>
    <row r="829" spans="1:32" ht="24.95" customHeight="1" x14ac:dyDescent="0.15">
      <c r="A829" s="316" t="s">
        <v>265</v>
      </c>
      <c r="B829" s="120" t="s">
        <v>263</v>
      </c>
      <c r="C829" s="316" t="str">
        <f t="shared" ref="C829:C839" si="466">IF(Q829="","存续","到期")</f>
        <v>到期</v>
      </c>
      <c r="D829" s="123" t="s">
        <v>1835</v>
      </c>
      <c r="E829" s="316" t="s">
        <v>1336</v>
      </c>
      <c r="F829" s="427">
        <v>43759</v>
      </c>
      <c r="G829" s="427">
        <v>43770</v>
      </c>
      <c r="H829" s="426" t="s">
        <v>1552</v>
      </c>
      <c r="I829" s="426" t="s">
        <v>1574</v>
      </c>
      <c r="J829" s="316" t="s">
        <v>224</v>
      </c>
      <c r="K829" s="426">
        <v>200</v>
      </c>
      <c r="L829" s="426">
        <v>11405</v>
      </c>
      <c r="M829" s="426">
        <v>11880</v>
      </c>
      <c r="N829" s="426">
        <v>20</v>
      </c>
      <c r="O829" s="426">
        <f>N829*K829</f>
        <v>4000</v>
      </c>
      <c r="P829" s="101" t="s">
        <v>1576</v>
      </c>
      <c r="Q829" s="101" t="str">
        <f>P829&amp;"-L"</f>
        <v>OTC-C00480-L</v>
      </c>
      <c r="R829" s="105"/>
      <c r="S829" s="105"/>
      <c r="T829" s="427"/>
      <c r="U829" s="426">
        <v>12050</v>
      </c>
      <c r="V829" s="426">
        <v>0</v>
      </c>
      <c r="W829" s="460">
        <v>43770</v>
      </c>
      <c r="X829" s="105">
        <f t="shared" si="463"/>
        <v>-4000</v>
      </c>
      <c r="Y829" s="426">
        <f t="shared" ref="Y829" si="467">ABS(M829*K829)</f>
        <v>2376000</v>
      </c>
      <c r="Z829" s="426" t="str">
        <f t="shared" ref="Z829:Z840" si="468">IF(C829="存续",D829&amp;H829&amp;"-"&amp;AA829,"")</f>
        <v/>
      </c>
      <c r="AA829" s="105" t="str">
        <f t="shared" ref="AA829" si="469">IF(I829="买入","卖出","买入")</f>
        <v>卖出</v>
      </c>
      <c r="AB829" s="426">
        <v>138</v>
      </c>
      <c r="AC829" s="321">
        <v>0.17</v>
      </c>
      <c r="AD829" s="205">
        <v>0.2</v>
      </c>
      <c r="AE829" s="426" t="s">
        <v>1335</v>
      </c>
      <c r="AF829" s="105"/>
    </row>
    <row r="830" spans="1:32" ht="24.95" customHeight="1" x14ac:dyDescent="0.15">
      <c r="A830" s="316" t="s">
        <v>248</v>
      </c>
      <c r="B830" s="120" t="s">
        <v>263</v>
      </c>
      <c r="C830" s="316" t="str">
        <f t="shared" si="466"/>
        <v>到期</v>
      </c>
      <c r="D830" s="103" t="s">
        <v>1841</v>
      </c>
      <c r="E830" s="316" t="s">
        <v>298</v>
      </c>
      <c r="F830" s="48">
        <v>43760</v>
      </c>
      <c r="G830" s="429">
        <v>43788</v>
      </c>
      <c r="H830" s="428" t="s">
        <v>1550</v>
      </c>
      <c r="I830" s="428" t="s">
        <v>222</v>
      </c>
      <c r="J830" s="316" t="s">
        <v>56</v>
      </c>
      <c r="K830" s="105">
        <v>50</v>
      </c>
      <c r="L830" s="104">
        <v>49280</v>
      </c>
      <c r="M830" s="104">
        <v>47160</v>
      </c>
      <c r="N830" s="104">
        <f>391.47/2</f>
        <v>195.73500000000001</v>
      </c>
      <c r="O830" s="104">
        <f t="shared" ref="O830:O839" si="470">N830*K830</f>
        <v>9786.75</v>
      </c>
      <c r="P830" s="101" t="s">
        <v>1581</v>
      </c>
      <c r="Q830" s="101" t="str">
        <f>P830&amp;"-L"</f>
        <v>OTC-C00481-L</v>
      </c>
      <c r="R830" s="104"/>
      <c r="S830" s="104"/>
      <c r="T830" s="104"/>
      <c r="U830" s="104">
        <v>46890</v>
      </c>
      <c r="V830" s="104">
        <v>0</v>
      </c>
      <c r="W830" s="504">
        <v>43788</v>
      </c>
      <c r="X830" s="105">
        <f t="shared" si="463"/>
        <v>9786.75</v>
      </c>
      <c r="Y830" s="198">
        <f t="shared" ref="Y830:Y839" si="471">M830*K830</f>
        <v>2358000</v>
      </c>
      <c r="Z830" s="428" t="str">
        <f t="shared" si="468"/>
        <v/>
      </c>
      <c r="AA830" s="428" t="str">
        <f>IF(I830="买入","卖出","买入19-新20")</f>
        <v>买入19-新20</v>
      </c>
      <c r="AB830" s="428">
        <v>139</v>
      </c>
      <c r="AC830" s="321">
        <v>0.152</v>
      </c>
      <c r="AD830" s="322">
        <v>0.152</v>
      </c>
      <c r="AE830" s="104"/>
      <c r="AF830" s="105">
        <v>31250</v>
      </c>
    </row>
    <row r="831" spans="1:32" ht="24.95" customHeight="1" x14ac:dyDescent="0.15">
      <c r="A831" s="316" t="s">
        <v>248</v>
      </c>
      <c r="B831" s="120" t="s">
        <v>263</v>
      </c>
      <c r="C831" s="316" t="str">
        <f t="shared" si="466"/>
        <v>到期</v>
      </c>
      <c r="D831" s="103" t="s">
        <v>1841</v>
      </c>
      <c r="E831" s="316" t="s">
        <v>298</v>
      </c>
      <c r="F831" s="48">
        <v>43760</v>
      </c>
      <c r="G831" s="429">
        <v>43788</v>
      </c>
      <c r="H831" s="428" t="s">
        <v>1550</v>
      </c>
      <c r="I831" s="428" t="s">
        <v>222</v>
      </c>
      <c r="J831" s="316" t="s">
        <v>59</v>
      </c>
      <c r="K831" s="105">
        <v>50</v>
      </c>
      <c r="L831" s="104">
        <v>45510</v>
      </c>
      <c r="M831" s="104">
        <v>47160</v>
      </c>
      <c r="N831" s="104">
        <f t="shared" ref="N831:N839" si="472">391.47/2</f>
        <v>195.73500000000001</v>
      </c>
      <c r="O831" s="104">
        <f t="shared" si="470"/>
        <v>9786.75</v>
      </c>
      <c r="P831" s="101" t="s">
        <v>1581</v>
      </c>
      <c r="Q831" s="101" t="str">
        <f t="shared" ref="Q831:Q839" si="473">P831&amp;"-L"</f>
        <v>OTC-C00481-L</v>
      </c>
      <c r="R831" s="104"/>
      <c r="S831" s="104"/>
      <c r="T831" s="104"/>
      <c r="U831" s="104">
        <v>46890</v>
      </c>
      <c r="V831" s="104">
        <v>0</v>
      </c>
      <c r="W831" s="504">
        <v>43788</v>
      </c>
      <c r="X831" s="105">
        <f t="shared" si="463"/>
        <v>9786.75</v>
      </c>
      <c r="Y831" s="198">
        <f t="shared" si="471"/>
        <v>2358000</v>
      </c>
      <c r="Z831" s="428" t="str">
        <f t="shared" si="468"/>
        <v/>
      </c>
      <c r="AA831" s="428" t="str">
        <f t="shared" ref="AA831:AA839" si="474">IF(I831="买入","卖出","买入19-新20")</f>
        <v>买入19-新20</v>
      </c>
      <c r="AB831" s="428">
        <v>139</v>
      </c>
      <c r="AC831" s="321">
        <v>0.152</v>
      </c>
      <c r="AD831" s="322">
        <v>0.152</v>
      </c>
      <c r="AE831" s="104"/>
      <c r="AF831" s="105">
        <v>31250</v>
      </c>
    </row>
    <row r="832" spans="1:32" ht="24.95" customHeight="1" x14ac:dyDescent="0.15">
      <c r="A832" s="316" t="s">
        <v>248</v>
      </c>
      <c r="B832" s="120" t="s">
        <v>263</v>
      </c>
      <c r="C832" s="316" t="str">
        <f t="shared" si="466"/>
        <v>到期</v>
      </c>
      <c r="D832" s="103" t="s">
        <v>1842</v>
      </c>
      <c r="E832" s="316" t="s">
        <v>298</v>
      </c>
      <c r="F832" s="48">
        <v>43760</v>
      </c>
      <c r="G832" s="429">
        <v>43788</v>
      </c>
      <c r="H832" s="428" t="s">
        <v>1550</v>
      </c>
      <c r="I832" s="428" t="s">
        <v>222</v>
      </c>
      <c r="J832" s="316" t="s">
        <v>56</v>
      </c>
      <c r="K832" s="105">
        <v>50</v>
      </c>
      <c r="L832" s="104">
        <v>49280</v>
      </c>
      <c r="M832" s="104">
        <v>47160</v>
      </c>
      <c r="N832" s="104">
        <f t="shared" si="472"/>
        <v>195.73500000000001</v>
      </c>
      <c r="O832" s="104">
        <f t="shared" si="470"/>
        <v>9786.75</v>
      </c>
      <c r="P832" s="101" t="s">
        <v>1582</v>
      </c>
      <c r="Q832" s="101" t="str">
        <f t="shared" si="473"/>
        <v>OTC-C00482-L</v>
      </c>
      <c r="R832" s="104"/>
      <c r="S832" s="104"/>
      <c r="T832" s="104"/>
      <c r="U832" s="104">
        <v>46890</v>
      </c>
      <c r="V832" s="104">
        <v>0</v>
      </c>
      <c r="W832" s="504">
        <v>43788</v>
      </c>
      <c r="X832" s="105">
        <f t="shared" si="463"/>
        <v>9786.75</v>
      </c>
      <c r="Y832" s="198">
        <f t="shared" si="471"/>
        <v>2358000</v>
      </c>
      <c r="Z832" s="428" t="str">
        <f t="shared" si="468"/>
        <v/>
      </c>
      <c r="AA832" s="428" t="str">
        <f t="shared" si="474"/>
        <v>买入19-新20</v>
      </c>
      <c r="AB832" s="428">
        <v>139</v>
      </c>
      <c r="AC832" s="321">
        <v>0.152</v>
      </c>
      <c r="AD832" s="322">
        <v>0.152</v>
      </c>
      <c r="AE832" s="104"/>
      <c r="AF832" s="105">
        <v>31250</v>
      </c>
    </row>
    <row r="833" spans="1:34" ht="24.95" customHeight="1" x14ac:dyDescent="0.15">
      <c r="A833" s="316" t="s">
        <v>248</v>
      </c>
      <c r="B833" s="120" t="s">
        <v>263</v>
      </c>
      <c r="C833" s="316" t="str">
        <f t="shared" si="466"/>
        <v>到期</v>
      </c>
      <c r="D833" s="103" t="s">
        <v>1842</v>
      </c>
      <c r="E833" s="316" t="s">
        <v>298</v>
      </c>
      <c r="F833" s="48">
        <v>43760</v>
      </c>
      <c r="G833" s="429">
        <v>43788</v>
      </c>
      <c r="H833" s="428" t="s">
        <v>1550</v>
      </c>
      <c r="I833" s="428" t="s">
        <v>222</v>
      </c>
      <c r="J833" s="316" t="s">
        <v>59</v>
      </c>
      <c r="K833" s="105">
        <v>50</v>
      </c>
      <c r="L833" s="104">
        <v>45510</v>
      </c>
      <c r="M833" s="104">
        <v>47160</v>
      </c>
      <c r="N833" s="104">
        <f t="shared" si="472"/>
        <v>195.73500000000001</v>
      </c>
      <c r="O833" s="104">
        <f t="shared" si="470"/>
        <v>9786.75</v>
      </c>
      <c r="P833" s="101" t="s">
        <v>1582</v>
      </c>
      <c r="Q833" s="101" t="str">
        <f t="shared" si="473"/>
        <v>OTC-C00482-L</v>
      </c>
      <c r="R833" s="104"/>
      <c r="S833" s="104"/>
      <c r="T833" s="104"/>
      <c r="U833" s="104">
        <v>46890</v>
      </c>
      <c r="V833" s="104">
        <v>0</v>
      </c>
      <c r="W833" s="504">
        <v>43788</v>
      </c>
      <c r="X833" s="105">
        <f t="shared" si="463"/>
        <v>9786.75</v>
      </c>
      <c r="Y833" s="198">
        <f t="shared" si="471"/>
        <v>2358000</v>
      </c>
      <c r="Z833" s="428" t="str">
        <f t="shared" si="468"/>
        <v/>
      </c>
      <c r="AA833" s="428" t="str">
        <f t="shared" si="474"/>
        <v>买入19-新20</v>
      </c>
      <c r="AB833" s="428">
        <v>139</v>
      </c>
      <c r="AC833" s="321">
        <v>0.152</v>
      </c>
      <c r="AD833" s="322">
        <v>0.152</v>
      </c>
      <c r="AE833" s="104"/>
      <c r="AF833" s="105">
        <v>31250</v>
      </c>
    </row>
    <row r="834" spans="1:34" ht="24.95" customHeight="1" x14ac:dyDescent="0.15">
      <c r="A834" s="316" t="s">
        <v>248</v>
      </c>
      <c r="B834" s="120" t="s">
        <v>263</v>
      </c>
      <c r="C834" s="316" t="str">
        <f t="shared" si="466"/>
        <v>到期</v>
      </c>
      <c r="D834" s="103" t="s">
        <v>1843</v>
      </c>
      <c r="E834" s="316" t="s">
        <v>298</v>
      </c>
      <c r="F834" s="48">
        <v>43760</v>
      </c>
      <c r="G834" s="429">
        <v>43788</v>
      </c>
      <c r="H834" s="428" t="s">
        <v>1550</v>
      </c>
      <c r="I834" s="428" t="s">
        <v>222</v>
      </c>
      <c r="J834" s="316" t="s">
        <v>56</v>
      </c>
      <c r="K834" s="105">
        <v>50</v>
      </c>
      <c r="L834" s="104">
        <v>49280</v>
      </c>
      <c r="M834" s="104">
        <v>47160</v>
      </c>
      <c r="N834" s="104">
        <f t="shared" si="472"/>
        <v>195.73500000000001</v>
      </c>
      <c r="O834" s="104">
        <f t="shared" si="470"/>
        <v>9786.75</v>
      </c>
      <c r="P834" s="101" t="s">
        <v>1583</v>
      </c>
      <c r="Q834" s="101" t="str">
        <f t="shared" si="473"/>
        <v>OTC-C00483-L</v>
      </c>
      <c r="R834" s="104"/>
      <c r="S834" s="104"/>
      <c r="T834" s="104"/>
      <c r="U834" s="104">
        <v>46890</v>
      </c>
      <c r="V834" s="104">
        <v>0</v>
      </c>
      <c r="W834" s="504">
        <v>43788</v>
      </c>
      <c r="X834" s="105">
        <f t="shared" si="463"/>
        <v>9786.75</v>
      </c>
      <c r="Y834" s="198">
        <f t="shared" si="471"/>
        <v>2358000</v>
      </c>
      <c r="Z834" s="428" t="str">
        <f t="shared" si="468"/>
        <v/>
      </c>
      <c r="AA834" s="428" t="str">
        <f t="shared" si="474"/>
        <v>买入19-新20</v>
      </c>
      <c r="AB834" s="428">
        <v>139</v>
      </c>
      <c r="AC834" s="321">
        <v>0.152</v>
      </c>
      <c r="AD834" s="322">
        <v>0.152</v>
      </c>
      <c r="AE834" s="104"/>
      <c r="AF834" s="105">
        <v>31250</v>
      </c>
    </row>
    <row r="835" spans="1:34" ht="24.95" customHeight="1" x14ac:dyDescent="0.15">
      <c r="A835" s="316" t="s">
        <v>248</v>
      </c>
      <c r="B835" s="120" t="s">
        <v>263</v>
      </c>
      <c r="C835" s="316" t="str">
        <f t="shared" si="466"/>
        <v>到期</v>
      </c>
      <c r="D835" s="103" t="s">
        <v>1843</v>
      </c>
      <c r="E835" s="316" t="s">
        <v>298</v>
      </c>
      <c r="F835" s="48">
        <v>43760</v>
      </c>
      <c r="G835" s="429">
        <v>43788</v>
      </c>
      <c r="H835" s="428" t="s">
        <v>1550</v>
      </c>
      <c r="I835" s="428" t="s">
        <v>222</v>
      </c>
      <c r="J835" s="316" t="s">
        <v>59</v>
      </c>
      <c r="K835" s="105">
        <v>50</v>
      </c>
      <c r="L835" s="104">
        <v>45510</v>
      </c>
      <c r="M835" s="104">
        <v>47160</v>
      </c>
      <c r="N835" s="104">
        <f t="shared" si="472"/>
        <v>195.73500000000001</v>
      </c>
      <c r="O835" s="104">
        <f t="shared" si="470"/>
        <v>9786.75</v>
      </c>
      <c r="P835" s="101" t="s">
        <v>1583</v>
      </c>
      <c r="Q835" s="101" t="str">
        <f t="shared" si="473"/>
        <v>OTC-C00483-L</v>
      </c>
      <c r="R835" s="104"/>
      <c r="S835" s="104"/>
      <c r="T835" s="104"/>
      <c r="U835" s="104">
        <v>46890</v>
      </c>
      <c r="V835" s="104">
        <v>0</v>
      </c>
      <c r="W835" s="504">
        <v>43788</v>
      </c>
      <c r="X835" s="105">
        <f t="shared" si="463"/>
        <v>9786.75</v>
      </c>
      <c r="Y835" s="198">
        <f t="shared" si="471"/>
        <v>2358000</v>
      </c>
      <c r="Z835" s="428" t="str">
        <f t="shared" si="468"/>
        <v/>
      </c>
      <c r="AA835" s="428" t="str">
        <f t="shared" si="474"/>
        <v>买入19-新20</v>
      </c>
      <c r="AB835" s="428">
        <v>139</v>
      </c>
      <c r="AC835" s="321">
        <v>0.152</v>
      </c>
      <c r="AD835" s="322">
        <v>0.152</v>
      </c>
      <c r="AE835" s="104"/>
      <c r="AF835" s="105">
        <v>31250</v>
      </c>
    </row>
    <row r="836" spans="1:34" ht="24.95" customHeight="1" x14ac:dyDescent="0.15">
      <c r="A836" s="316" t="s">
        <v>248</v>
      </c>
      <c r="B836" s="120" t="s">
        <v>263</v>
      </c>
      <c r="C836" s="316" t="str">
        <f t="shared" si="466"/>
        <v>到期</v>
      </c>
      <c r="D836" s="103" t="s">
        <v>1844</v>
      </c>
      <c r="E836" s="316" t="s">
        <v>298</v>
      </c>
      <c r="F836" s="48">
        <v>43760</v>
      </c>
      <c r="G836" s="429">
        <v>43788</v>
      </c>
      <c r="H836" s="428" t="s">
        <v>1550</v>
      </c>
      <c r="I836" s="428" t="s">
        <v>222</v>
      </c>
      <c r="J836" s="316" t="s">
        <v>56</v>
      </c>
      <c r="K836" s="105">
        <v>50</v>
      </c>
      <c r="L836" s="104">
        <v>49280</v>
      </c>
      <c r="M836" s="104">
        <v>47160</v>
      </c>
      <c r="N836" s="104">
        <f t="shared" si="472"/>
        <v>195.73500000000001</v>
      </c>
      <c r="O836" s="104">
        <f t="shared" si="470"/>
        <v>9786.75</v>
      </c>
      <c r="P836" s="101" t="s">
        <v>1584</v>
      </c>
      <c r="Q836" s="101" t="str">
        <f t="shared" si="473"/>
        <v>OTC-C00484-L</v>
      </c>
      <c r="R836" s="104"/>
      <c r="S836" s="104"/>
      <c r="T836" s="104"/>
      <c r="U836" s="104">
        <v>46890</v>
      </c>
      <c r="V836" s="104">
        <v>0</v>
      </c>
      <c r="W836" s="504">
        <v>43788</v>
      </c>
      <c r="X836" s="105">
        <f t="shared" si="463"/>
        <v>9786.75</v>
      </c>
      <c r="Y836" s="198">
        <f t="shared" si="471"/>
        <v>2358000</v>
      </c>
      <c r="Z836" s="428" t="str">
        <f t="shared" si="468"/>
        <v/>
      </c>
      <c r="AA836" s="428" t="str">
        <f t="shared" si="474"/>
        <v>买入19-新20</v>
      </c>
      <c r="AB836" s="428">
        <v>139</v>
      </c>
      <c r="AC836" s="321">
        <v>0.152</v>
      </c>
      <c r="AD836" s="322">
        <v>0.152</v>
      </c>
      <c r="AE836" s="104"/>
      <c r="AF836" s="105">
        <v>31250</v>
      </c>
    </row>
    <row r="837" spans="1:34" ht="24.95" customHeight="1" x14ac:dyDescent="0.15">
      <c r="A837" s="316" t="s">
        <v>248</v>
      </c>
      <c r="B837" s="120" t="s">
        <v>263</v>
      </c>
      <c r="C837" s="316" t="str">
        <f t="shared" si="466"/>
        <v>到期</v>
      </c>
      <c r="D837" s="103" t="s">
        <v>1844</v>
      </c>
      <c r="E837" s="316" t="s">
        <v>298</v>
      </c>
      <c r="F837" s="48">
        <v>43760</v>
      </c>
      <c r="G837" s="429">
        <v>43788</v>
      </c>
      <c r="H837" s="428" t="s">
        <v>1550</v>
      </c>
      <c r="I837" s="428" t="s">
        <v>222</v>
      </c>
      <c r="J837" s="316" t="s">
        <v>59</v>
      </c>
      <c r="K837" s="105">
        <v>50</v>
      </c>
      <c r="L837" s="104">
        <v>45510</v>
      </c>
      <c r="M837" s="104">
        <v>47160</v>
      </c>
      <c r="N837" s="104">
        <f t="shared" si="472"/>
        <v>195.73500000000001</v>
      </c>
      <c r="O837" s="104">
        <f t="shared" si="470"/>
        <v>9786.75</v>
      </c>
      <c r="P837" s="101" t="s">
        <v>1585</v>
      </c>
      <c r="Q837" s="101" t="str">
        <f t="shared" si="473"/>
        <v>OTC-C00484-L</v>
      </c>
      <c r="R837" s="104"/>
      <c r="S837" s="104"/>
      <c r="T837" s="104"/>
      <c r="U837" s="104">
        <v>46890</v>
      </c>
      <c r="V837" s="104">
        <v>0</v>
      </c>
      <c r="W837" s="504">
        <v>43788</v>
      </c>
      <c r="X837" s="105">
        <f t="shared" si="463"/>
        <v>9786.75</v>
      </c>
      <c r="Y837" s="198">
        <f t="shared" si="471"/>
        <v>2358000</v>
      </c>
      <c r="Z837" s="428" t="str">
        <f t="shared" si="468"/>
        <v/>
      </c>
      <c r="AA837" s="428" t="str">
        <f t="shared" si="474"/>
        <v>买入19-新20</v>
      </c>
      <c r="AB837" s="428">
        <v>139</v>
      </c>
      <c r="AC837" s="321">
        <v>0.152</v>
      </c>
      <c r="AD837" s="322">
        <v>0.152</v>
      </c>
      <c r="AE837" s="104"/>
      <c r="AF837" s="105">
        <v>31250</v>
      </c>
    </row>
    <row r="838" spans="1:34" ht="24.95" customHeight="1" x14ac:dyDescent="0.15">
      <c r="A838" s="316" t="s">
        <v>248</v>
      </c>
      <c r="B838" s="120" t="s">
        <v>263</v>
      </c>
      <c r="C838" s="316" t="str">
        <f t="shared" si="466"/>
        <v>到期</v>
      </c>
      <c r="D838" s="103" t="s">
        <v>1845</v>
      </c>
      <c r="E838" s="316" t="s">
        <v>298</v>
      </c>
      <c r="F838" s="48">
        <v>43760</v>
      </c>
      <c r="G838" s="429">
        <v>43788</v>
      </c>
      <c r="H838" s="428" t="s">
        <v>1550</v>
      </c>
      <c r="I838" s="428" t="s">
        <v>222</v>
      </c>
      <c r="J838" s="316" t="s">
        <v>56</v>
      </c>
      <c r="K838" s="105">
        <v>50</v>
      </c>
      <c r="L838" s="104">
        <v>49280</v>
      </c>
      <c r="M838" s="104">
        <v>47160</v>
      </c>
      <c r="N838" s="104">
        <f t="shared" si="472"/>
        <v>195.73500000000001</v>
      </c>
      <c r="O838" s="104">
        <f t="shared" si="470"/>
        <v>9786.75</v>
      </c>
      <c r="P838" s="101" t="s">
        <v>1586</v>
      </c>
      <c r="Q838" s="101" t="str">
        <f t="shared" si="473"/>
        <v>OTC-C00485-L</v>
      </c>
      <c r="R838" s="104"/>
      <c r="S838" s="104"/>
      <c r="T838" s="104"/>
      <c r="U838" s="104">
        <v>46890</v>
      </c>
      <c r="V838" s="104">
        <v>0</v>
      </c>
      <c r="W838" s="504">
        <v>43788</v>
      </c>
      <c r="X838" s="105">
        <f t="shared" si="463"/>
        <v>9786.75</v>
      </c>
      <c r="Y838" s="198">
        <f t="shared" si="471"/>
        <v>2358000</v>
      </c>
      <c r="Z838" s="428" t="str">
        <f t="shared" si="468"/>
        <v/>
      </c>
      <c r="AA838" s="428" t="str">
        <f t="shared" si="474"/>
        <v>买入19-新20</v>
      </c>
      <c r="AB838" s="428">
        <v>139</v>
      </c>
      <c r="AC838" s="321">
        <v>0.152</v>
      </c>
      <c r="AD838" s="322">
        <v>0.152</v>
      </c>
      <c r="AE838" s="104"/>
      <c r="AF838" s="105">
        <v>31250</v>
      </c>
    </row>
    <row r="839" spans="1:34" ht="24.95" customHeight="1" x14ac:dyDescent="0.15">
      <c r="A839" s="316" t="s">
        <v>248</v>
      </c>
      <c r="B839" s="120" t="s">
        <v>263</v>
      </c>
      <c r="C839" s="316" t="str">
        <f t="shared" si="466"/>
        <v>到期</v>
      </c>
      <c r="D839" s="103" t="s">
        <v>1845</v>
      </c>
      <c r="E839" s="316" t="s">
        <v>298</v>
      </c>
      <c r="F839" s="48">
        <v>43760</v>
      </c>
      <c r="G839" s="429">
        <v>43788</v>
      </c>
      <c r="H839" s="428" t="s">
        <v>1550</v>
      </c>
      <c r="I839" s="428" t="s">
        <v>222</v>
      </c>
      <c r="J839" s="316" t="s">
        <v>59</v>
      </c>
      <c r="K839" s="105">
        <v>50</v>
      </c>
      <c r="L839" s="104">
        <v>45510</v>
      </c>
      <c r="M839" s="104">
        <v>47160</v>
      </c>
      <c r="N839" s="104">
        <f t="shared" si="472"/>
        <v>195.73500000000001</v>
      </c>
      <c r="O839" s="104">
        <f t="shared" si="470"/>
        <v>9786.75</v>
      </c>
      <c r="P839" s="101" t="s">
        <v>1586</v>
      </c>
      <c r="Q839" s="101" t="str">
        <f t="shared" si="473"/>
        <v>OTC-C00485-L</v>
      </c>
      <c r="R839" s="104"/>
      <c r="S839" s="104"/>
      <c r="T839" s="104"/>
      <c r="U839" s="104">
        <v>46890</v>
      </c>
      <c r="V839" s="104">
        <v>0</v>
      </c>
      <c r="W839" s="504">
        <v>43788</v>
      </c>
      <c r="X839" s="105">
        <f t="shared" si="463"/>
        <v>9786.75</v>
      </c>
      <c r="Y839" s="198">
        <f t="shared" si="471"/>
        <v>2358000</v>
      </c>
      <c r="Z839" s="428" t="str">
        <f t="shared" si="468"/>
        <v/>
      </c>
      <c r="AA839" s="428" t="str">
        <f t="shared" si="474"/>
        <v>买入19-新20</v>
      </c>
      <c r="AB839" s="428">
        <v>139</v>
      </c>
      <c r="AC839" s="321">
        <v>0.152</v>
      </c>
      <c r="AD839" s="322">
        <v>0.152</v>
      </c>
      <c r="AE839" s="104"/>
      <c r="AF839" s="105">
        <v>31250</v>
      </c>
    </row>
    <row r="840" spans="1:34" ht="24.95" customHeight="1" x14ac:dyDescent="0.15">
      <c r="A840" s="316" t="s">
        <v>265</v>
      </c>
      <c r="B840" s="120" t="s">
        <v>1579</v>
      </c>
      <c r="C840" s="316" t="str">
        <f>IF(Q840="","存续","到期")</f>
        <v>到期</v>
      </c>
      <c r="D840" s="123" t="s">
        <v>1872</v>
      </c>
      <c r="E840" s="316" t="s">
        <v>255</v>
      </c>
      <c r="F840" s="48">
        <v>43760</v>
      </c>
      <c r="G840" s="429">
        <v>43798</v>
      </c>
      <c r="H840" s="428" t="s">
        <v>1580</v>
      </c>
      <c r="I840" s="428" t="s">
        <v>222</v>
      </c>
      <c r="J840" s="316" t="s">
        <v>223</v>
      </c>
      <c r="K840" s="428">
        <v>1000</v>
      </c>
      <c r="L840" s="428">
        <v>4600</v>
      </c>
      <c r="M840" s="428">
        <v>4480</v>
      </c>
      <c r="N840" s="428">
        <v>64.057000000000002</v>
      </c>
      <c r="O840" s="428">
        <f>N840*K840</f>
        <v>64057</v>
      </c>
      <c r="P840" s="101" t="s">
        <v>1609</v>
      </c>
      <c r="Q840" s="101" t="str">
        <f>P840&amp;"-L"</f>
        <v>OTC-C00486-L</v>
      </c>
      <c r="R840" s="105"/>
      <c r="S840" s="105"/>
      <c r="T840" s="429"/>
      <c r="U840" s="428">
        <v>4468</v>
      </c>
      <c r="V840" s="535">
        <v>0</v>
      </c>
      <c r="W840" s="532">
        <v>43798</v>
      </c>
      <c r="X840" s="105">
        <f t="shared" si="463"/>
        <v>64057</v>
      </c>
      <c r="Y840" s="198">
        <f t="shared" ref="Y840" si="475">ABS(M840*K840)</f>
        <v>4480000</v>
      </c>
      <c r="Z840" s="428" t="str">
        <f t="shared" si="468"/>
        <v/>
      </c>
      <c r="AA840" s="428" t="str">
        <f t="shared" ref="AA840" si="476">IF(I840="买入","卖出","买入")</f>
        <v>买入</v>
      </c>
      <c r="AB840" s="428">
        <v>140</v>
      </c>
      <c r="AC840" s="321">
        <v>0.185</v>
      </c>
      <c r="AD840" s="205"/>
      <c r="AE840" s="428"/>
      <c r="AF840" s="105"/>
    </row>
    <row r="841" spans="1:34" ht="24.95" customHeight="1" x14ac:dyDescent="0.15">
      <c r="A841" s="316" t="s">
        <v>394</v>
      </c>
      <c r="B841" s="120" t="s">
        <v>263</v>
      </c>
      <c r="C841" s="316" t="str">
        <f>IF(Q841="","存续","到期")</f>
        <v>到期</v>
      </c>
      <c r="D841" s="128" t="s">
        <v>1846</v>
      </c>
      <c r="E841" s="316" t="s">
        <v>255</v>
      </c>
      <c r="F841" s="432">
        <v>43761</v>
      </c>
      <c r="G841" s="432">
        <v>43825</v>
      </c>
      <c r="H841" s="431" t="s">
        <v>1480</v>
      </c>
      <c r="I841" s="431" t="s">
        <v>1588</v>
      </c>
      <c r="J841" s="316" t="s">
        <v>986</v>
      </c>
      <c r="K841" s="431">
        <v>1500</v>
      </c>
      <c r="L841" s="431">
        <v>3312</v>
      </c>
      <c r="M841" s="431">
        <v>3312</v>
      </c>
      <c r="N841" s="431">
        <v>100</v>
      </c>
      <c r="O841" s="431">
        <f t="shared" ref="O841:O843" si="477">N841*K841</f>
        <v>150000</v>
      </c>
      <c r="P841" s="101" t="s">
        <v>1652</v>
      </c>
      <c r="Q841" s="101" t="str">
        <f>P841&amp;"-L"</f>
        <v>OTC-C00487-L</v>
      </c>
      <c r="R841" s="105">
        <v>0</v>
      </c>
      <c r="S841" s="105">
        <f t="shared" ref="S841:S842" si="478">R841*K841</f>
        <v>0</v>
      </c>
      <c r="T841" s="432">
        <v>43762</v>
      </c>
      <c r="U841" s="431">
        <v>3310</v>
      </c>
      <c r="V841" s="431"/>
      <c r="W841" s="432"/>
      <c r="X841" s="433">
        <f t="shared" ref="X841:X845" si="479">IF(I841="买入",S841-O841,O841+S841)</f>
        <v>150000</v>
      </c>
      <c r="Y841" s="431">
        <f>ABS(M841*K841)</f>
        <v>4968000</v>
      </c>
      <c r="Z841" s="431" t="str">
        <f>IF(C841="存续",D841&amp;H841&amp;"-"&amp;AA841,"")</f>
        <v/>
      </c>
      <c r="AA841" s="105" t="str">
        <f>IF(I841="买入","卖出","买入")</f>
        <v>买入</v>
      </c>
      <c r="AB841" s="431">
        <v>141</v>
      </c>
      <c r="AC841" s="321"/>
      <c r="AD841" s="321"/>
      <c r="AE841" s="113" t="s">
        <v>1717</v>
      </c>
      <c r="AF841" s="105"/>
    </row>
    <row r="842" spans="1:34" ht="24.95" customHeight="1" x14ac:dyDescent="0.15">
      <c r="A842" s="316" t="s">
        <v>394</v>
      </c>
      <c r="B842" s="120" t="s">
        <v>263</v>
      </c>
      <c r="C842" s="316" t="str">
        <f t="shared" ref="C842:C843" si="480">IF(Q842="","存续","到期")</f>
        <v>到期</v>
      </c>
      <c r="D842" s="128" t="s">
        <v>1846</v>
      </c>
      <c r="E842" s="316" t="s">
        <v>255</v>
      </c>
      <c r="F842" s="432">
        <v>43761</v>
      </c>
      <c r="G842" s="432">
        <v>43825</v>
      </c>
      <c r="H842" s="431" t="s">
        <v>1481</v>
      </c>
      <c r="I842" s="431" t="s">
        <v>1466</v>
      </c>
      <c r="J842" s="316" t="s">
        <v>979</v>
      </c>
      <c r="K842" s="431">
        <v>1500</v>
      </c>
      <c r="L842" s="431">
        <v>3312</v>
      </c>
      <c r="M842" s="431">
        <v>3312</v>
      </c>
      <c r="N842" s="431">
        <v>100</v>
      </c>
      <c r="O842" s="431">
        <f t="shared" si="477"/>
        <v>150000</v>
      </c>
      <c r="P842" s="101" t="s">
        <v>1652</v>
      </c>
      <c r="Q842" s="101" t="str">
        <f>P842&amp;"-L"</f>
        <v>OTC-C00487-L</v>
      </c>
      <c r="R842" s="105">
        <f>M842-U842</f>
        <v>2</v>
      </c>
      <c r="S842" s="105">
        <f t="shared" si="478"/>
        <v>3000</v>
      </c>
      <c r="T842" s="432">
        <v>43762</v>
      </c>
      <c r="U842" s="431">
        <v>3310</v>
      </c>
      <c r="V842" s="431"/>
      <c r="W842" s="432"/>
      <c r="X842" s="433">
        <f t="shared" si="479"/>
        <v>-147000</v>
      </c>
      <c r="Y842" s="431">
        <f t="shared" ref="Y842:Y843" si="481">ABS(M842*K842)</f>
        <v>4968000</v>
      </c>
      <c r="Z842" s="431" t="str">
        <f t="shared" ref="Z842:Z843" si="482">IF(C842="存续",D842&amp;H842&amp;"-"&amp;AA842,"")</f>
        <v/>
      </c>
      <c r="AA842" s="105" t="str">
        <f t="shared" ref="AA842:AA843" si="483">IF(I842="买入","卖出","买入")</f>
        <v>卖出</v>
      </c>
      <c r="AB842" s="431">
        <v>141</v>
      </c>
      <c r="AC842" s="321"/>
      <c r="AD842" s="321"/>
      <c r="AE842" s="113" t="s">
        <v>1717</v>
      </c>
      <c r="AF842" s="105"/>
    </row>
    <row r="843" spans="1:34" ht="24.95" customHeight="1" x14ac:dyDescent="0.15">
      <c r="A843" s="316" t="s">
        <v>394</v>
      </c>
      <c r="B843" s="120" t="s">
        <v>264</v>
      </c>
      <c r="C843" s="316" t="str">
        <f t="shared" si="480"/>
        <v>到期</v>
      </c>
      <c r="D843" s="128" t="s">
        <v>1853</v>
      </c>
      <c r="E843" s="316" t="s">
        <v>255</v>
      </c>
      <c r="F843" s="434">
        <v>43762</v>
      </c>
      <c r="G843" s="434">
        <v>43777</v>
      </c>
      <c r="H843" s="433" t="s">
        <v>1590</v>
      </c>
      <c r="I843" s="433" t="s">
        <v>1589</v>
      </c>
      <c r="J843" s="316" t="s">
        <v>1595</v>
      </c>
      <c r="K843" s="433">
        <v>20000</v>
      </c>
      <c r="L843" s="433">
        <v>610</v>
      </c>
      <c r="M843" s="433">
        <v>619</v>
      </c>
      <c r="N843" s="433">
        <v>10.38</v>
      </c>
      <c r="O843" s="433">
        <f t="shared" si="477"/>
        <v>207600.00000000003</v>
      </c>
      <c r="P843" s="101" t="s">
        <v>1597</v>
      </c>
      <c r="Q843" s="101" t="str">
        <f>P843&amp;"-L"</f>
        <v>OTC-C00488-L</v>
      </c>
      <c r="R843" s="105"/>
      <c r="S843" s="105"/>
      <c r="T843" s="433"/>
      <c r="U843" s="433">
        <v>600</v>
      </c>
      <c r="V843" s="433">
        <f>(L843-U843)*K843</f>
        <v>200000</v>
      </c>
      <c r="W843" s="480">
        <v>43777</v>
      </c>
      <c r="X843" s="105">
        <f t="shared" ref="X843" si="484">IF(I843="买入",V843-O843,V843+O843)</f>
        <v>-7600.0000000000291</v>
      </c>
      <c r="Y843" s="433">
        <f t="shared" si="481"/>
        <v>12380000</v>
      </c>
      <c r="Z843" s="433" t="str">
        <f t="shared" si="482"/>
        <v/>
      </c>
      <c r="AA843" s="105" t="str">
        <f t="shared" si="483"/>
        <v>卖出</v>
      </c>
      <c r="AB843" s="433">
        <v>142</v>
      </c>
      <c r="AC843" s="321">
        <v>0.38</v>
      </c>
      <c r="AD843" s="433"/>
      <c r="AE843" s="433"/>
      <c r="AF843" s="105"/>
      <c r="AG843" s="108" t="s">
        <v>1591</v>
      </c>
      <c r="AH843" s="108">
        <v>540</v>
      </c>
    </row>
    <row r="844" spans="1:34" ht="24.95" customHeight="1" x14ac:dyDescent="0.15">
      <c r="A844" s="316" t="s">
        <v>394</v>
      </c>
      <c r="B844" s="120" t="s">
        <v>264</v>
      </c>
      <c r="C844" s="316" t="str">
        <f t="shared" ref="C844:C846" si="485">IF(Q844="","存续","到期")</f>
        <v>到期</v>
      </c>
      <c r="D844" s="128" t="s">
        <v>1853</v>
      </c>
      <c r="E844" s="316" t="s">
        <v>255</v>
      </c>
      <c r="F844" s="434">
        <v>43762</v>
      </c>
      <c r="G844" s="434">
        <v>43777</v>
      </c>
      <c r="H844" s="433" t="s">
        <v>1590</v>
      </c>
      <c r="I844" s="433" t="s">
        <v>1589</v>
      </c>
      <c r="J844" s="316" t="s">
        <v>986</v>
      </c>
      <c r="K844" s="433">
        <v>3400</v>
      </c>
      <c r="L844" s="433">
        <v>619</v>
      </c>
      <c r="M844" s="433">
        <v>619</v>
      </c>
      <c r="N844" s="433">
        <v>18</v>
      </c>
      <c r="O844" s="433">
        <f t="shared" ref="O844:O848" si="486">N844*K844</f>
        <v>61200</v>
      </c>
      <c r="P844" s="101" t="s">
        <v>1598</v>
      </c>
      <c r="Q844" s="101" t="str">
        <f t="shared" ref="Q844:Q845" si="487">P844&amp;"-L"</f>
        <v>OTC-C00489-L</v>
      </c>
      <c r="R844" s="105">
        <f>U844-L844</f>
        <v>16.5</v>
      </c>
      <c r="S844" s="105">
        <f>R844*K844</f>
        <v>56100</v>
      </c>
      <c r="T844" s="446">
        <v>43766</v>
      </c>
      <c r="U844" s="433">
        <v>635.5</v>
      </c>
      <c r="V844" s="433"/>
      <c r="W844" s="434"/>
      <c r="X844" s="445">
        <f t="shared" si="479"/>
        <v>-5100</v>
      </c>
      <c r="Y844" s="433">
        <f t="shared" ref="Y844:Y846" si="488">ABS(M844*K844)</f>
        <v>2104600</v>
      </c>
      <c r="Z844" s="433" t="str">
        <f t="shared" ref="Z844:Z846" si="489">IF(C844="存续",D844&amp;H844&amp;"-"&amp;AA844,"")</f>
        <v/>
      </c>
      <c r="AA844" s="105" t="str">
        <f t="shared" ref="AA844:AA846" si="490">IF(I844="买入","卖出","买入")</f>
        <v>卖出</v>
      </c>
      <c r="AB844" s="433">
        <v>143</v>
      </c>
      <c r="AC844" s="321"/>
      <c r="AD844" s="321"/>
      <c r="AE844" s="113" t="s">
        <v>1716</v>
      </c>
      <c r="AF844" s="105"/>
    </row>
    <row r="845" spans="1:34" ht="24.95" customHeight="1" x14ac:dyDescent="0.15">
      <c r="A845" s="316" t="s">
        <v>394</v>
      </c>
      <c r="B845" s="120" t="s">
        <v>264</v>
      </c>
      <c r="C845" s="316" t="str">
        <f t="shared" si="485"/>
        <v>到期</v>
      </c>
      <c r="D845" s="128" t="s">
        <v>1853</v>
      </c>
      <c r="E845" s="316" t="s">
        <v>255</v>
      </c>
      <c r="F845" s="434">
        <v>43762</v>
      </c>
      <c r="G845" s="434">
        <v>43777</v>
      </c>
      <c r="H845" s="433" t="s">
        <v>1590</v>
      </c>
      <c r="I845" s="433" t="s">
        <v>978</v>
      </c>
      <c r="J845" s="316" t="s">
        <v>979</v>
      </c>
      <c r="K845" s="433">
        <v>3400</v>
      </c>
      <c r="L845" s="433">
        <v>619</v>
      </c>
      <c r="M845" s="433">
        <v>619</v>
      </c>
      <c r="N845" s="433">
        <v>18</v>
      </c>
      <c r="O845" s="433">
        <f t="shared" si="486"/>
        <v>61200</v>
      </c>
      <c r="P845" s="101" t="s">
        <v>1598</v>
      </c>
      <c r="Q845" s="101" t="str">
        <f t="shared" si="487"/>
        <v>OTC-C00489-L</v>
      </c>
      <c r="R845" s="105">
        <v>0</v>
      </c>
      <c r="S845" s="105">
        <v>0</v>
      </c>
      <c r="T845" s="446">
        <v>43766</v>
      </c>
      <c r="U845" s="433">
        <v>635.5</v>
      </c>
      <c r="V845" s="433"/>
      <c r="W845" s="434"/>
      <c r="X845" s="445">
        <f t="shared" si="479"/>
        <v>61200</v>
      </c>
      <c r="Y845" s="433">
        <f t="shared" si="488"/>
        <v>2104600</v>
      </c>
      <c r="Z845" s="433" t="str">
        <f t="shared" si="489"/>
        <v/>
      </c>
      <c r="AA845" s="105" t="str">
        <f t="shared" si="490"/>
        <v>买入</v>
      </c>
      <c r="AB845" s="433">
        <v>143</v>
      </c>
      <c r="AC845" s="321"/>
      <c r="AD845" s="321"/>
      <c r="AE845" s="113" t="s">
        <v>1716</v>
      </c>
      <c r="AF845" s="105"/>
    </row>
    <row r="846" spans="1:34" ht="24.95" customHeight="1" x14ac:dyDescent="0.15">
      <c r="A846" s="316" t="s">
        <v>265</v>
      </c>
      <c r="B846" s="120" t="s">
        <v>1579</v>
      </c>
      <c r="C846" s="316" t="str">
        <f t="shared" si="485"/>
        <v>到期</v>
      </c>
      <c r="D846" s="123" t="s">
        <v>1879</v>
      </c>
      <c r="E846" s="316" t="s">
        <v>338</v>
      </c>
      <c r="F846" s="48">
        <v>43762</v>
      </c>
      <c r="G846" s="434">
        <v>43791</v>
      </c>
      <c r="H846" s="433" t="s">
        <v>1592</v>
      </c>
      <c r="I846" s="433" t="s">
        <v>1593</v>
      </c>
      <c r="J846" s="316" t="s">
        <v>1594</v>
      </c>
      <c r="K846" s="433">
        <v>200</v>
      </c>
      <c r="L846" s="433">
        <v>2020</v>
      </c>
      <c r="M846" s="433">
        <v>2020</v>
      </c>
      <c r="N846" s="433">
        <v>81.3</v>
      </c>
      <c r="O846" s="433">
        <f t="shared" si="486"/>
        <v>16260</v>
      </c>
      <c r="P846" s="101" t="s">
        <v>1599</v>
      </c>
      <c r="Q846" s="101" t="str">
        <f>P846&amp;"-L"</f>
        <v>OTC-C00490-L</v>
      </c>
      <c r="R846" s="105"/>
      <c r="S846" s="105"/>
      <c r="T846" s="434"/>
      <c r="U846" s="104">
        <f>12760-10755</f>
        <v>2005</v>
      </c>
      <c r="V846" s="105">
        <v>0</v>
      </c>
      <c r="W846" s="48">
        <v>43791</v>
      </c>
      <c r="X846" s="105">
        <f t="shared" ref="X846" si="491">IF(I846="买入",V846-O846,V846+O846)</f>
        <v>16260</v>
      </c>
      <c r="Y846" s="198">
        <f t="shared" si="488"/>
        <v>404000</v>
      </c>
      <c r="Z846" s="433" t="str">
        <f t="shared" si="489"/>
        <v/>
      </c>
      <c r="AA846" s="433" t="str">
        <f t="shared" si="490"/>
        <v>买入</v>
      </c>
      <c r="AB846" s="433">
        <v>144</v>
      </c>
      <c r="AC846" s="321">
        <v>0.14799999999999999</v>
      </c>
      <c r="AD846" s="205">
        <v>0.17</v>
      </c>
      <c r="AE846" s="594" t="s">
        <v>1825</v>
      </c>
      <c r="AF846" s="105">
        <f>560*200</f>
        <v>112000</v>
      </c>
    </row>
    <row r="847" spans="1:34" ht="24.95" customHeight="1" x14ac:dyDescent="0.15">
      <c r="A847" s="316" t="s">
        <v>265</v>
      </c>
      <c r="B847" s="120" t="s">
        <v>1579</v>
      </c>
      <c r="C847" s="316" t="str">
        <f t="shared" ref="C847:C848" si="492">IF(Q847="","存续","到期")</f>
        <v>到期</v>
      </c>
      <c r="D847" s="123" t="s">
        <v>196</v>
      </c>
      <c r="E847" s="316" t="s">
        <v>255</v>
      </c>
      <c r="F847" s="48">
        <v>43762</v>
      </c>
      <c r="G847" s="436">
        <v>43777</v>
      </c>
      <c r="H847" s="435" t="s">
        <v>1596</v>
      </c>
      <c r="I847" s="435" t="s">
        <v>1589</v>
      </c>
      <c r="J847" s="316" t="s">
        <v>1594</v>
      </c>
      <c r="K847" s="435">
        <v>500</v>
      </c>
      <c r="L847" s="435">
        <v>9995</v>
      </c>
      <c r="M847" s="435">
        <v>9995</v>
      </c>
      <c r="N847" s="435">
        <v>146.54300000000001</v>
      </c>
      <c r="O847" s="435">
        <f t="shared" si="486"/>
        <v>73271.5</v>
      </c>
      <c r="P847" s="101" t="s">
        <v>1771</v>
      </c>
      <c r="Q847" s="101" t="str">
        <f t="shared" ref="Q847:Q848" si="493">P847&amp;"-L"</f>
        <v>OTC-C00491-L</v>
      </c>
      <c r="R847" s="105"/>
      <c r="S847" s="105"/>
      <c r="T847" s="436"/>
      <c r="U847" s="435">
        <v>10165</v>
      </c>
      <c r="V847" s="481">
        <f>(U847-L847)*K847</f>
        <v>85000</v>
      </c>
      <c r="W847" s="480">
        <v>43777</v>
      </c>
      <c r="X847" s="105">
        <f t="shared" ref="X847:X848" si="494">IF(I847="买入",V847-O847,V847+O847)</f>
        <v>11728.5</v>
      </c>
      <c r="Y847" s="198">
        <f t="shared" ref="Y847:Y849" si="495">ABS(M847*K847)</f>
        <v>4997500</v>
      </c>
      <c r="Z847" s="435" t="str">
        <f t="shared" ref="Z847:Z850" si="496">IF(C847="存续",D847&amp;H847&amp;"-"&amp;AA847,"")</f>
        <v/>
      </c>
      <c r="AA847" s="435" t="str">
        <f t="shared" ref="AA847:AA849" si="497">IF(I847="买入","卖出","买入")</f>
        <v>卖出</v>
      </c>
      <c r="AB847" s="435">
        <v>145</v>
      </c>
      <c r="AC847" s="205">
        <v>0.17</v>
      </c>
      <c r="AD847" s="205"/>
      <c r="AE847" s="435"/>
      <c r="AF847" s="105"/>
    </row>
    <row r="848" spans="1:34" ht="24.95" customHeight="1" x14ac:dyDescent="0.15">
      <c r="A848" s="316" t="s">
        <v>265</v>
      </c>
      <c r="B848" s="120" t="s">
        <v>1579</v>
      </c>
      <c r="C848" s="316" t="str">
        <f t="shared" si="492"/>
        <v>到期</v>
      </c>
      <c r="D848" s="123" t="s">
        <v>196</v>
      </c>
      <c r="E848" s="316" t="s">
        <v>255</v>
      </c>
      <c r="F848" s="48">
        <v>43762</v>
      </c>
      <c r="G848" s="436">
        <v>43777</v>
      </c>
      <c r="H848" s="435" t="s">
        <v>1596</v>
      </c>
      <c r="I848" s="435" t="s">
        <v>1589</v>
      </c>
      <c r="J848" s="316" t="s">
        <v>59</v>
      </c>
      <c r="K848" s="435">
        <v>500</v>
      </c>
      <c r="L848" s="435">
        <v>9995</v>
      </c>
      <c r="M848" s="435">
        <v>9995</v>
      </c>
      <c r="N848" s="435">
        <v>146.54300000000001</v>
      </c>
      <c r="O848" s="435">
        <f t="shared" si="486"/>
        <v>73271.5</v>
      </c>
      <c r="P848" s="101" t="s">
        <v>1772</v>
      </c>
      <c r="Q848" s="101" t="str">
        <f t="shared" si="493"/>
        <v>OTC-C00491-L</v>
      </c>
      <c r="R848" s="105"/>
      <c r="S848" s="105"/>
      <c r="T848" s="436"/>
      <c r="U848" s="435">
        <v>10165</v>
      </c>
      <c r="V848" s="481">
        <v>0</v>
      </c>
      <c r="W848" s="480">
        <v>43777</v>
      </c>
      <c r="X848" s="105">
        <f t="shared" si="494"/>
        <v>-73271.5</v>
      </c>
      <c r="Y848" s="198">
        <f t="shared" si="495"/>
        <v>4997500</v>
      </c>
      <c r="Z848" s="435" t="str">
        <f t="shared" si="496"/>
        <v/>
      </c>
      <c r="AA848" s="435" t="str">
        <f t="shared" si="497"/>
        <v>卖出</v>
      </c>
      <c r="AB848" s="435">
        <v>145</v>
      </c>
      <c r="AC848" s="205">
        <v>0.17</v>
      </c>
      <c r="AD848" s="205"/>
      <c r="AE848" s="435"/>
      <c r="AF848" s="105"/>
    </row>
    <row r="849" spans="1:32" ht="24.95" customHeight="1" x14ac:dyDescent="0.15">
      <c r="A849" s="316" t="s">
        <v>265</v>
      </c>
      <c r="B849" s="120" t="s">
        <v>1579</v>
      </c>
      <c r="C849" s="316" t="str">
        <f>IF(Q849="","存续","到期")</f>
        <v>到期</v>
      </c>
      <c r="D849" s="123" t="s">
        <v>1879</v>
      </c>
      <c r="E849" s="316" t="s">
        <v>298</v>
      </c>
      <c r="F849" s="48">
        <v>43762</v>
      </c>
      <c r="G849" s="436">
        <v>43791</v>
      </c>
      <c r="H849" s="435" t="s">
        <v>1592</v>
      </c>
      <c r="I849" s="435" t="s">
        <v>1593</v>
      </c>
      <c r="J849" s="316" t="s">
        <v>1594</v>
      </c>
      <c r="K849" s="435">
        <v>150</v>
      </c>
      <c r="L849" s="435">
        <v>2050</v>
      </c>
      <c r="M849" s="435">
        <v>2050</v>
      </c>
      <c r="N849" s="435">
        <v>69.400000000000006</v>
      </c>
      <c r="O849" s="435">
        <f t="shared" ref="O849" si="498">N849*K849</f>
        <v>10410</v>
      </c>
      <c r="P849" s="101" t="s">
        <v>1600</v>
      </c>
      <c r="Q849" s="101" t="str">
        <f>P849&amp;"-L"</f>
        <v>OTC-C00492-L</v>
      </c>
      <c r="R849" s="105">
        <v>3.88</v>
      </c>
      <c r="S849" s="105">
        <f>-R849*K849</f>
        <v>-582</v>
      </c>
      <c r="T849" s="436">
        <v>43787</v>
      </c>
      <c r="U849" s="435">
        <v>1920</v>
      </c>
      <c r="V849" s="212"/>
      <c r="W849" s="212"/>
      <c r="X849" s="501">
        <f t="shared" ref="X849" si="499">IF(I849="买入",S849-O849,O849+S849)</f>
        <v>9828</v>
      </c>
      <c r="Y849" s="198">
        <f t="shared" si="495"/>
        <v>307500</v>
      </c>
      <c r="Z849" s="435" t="str">
        <f t="shared" si="496"/>
        <v/>
      </c>
      <c r="AA849" s="435" t="str">
        <f t="shared" si="497"/>
        <v>买入</v>
      </c>
      <c r="AB849" s="435">
        <v>146</v>
      </c>
      <c r="AC849" s="321">
        <v>0.128</v>
      </c>
      <c r="AD849" s="205">
        <v>0.15</v>
      </c>
      <c r="AE849" s="435" t="s">
        <v>1825</v>
      </c>
      <c r="AF849" s="105">
        <f>560*150</f>
        <v>84000</v>
      </c>
    </row>
    <row r="850" spans="1:32" ht="24.95" customHeight="1" x14ac:dyDescent="0.15">
      <c r="A850" s="316" t="s">
        <v>265</v>
      </c>
      <c r="B850" s="120" t="s">
        <v>263</v>
      </c>
      <c r="C850" s="316" t="str">
        <f t="shared" ref="C850" si="500">IF(Q850="","存续","到期")</f>
        <v>到期</v>
      </c>
      <c r="D850" s="123" t="s">
        <v>1870</v>
      </c>
      <c r="E850" s="316" t="s">
        <v>298</v>
      </c>
      <c r="F850" s="48">
        <v>43763</v>
      </c>
      <c r="G850" s="442">
        <v>43794</v>
      </c>
      <c r="H850" s="441" t="s">
        <v>1601</v>
      </c>
      <c r="I850" s="441" t="s">
        <v>1402</v>
      </c>
      <c r="J850" s="316" t="s">
        <v>1594</v>
      </c>
      <c r="K850" s="441">
        <v>200</v>
      </c>
      <c r="L850" s="441">
        <v>4902</v>
      </c>
      <c r="M850" s="441">
        <v>4902</v>
      </c>
      <c r="N850" s="441">
        <v>108.82</v>
      </c>
      <c r="O850" s="441">
        <f>N850*K850</f>
        <v>21764</v>
      </c>
      <c r="P850" s="101" t="s">
        <v>1615</v>
      </c>
      <c r="Q850" s="101" t="str">
        <f t="shared" ref="Q850:Q851" si="501">P850&amp;"-L"</f>
        <v>OTC-C00493-L</v>
      </c>
      <c r="R850" s="301"/>
      <c r="S850" s="301"/>
      <c r="T850" s="212"/>
      <c r="U850" s="104">
        <v>4808</v>
      </c>
      <c r="V850" s="514">
        <v>0</v>
      </c>
      <c r="W850" s="515">
        <v>43794</v>
      </c>
      <c r="X850" s="105">
        <f t="shared" ref="X850:X855" si="502">IF(I850="买入",V850-O850,V850+O850)</f>
        <v>21764</v>
      </c>
      <c r="Y850" s="198">
        <f>ABS(M850*K850)</f>
        <v>980400</v>
      </c>
      <c r="Z850" s="441" t="str">
        <f t="shared" si="496"/>
        <v/>
      </c>
      <c r="AA850" s="441" t="str">
        <f>IF(I850="买入","卖出","买入")</f>
        <v>买入</v>
      </c>
      <c r="AB850" s="441">
        <v>147</v>
      </c>
      <c r="AC850" s="321">
        <v>0.188</v>
      </c>
      <c r="AD850" s="205">
        <v>0.21</v>
      </c>
      <c r="AE850" s="213"/>
      <c r="AF850" s="353">
        <f>300*K850/2</f>
        <v>30000</v>
      </c>
    </row>
    <row r="851" spans="1:32" ht="24.95" customHeight="1" x14ac:dyDescent="0.15">
      <c r="A851" s="316" t="s">
        <v>265</v>
      </c>
      <c r="B851" s="120" t="s">
        <v>263</v>
      </c>
      <c r="C851" s="316" t="str">
        <f t="shared" ref="C851" si="503">IF(Q851="","存续","到期")</f>
        <v>到期</v>
      </c>
      <c r="D851" s="123" t="s">
        <v>1870</v>
      </c>
      <c r="E851" s="316" t="s">
        <v>298</v>
      </c>
      <c r="F851" s="48">
        <v>43763</v>
      </c>
      <c r="G851" s="442">
        <v>43794</v>
      </c>
      <c r="H851" s="441" t="s">
        <v>1601</v>
      </c>
      <c r="I851" s="441" t="s">
        <v>1402</v>
      </c>
      <c r="J851" s="316" t="s">
        <v>59</v>
      </c>
      <c r="K851" s="441">
        <v>200</v>
      </c>
      <c r="L851" s="441">
        <v>4902</v>
      </c>
      <c r="M851" s="441">
        <v>4902</v>
      </c>
      <c r="N851" s="441">
        <v>108.82</v>
      </c>
      <c r="O851" s="441">
        <f>N851*K851</f>
        <v>21764</v>
      </c>
      <c r="P851" s="101" t="s">
        <v>1615</v>
      </c>
      <c r="Q851" s="101" t="str">
        <f t="shared" si="501"/>
        <v>OTC-C00493-L</v>
      </c>
      <c r="R851" s="301"/>
      <c r="S851" s="301"/>
      <c r="T851" s="212"/>
      <c r="U851" s="104">
        <v>4808</v>
      </c>
      <c r="V851" s="514">
        <f>-(L851-U851)*K851</f>
        <v>-18800</v>
      </c>
      <c r="W851" s="515">
        <v>43794</v>
      </c>
      <c r="X851" s="105">
        <f t="shared" si="502"/>
        <v>2964</v>
      </c>
      <c r="Y851" s="198">
        <f>ABS(M851*K851)</f>
        <v>980400</v>
      </c>
      <c r="Z851" s="441" t="str">
        <f t="shared" ref="Z851" si="504">IF(C851="存续",D851&amp;H851&amp;"-"&amp;AA851,"")</f>
        <v/>
      </c>
      <c r="AA851" s="441" t="str">
        <f>IF(I851="买入","卖出","买入")</f>
        <v>买入</v>
      </c>
      <c r="AB851" s="441">
        <v>147</v>
      </c>
      <c r="AC851" s="321">
        <v>0.188</v>
      </c>
      <c r="AD851" s="205">
        <v>0.21</v>
      </c>
      <c r="AE851" s="213"/>
      <c r="AF851" s="353">
        <f>300*K851/2</f>
        <v>30000</v>
      </c>
    </row>
    <row r="852" spans="1:32" ht="24.95" customHeight="1" x14ac:dyDescent="0.15">
      <c r="A852" s="316" t="s">
        <v>265</v>
      </c>
      <c r="B852" s="120" t="s">
        <v>1602</v>
      </c>
      <c r="C852" s="316" t="str">
        <f>IF(Q852="","存续","到期")</f>
        <v>到期</v>
      </c>
      <c r="D852" s="123" t="s">
        <v>1846</v>
      </c>
      <c r="E852" s="316" t="s">
        <v>255</v>
      </c>
      <c r="F852" s="48">
        <v>43763</v>
      </c>
      <c r="G852" s="444">
        <v>43819</v>
      </c>
      <c r="H852" s="443" t="s">
        <v>1596</v>
      </c>
      <c r="I852" s="443" t="s">
        <v>1551</v>
      </c>
      <c r="J852" s="316" t="s">
        <v>986</v>
      </c>
      <c r="K852" s="443">
        <v>500</v>
      </c>
      <c r="L852" s="443">
        <v>10000</v>
      </c>
      <c r="M852" s="443">
        <v>10000</v>
      </c>
      <c r="N852" s="443">
        <v>316</v>
      </c>
      <c r="O852" s="443">
        <f t="shared" ref="O852:O854" si="505">N852*K852</f>
        <v>158000</v>
      </c>
      <c r="P852" s="101" t="s">
        <v>1653</v>
      </c>
      <c r="Q852" s="101" t="s">
        <v>1806</v>
      </c>
      <c r="R852" s="301"/>
      <c r="S852" s="301"/>
      <c r="T852" s="212"/>
      <c r="U852" s="583">
        <v>10705</v>
      </c>
      <c r="V852" s="583">
        <f>(U852-L852)*K852</f>
        <v>352500</v>
      </c>
      <c r="W852" s="584">
        <v>43819</v>
      </c>
      <c r="X852" s="105">
        <f t="shared" si="502"/>
        <v>194500</v>
      </c>
      <c r="Y852" s="198">
        <f>ABS(M852*K852)</f>
        <v>5000000</v>
      </c>
      <c r="Z852" s="443" t="str">
        <f>IF(C852="存续",D852&amp;H852&amp;"-"&amp;AA852,"")</f>
        <v/>
      </c>
      <c r="AA852" s="443" t="str">
        <f>IF(I852="买入","卖出","买入")</f>
        <v>卖出</v>
      </c>
      <c r="AB852" s="443">
        <v>148</v>
      </c>
      <c r="AC852" s="321">
        <v>0.19</v>
      </c>
      <c r="AD852" s="205"/>
      <c r="AE852" s="213"/>
      <c r="AF852" s="353"/>
    </row>
    <row r="853" spans="1:32" ht="24.95" customHeight="1" x14ac:dyDescent="0.15">
      <c r="A853" s="316" t="s">
        <v>265</v>
      </c>
      <c r="B853" s="120" t="s">
        <v>1602</v>
      </c>
      <c r="C853" s="316" t="str">
        <f>IF(Q853="","存续","到期")</f>
        <v>到期</v>
      </c>
      <c r="D853" s="123" t="s">
        <v>1846</v>
      </c>
      <c r="E853" s="316" t="s">
        <v>255</v>
      </c>
      <c r="F853" s="48">
        <v>43763</v>
      </c>
      <c r="G853" s="444">
        <v>43819</v>
      </c>
      <c r="H853" s="443" t="s">
        <v>1596</v>
      </c>
      <c r="I853" s="443" t="s">
        <v>1551</v>
      </c>
      <c r="J853" s="316" t="s">
        <v>1605</v>
      </c>
      <c r="K853" s="443">
        <v>500</v>
      </c>
      <c r="L853" s="443">
        <v>10000</v>
      </c>
      <c r="M853" s="443">
        <v>10000</v>
      </c>
      <c r="N853" s="443">
        <v>316</v>
      </c>
      <c r="O853" s="443">
        <f t="shared" ref="O853" si="506">N853*K853</f>
        <v>158000</v>
      </c>
      <c r="P853" s="101" t="s">
        <v>1654</v>
      </c>
      <c r="Q853" s="101" t="s">
        <v>1806</v>
      </c>
      <c r="R853" s="301"/>
      <c r="S853" s="301"/>
      <c r="T853" s="212"/>
      <c r="U853" s="583">
        <v>10705</v>
      </c>
      <c r="V853" s="583">
        <v>0</v>
      </c>
      <c r="W853" s="584">
        <v>43819</v>
      </c>
      <c r="X853" s="105">
        <f t="shared" si="502"/>
        <v>-158000</v>
      </c>
      <c r="Y853" s="198">
        <f>ABS(M853*K853)</f>
        <v>5000000</v>
      </c>
      <c r="Z853" s="443" t="str">
        <f>IF(C853="存续",D853&amp;H853&amp;"-"&amp;AA853,"")</f>
        <v/>
      </c>
      <c r="AA853" s="443" t="str">
        <f>IF(I853="买入","卖出","买入")</f>
        <v>卖出</v>
      </c>
      <c r="AB853" s="443">
        <v>148</v>
      </c>
      <c r="AC853" s="321">
        <v>0.19</v>
      </c>
      <c r="AD853" s="205"/>
      <c r="AE853" s="213"/>
      <c r="AF853" s="353"/>
    </row>
    <row r="854" spans="1:32" ht="24.95" customHeight="1" x14ac:dyDescent="0.15">
      <c r="A854" s="316" t="s">
        <v>265</v>
      </c>
      <c r="B854" s="120" t="s">
        <v>264</v>
      </c>
      <c r="C854" s="316" t="str">
        <f t="shared" ref="C854" si="507">IF(Q854="","存续","到期")</f>
        <v>到期</v>
      </c>
      <c r="D854" s="123" t="s">
        <v>266</v>
      </c>
      <c r="E854" s="316" t="s">
        <v>1603</v>
      </c>
      <c r="F854" s="48">
        <v>43763</v>
      </c>
      <c r="G854" s="444">
        <v>43819</v>
      </c>
      <c r="H854" s="443" t="s">
        <v>1596</v>
      </c>
      <c r="I854" s="443" t="s">
        <v>1604</v>
      </c>
      <c r="J854" s="316" t="s">
        <v>1075</v>
      </c>
      <c r="K854" s="443">
        <v>500</v>
      </c>
      <c r="L854" s="443">
        <v>10000</v>
      </c>
      <c r="M854" s="443">
        <v>10000</v>
      </c>
      <c r="N854" s="443">
        <v>298</v>
      </c>
      <c r="O854" s="443">
        <f t="shared" si="505"/>
        <v>149000</v>
      </c>
      <c r="P854" s="101" t="s">
        <v>1731</v>
      </c>
      <c r="Q854" s="101" t="s">
        <v>1807</v>
      </c>
      <c r="R854" s="301"/>
      <c r="S854" s="301"/>
      <c r="T854" s="212"/>
      <c r="U854" s="583">
        <v>10705</v>
      </c>
      <c r="V854" s="583">
        <f>-(U854-L854)*K854</f>
        <v>-352500</v>
      </c>
      <c r="W854" s="584">
        <v>43819</v>
      </c>
      <c r="X854" s="105">
        <f t="shared" si="502"/>
        <v>-203500</v>
      </c>
      <c r="Y854" s="198">
        <f t="shared" ref="Y854" si="508">M854*K854</f>
        <v>5000000</v>
      </c>
      <c r="Z854" s="443" t="str">
        <f t="shared" ref="Z854" si="509">IF(C854="存续",D854&amp;H854&amp;"-"&amp;AA854,"")</f>
        <v/>
      </c>
      <c r="AA854" s="443" t="str">
        <f t="shared" ref="AA854" si="510">IF(I854="买入","卖出","买入")</f>
        <v>买入</v>
      </c>
      <c r="AB854" s="443">
        <v>149</v>
      </c>
      <c r="AC854" s="321">
        <v>0.185</v>
      </c>
      <c r="AD854" s="205"/>
      <c r="AE854" s="213"/>
      <c r="AF854" s="353"/>
    </row>
    <row r="855" spans="1:32" ht="24.95" customHeight="1" x14ac:dyDescent="0.15">
      <c r="A855" s="316" t="s">
        <v>265</v>
      </c>
      <c r="B855" s="120" t="s">
        <v>264</v>
      </c>
      <c r="C855" s="316" t="str">
        <f t="shared" ref="C855:C856" si="511">IF(Q855="","存续","到期")</f>
        <v>到期</v>
      </c>
      <c r="D855" s="123" t="s">
        <v>266</v>
      </c>
      <c r="E855" s="316" t="s">
        <v>1603</v>
      </c>
      <c r="F855" s="48">
        <v>43763</v>
      </c>
      <c r="G855" s="444">
        <v>43819</v>
      </c>
      <c r="H855" s="443" t="s">
        <v>1596</v>
      </c>
      <c r="I855" s="443" t="s">
        <v>1604</v>
      </c>
      <c r="J855" s="316" t="s">
        <v>59</v>
      </c>
      <c r="K855" s="443">
        <v>500</v>
      </c>
      <c r="L855" s="443">
        <v>10000</v>
      </c>
      <c r="M855" s="443">
        <v>10000</v>
      </c>
      <c r="N855" s="443">
        <v>298</v>
      </c>
      <c r="O855" s="443">
        <f t="shared" ref="O855" si="512">N855*K855</f>
        <v>149000</v>
      </c>
      <c r="P855" s="101" t="s">
        <v>1732</v>
      </c>
      <c r="Q855" s="101" t="s">
        <v>1807</v>
      </c>
      <c r="R855" s="301"/>
      <c r="S855" s="301"/>
      <c r="T855" s="212"/>
      <c r="U855" s="583">
        <v>10705</v>
      </c>
      <c r="V855" s="583">
        <v>0</v>
      </c>
      <c r="W855" s="584">
        <v>43819</v>
      </c>
      <c r="X855" s="105">
        <f t="shared" si="502"/>
        <v>149000</v>
      </c>
      <c r="Y855" s="198">
        <f t="shared" ref="Y855" si="513">M855*K855</f>
        <v>5000000</v>
      </c>
      <c r="Z855" s="443" t="str">
        <f t="shared" ref="Z855:Z856" si="514">IF(C855="存续",D855&amp;H855&amp;"-"&amp;AA855,"")</f>
        <v/>
      </c>
      <c r="AA855" s="443" t="str">
        <f t="shared" ref="AA855:AA856" si="515">IF(I855="买入","卖出","买入")</f>
        <v>买入</v>
      </c>
      <c r="AB855" s="443">
        <v>149</v>
      </c>
      <c r="AC855" s="321">
        <v>0.185</v>
      </c>
      <c r="AD855" s="205"/>
      <c r="AE855" s="213"/>
      <c r="AF855" s="353"/>
    </row>
    <row r="856" spans="1:32" ht="24.95" customHeight="1" x14ac:dyDescent="0.15">
      <c r="A856" s="316" t="s">
        <v>265</v>
      </c>
      <c r="B856" s="120" t="s">
        <v>263</v>
      </c>
      <c r="C856" s="316" t="str">
        <f t="shared" si="511"/>
        <v>到期</v>
      </c>
      <c r="D856" s="123" t="s">
        <v>1833</v>
      </c>
      <c r="E856" s="316" t="s">
        <v>298</v>
      </c>
      <c r="F856" s="446">
        <v>43766</v>
      </c>
      <c r="G856" s="446">
        <v>43819</v>
      </c>
      <c r="H856" s="445" t="s">
        <v>1607</v>
      </c>
      <c r="I856" s="445" t="s">
        <v>222</v>
      </c>
      <c r="J856" s="316" t="s">
        <v>1606</v>
      </c>
      <c r="K856" s="445">
        <v>2000</v>
      </c>
      <c r="L856" s="445">
        <v>4850</v>
      </c>
      <c r="M856" s="445">
        <v>4644</v>
      </c>
      <c r="N856" s="445">
        <v>40</v>
      </c>
      <c r="O856" s="445">
        <f>N856*K856</f>
        <v>80000</v>
      </c>
      <c r="P856" s="101" t="s">
        <v>1616</v>
      </c>
      <c r="Q856" s="101" t="str">
        <f>P856&amp;"-L"</f>
        <v>OTC-C00496-L</v>
      </c>
      <c r="R856" s="105">
        <v>0.14000000000000001</v>
      </c>
      <c r="S856" s="105">
        <f>-R856*K856</f>
        <v>-280</v>
      </c>
      <c r="T856" s="552">
        <v>43809</v>
      </c>
      <c r="U856" s="445">
        <v>4430</v>
      </c>
      <c r="V856" s="445"/>
      <c r="W856" s="445"/>
      <c r="X856" s="551">
        <f>IF(I856="买入",S856-O856,O856+S856)</f>
        <v>79720</v>
      </c>
      <c r="Y856" s="445">
        <f t="shared" ref="Y856" si="516">ABS(M856*K856)</f>
        <v>9288000</v>
      </c>
      <c r="Z856" s="445" t="str">
        <f t="shared" si="514"/>
        <v/>
      </c>
      <c r="AA856" s="105" t="str">
        <f t="shared" si="515"/>
        <v>买入</v>
      </c>
      <c r="AB856" s="445">
        <v>150</v>
      </c>
      <c r="AC856" s="321">
        <v>0.152</v>
      </c>
      <c r="AD856" s="205">
        <v>0.18</v>
      </c>
      <c r="AE856" s="445" t="s">
        <v>1335</v>
      </c>
      <c r="AF856" s="105">
        <v>180000</v>
      </c>
    </row>
    <row r="857" spans="1:32" ht="24.95" customHeight="1" x14ac:dyDescent="0.15">
      <c r="A857" s="316" t="s">
        <v>265</v>
      </c>
      <c r="B857" s="120" t="s">
        <v>1442</v>
      </c>
      <c r="C857" s="316" t="str">
        <f>IF(Q857="","存续","到期")</f>
        <v>存续</v>
      </c>
      <c r="D857" s="123" t="s">
        <v>1846</v>
      </c>
      <c r="E857" s="316" t="s">
        <v>255</v>
      </c>
      <c r="F857" s="448">
        <v>43766</v>
      </c>
      <c r="G857" s="448">
        <v>43850</v>
      </c>
      <c r="H857" s="447" t="s">
        <v>1608</v>
      </c>
      <c r="I857" s="447" t="s">
        <v>970</v>
      </c>
      <c r="J857" s="316" t="s">
        <v>986</v>
      </c>
      <c r="K857" s="447">
        <v>1500</v>
      </c>
      <c r="L857" s="447">
        <v>2916</v>
      </c>
      <c r="M857" s="447">
        <v>2916</v>
      </c>
      <c r="N857" s="447">
        <v>137.34</v>
      </c>
      <c r="O857" s="447">
        <f t="shared" ref="O857:O872" si="517">N857*K857</f>
        <v>206010</v>
      </c>
      <c r="P857" s="101" t="s">
        <v>1655</v>
      </c>
      <c r="Q857" s="101"/>
      <c r="R857" s="301"/>
      <c r="S857" s="301"/>
      <c r="T857" s="212"/>
      <c r="U857" s="212"/>
      <c r="V857" s="212"/>
      <c r="W857" s="448"/>
      <c r="X857" s="447"/>
      <c r="Y857" s="198">
        <f>ABS(M857*K857)</f>
        <v>4374000</v>
      </c>
      <c r="Z857" s="447" t="str">
        <f>IF(C857="存续",D857&amp;H857&amp;"-"&amp;AA857,"")</f>
        <v>华泰长城资本管理有限公司bu2006-卖出</v>
      </c>
      <c r="AA857" s="447" t="str">
        <f>IF(I857="买入","卖出","买入")</f>
        <v>卖出</v>
      </c>
      <c r="AB857" s="447">
        <v>151</v>
      </c>
      <c r="AC857" s="321">
        <v>0.24199999999999999</v>
      </c>
      <c r="AD857" s="205"/>
      <c r="AE857" s="213"/>
      <c r="AF857" s="353"/>
    </row>
    <row r="858" spans="1:32" ht="24.95" customHeight="1" x14ac:dyDescent="0.15">
      <c r="A858" s="316" t="s">
        <v>265</v>
      </c>
      <c r="B858" s="120" t="s">
        <v>1442</v>
      </c>
      <c r="C858" s="316" t="str">
        <f>IF(Q858="","存续","到期")</f>
        <v>存续</v>
      </c>
      <c r="D858" s="123" t="s">
        <v>1846</v>
      </c>
      <c r="E858" s="316" t="s">
        <v>255</v>
      </c>
      <c r="F858" s="448">
        <v>43766</v>
      </c>
      <c r="G858" s="448">
        <v>43850</v>
      </c>
      <c r="H858" s="447" t="s">
        <v>1608</v>
      </c>
      <c r="I858" s="447" t="s">
        <v>970</v>
      </c>
      <c r="J858" s="316" t="s">
        <v>979</v>
      </c>
      <c r="K858" s="447">
        <v>1500</v>
      </c>
      <c r="L858" s="447">
        <v>2916</v>
      </c>
      <c r="M858" s="447">
        <v>2916</v>
      </c>
      <c r="N858" s="447">
        <v>137.34</v>
      </c>
      <c r="O858" s="447">
        <f t="shared" si="517"/>
        <v>206010</v>
      </c>
      <c r="P858" s="101" t="s">
        <v>1656</v>
      </c>
      <c r="Q858" s="101"/>
      <c r="R858" s="301"/>
      <c r="S858" s="301"/>
      <c r="T858" s="212"/>
      <c r="U858" s="212"/>
      <c r="V858" s="212"/>
      <c r="W858" s="448"/>
      <c r="X858" s="447"/>
      <c r="Y858" s="198">
        <f>ABS(M858*K858)</f>
        <v>4374000</v>
      </c>
      <c r="Z858" s="447" t="str">
        <f>IF(C858="存续",D858&amp;H858&amp;"-"&amp;AA858,"")</f>
        <v>华泰长城资本管理有限公司bu2006-卖出</v>
      </c>
      <c r="AA858" s="447" t="str">
        <f>IF(I858="买入","卖出","买入")</f>
        <v>卖出</v>
      </c>
      <c r="AB858" s="447">
        <v>151</v>
      </c>
      <c r="AC858" s="321">
        <v>0.24199999999999999</v>
      </c>
      <c r="AD858" s="205"/>
      <c r="AE858" s="213"/>
      <c r="AF858" s="353"/>
    </row>
    <row r="859" spans="1:32" ht="24.95" customHeight="1" x14ac:dyDescent="0.15">
      <c r="A859" s="316" t="s">
        <v>265</v>
      </c>
      <c r="B859" s="120" t="s">
        <v>264</v>
      </c>
      <c r="C859" s="316" t="str">
        <f t="shared" ref="C859:C871" si="518">IF(Q859="","存续","到期")</f>
        <v>存续</v>
      </c>
      <c r="D859" s="123" t="s">
        <v>266</v>
      </c>
      <c r="E859" s="316" t="s">
        <v>340</v>
      </c>
      <c r="F859" s="448">
        <v>43766</v>
      </c>
      <c r="G859" s="448">
        <v>43850</v>
      </c>
      <c r="H859" s="447" t="s">
        <v>1608</v>
      </c>
      <c r="I859" s="447" t="s">
        <v>1068</v>
      </c>
      <c r="J859" s="316" t="s">
        <v>1075</v>
      </c>
      <c r="K859" s="447">
        <v>1500</v>
      </c>
      <c r="L859" s="447">
        <v>2916</v>
      </c>
      <c r="M859" s="447">
        <v>2916</v>
      </c>
      <c r="N859" s="447">
        <v>132.68</v>
      </c>
      <c r="O859" s="447">
        <f t="shared" si="517"/>
        <v>199020</v>
      </c>
      <c r="P859" s="101" t="s">
        <v>1733</v>
      </c>
      <c r="Q859" s="101"/>
      <c r="R859" s="301"/>
      <c r="S859" s="301"/>
      <c r="T859" s="212"/>
      <c r="U859" s="212"/>
      <c r="V859" s="212"/>
      <c r="W859" s="448"/>
      <c r="X859" s="447"/>
      <c r="Y859" s="198">
        <f t="shared" ref="Y859:Y872" si="519">M859*K859</f>
        <v>4374000</v>
      </c>
      <c r="Z859" s="447" t="str">
        <f t="shared" ref="Z859:Z872" si="520">IF(C859="存续",D859&amp;H859&amp;"-"&amp;AA859,"")</f>
        <v>国泰君安风险管理有限公司bu2006-买入</v>
      </c>
      <c r="AA859" s="447" t="str">
        <f t="shared" ref="AA859:AA860" si="521">IF(I859="买入","卖出","买入")</f>
        <v>买入</v>
      </c>
      <c r="AB859" s="447">
        <v>152</v>
      </c>
      <c r="AC859" s="321">
        <v>0.23300000000000001</v>
      </c>
      <c r="AD859" s="205"/>
      <c r="AE859" s="213"/>
      <c r="AF859" s="353"/>
    </row>
    <row r="860" spans="1:32" ht="24.95" customHeight="1" x14ac:dyDescent="0.15">
      <c r="A860" s="316" t="s">
        <v>265</v>
      </c>
      <c r="B860" s="120" t="s">
        <v>264</v>
      </c>
      <c r="C860" s="316" t="str">
        <f t="shared" si="518"/>
        <v>存续</v>
      </c>
      <c r="D860" s="123" t="s">
        <v>266</v>
      </c>
      <c r="E860" s="316" t="s">
        <v>340</v>
      </c>
      <c r="F860" s="448">
        <v>43766</v>
      </c>
      <c r="G860" s="448">
        <v>43850</v>
      </c>
      <c r="H860" s="447" t="s">
        <v>1608</v>
      </c>
      <c r="I860" s="447" t="s">
        <v>1068</v>
      </c>
      <c r="J860" s="316" t="s">
        <v>59</v>
      </c>
      <c r="K860" s="447">
        <v>1500</v>
      </c>
      <c r="L860" s="447">
        <v>2916</v>
      </c>
      <c r="M860" s="447">
        <v>2916</v>
      </c>
      <c r="N860" s="447">
        <v>132.68</v>
      </c>
      <c r="O860" s="447">
        <f t="shared" si="517"/>
        <v>199020</v>
      </c>
      <c r="P860" s="101" t="s">
        <v>1733</v>
      </c>
      <c r="Q860" s="101"/>
      <c r="R860" s="301"/>
      <c r="S860" s="301"/>
      <c r="T860" s="212"/>
      <c r="U860" s="212"/>
      <c r="V860" s="212"/>
      <c r="W860" s="448"/>
      <c r="X860" s="447"/>
      <c r="Y860" s="198">
        <f t="shared" si="519"/>
        <v>4374000</v>
      </c>
      <c r="Z860" s="447" t="str">
        <f t="shared" si="520"/>
        <v>国泰君安风险管理有限公司bu2006-买入</v>
      </c>
      <c r="AA860" s="447" t="str">
        <f t="shared" si="521"/>
        <v>买入</v>
      </c>
      <c r="AB860" s="447">
        <v>152</v>
      </c>
      <c r="AC860" s="321">
        <v>0.23300000000000001</v>
      </c>
      <c r="AD860" s="205"/>
      <c r="AE860" s="213"/>
      <c r="AF860" s="353"/>
    </row>
    <row r="861" spans="1:32" ht="24.95" customHeight="1" x14ac:dyDescent="0.15">
      <c r="A861" s="316" t="s">
        <v>248</v>
      </c>
      <c r="B861" s="120" t="s">
        <v>263</v>
      </c>
      <c r="C861" s="316" t="str">
        <f t="shared" si="518"/>
        <v>到期</v>
      </c>
      <c r="D861" s="103" t="s">
        <v>1841</v>
      </c>
      <c r="E861" s="316" t="s">
        <v>298</v>
      </c>
      <c r="F861" s="48">
        <v>43767</v>
      </c>
      <c r="G861" s="450">
        <v>43795</v>
      </c>
      <c r="H861" s="449" t="s">
        <v>1550</v>
      </c>
      <c r="I861" s="449" t="s">
        <v>222</v>
      </c>
      <c r="J861" s="316" t="s">
        <v>56</v>
      </c>
      <c r="K861" s="105">
        <v>50</v>
      </c>
      <c r="L861" s="104">
        <v>49640</v>
      </c>
      <c r="M861" s="104">
        <v>47500</v>
      </c>
      <c r="N861" s="104">
        <f>394.29/2</f>
        <v>197.14500000000001</v>
      </c>
      <c r="O861" s="104">
        <f t="shared" si="517"/>
        <v>9857.25</v>
      </c>
      <c r="P861" s="101" t="s">
        <v>1617</v>
      </c>
      <c r="Q861" s="101" t="str">
        <f>P861&amp;"-L"</f>
        <v>OTC-C00499-L</v>
      </c>
      <c r="R861" s="104"/>
      <c r="S861" s="104"/>
      <c r="T861" s="104"/>
      <c r="U861" s="104">
        <v>47070</v>
      </c>
      <c r="V861" s="104">
        <v>0</v>
      </c>
      <c r="W861" s="519">
        <v>43795</v>
      </c>
      <c r="X861" s="105">
        <f t="shared" ref="X861:X870" si="522">IF(I861="买入",V861-O861,V861+O861)</f>
        <v>9857.25</v>
      </c>
      <c r="Y861" s="198">
        <f t="shared" si="519"/>
        <v>2375000</v>
      </c>
      <c r="Z861" s="449" t="str">
        <f t="shared" si="520"/>
        <v/>
      </c>
      <c r="AA861" s="449" t="str">
        <f>IF(I861="买入","卖出","买入19-新21")</f>
        <v>买入19-新21</v>
      </c>
      <c r="AB861" s="449">
        <v>153</v>
      </c>
      <c r="AC861" s="321">
        <v>0.152</v>
      </c>
      <c r="AD861" s="322">
        <v>0.152</v>
      </c>
      <c r="AE861" s="104"/>
      <c r="AF861" s="105">
        <v>31250</v>
      </c>
    </row>
    <row r="862" spans="1:32" ht="24.95" customHeight="1" x14ac:dyDescent="0.15">
      <c r="A862" s="316" t="s">
        <v>248</v>
      </c>
      <c r="B862" s="120" t="s">
        <v>263</v>
      </c>
      <c r="C862" s="316" t="str">
        <f t="shared" si="518"/>
        <v>到期</v>
      </c>
      <c r="D862" s="103" t="s">
        <v>1841</v>
      </c>
      <c r="E862" s="316" t="s">
        <v>298</v>
      </c>
      <c r="F862" s="48">
        <v>43767</v>
      </c>
      <c r="G862" s="450">
        <v>43795</v>
      </c>
      <c r="H862" s="449" t="s">
        <v>1550</v>
      </c>
      <c r="I862" s="449" t="s">
        <v>222</v>
      </c>
      <c r="J862" s="316" t="s">
        <v>59</v>
      </c>
      <c r="K862" s="105">
        <v>50</v>
      </c>
      <c r="L862" s="104">
        <v>45840</v>
      </c>
      <c r="M862" s="104">
        <v>47500</v>
      </c>
      <c r="N862" s="104">
        <f t="shared" ref="N862:N870" si="523">394.29/2</f>
        <v>197.14500000000001</v>
      </c>
      <c r="O862" s="104">
        <f t="shared" si="517"/>
        <v>9857.25</v>
      </c>
      <c r="P862" s="101" t="s">
        <v>1618</v>
      </c>
      <c r="Q862" s="101" t="str">
        <f t="shared" ref="Q862:Q870" si="524">P862&amp;"-L"</f>
        <v>OTC-C00499-L</v>
      </c>
      <c r="R862" s="104"/>
      <c r="S862" s="104"/>
      <c r="T862" s="104"/>
      <c r="U862" s="104">
        <v>47070</v>
      </c>
      <c r="V862" s="104">
        <v>0</v>
      </c>
      <c r="W862" s="519">
        <v>43795</v>
      </c>
      <c r="X862" s="105">
        <f t="shared" si="522"/>
        <v>9857.25</v>
      </c>
      <c r="Y862" s="198">
        <f t="shared" si="519"/>
        <v>2375000</v>
      </c>
      <c r="Z862" s="449" t="str">
        <f t="shared" si="520"/>
        <v/>
      </c>
      <c r="AA862" s="449" t="str">
        <f t="shared" ref="AA862:AA872" si="525">IF(I862="买入","卖出","买入19-新21")</f>
        <v>买入19-新21</v>
      </c>
      <c r="AB862" s="449">
        <v>153</v>
      </c>
      <c r="AC862" s="321">
        <v>0.152</v>
      </c>
      <c r="AD862" s="322">
        <v>0.152</v>
      </c>
      <c r="AE862" s="104"/>
      <c r="AF862" s="105">
        <v>31250</v>
      </c>
    </row>
    <row r="863" spans="1:32" ht="24.95" customHeight="1" x14ac:dyDescent="0.15">
      <c r="A863" s="316" t="s">
        <v>248</v>
      </c>
      <c r="B863" s="120" t="s">
        <v>263</v>
      </c>
      <c r="C863" s="316" t="str">
        <f t="shared" si="518"/>
        <v>到期</v>
      </c>
      <c r="D863" s="103" t="s">
        <v>1842</v>
      </c>
      <c r="E863" s="316" t="s">
        <v>298</v>
      </c>
      <c r="F863" s="48">
        <v>43767</v>
      </c>
      <c r="G863" s="450">
        <v>43795</v>
      </c>
      <c r="H863" s="449" t="s">
        <v>1550</v>
      </c>
      <c r="I863" s="449" t="s">
        <v>222</v>
      </c>
      <c r="J863" s="316" t="s">
        <v>56</v>
      </c>
      <c r="K863" s="105">
        <v>50</v>
      </c>
      <c r="L863" s="104">
        <v>49640</v>
      </c>
      <c r="M863" s="104">
        <v>47500</v>
      </c>
      <c r="N863" s="104">
        <f t="shared" si="523"/>
        <v>197.14500000000001</v>
      </c>
      <c r="O863" s="104">
        <f t="shared" si="517"/>
        <v>9857.25</v>
      </c>
      <c r="P863" s="101" t="s">
        <v>1619</v>
      </c>
      <c r="Q863" s="101" t="str">
        <f t="shared" si="524"/>
        <v>OTC-C00500-L</v>
      </c>
      <c r="R863" s="104"/>
      <c r="S863" s="104"/>
      <c r="T863" s="104"/>
      <c r="U863" s="104">
        <v>47070</v>
      </c>
      <c r="V863" s="104">
        <v>0</v>
      </c>
      <c r="W863" s="519">
        <v>43795</v>
      </c>
      <c r="X863" s="105">
        <f t="shared" si="522"/>
        <v>9857.25</v>
      </c>
      <c r="Y863" s="198">
        <f t="shared" si="519"/>
        <v>2375000</v>
      </c>
      <c r="Z863" s="449" t="str">
        <f t="shared" si="520"/>
        <v/>
      </c>
      <c r="AA863" s="449" t="str">
        <f t="shared" si="525"/>
        <v>买入19-新21</v>
      </c>
      <c r="AB863" s="449">
        <v>153</v>
      </c>
      <c r="AC863" s="321">
        <v>0.152</v>
      </c>
      <c r="AD863" s="322">
        <v>0.152</v>
      </c>
      <c r="AE863" s="104"/>
      <c r="AF863" s="105">
        <v>31250</v>
      </c>
    </row>
    <row r="864" spans="1:32" ht="24.95" customHeight="1" x14ac:dyDescent="0.15">
      <c r="A864" s="316" t="s">
        <v>248</v>
      </c>
      <c r="B864" s="120" t="s">
        <v>263</v>
      </c>
      <c r="C864" s="316" t="str">
        <f t="shared" si="518"/>
        <v>到期</v>
      </c>
      <c r="D864" s="103" t="s">
        <v>1842</v>
      </c>
      <c r="E864" s="316" t="s">
        <v>298</v>
      </c>
      <c r="F864" s="48">
        <v>43767</v>
      </c>
      <c r="G864" s="450">
        <v>43795</v>
      </c>
      <c r="H864" s="449" t="s">
        <v>1550</v>
      </c>
      <c r="I864" s="449" t="s">
        <v>222</v>
      </c>
      <c r="J864" s="316" t="s">
        <v>59</v>
      </c>
      <c r="K864" s="105">
        <v>50</v>
      </c>
      <c r="L864" s="104">
        <v>45840</v>
      </c>
      <c r="M864" s="104">
        <v>47500</v>
      </c>
      <c r="N864" s="104">
        <f t="shared" si="523"/>
        <v>197.14500000000001</v>
      </c>
      <c r="O864" s="104">
        <f t="shared" si="517"/>
        <v>9857.25</v>
      </c>
      <c r="P864" s="101" t="s">
        <v>1620</v>
      </c>
      <c r="Q864" s="101" t="str">
        <f t="shared" si="524"/>
        <v>OTC-C00500-L</v>
      </c>
      <c r="R864" s="104"/>
      <c r="S864" s="104"/>
      <c r="T864" s="104"/>
      <c r="U864" s="104">
        <v>47070</v>
      </c>
      <c r="V864" s="104">
        <v>0</v>
      </c>
      <c r="W864" s="519">
        <v>43795</v>
      </c>
      <c r="X864" s="105">
        <f t="shared" si="522"/>
        <v>9857.25</v>
      </c>
      <c r="Y864" s="198">
        <f t="shared" si="519"/>
        <v>2375000</v>
      </c>
      <c r="Z864" s="449" t="str">
        <f t="shared" si="520"/>
        <v/>
      </c>
      <c r="AA864" s="449" t="str">
        <f t="shared" si="525"/>
        <v>买入19-新21</v>
      </c>
      <c r="AB864" s="449">
        <v>153</v>
      </c>
      <c r="AC864" s="321">
        <v>0.152</v>
      </c>
      <c r="AD864" s="322">
        <v>0.152</v>
      </c>
      <c r="AE864" s="104"/>
      <c r="AF864" s="105">
        <v>31250</v>
      </c>
    </row>
    <row r="865" spans="1:33" ht="24.95" customHeight="1" x14ac:dyDescent="0.15">
      <c r="A865" s="316" t="s">
        <v>248</v>
      </c>
      <c r="B865" s="120" t="s">
        <v>263</v>
      </c>
      <c r="C865" s="316" t="str">
        <f t="shared" si="518"/>
        <v>到期</v>
      </c>
      <c r="D865" s="103" t="s">
        <v>1843</v>
      </c>
      <c r="E865" s="316" t="s">
        <v>298</v>
      </c>
      <c r="F865" s="48">
        <v>43767</v>
      </c>
      <c r="G865" s="450">
        <v>43795</v>
      </c>
      <c r="H865" s="449" t="s">
        <v>1550</v>
      </c>
      <c r="I865" s="449" t="s">
        <v>222</v>
      </c>
      <c r="J865" s="316" t="s">
        <v>56</v>
      </c>
      <c r="K865" s="105">
        <v>50</v>
      </c>
      <c r="L865" s="104">
        <v>49640</v>
      </c>
      <c r="M865" s="104">
        <v>47500</v>
      </c>
      <c r="N865" s="104">
        <f t="shared" si="523"/>
        <v>197.14500000000001</v>
      </c>
      <c r="O865" s="104">
        <f t="shared" si="517"/>
        <v>9857.25</v>
      </c>
      <c r="P865" s="101" t="s">
        <v>1621</v>
      </c>
      <c r="Q865" s="101" t="str">
        <f t="shared" si="524"/>
        <v>OTC-C00501-L</v>
      </c>
      <c r="R865" s="104"/>
      <c r="S865" s="104"/>
      <c r="T865" s="104"/>
      <c r="U865" s="104">
        <v>47070</v>
      </c>
      <c r="V865" s="104">
        <v>0</v>
      </c>
      <c r="W865" s="519">
        <v>43795</v>
      </c>
      <c r="X865" s="105">
        <f t="shared" si="522"/>
        <v>9857.25</v>
      </c>
      <c r="Y865" s="198">
        <f t="shared" si="519"/>
        <v>2375000</v>
      </c>
      <c r="Z865" s="449" t="str">
        <f t="shared" si="520"/>
        <v/>
      </c>
      <c r="AA865" s="449" t="str">
        <f t="shared" si="525"/>
        <v>买入19-新21</v>
      </c>
      <c r="AB865" s="449">
        <v>153</v>
      </c>
      <c r="AC865" s="321">
        <v>0.152</v>
      </c>
      <c r="AD865" s="322">
        <v>0.152</v>
      </c>
      <c r="AE865" s="104"/>
      <c r="AF865" s="105">
        <v>31250</v>
      </c>
    </row>
    <row r="866" spans="1:33" ht="24.95" customHeight="1" x14ac:dyDescent="0.15">
      <c r="A866" s="316" t="s">
        <v>248</v>
      </c>
      <c r="B866" s="120" t="s">
        <v>263</v>
      </c>
      <c r="C866" s="316" t="str">
        <f t="shared" si="518"/>
        <v>到期</v>
      </c>
      <c r="D866" s="103" t="s">
        <v>1843</v>
      </c>
      <c r="E866" s="316" t="s">
        <v>298</v>
      </c>
      <c r="F866" s="48">
        <v>43767</v>
      </c>
      <c r="G866" s="450">
        <v>43795</v>
      </c>
      <c r="H866" s="449" t="s">
        <v>1550</v>
      </c>
      <c r="I866" s="449" t="s">
        <v>222</v>
      </c>
      <c r="J866" s="316" t="s">
        <v>59</v>
      </c>
      <c r="K866" s="105">
        <v>50</v>
      </c>
      <c r="L866" s="104">
        <v>45840</v>
      </c>
      <c r="M866" s="104">
        <v>47500</v>
      </c>
      <c r="N866" s="104">
        <f t="shared" si="523"/>
        <v>197.14500000000001</v>
      </c>
      <c r="O866" s="104">
        <f t="shared" si="517"/>
        <v>9857.25</v>
      </c>
      <c r="P866" s="101" t="s">
        <v>1622</v>
      </c>
      <c r="Q866" s="101" t="str">
        <f t="shared" si="524"/>
        <v>OTC-C00501-L</v>
      </c>
      <c r="R866" s="104"/>
      <c r="S866" s="104"/>
      <c r="T866" s="104"/>
      <c r="U866" s="104">
        <v>47070</v>
      </c>
      <c r="V866" s="104">
        <v>0</v>
      </c>
      <c r="W866" s="519">
        <v>43795</v>
      </c>
      <c r="X866" s="105">
        <f t="shared" si="522"/>
        <v>9857.25</v>
      </c>
      <c r="Y866" s="198">
        <f t="shared" si="519"/>
        <v>2375000</v>
      </c>
      <c r="Z866" s="449" t="str">
        <f t="shared" si="520"/>
        <v/>
      </c>
      <c r="AA866" s="449" t="str">
        <f t="shared" si="525"/>
        <v>买入19-新21</v>
      </c>
      <c r="AB866" s="449">
        <v>153</v>
      </c>
      <c r="AC866" s="321">
        <v>0.152</v>
      </c>
      <c r="AD866" s="322">
        <v>0.152</v>
      </c>
      <c r="AE866" s="104"/>
      <c r="AF866" s="105">
        <v>31250</v>
      </c>
    </row>
    <row r="867" spans="1:33" ht="24.95" customHeight="1" x14ac:dyDescent="0.15">
      <c r="A867" s="316" t="s">
        <v>248</v>
      </c>
      <c r="B867" s="120" t="s">
        <v>263</v>
      </c>
      <c r="C867" s="316" t="str">
        <f t="shared" si="518"/>
        <v>到期</v>
      </c>
      <c r="D867" s="103" t="s">
        <v>1844</v>
      </c>
      <c r="E867" s="316" t="s">
        <v>298</v>
      </c>
      <c r="F867" s="48">
        <v>43767</v>
      </c>
      <c r="G867" s="450">
        <v>43795</v>
      </c>
      <c r="H867" s="449" t="s">
        <v>1550</v>
      </c>
      <c r="I867" s="449" t="s">
        <v>222</v>
      </c>
      <c r="J867" s="316" t="s">
        <v>56</v>
      </c>
      <c r="K867" s="105">
        <v>50</v>
      </c>
      <c r="L867" s="104">
        <v>49640</v>
      </c>
      <c r="M867" s="104">
        <v>47500</v>
      </c>
      <c r="N867" s="104">
        <f t="shared" si="523"/>
        <v>197.14500000000001</v>
      </c>
      <c r="O867" s="104">
        <f t="shared" si="517"/>
        <v>9857.25</v>
      </c>
      <c r="P867" s="101" t="s">
        <v>1623</v>
      </c>
      <c r="Q867" s="101" t="str">
        <f t="shared" si="524"/>
        <v>OTC-C00502-L</v>
      </c>
      <c r="R867" s="104"/>
      <c r="S867" s="104"/>
      <c r="T867" s="104"/>
      <c r="U867" s="104">
        <v>47070</v>
      </c>
      <c r="V867" s="104">
        <v>0</v>
      </c>
      <c r="W867" s="519">
        <v>43795</v>
      </c>
      <c r="X867" s="105">
        <f t="shared" si="522"/>
        <v>9857.25</v>
      </c>
      <c r="Y867" s="198">
        <f t="shared" si="519"/>
        <v>2375000</v>
      </c>
      <c r="Z867" s="449" t="str">
        <f t="shared" si="520"/>
        <v/>
      </c>
      <c r="AA867" s="449" t="str">
        <f t="shared" si="525"/>
        <v>买入19-新21</v>
      </c>
      <c r="AB867" s="449">
        <v>153</v>
      </c>
      <c r="AC867" s="321">
        <v>0.152</v>
      </c>
      <c r="AD867" s="322">
        <v>0.152</v>
      </c>
      <c r="AE867" s="104"/>
      <c r="AF867" s="105">
        <v>31250</v>
      </c>
    </row>
    <row r="868" spans="1:33" ht="24.95" customHeight="1" x14ac:dyDescent="0.15">
      <c r="A868" s="316" t="s">
        <v>248</v>
      </c>
      <c r="B868" s="120" t="s">
        <v>263</v>
      </c>
      <c r="C868" s="316" t="str">
        <f t="shared" si="518"/>
        <v>到期</v>
      </c>
      <c r="D868" s="103" t="s">
        <v>1844</v>
      </c>
      <c r="E868" s="316" t="s">
        <v>298</v>
      </c>
      <c r="F868" s="48">
        <v>43767</v>
      </c>
      <c r="G868" s="450">
        <v>43795</v>
      </c>
      <c r="H868" s="449" t="s">
        <v>1550</v>
      </c>
      <c r="I868" s="449" t="s">
        <v>222</v>
      </c>
      <c r="J868" s="316" t="s">
        <v>59</v>
      </c>
      <c r="K868" s="105">
        <v>50</v>
      </c>
      <c r="L868" s="104">
        <v>45840</v>
      </c>
      <c r="M868" s="104">
        <v>47500</v>
      </c>
      <c r="N868" s="104">
        <f t="shared" si="523"/>
        <v>197.14500000000001</v>
      </c>
      <c r="O868" s="104">
        <f t="shared" si="517"/>
        <v>9857.25</v>
      </c>
      <c r="P868" s="101" t="s">
        <v>1624</v>
      </c>
      <c r="Q868" s="101" t="str">
        <f t="shared" si="524"/>
        <v>OTC-C00502-L</v>
      </c>
      <c r="R868" s="104"/>
      <c r="S868" s="104"/>
      <c r="T868" s="104"/>
      <c r="U868" s="104">
        <v>47070</v>
      </c>
      <c r="V868" s="104">
        <v>0</v>
      </c>
      <c r="W868" s="519">
        <v>43795</v>
      </c>
      <c r="X868" s="105">
        <f t="shared" si="522"/>
        <v>9857.25</v>
      </c>
      <c r="Y868" s="198">
        <f t="shared" si="519"/>
        <v>2375000</v>
      </c>
      <c r="Z868" s="449" t="str">
        <f t="shared" si="520"/>
        <v/>
      </c>
      <c r="AA868" s="449" t="str">
        <f t="shared" si="525"/>
        <v>买入19-新21</v>
      </c>
      <c r="AB868" s="449">
        <v>153</v>
      </c>
      <c r="AC868" s="321">
        <v>0.152</v>
      </c>
      <c r="AD868" s="322">
        <v>0.152</v>
      </c>
      <c r="AE868" s="104"/>
      <c r="AF868" s="105">
        <v>31250</v>
      </c>
    </row>
    <row r="869" spans="1:33" ht="24.95" customHeight="1" x14ac:dyDescent="0.15">
      <c r="A869" s="316" t="s">
        <v>248</v>
      </c>
      <c r="B869" s="120" t="s">
        <v>263</v>
      </c>
      <c r="C869" s="316" t="str">
        <f t="shared" si="518"/>
        <v>到期</v>
      </c>
      <c r="D869" s="103" t="s">
        <v>1845</v>
      </c>
      <c r="E869" s="316" t="s">
        <v>298</v>
      </c>
      <c r="F869" s="48">
        <v>43767</v>
      </c>
      <c r="G869" s="450">
        <v>43795</v>
      </c>
      <c r="H869" s="449" t="s">
        <v>1550</v>
      </c>
      <c r="I869" s="449" t="s">
        <v>222</v>
      </c>
      <c r="J869" s="316" t="s">
        <v>56</v>
      </c>
      <c r="K869" s="105">
        <v>50</v>
      </c>
      <c r="L869" s="104">
        <v>49640</v>
      </c>
      <c r="M869" s="104">
        <v>47500</v>
      </c>
      <c r="N869" s="104">
        <f t="shared" si="523"/>
        <v>197.14500000000001</v>
      </c>
      <c r="O869" s="104">
        <f t="shared" si="517"/>
        <v>9857.25</v>
      </c>
      <c r="P869" s="101" t="s">
        <v>1625</v>
      </c>
      <c r="Q869" s="101" t="str">
        <f t="shared" si="524"/>
        <v>OTC-C00503-L</v>
      </c>
      <c r="R869" s="104"/>
      <c r="S869" s="104"/>
      <c r="T869" s="104"/>
      <c r="U869" s="104">
        <v>47070</v>
      </c>
      <c r="V869" s="104">
        <v>0</v>
      </c>
      <c r="W869" s="519">
        <v>43795</v>
      </c>
      <c r="X869" s="105">
        <f t="shared" si="522"/>
        <v>9857.25</v>
      </c>
      <c r="Y869" s="198">
        <f t="shared" si="519"/>
        <v>2375000</v>
      </c>
      <c r="Z869" s="449" t="str">
        <f t="shared" si="520"/>
        <v/>
      </c>
      <c r="AA869" s="449" t="str">
        <f t="shared" si="525"/>
        <v>买入19-新21</v>
      </c>
      <c r="AB869" s="449">
        <v>153</v>
      </c>
      <c r="AC869" s="321">
        <v>0.152</v>
      </c>
      <c r="AD869" s="322">
        <v>0.152</v>
      </c>
      <c r="AE869" s="104"/>
      <c r="AF869" s="105">
        <v>31250</v>
      </c>
    </row>
    <row r="870" spans="1:33" ht="24.95" customHeight="1" x14ac:dyDescent="0.15">
      <c r="A870" s="316" t="s">
        <v>248</v>
      </c>
      <c r="B870" s="120" t="s">
        <v>263</v>
      </c>
      <c r="C870" s="316" t="str">
        <f t="shared" si="518"/>
        <v>到期</v>
      </c>
      <c r="D870" s="103" t="s">
        <v>1845</v>
      </c>
      <c r="E870" s="316" t="s">
        <v>298</v>
      </c>
      <c r="F870" s="48">
        <v>43767</v>
      </c>
      <c r="G870" s="450">
        <v>43795</v>
      </c>
      <c r="H870" s="449" t="s">
        <v>1550</v>
      </c>
      <c r="I870" s="449" t="s">
        <v>222</v>
      </c>
      <c r="J870" s="316" t="s">
        <v>59</v>
      </c>
      <c r="K870" s="105">
        <v>50</v>
      </c>
      <c r="L870" s="104">
        <v>45840</v>
      </c>
      <c r="M870" s="104">
        <v>47500</v>
      </c>
      <c r="N870" s="104">
        <f t="shared" si="523"/>
        <v>197.14500000000001</v>
      </c>
      <c r="O870" s="104">
        <f t="shared" si="517"/>
        <v>9857.25</v>
      </c>
      <c r="P870" s="101" t="s">
        <v>1625</v>
      </c>
      <c r="Q870" s="101" t="str">
        <f t="shared" si="524"/>
        <v>OTC-C00503-L</v>
      </c>
      <c r="R870" s="104"/>
      <c r="S870" s="104"/>
      <c r="T870" s="104"/>
      <c r="U870" s="104">
        <v>47070</v>
      </c>
      <c r="V870" s="104">
        <v>0</v>
      </c>
      <c r="W870" s="519">
        <v>43795</v>
      </c>
      <c r="X870" s="105">
        <f t="shared" si="522"/>
        <v>9857.25</v>
      </c>
      <c r="Y870" s="198">
        <f t="shared" si="519"/>
        <v>2375000</v>
      </c>
      <c r="Z870" s="449" t="str">
        <f t="shared" si="520"/>
        <v/>
      </c>
      <c r="AA870" s="449" t="str">
        <f t="shared" si="525"/>
        <v>买入19-新21</v>
      </c>
      <c r="AB870" s="449">
        <v>153</v>
      </c>
      <c r="AC870" s="321">
        <v>0.152</v>
      </c>
      <c r="AD870" s="322">
        <v>0.152</v>
      </c>
      <c r="AE870" s="104"/>
      <c r="AF870" s="105">
        <v>31250</v>
      </c>
    </row>
    <row r="871" spans="1:33" ht="24.95" customHeight="1" x14ac:dyDescent="0.15">
      <c r="A871" s="316" t="s">
        <v>265</v>
      </c>
      <c r="B871" s="120" t="s">
        <v>263</v>
      </c>
      <c r="C871" s="316" t="str">
        <f t="shared" si="518"/>
        <v>到期</v>
      </c>
      <c r="D871" s="123" t="s">
        <v>1880</v>
      </c>
      <c r="E871" s="316" t="s">
        <v>298</v>
      </c>
      <c r="F871" s="452">
        <v>43767</v>
      </c>
      <c r="G871" s="452">
        <v>43781</v>
      </c>
      <c r="H871" s="451" t="s">
        <v>1613</v>
      </c>
      <c r="I871" s="451" t="s">
        <v>241</v>
      </c>
      <c r="J871" s="316" t="s">
        <v>56</v>
      </c>
      <c r="K871" s="451">
        <v>400</v>
      </c>
      <c r="L871" s="451">
        <f>7275*1.02</f>
        <v>7420.5</v>
      </c>
      <c r="M871" s="451">
        <v>7275</v>
      </c>
      <c r="N871" s="451">
        <v>25</v>
      </c>
      <c r="O871" s="104">
        <f>N871*K871</f>
        <v>10000</v>
      </c>
      <c r="P871" s="101" t="s">
        <v>1626</v>
      </c>
      <c r="Q871" s="101" t="str">
        <f t="shared" ref="Q871:Q876" si="526">P871&amp;"-L"</f>
        <v>OTC-C00504-L</v>
      </c>
      <c r="R871" s="301"/>
      <c r="S871" s="301"/>
      <c r="T871" s="212"/>
      <c r="U871" s="104">
        <v>7175</v>
      </c>
      <c r="V871" s="104">
        <v>0</v>
      </c>
      <c r="W871" s="490">
        <v>43781</v>
      </c>
      <c r="X871" s="105">
        <f t="shared" ref="X871:X876" si="527">IF(I871="买入",V871-O871,V871+O871)</f>
        <v>-10000</v>
      </c>
      <c r="Y871" s="198">
        <f t="shared" si="519"/>
        <v>2910000</v>
      </c>
      <c r="Z871" s="451" t="str">
        <f t="shared" si="520"/>
        <v/>
      </c>
      <c r="AA871" s="451" t="str">
        <f t="shared" si="525"/>
        <v>卖出</v>
      </c>
      <c r="AB871" s="451">
        <v>154</v>
      </c>
      <c r="AC871" s="321">
        <v>0.13</v>
      </c>
      <c r="AD871" s="205">
        <v>0.1</v>
      </c>
      <c r="AE871" s="213"/>
      <c r="AF871" s="353"/>
    </row>
    <row r="872" spans="1:33" ht="24.95" customHeight="1" x14ac:dyDescent="0.15">
      <c r="A872" s="316" t="s">
        <v>265</v>
      </c>
      <c r="B872" s="120" t="s">
        <v>263</v>
      </c>
      <c r="C872" s="316" t="str">
        <f t="shared" ref="C872:C874" si="528">IF(Q872="","存续","到期")</f>
        <v>到期</v>
      </c>
      <c r="D872" s="123" t="s">
        <v>1880</v>
      </c>
      <c r="E872" s="316" t="s">
        <v>298</v>
      </c>
      <c r="F872" s="452">
        <v>43767</v>
      </c>
      <c r="G872" s="452">
        <v>43781</v>
      </c>
      <c r="H872" s="451" t="s">
        <v>1614</v>
      </c>
      <c r="I872" s="451" t="s">
        <v>241</v>
      </c>
      <c r="J872" s="316" t="s">
        <v>59</v>
      </c>
      <c r="K872" s="451">
        <v>400</v>
      </c>
      <c r="L872" s="451">
        <f>7275*0.98</f>
        <v>7129.5</v>
      </c>
      <c r="M872" s="451">
        <v>7275</v>
      </c>
      <c r="N872" s="451">
        <v>25</v>
      </c>
      <c r="O872" s="104">
        <f t="shared" si="517"/>
        <v>10000</v>
      </c>
      <c r="P872" s="101" t="s">
        <v>1627</v>
      </c>
      <c r="Q872" s="101" t="str">
        <f t="shared" si="526"/>
        <v>OTC-C00504-L</v>
      </c>
      <c r="R872" s="301"/>
      <c r="S872" s="301"/>
      <c r="T872" s="212"/>
      <c r="U872" s="104">
        <v>7175</v>
      </c>
      <c r="V872" s="104">
        <v>0</v>
      </c>
      <c r="W872" s="490">
        <v>43781</v>
      </c>
      <c r="X872" s="105">
        <f t="shared" si="527"/>
        <v>-10000</v>
      </c>
      <c r="Y872" s="198">
        <f t="shared" si="519"/>
        <v>2910000</v>
      </c>
      <c r="Z872" s="451" t="str">
        <f t="shared" si="520"/>
        <v/>
      </c>
      <c r="AA872" s="451" t="str">
        <f t="shared" si="525"/>
        <v>卖出</v>
      </c>
      <c r="AB872" s="451">
        <v>154</v>
      </c>
      <c r="AC872" s="321">
        <v>0.13</v>
      </c>
      <c r="AD872" s="205">
        <v>0.1</v>
      </c>
      <c r="AE872" s="213"/>
      <c r="AF872" s="353"/>
    </row>
    <row r="873" spans="1:33" ht="24.95" customHeight="1" x14ac:dyDescent="0.15">
      <c r="A873" s="316" t="s">
        <v>248</v>
      </c>
      <c r="B873" s="120" t="s">
        <v>264</v>
      </c>
      <c r="C873" s="316" t="str">
        <f t="shared" si="528"/>
        <v>到期</v>
      </c>
      <c r="D873" s="323" t="s">
        <v>266</v>
      </c>
      <c r="E873" s="316" t="s">
        <v>340</v>
      </c>
      <c r="F873" s="457">
        <v>43769</v>
      </c>
      <c r="G873" s="457">
        <v>43798</v>
      </c>
      <c r="H873" s="456" t="s">
        <v>1628</v>
      </c>
      <c r="I873" s="456" t="s">
        <v>222</v>
      </c>
      <c r="J873" s="316" t="s">
        <v>223</v>
      </c>
      <c r="K873" s="456">
        <v>250</v>
      </c>
      <c r="L873" s="456">
        <v>4850</v>
      </c>
      <c r="M873" s="456">
        <v>4850</v>
      </c>
      <c r="N873" s="456">
        <v>92.64</v>
      </c>
      <c r="O873" s="456">
        <f t="shared" ref="O873:O877" si="529">N873*K873</f>
        <v>23160</v>
      </c>
      <c r="P873" s="101" t="s">
        <v>1734</v>
      </c>
      <c r="Q873" s="101" t="str">
        <f t="shared" si="526"/>
        <v>OTC-C00505-L</v>
      </c>
      <c r="R873" s="301"/>
      <c r="S873" s="301"/>
      <c r="T873" s="212"/>
      <c r="U873" s="535">
        <v>4818</v>
      </c>
      <c r="V873" s="535">
        <v>0</v>
      </c>
      <c r="W873" s="532">
        <v>43798</v>
      </c>
      <c r="X873" s="105">
        <f t="shared" si="527"/>
        <v>23160</v>
      </c>
      <c r="Y873" s="198">
        <f t="shared" ref="Y873:Y874" si="530">M873*K873</f>
        <v>1212500</v>
      </c>
      <c r="Z873" s="456" t="str">
        <f t="shared" ref="Z873:Z874" si="531">IF(C873="存续",D873&amp;H873&amp;"-"&amp;AA873,"")</f>
        <v/>
      </c>
      <c r="AA873" s="456" t="str">
        <f t="shared" ref="AA873:AA878" si="532">IF(I873="买入","卖出","买入")</f>
        <v>买入</v>
      </c>
      <c r="AB873" s="456">
        <v>155</v>
      </c>
      <c r="AC873" s="321">
        <v>0.16300000000000001</v>
      </c>
      <c r="AD873" s="205"/>
      <c r="AE873" s="213"/>
      <c r="AF873" s="353"/>
    </row>
    <row r="874" spans="1:33" ht="24.95" customHeight="1" x14ac:dyDescent="0.15">
      <c r="A874" s="316" t="s">
        <v>248</v>
      </c>
      <c r="B874" s="120" t="s">
        <v>264</v>
      </c>
      <c r="C874" s="316" t="str">
        <f t="shared" si="528"/>
        <v>到期</v>
      </c>
      <c r="D874" s="323" t="s">
        <v>266</v>
      </c>
      <c r="E874" s="316" t="s">
        <v>340</v>
      </c>
      <c r="F874" s="457">
        <v>43769</v>
      </c>
      <c r="G874" s="457">
        <v>43798</v>
      </c>
      <c r="H874" s="456" t="s">
        <v>1628</v>
      </c>
      <c r="I874" s="456" t="s">
        <v>222</v>
      </c>
      <c r="J874" s="316" t="s">
        <v>59</v>
      </c>
      <c r="K874" s="456">
        <v>250</v>
      </c>
      <c r="L874" s="456">
        <v>4850</v>
      </c>
      <c r="M874" s="456">
        <v>4850</v>
      </c>
      <c r="N874" s="456">
        <v>92.64</v>
      </c>
      <c r="O874" s="456">
        <f t="shared" si="529"/>
        <v>23160</v>
      </c>
      <c r="P874" s="101" t="s">
        <v>1735</v>
      </c>
      <c r="Q874" s="101" t="str">
        <f t="shared" si="526"/>
        <v>OTC-C00505-L</v>
      </c>
      <c r="R874" s="301"/>
      <c r="S874" s="301"/>
      <c r="T874" s="212"/>
      <c r="U874" s="535">
        <v>4818</v>
      </c>
      <c r="V874" s="535">
        <f>-(L874-U874)*K874</f>
        <v>-8000</v>
      </c>
      <c r="W874" s="532">
        <v>43798</v>
      </c>
      <c r="X874" s="105">
        <f t="shared" si="527"/>
        <v>15160</v>
      </c>
      <c r="Y874" s="198">
        <f t="shared" si="530"/>
        <v>1212500</v>
      </c>
      <c r="Z874" s="456" t="str">
        <f t="shared" si="531"/>
        <v/>
      </c>
      <c r="AA874" s="456" t="str">
        <f t="shared" si="532"/>
        <v>买入</v>
      </c>
      <c r="AB874" s="456">
        <v>155</v>
      </c>
      <c r="AC874" s="321">
        <v>0.16300000000000001</v>
      </c>
      <c r="AD874" s="205"/>
      <c r="AE874" s="213"/>
      <c r="AF874" s="353"/>
    </row>
    <row r="875" spans="1:33" ht="24.95" customHeight="1" x14ac:dyDescent="0.15">
      <c r="A875" s="316" t="s">
        <v>248</v>
      </c>
      <c r="B875" s="120" t="s">
        <v>264</v>
      </c>
      <c r="C875" s="316" t="str">
        <f t="shared" ref="C875:C878" si="533">IF(Q875="","存续","到期")</f>
        <v>到期</v>
      </c>
      <c r="D875" s="323" t="s">
        <v>1872</v>
      </c>
      <c r="E875" s="316" t="s">
        <v>340</v>
      </c>
      <c r="F875" s="457">
        <v>43769</v>
      </c>
      <c r="G875" s="457">
        <v>43798</v>
      </c>
      <c r="H875" s="456" t="s">
        <v>1628</v>
      </c>
      <c r="I875" s="456" t="s">
        <v>241</v>
      </c>
      <c r="J875" s="316" t="s">
        <v>223</v>
      </c>
      <c r="K875" s="456">
        <v>250</v>
      </c>
      <c r="L875" s="456">
        <v>4850</v>
      </c>
      <c r="M875" s="456">
        <v>4850</v>
      </c>
      <c r="N875" s="456">
        <v>104.76</v>
      </c>
      <c r="O875" s="456">
        <f t="shared" si="529"/>
        <v>26190</v>
      </c>
      <c r="P875" s="101" t="s">
        <v>1671</v>
      </c>
      <c r="Q875" s="101" t="str">
        <f t="shared" si="526"/>
        <v>OTC-C00506-L</v>
      </c>
      <c r="R875" s="301"/>
      <c r="S875" s="301"/>
      <c r="T875" s="212"/>
      <c r="U875" s="535">
        <v>4818</v>
      </c>
      <c r="V875" s="535">
        <v>0</v>
      </c>
      <c r="W875" s="532">
        <v>43798</v>
      </c>
      <c r="X875" s="105">
        <f t="shared" si="527"/>
        <v>-26190</v>
      </c>
      <c r="Y875" s="198">
        <f t="shared" ref="Y875:Y878" si="534">M875*K875</f>
        <v>1212500</v>
      </c>
      <c r="Z875" s="456" t="str">
        <f t="shared" ref="Z875:Z878" si="535">IF(C875="存续",D875&amp;H875&amp;"-"&amp;AA875,"")</f>
        <v/>
      </c>
      <c r="AA875" s="456" t="str">
        <f t="shared" si="532"/>
        <v>卖出</v>
      </c>
      <c r="AB875" s="456">
        <v>156</v>
      </c>
      <c r="AC875" s="321">
        <v>0.183</v>
      </c>
      <c r="AD875" s="205"/>
      <c r="AE875" s="213"/>
      <c r="AF875" s="353"/>
    </row>
    <row r="876" spans="1:33" ht="24.95" customHeight="1" x14ac:dyDescent="0.15">
      <c r="A876" s="316" t="s">
        <v>248</v>
      </c>
      <c r="B876" s="120" t="s">
        <v>264</v>
      </c>
      <c r="C876" s="316" t="str">
        <f t="shared" si="533"/>
        <v>到期</v>
      </c>
      <c r="D876" s="323" t="s">
        <v>1872</v>
      </c>
      <c r="E876" s="316" t="s">
        <v>340</v>
      </c>
      <c r="F876" s="457">
        <v>43769</v>
      </c>
      <c r="G876" s="457">
        <v>43798</v>
      </c>
      <c r="H876" s="456" t="s">
        <v>1628</v>
      </c>
      <c r="I876" s="456" t="s">
        <v>241</v>
      </c>
      <c r="J876" s="316" t="s">
        <v>59</v>
      </c>
      <c r="K876" s="456">
        <v>250</v>
      </c>
      <c r="L876" s="456">
        <v>4850</v>
      </c>
      <c r="M876" s="456">
        <v>4850</v>
      </c>
      <c r="N876" s="456">
        <v>104.76</v>
      </c>
      <c r="O876" s="456">
        <f t="shared" si="529"/>
        <v>26190</v>
      </c>
      <c r="P876" s="101" t="s">
        <v>1672</v>
      </c>
      <c r="Q876" s="101" t="str">
        <f t="shared" si="526"/>
        <v>OTC-C00506-L</v>
      </c>
      <c r="R876" s="301"/>
      <c r="S876" s="301"/>
      <c r="T876" s="212"/>
      <c r="U876" s="535">
        <v>4818</v>
      </c>
      <c r="V876" s="535">
        <f>(L876-U876)*K876</f>
        <v>8000</v>
      </c>
      <c r="W876" s="532">
        <v>43798</v>
      </c>
      <c r="X876" s="105">
        <f t="shared" si="527"/>
        <v>-18190</v>
      </c>
      <c r="Y876" s="198">
        <f t="shared" si="534"/>
        <v>1212500</v>
      </c>
      <c r="Z876" s="456" t="str">
        <f t="shared" si="535"/>
        <v/>
      </c>
      <c r="AA876" s="456" t="str">
        <f t="shared" si="532"/>
        <v>卖出</v>
      </c>
      <c r="AB876" s="456">
        <v>156</v>
      </c>
      <c r="AC876" s="321">
        <v>0.183</v>
      </c>
      <c r="AD876" s="205"/>
      <c r="AE876" s="213"/>
      <c r="AF876" s="353"/>
    </row>
    <row r="877" spans="1:33" ht="20.25" customHeight="1" x14ac:dyDescent="0.15">
      <c r="A877" s="316" t="s">
        <v>394</v>
      </c>
      <c r="B877" s="120" t="s">
        <v>264</v>
      </c>
      <c r="C877" s="316" t="str">
        <f t="shared" si="533"/>
        <v>到期</v>
      </c>
      <c r="D877" s="128" t="s">
        <v>1840</v>
      </c>
      <c r="E877" s="316" t="s">
        <v>137</v>
      </c>
      <c r="F877" s="457">
        <v>43769</v>
      </c>
      <c r="G877" s="457">
        <v>43782</v>
      </c>
      <c r="H877" s="456" t="s">
        <v>1630</v>
      </c>
      <c r="I877" s="456" t="s">
        <v>241</v>
      </c>
      <c r="J877" s="316" t="s">
        <v>1629</v>
      </c>
      <c r="K877" s="105">
        <v>10000</v>
      </c>
      <c r="L877" s="105">
        <v>1482</v>
      </c>
      <c r="M877" s="105">
        <v>1482</v>
      </c>
      <c r="N877" s="105">
        <v>20.85</v>
      </c>
      <c r="O877" s="105">
        <f t="shared" si="529"/>
        <v>208500</v>
      </c>
      <c r="P877" s="101" t="s">
        <v>1698</v>
      </c>
      <c r="Q877" s="101" t="str">
        <f>P877&amp;"-L"</f>
        <v>OTC-C00507-L</v>
      </c>
      <c r="R877" s="105"/>
      <c r="S877" s="105"/>
      <c r="T877" s="457"/>
      <c r="U877" s="105">
        <v>1480</v>
      </c>
      <c r="V877" s="105">
        <v>0</v>
      </c>
      <c r="W877" s="495">
        <v>43782</v>
      </c>
      <c r="X877" s="105">
        <f t="shared" ref="X877:X881" si="536">IF(I877="买入",V877-O877,V877+O877)</f>
        <v>-208500</v>
      </c>
      <c r="Y877" s="198">
        <f t="shared" si="534"/>
        <v>14820000</v>
      </c>
      <c r="Z877" s="456" t="str">
        <f t="shared" si="535"/>
        <v/>
      </c>
      <c r="AA877" s="456" t="str">
        <f t="shared" si="532"/>
        <v>卖出</v>
      </c>
      <c r="AB877" s="456">
        <v>157</v>
      </c>
      <c r="AC877" s="321">
        <v>0.17699999999999999</v>
      </c>
      <c r="AD877" s="456"/>
      <c r="AE877" s="456"/>
      <c r="AF877" s="105"/>
    </row>
    <row r="878" spans="1:33" ht="42" customHeight="1" x14ac:dyDescent="0.15">
      <c r="A878" s="316" t="s">
        <v>244</v>
      </c>
      <c r="B878" s="316" t="s">
        <v>764</v>
      </c>
      <c r="C878" s="316" t="str">
        <f t="shared" si="533"/>
        <v>到期</v>
      </c>
      <c r="D878" s="123" t="s">
        <v>1858</v>
      </c>
      <c r="E878" s="316" t="s">
        <v>255</v>
      </c>
      <c r="F878" s="459">
        <v>43769</v>
      </c>
      <c r="G878" s="459">
        <v>43782</v>
      </c>
      <c r="H878" s="458" t="s">
        <v>1633</v>
      </c>
      <c r="I878" s="458" t="s">
        <v>241</v>
      </c>
      <c r="J878" s="386" t="s">
        <v>1634</v>
      </c>
      <c r="K878" s="105">
        <v>5000</v>
      </c>
      <c r="L878" s="105">
        <v>12308</v>
      </c>
      <c r="M878" s="105">
        <v>12008</v>
      </c>
      <c r="N878" s="105">
        <v>405.41</v>
      </c>
      <c r="O878" s="105">
        <f>N878*K878</f>
        <v>2027050.0000000002</v>
      </c>
      <c r="P878" s="101" t="s">
        <v>1669</v>
      </c>
      <c r="Q878" s="101" t="str">
        <f>P878&amp;"-L"</f>
        <v>OTC-C00508-L</v>
      </c>
      <c r="R878" s="105"/>
      <c r="S878" s="105"/>
      <c r="T878" s="459"/>
      <c r="U878" s="105">
        <v>12016</v>
      </c>
      <c r="V878" s="105">
        <f>(L878-U878)*K878</f>
        <v>1460000</v>
      </c>
      <c r="W878" s="495">
        <v>43782</v>
      </c>
      <c r="X878" s="105">
        <f t="shared" si="536"/>
        <v>-567050.00000000023</v>
      </c>
      <c r="Y878" s="197">
        <f t="shared" si="534"/>
        <v>60040000</v>
      </c>
      <c r="Z878" s="458" t="str">
        <f t="shared" si="535"/>
        <v/>
      </c>
      <c r="AA878" s="458" t="str">
        <f t="shared" si="532"/>
        <v>卖出</v>
      </c>
      <c r="AB878" s="458">
        <v>158</v>
      </c>
      <c r="AC878" s="321">
        <v>0.32</v>
      </c>
      <c r="AD878" s="458"/>
      <c r="AE878" s="458" t="s">
        <v>1333</v>
      </c>
      <c r="AF878" s="105"/>
      <c r="AG878" s="108" t="s">
        <v>1632</v>
      </c>
    </row>
    <row r="879" spans="1:33" ht="20.25" customHeight="1" x14ac:dyDescent="0.15">
      <c r="A879" s="316" t="s">
        <v>1635</v>
      </c>
      <c r="B879" s="120" t="s">
        <v>1636</v>
      </c>
      <c r="C879" s="316" t="str">
        <f t="shared" ref="C879:C880" si="537">IF(Q879="","存续","到期")</f>
        <v>到期</v>
      </c>
      <c r="D879" s="128" t="s">
        <v>1872</v>
      </c>
      <c r="E879" s="316" t="s">
        <v>255</v>
      </c>
      <c r="F879" s="462">
        <v>43770</v>
      </c>
      <c r="G879" s="462">
        <v>43798</v>
      </c>
      <c r="H879" s="461" t="s">
        <v>1640</v>
      </c>
      <c r="I879" s="461" t="s">
        <v>1637</v>
      </c>
      <c r="J879" s="316" t="s">
        <v>1638</v>
      </c>
      <c r="K879" s="105">
        <v>1000</v>
      </c>
      <c r="L879" s="105">
        <v>3228</v>
      </c>
      <c r="M879" s="105">
        <v>3228</v>
      </c>
      <c r="N879" s="105">
        <v>59.072400000000002</v>
      </c>
      <c r="O879" s="105">
        <f t="shared" ref="O879:O882" si="538">N879*K879</f>
        <v>59072.4</v>
      </c>
      <c r="P879" s="101" t="s">
        <v>1673</v>
      </c>
      <c r="Q879" s="101" t="str">
        <f t="shared" ref="Q879:Q880" si="539">P879&amp;"-L"</f>
        <v>OTC-C00509-L</v>
      </c>
      <c r="R879" s="105"/>
      <c r="S879" s="105"/>
      <c r="T879" s="462"/>
      <c r="U879" s="105">
        <v>3427</v>
      </c>
      <c r="V879" s="105">
        <f>(U879-L879)*K879</f>
        <v>199000</v>
      </c>
      <c r="W879" s="532">
        <v>43798</v>
      </c>
      <c r="X879" s="105">
        <f t="shared" si="536"/>
        <v>139927.6</v>
      </c>
      <c r="Y879" s="198">
        <f t="shared" ref="Y879:Y880" si="540">M879*K879</f>
        <v>3228000</v>
      </c>
      <c r="Z879" s="461" t="str">
        <f t="shared" ref="Z879:Z880" si="541">IF(C879="存续",D879&amp;H879&amp;"-"&amp;AA879,"")</f>
        <v/>
      </c>
      <c r="AA879" s="461" t="str">
        <f t="shared" ref="AA879:AA880" si="542">IF(I879="买入","卖出","买入")</f>
        <v>卖出</v>
      </c>
      <c r="AB879" s="461">
        <v>159</v>
      </c>
      <c r="AC879" s="321">
        <v>0.161</v>
      </c>
      <c r="AD879" s="461"/>
      <c r="AE879" s="461"/>
      <c r="AF879" s="105"/>
    </row>
    <row r="880" spans="1:33" ht="20.25" customHeight="1" x14ac:dyDescent="0.15">
      <c r="A880" s="316" t="s">
        <v>1635</v>
      </c>
      <c r="B880" s="120" t="s">
        <v>1636</v>
      </c>
      <c r="C880" s="316" t="str">
        <f t="shared" si="537"/>
        <v>到期</v>
      </c>
      <c r="D880" s="128" t="s">
        <v>1872</v>
      </c>
      <c r="E880" s="316" t="s">
        <v>255</v>
      </c>
      <c r="F880" s="462">
        <v>43770</v>
      </c>
      <c r="G880" s="462">
        <v>43798</v>
      </c>
      <c r="H880" s="461" t="s">
        <v>1640</v>
      </c>
      <c r="I880" s="461" t="s">
        <v>1637</v>
      </c>
      <c r="J880" s="316" t="s">
        <v>1639</v>
      </c>
      <c r="K880" s="105">
        <v>1000</v>
      </c>
      <c r="L880" s="105">
        <v>3228</v>
      </c>
      <c r="M880" s="105">
        <v>3228</v>
      </c>
      <c r="N880" s="105">
        <v>59.072400000000002</v>
      </c>
      <c r="O880" s="105">
        <f t="shared" si="538"/>
        <v>59072.4</v>
      </c>
      <c r="P880" s="101" t="s">
        <v>1674</v>
      </c>
      <c r="Q880" s="101" t="str">
        <f t="shared" si="539"/>
        <v>OTC-C00509-L</v>
      </c>
      <c r="R880" s="105"/>
      <c r="S880" s="105"/>
      <c r="T880" s="462"/>
      <c r="U880" s="105">
        <v>3427</v>
      </c>
      <c r="V880" s="105">
        <v>0</v>
      </c>
      <c r="W880" s="532">
        <v>43798</v>
      </c>
      <c r="X880" s="105">
        <f t="shared" si="536"/>
        <v>-59072.4</v>
      </c>
      <c r="Y880" s="198">
        <f t="shared" si="540"/>
        <v>3228000</v>
      </c>
      <c r="Z880" s="461" t="str">
        <f t="shared" si="541"/>
        <v/>
      </c>
      <c r="AA880" s="461" t="str">
        <f t="shared" si="542"/>
        <v>卖出</v>
      </c>
      <c r="AB880" s="461">
        <v>159</v>
      </c>
      <c r="AC880" s="321">
        <v>0.161</v>
      </c>
      <c r="AD880" s="461"/>
      <c r="AE880" s="461"/>
      <c r="AF880" s="105"/>
    </row>
    <row r="881" spans="1:32" ht="24.95" customHeight="1" x14ac:dyDescent="0.15">
      <c r="A881" s="316" t="s">
        <v>394</v>
      </c>
      <c r="B881" s="120" t="s">
        <v>263</v>
      </c>
      <c r="C881" s="316" t="str">
        <f>IF(Q881="","存续","到期")</f>
        <v>到期</v>
      </c>
      <c r="D881" s="128" t="s">
        <v>1846</v>
      </c>
      <c r="E881" s="316" t="s">
        <v>255</v>
      </c>
      <c r="F881" s="462">
        <v>43770</v>
      </c>
      <c r="G881" s="462">
        <v>43798</v>
      </c>
      <c r="H881" s="461" t="s">
        <v>1640</v>
      </c>
      <c r="I881" s="461" t="s">
        <v>1331</v>
      </c>
      <c r="J881" s="316" t="s">
        <v>986</v>
      </c>
      <c r="K881" s="461">
        <v>2000</v>
      </c>
      <c r="L881" s="461">
        <v>3229</v>
      </c>
      <c r="M881" s="461">
        <v>3229</v>
      </c>
      <c r="N881" s="461">
        <v>59.07</v>
      </c>
      <c r="O881" s="461">
        <f t="shared" si="538"/>
        <v>118140</v>
      </c>
      <c r="P881" s="461" t="s">
        <v>1642</v>
      </c>
      <c r="Q881" s="101" t="str">
        <f>P881&amp;"-L"</f>
        <v>OTC-C00510-L</v>
      </c>
      <c r="R881" s="105"/>
      <c r="S881" s="105"/>
      <c r="T881" s="462"/>
      <c r="U881" s="461">
        <v>3427</v>
      </c>
      <c r="V881" s="461">
        <f>-(U881-L881)*K881</f>
        <v>-396000</v>
      </c>
      <c r="W881" s="532">
        <v>43798</v>
      </c>
      <c r="X881" s="105">
        <f t="shared" si="536"/>
        <v>-277860</v>
      </c>
      <c r="Y881" s="461">
        <f>ABS(M881*K881)</f>
        <v>6458000</v>
      </c>
      <c r="Z881" s="461" t="str">
        <f>IF(C881="存续",D881&amp;H881&amp;"-"&amp;AA881,"")</f>
        <v/>
      </c>
      <c r="AA881" s="105" t="str">
        <f>IF(I881="买入","卖出","买入")</f>
        <v>买入</v>
      </c>
      <c r="AB881" s="461">
        <v>160</v>
      </c>
      <c r="AC881" s="321">
        <v>0.161</v>
      </c>
      <c r="AD881" s="461"/>
      <c r="AE881" s="461"/>
      <c r="AF881" s="105"/>
    </row>
    <row r="882" spans="1:32" ht="24.95" customHeight="1" x14ac:dyDescent="0.15">
      <c r="A882" s="316" t="s">
        <v>394</v>
      </c>
      <c r="B882" s="120" t="s">
        <v>263</v>
      </c>
      <c r="C882" s="316" t="str">
        <f t="shared" ref="C882" si="543">IF(Q882="","存续","到期")</f>
        <v>到期</v>
      </c>
      <c r="D882" s="128" t="s">
        <v>1846</v>
      </c>
      <c r="E882" s="316" t="s">
        <v>255</v>
      </c>
      <c r="F882" s="462">
        <v>43770</v>
      </c>
      <c r="G882" s="462">
        <v>43948</v>
      </c>
      <c r="H882" s="461" t="s">
        <v>1640</v>
      </c>
      <c r="I882" s="461" t="s">
        <v>1463</v>
      </c>
      <c r="J882" s="316" t="s">
        <v>986</v>
      </c>
      <c r="K882" s="461">
        <v>1000</v>
      </c>
      <c r="L882" s="461">
        <v>3229</v>
      </c>
      <c r="M882" s="461">
        <v>3229</v>
      </c>
      <c r="N882" s="461">
        <v>130</v>
      </c>
      <c r="O882" s="461">
        <f t="shared" si="538"/>
        <v>130000</v>
      </c>
      <c r="P882" s="461" t="s">
        <v>1643</v>
      </c>
      <c r="Q882" s="101" t="str">
        <f t="shared" ref="Q882:Q883" si="544">P882&amp;"-L"</f>
        <v>OTC-C00511-L</v>
      </c>
      <c r="R882" s="105">
        <f>U882-L882</f>
        <v>194</v>
      </c>
      <c r="S882" s="105">
        <f>R882*K882</f>
        <v>194000</v>
      </c>
      <c r="T882" s="539">
        <v>43801</v>
      </c>
      <c r="U882" s="461">
        <v>3423</v>
      </c>
      <c r="V882" s="461"/>
      <c r="W882" s="462"/>
      <c r="X882" s="538">
        <f>IF(I882="买入",S882-O882,O882+S882)</f>
        <v>64000</v>
      </c>
      <c r="Y882" s="461">
        <f t="shared" ref="Y882" si="545">ABS(M882*K882)</f>
        <v>3229000</v>
      </c>
      <c r="Z882" s="461" t="str">
        <f t="shared" ref="Z882" si="546">IF(C882="存续",D882&amp;H882&amp;"-"&amp;AA882,"")</f>
        <v/>
      </c>
      <c r="AA882" s="105" t="str">
        <f t="shared" ref="AA882" si="547">IF(I882="买入","卖出","买入")</f>
        <v>卖出</v>
      </c>
      <c r="AB882" s="461">
        <v>161</v>
      </c>
      <c r="AC882" s="321">
        <v>0.161</v>
      </c>
      <c r="AD882" s="461"/>
      <c r="AE882" s="113" t="s">
        <v>1728</v>
      </c>
      <c r="AF882" s="105"/>
    </row>
    <row r="883" spans="1:32" ht="24.95" customHeight="1" x14ac:dyDescent="0.15">
      <c r="A883" s="316" t="s">
        <v>394</v>
      </c>
      <c r="B883" s="120" t="s">
        <v>263</v>
      </c>
      <c r="C883" s="316" t="str">
        <f t="shared" ref="C883:C885" si="548">IF(Q883="","存续","到期")</f>
        <v>到期</v>
      </c>
      <c r="D883" s="128" t="s">
        <v>1846</v>
      </c>
      <c r="E883" s="316" t="s">
        <v>255</v>
      </c>
      <c r="F883" s="462">
        <v>43770</v>
      </c>
      <c r="G883" s="462">
        <v>43948</v>
      </c>
      <c r="H883" s="461" t="s">
        <v>1640</v>
      </c>
      <c r="I883" s="461" t="s">
        <v>1641</v>
      </c>
      <c r="J883" s="316" t="s">
        <v>979</v>
      </c>
      <c r="K883" s="461">
        <v>1000</v>
      </c>
      <c r="L883" s="461">
        <v>3229</v>
      </c>
      <c r="M883" s="461">
        <v>3229</v>
      </c>
      <c r="N883" s="461">
        <v>130</v>
      </c>
      <c r="O883" s="461">
        <f t="shared" ref="O883:O884" si="549">N883*K883</f>
        <v>130000</v>
      </c>
      <c r="P883" s="461" t="s">
        <v>1643</v>
      </c>
      <c r="Q883" s="101" t="str">
        <f t="shared" si="544"/>
        <v>OTC-C00511-L</v>
      </c>
      <c r="R883" s="105">
        <v>0</v>
      </c>
      <c r="S883" s="105">
        <f>R883*K883</f>
        <v>0</v>
      </c>
      <c r="T883" s="539">
        <v>43801</v>
      </c>
      <c r="U883" s="461">
        <v>3423</v>
      </c>
      <c r="V883" s="461"/>
      <c r="W883" s="462"/>
      <c r="X883" s="538">
        <f t="shared" ref="X883" si="550">IF(I883="买入",S883-O883,O883+S883)</f>
        <v>130000</v>
      </c>
      <c r="Y883" s="461">
        <f t="shared" ref="Y883" si="551">ABS(M883*K883)</f>
        <v>3229000</v>
      </c>
      <c r="Z883" s="461" t="str">
        <f t="shared" ref="Z883" si="552">IF(C883="存续",D883&amp;H883&amp;"-"&amp;AA883,"")</f>
        <v/>
      </c>
      <c r="AA883" s="105" t="str">
        <f t="shared" ref="AA883" si="553">IF(I883="买入","卖出","买入")</f>
        <v>买入</v>
      </c>
      <c r="AB883" s="461">
        <v>161</v>
      </c>
      <c r="AC883" s="321">
        <v>0.161</v>
      </c>
      <c r="AD883" s="461"/>
      <c r="AE883" s="113" t="s">
        <v>1717</v>
      </c>
      <c r="AF883" s="105"/>
    </row>
    <row r="884" spans="1:32" ht="24.95" customHeight="1" x14ac:dyDescent="0.15">
      <c r="A884" s="316" t="s">
        <v>245</v>
      </c>
      <c r="B884" s="316" t="s">
        <v>263</v>
      </c>
      <c r="C884" s="316" t="str">
        <f t="shared" si="548"/>
        <v>到期</v>
      </c>
      <c r="D884" s="100" t="s">
        <v>1838</v>
      </c>
      <c r="E884" s="316" t="s">
        <v>137</v>
      </c>
      <c r="F884" s="462">
        <v>43770</v>
      </c>
      <c r="G884" s="462">
        <v>43798</v>
      </c>
      <c r="H884" s="461" t="s">
        <v>1640</v>
      </c>
      <c r="I884" s="461" t="s">
        <v>1463</v>
      </c>
      <c r="J884" s="316" t="s">
        <v>223</v>
      </c>
      <c r="K884" s="104">
        <v>300</v>
      </c>
      <c r="L884" s="104">
        <v>3231</v>
      </c>
      <c r="M884" s="104">
        <v>3231</v>
      </c>
      <c r="N884" s="104">
        <f>M884*1.8%</f>
        <v>58.158000000000008</v>
      </c>
      <c r="O884" s="104">
        <f t="shared" si="549"/>
        <v>17447.400000000001</v>
      </c>
      <c r="P884" s="101" t="s">
        <v>1659</v>
      </c>
      <c r="Q884" s="101" t="str">
        <f>P884&amp;"-L"</f>
        <v>OTC-C00512-L</v>
      </c>
      <c r="R884" s="104">
        <v>189</v>
      </c>
      <c r="S884" s="104">
        <f>R884*K884</f>
        <v>56700</v>
      </c>
      <c r="T884" s="531">
        <v>43798</v>
      </c>
      <c r="U884" s="104">
        <v>3420</v>
      </c>
      <c r="V884" s="104"/>
      <c r="W884" s="48"/>
      <c r="X884" s="104">
        <f>IF(I884="买入",S884-O884,O884+S884)</f>
        <v>39252.6</v>
      </c>
      <c r="Y884" s="197">
        <f t="shared" ref="Y884" si="554">K884*M884</f>
        <v>969300</v>
      </c>
      <c r="Z884" s="461" t="str">
        <f t="shared" ref="Z884:Z890" si="555">IF(C884="存续",D884&amp;H884&amp;"-"&amp;AA884,"")</f>
        <v/>
      </c>
      <c r="AA884" s="105" t="str">
        <f t="shared" ref="AA884:AA890" si="556">IF(I884="买入","卖出","买入")</f>
        <v>卖出</v>
      </c>
      <c r="AB884" s="316">
        <v>162</v>
      </c>
      <c r="AC884" s="321">
        <v>0.161</v>
      </c>
      <c r="AD884" s="316"/>
      <c r="AE884" s="316"/>
      <c r="AF884" s="105"/>
    </row>
    <row r="885" spans="1:32" ht="24.95" customHeight="1" x14ac:dyDescent="0.15">
      <c r="A885" s="316" t="s">
        <v>245</v>
      </c>
      <c r="B885" s="316" t="s">
        <v>263</v>
      </c>
      <c r="C885" s="316" t="str">
        <f t="shared" si="548"/>
        <v>到期</v>
      </c>
      <c r="D885" s="100" t="s">
        <v>1838</v>
      </c>
      <c r="E885" s="316" t="s">
        <v>137</v>
      </c>
      <c r="F885" s="462">
        <v>43770</v>
      </c>
      <c r="G885" s="462">
        <v>43798</v>
      </c>
      <c r="H885" s="461" t="s">
        <v>1640</v>
      </c>
      <c r="I885" s="461" t="s">
        <v>1463</v>
      </c>
      <c r="J885" s="316" t="s">
        <v>59</v>
      </c>
      <c r="K885" s="104">
        <v>300</v>
      </c>
      <c r="L885" s="104">
        <v>3231</v>
      </c>
      <c r="M885" s="104">
        <v>3231</v>
      </c>
      <c r="N885" s="104">
        <v>58.158000000000008</v>
      </c>
      <c r="O885" s="104">
        <f t="shared" ref="O885:O887" si="557">N885*K885</f>
        <v>17447.400000000001</v>
      </c>
      <c r="P885" s="101" t="s">
        <v>1659</v>
      </c>
      <c r="Q885" s="101" t="str">
        <f>P885&amp;"-L"</f>
        <v>OTC-C00512-L</v>
      </c>
      <c r="R885" s="104">
        <v>0</v>
      </c>
      <c r="S885" s="104">
        <f>R885*K885</f>
        <v>0</v>
      </c>
      <c r="T885" s="531">
        <v>43798</v>
      </c>
      <c r="U885" s="104">
        <v>3420</v>
      </c>
      <c r="V885" s="104"/>
      <c r="W885" s="48"/>
      <c r="X885" s="104">
        <f t="shared" ref="X885" si="558">IF(I885="买入",S885-O885,O885+S885)</f>
        <v>-17447.400000000001</v>
      </c>
      <c r="Y885" s="197">
        <f t="shared" ref="Y885" si="559">K885*M885</f>
        <v>969300</v>
      </c>
      <c r="Z885" s="461" t="str">
        <f t="shared" si="555"/>
        <v/>
      </c>
      <c r="AA885" s="105" t="str">
        <f t="shared" si="556"/>
        <v>卖出</v>
      </c>
      <c r="AB885" s="316">
        <v>162</v>
      </c>
      <c r="AC885" s="321">
        <v>0.161</v>
      </c>
      <c r="AD885" s="316"/>
      <c r="AE885" s="316"/>
      <c r="AF885" s="105"/>
    </row>
    <row r="886" spans="1:32" ht="24.95" customHeight="1" x14ac:dyDescent="0.15">
      <c r="A886" s="316" t="s">
        <v>394</v>
      </c>
      <c r="B886" s="120" t="s">
        <v>264</v>
      </c>
      <c r="C886" s="316" t="str">
        <f t="shared" ref="C886:C890" si="560">IF(Q886="","存续","到期")</f>
        <v>到期</v>
      </c>
      <c r="D886" s="128" t="s">
        <v>1878</v>
      </c>
      <c r="E886" s="316" t="s">
        <v>1569</v>
      </c>
      <c r="F886" s="464">
        <v>43770</v>
      </c>
      <c r="G886" s="464">
        <v>43798</v>
      </c>
      <c r="H886" s="463" t="s">
        <v>1465</v>
      </c>
      <c r="I886" s="463" t="s">
        <v>1463</v>
      </c>
      <c r="J886" s="316" t="s">
        <v>223</v>
      </c>
      <c r="K886" s="463">
        <v>5000</v>
      </c>
      <c r="L886" s="463">
        <v>1496</v>
      </c>
      <c r="M886" s="463">
        <v>1496</v>
      </c>
      <c r="N886" s="463">
        <v>26.18</v>
      </c>
      <c r="O886" s="463">
        <f t="shared" si="557"/>
        <v>130900</v>
      </c>
      <c r="P886" s="101" t="s">
        <v>1675</v>
      </c>
      <c r="Q886" s="101" t="str">
        <f t="shared" ref="Q886:Q887" si="561">P886&amp;"-L"</f>
        <v>OTC-C00513-L</v>
      </c>
      <c r="R886" s="105"/>
      <c r="S886" s="105"/>
      <c r="T886" s="463"/>
      <c r="U886" s="463">
        <v>1473</v>
      </c>
      <c r="V886" s="463">
        <v>0</v>
      </c>
      <c r="W886" s="532">
        <v>43798</v>
      </c>
      <c r="X886" s="105">
        <f t="shared" ref="X886:X887" si="562">IF(I886="买入",V886-O886,V886+O886)</f>
        <v>-130900</v>
      </c>
      <c r="Y886" s="463">
        <f t="shared" ref="Y886:Y888" si="563">ABS(M886*K886)</f>
        <v>7480000</v>
      </c>
      <c r="Z886" s="463" t="str">
        <f t="shared" si="555"/>
        <v/>
      </c>
      <c r="AA886" s="105" t="str">
        <f t="shared" si="556"/>
        <v>卖出</v>
      </c>
      <c r="AB886" s="463">
        <v>163</v>
      </c>
      <c r="AC886" s="321">
        <v>0.1545</v>
      </c>
      <c r="AD886" s="463"/>
      <c r="AE886" s="463"/>
      <c r="AF886" s="105"/>
    </row>
    <row r="887" spans="1:32" ht="24.95" customHeight="1" x14ac:dyDescent="0.15">
      <c r="A887" s="316" t="s">
        <v>394</v>
      </c>
      <c r="B887" s="120" t="s">
        <v>264</v>
      </c>
      <c r="C887" s="316" t="str">
        <f t="shared" si="560"/>
        <v>到期</v>
      </c>
      <c r="D887" s="128" t="s">
        <v>1878</v>
      </c>
      <c r="E887" s="316" t="s">
        <v>1569</v>
      </c>
      <c r="F887" s="464">
        <v>43770</v>
      </c>
      <c r="G887" s="464">
        <v>43798</v>
      </c>
      <c r="H887" s="463" t="s">
        <v>1465</v>
      </c>
      <c r="I887" s="463" t="s">
        <v>1463</v>
      </c>
      <c r="J887" s="316" t="s">
        <v>59</v>
      </c>
      <c r="K887" s="463">
        <v>5000</v>
      </c>
      <c r="L887" s="463">
        <v>1496</v>
      </c>
      <c r="M887" s="463">
        <v>1496</v>
      </c>
      <c r="N887" s="463">
        <v>26.18</v>
      </c>
      <c r="O887" s="463">
        <f t="shared" si="557"/>
        <v>130900</v>
      </c>
      <c r="P887" s="101" t="s">
        <v>1675</v>
      </c>
      <c r="Q887" s="101" t="str">
        <f t="shared" si="561"/>
        <v>OTC-C00513-L</v>
      </c>
      <c r="R887" s="105"/>
      <c r="S887" s="105"/>
      <c r="T887" s="463"/>
      <c r="U887" s="463">
        <v>1473</v>
      </c>
      <c r="V887" s="463">
        <f>(L887-U887)*K887</f>
        <v>115000</v>
      </c>
      <c r="W887" s="532">
        <v>43798</v>
      </c>
      <c r="X887" s="105">
        <f t="shared" si="562"/>
        <v>-15900</v>
      </c>
      <c r="Y887" s="463">
        <f t="shared" si="563"/>
        <v>7480000</v>
      </c>
      <c r="Z887" s="463" t="str">
        <f t="shared" si="555"/>
        <v/>
      </c>
      <c r="AA887" s="105" t="str">
        <f t="shared" si="556"/>
        <v>卖出</v>
      </c>
      <c r="AB887" s="463">
        <v>163</v>
      </c>
      <c r="AC887" s="321">
        <v>0.1545</v>
      </c>
      <c r="AD887" s="463"/>
      <c r="AE887" s="463"/>
      <c r="AF887" s="105"/>
    </row>
    <row r="888" spans="1:32" ht="24.95" customHeight="1" x14ac:dyDescent="0.15">
      <c r="A888" s="316" t="s">
        <v>265</v>
      </c>
      <c r="B888" s="120" t="s">
        <v>263</v>
      </c>
      <c r="C888" s="316" t="str">
        <f t="shared" si="560"/>
        <v>到期</v>
      </c>
      <c r="D888" s="123" t="s">
        <v>1834</v>
      </c>
      <c r="E888" s="316" t="s">
        <v>298</v>
      </c>
      <c r="F888" s="466">
        <v>43773</v>
      </c>
      <c r="G888" s="466">
        <v>43788</v>
      </c>
      <c r="H888" s="465" t="s">
        <v>1607</v>
      </c>
      <c r="I888" s="465" t="s">
        <v>222</v>
      </c>
      <c r="J888" s="316" t="s">
        <v>223</v>
      </c>
      <c r="K888" s="465">
        <v>1000</v>
      </c>
      <c r="L888" s="465">
        <v>4712.3999999999996</v>
      </c>
      <c r="M888" s="465">
        <v>4620</v>
      </c>
      <c r="N888" s="465">
        <v>19.52</v>
      </c>
      <c r="O888" s="465">
        <f>N888*K888</f>
        <v>19520</v>
      </c>
      <c r="P888" s="101" t="s">
        <v>1658</v>
      </c>
      <c r="Q888" s="101" t="str">
        <f t="shared" ref="Q888:Q892" si="564">P888&amp;"-L"</f>
        <v>OTC-C00514-L</v>
      </c>
      <c r="R888" s="105">
        <v>0</v>
      </c>
      <c r="S888" s="105">
        <f>R888*K888</f>
        <v>0</v>
      </c>
      <c r="T888" s="504">
        <v>43787</v>
      </c>
      <c r="U888" s="465">
        <v>4530</v>
      </c>
      <c r="V888" s="465"/>
      <c r="W888" s="504"/>
      <c r="X888" s="503">
        <f t="shared" ref="X888:X892" si="565">IF(I888="买入",S888-O888,O888+S888)</f>
        <v>19520</v>
      </c>
      <c r="Y888" s="465">
        <f t="shared" si="563"/>
        <v>4620000</v>
      </c>
      <c r="Z888" s="465" t="str">
        <f t="shared" si="555"/>
        <v/>
      </c>
      <c r="AA888" s="105" t="str">
        <f t="shared" si="556"/>
        <v>买入</v>
      </c>
      <c r="AB888" s="465">
        <v>164</v>
      </c>
      <c r="AC888" s="321">
        <v>0.13</v>
      </c>
      <c r="AD888" s="205">
        <v>0.16</v>
      </c>
      <c r="AE888" s="465" t="s">
        <v>1335</v>
      </c>
      <c r="AF888" s="105">
        <v>130000</v>
      </c>
    </row>
    <row r="889" spans="1:32" ht="24.95" customHeight="1" x14ac:dyDescent="0.15">
      <c r="A889" s="316" t="s">
        <v>248</v>
      </c>
      <c r="B889" s="120" t="s">
        <v>1645</v>
      </c>
      <c r="C889" s="316" t="str">
        <f t="shared" si="560"/>
        <v>到期</v>
      </c>
      <c r="D889" s="323" t="s">
        <v>1840</v>
      </c>
      <c r="E889" s="316" t="s">
        <v>340</v>
      </c>
      <c r="F889" s="468">
        <v>43774</v>
      </c>
      <c r="G889" s="468">
        <v>43798</v>
      </c>
      <c r="H889" s="467" t="s">
        <v>1646</v>
      </c>
      <c r="I889" s="467" t="s">
        <v>222</v>
      </c>
      <c r="J889" s="316" t="s">
        <v>1565</v>
      </c>
      <c r="K889" s="467">
        <v>300</v>
      </c>
      <c r="L889" s="467">
        <v>3383</v>
      </c>
      <c r="M889" s="467">
        <v>3383</v>
      </c>
      <c r="N889" s="467">
        <v>65.099999999999994</v>
      </c>
      <c r="O889" s="467">
        <f t="shared" ref="O889:O890" si="566">N889*K889</f>
        <v>19530</v>
      </c>
      <c r="P889" s="101" t="s">
        <v>1699</v>
      </c>
      <c r="Q889" s="101" t="str">
        <f t="shared" si="564"/>
        <v>OTC-C00515-L</v>
      </c>
      <c r="R889" s="105">
        <v>222</v>
      </c>
      <c r="S889" s="105">
        <f>-R889*K889</f>
        <v>-66600</v>
      </c>
      <c r="T889" s="48">
        <v>43796</v>
      </c>
      <c r="U889" s="105">
        <v>3605</v>
      </c>
      <c r="V889" s="212"/>
      <c r="W889" s="468"/>
      <c r="X889" s="522">
        <f t="shared" si="565"/>
        <v>-47070</v>
      </c>
      <c r="Y889" s="198">
        <f t="shared" ref="Y889:Y890" si="567">M889*K889</f>
        <v>1014900</v>
      </c>
      <c r="Z889" s="467" t="str">
        <f t="shared" si="555"/>
        <v/>
      </c>
      <c r="AA889" s="467" t="str">
        <f t="shared" si="556"/>
        <v>买入</v>
      </c>
      <c r="AB889" s="467">
        <v>165</v>
      </c>
      <c r="AC889" s="321">
        <v>0.17399999999999999</v>
      </c>
      <c r="AD889" s="205"/>
      <c r="AE889" s="213"/>
      <c r="AF889" s="353"/>
    </row>
    <row r="890" spans="1:32" ht="24.95" customHeight="1" x14ac:dyDescent="0.15">
      <c r="A890" s="316" t="s">
        <v>248</v>
      </c>
      <c r="B890" s="120" t="s">
        <v>1443</v>
      </c>
      <c r="C890" s="316" t="str">
        <f t="shared" si="560"/>
        <v>到期</v>
      </c>
      <c r="D890" s="323" t="s">
        <v>1840</v>
      </c>
      <c r="E890" s="316" t="s">
        <v>340</v>
      </c>
      <c r="F890" s="468">
        <v>43774</v>
      </c>
      <c r="G890" s="468">
        <v>43798</v>
      </c>
      <c r="H890" s="467" t="s">
        <v>905</v>
      </c>
      <c r="I890" s="467" t="s">
        <v>222</v>
      </c>
      <c r="J890" s="316" t="s">
        <v>1647</v>
      </c>
      <c r="K890" s="467">
        <v>300</v>
      </c>
      <c r="L890" s="467">
        <v>3383</v>
      </c>
      <c r="M890" s="467">
        <v>3383</v>
      </c>
      <c r="N890" s="467">
        <v>65.099999999999994</v>
      </c>
      <c r="O890" s="467">
        <f t="shared" si="566"/>
        <v>19530</v>
      </c>
      <c r="P890" s="101" t="s">
        <v>1699</v>
      </c>
      <c r="Q890" s="101" t="str">
        <f t="shared" si="564"/>
        <v>OTC-C00515-L</v>
      </c>
      <c r="R890" s="105">
        <v>0</v>
      </c>
      <c r="S890" s="105">
        <f>-R890*K890</f>
        <v>0</v>
      </c>
      <c r="T890" s="48">
        <v>43796</v>
      </c>
      <c r="U890" s="105">
        <v>3605</v>
      </c>
      <c r="V890" s="212"/>
      <c r="W890" s="468"/>
      <c r="X890" s="522">
        <f t="shared" si="565"/>
        <v>19530</v>
      </c>
      <c r="Y890" s="198">
        <f t="shared" si="567"/>
        <v>1014900</v>
      </c>
      <c r="Z890" s="467" t="str">
        <f t="shared" si="555"/>
        <v/>
      </c>
      <c r="AA890" s="467" t="str">
        <f t="shared" si="556"/>
        <v>买入</v>
      </c>
      <c r="AB890" s="467">
        <v>165</v>
      </c>
      <c r="AC890" s="321">
        <v>0.17399999999999999</v>
      </c>
      <c r="AD890" s="205"/>
      <c r="AE890" s="213"/>
      <c r="AF890" s="353"/>
    </row>
    <row r="891" spans="1:32" ht="24.95" customHeight="1" x14ac:dyDescent="0.15">
      <c r="A891" s="316" t="s">
        <v>248</v>
      </c>
      <c r="B891" s="120" t="s">
        <v>1645</v>
      </c>
      <c r="C891" s="316" t="str">
        <f t="shared" ref="C891:C903" si="568">IF(Q891="","存续","到期")</f>
        <v>到期</v>
      </c>
      <c r="D891" s="323" t="s">
        <v>1840</v>
      </c>
      <c r="E891" s="316" t="s">
        <v>340</v>
      </c>
      <c r="F891" s="468">
        <v>43774</v>
      </c>
      <c r="G891" s="468">
        <v>43798</v>
      </c>
      <c r="H891" s="467" t="s">
        <v>1648</v>
      </c>
      <c r="I891" s="467" t="s">
        <v>1649</v>
      </c>
      <c r="J891" s="316" t="s">
        <v>1565</v>
      </c>
      <c r="K891" s="467">
        <v>300</v>
      </c>
      <c r="L891" s="467">
        <v>3224</v>
      </c>
      <c r="M891" s="467">
        <v>3224</v>
      </c>
      <c r="N891" s="467">
        <v>53.9</v>
      </c>
      <c r="O891" s="467">
        <f t="shared" ref="O891:O903" si="569">N891*K891</f>
        <v>16170</v>
      </c>
      <c r="P891" s="101" t="s">
        <v>1700</v>
      </c>
      <c r="Q891" s="101" t="str">
        <f t="shared" si="564"/>
        <v>OTC-C00516-L</v>
      </c>
      <c r="R891" s="105">
        <v>129</v>
      </c>
      <c r="S891" s="105">
        <f>R891*K891</f>
        <v>38700</v>
      </c>
      <c r="T891" s="48">
        <v>43796</v>
      </c>
      <c r="U891" s="105">
        <v>3353</v>
      </c>
      <c r="V891" s="212"/>
      <c r="W891" s="468"/>
      <c r="X891" s="522">
        <f t="shared" si="565"/>
        <v>22530</v>
      </c>
      <c r="Y891" s="198">
        <f t="shared" ref="Y891:Y902" si="570">M891*K891</f>
        <v>967200</v>
      </c>
      <c r="Z891" s="467" t="str">
        <f t="shared" ref="Z891:Z902" si="571">IF(C891="存续",D891&amp;H891&amp;"-"&amp;AA891,"")</f>
        <v/>
      </c>
      <c r="AA891" s="467" t="str">
        <f t="shared" ref="AA891:AA892" si="572">IF(I891="买入","卖出","买入")</f>
        <v>卖出</v>
      </c>
      <c r="AB891" s="467">
        <v>166</v>
      </c>
      <c r="AC891" s="321">
        <v>0.151</v>
      </c>
      <c r="AD891" s="205"/>
      <c r="AE891" s="213"/>
      <c r="AF891" s="353"/>
    </row>
    <row r="892" spans="1:32" ht="24.95" customHeight="1" x14ac:dyDescent="0.15">
      <c r="A892" s="316" t="s">
        <v>248</v>
      </c>
      <c r="B892" s="120" t="s">
        <v>1443</v>
      </c>
      <c r="C892" s="316" t="str">
        <f t="shared" si="568"/>
        <v>到期</v>
      </c>
      <c r="D892" s="323" t="s">
        <v>1840</v>
      </c>
      <c r="E892" s="316" t="s">
        <v>340</v>
      </c>
      <c r="F892" s="468">
        <v>43774</v>
      </c>
      <c r="G892" s="468">
        <v>43798</v>
      </c>
      <c r="H892" s="467" t="s">
        <v>1648</v>
      </c>
      <c r="I892" s="467" t="s">
        <v>241</v>
      </c>
      <c r="J892" s="316" t="s">
        <v>1647</v>
      </c>
      <c r="K892" s="467">
        <v>300</v>
      </c>
      <c r="L892" s="467">
        <v>3224</v>
      </c>
      <c r="M892" s="467">
        <v>3224</v>
      </c>
      <c r="N892" s="467">
        <v>53.9</v>
      </c>
      <c r="O892" s="467">
        <f t="shared" si="569"/>
        <v>16170</v>
      </c>
      <c r="P892" s="101" t="s">
        <v>1700</v>
      </c>
      <c r="Q892" s="101" t="str">
        <f t="shared" si="564"/>
        <v>OTC-C00516-L</v>
      </c>
      <c r="R892" s="105">
        <v>0</v>
      </c>
      <c r="S892" s="105">
        <f>R892*K892</f>
        <v>0</v>
      </c>
      <c r="T892" s="48">
        <v>43796</v>
      </c>
      <c r="U892" s="105">
        <v>3353</v>
      </c>
      <c r="V892" s="212"/>
      <c r="W892" s="468"/>
      <c r="X892" s="522">
        <f t="shared" si="565"/>
        <v>-16170</v>
      </c>
      <c r="Y892" s="198">
        <f t="shared" si="570"/>
        <v>967200</v>
      </c>
      <c r="Z892" s="467" t="str">
        <f t="shared" si="571"/>
        <v/>
      </c>
      <c r="AA892" s="467" t="str">
        <f t="shared" si="572"/>
        <v>卖出</v>
      </c>
      <c r="AB892" s="467">
        <v>166</v>
      </c>
      <c r="AC892" s="321">
        <v>0.151</v>
      </c>
      <c r="AD892" s="205"/>
      <c r="AE892" s="213"/>
      <c r="AF892" s="353"/>
    </row>
    <row r="893" spans="1:32" ht="24.95" customHeight="1" x14ac:dyDescent="0.15">
      <c r="A893" s="316" t="s">
        <v>248</v>
      </c>
      <c r="B893" s="120" t="s">
        <v>263</v>
      </c>
      <c r="C893" s="316" t="str">
        <f t="shared" si="568"/>
        <v>到期</v>
      </c>
      <c r="D893" s="103" t="s">
        <v>1841</v>
      </c>
      <c r="E893" s="316" t="s">
        <v>298</v>
      </c>
      <c r="F893" s="470">
        <v>43774</v>
      </c>
      <c r="G893" s="470">
        <v>43802</v>
      </c>
      <c r="H893" s="469" t="s">
        <v>1550</v>
      </c>
      <c r="I893" s="469" t="s">
        <v>222</v>
      </c>
      <c r="J893" s="316" t="s">
        <v>56</v>
      </c>
      <c r="K893" s="105">
        <v>50</v>
      </c>
      <c r="L893" s="104">
        <v>49410</v>
      </c>
      <c r="M893" s="104">
        <v>47280</v>
      </c>
      <c r="N893" s="104">
        <f>392.46/2</f>
        <v>196.23</v>
      </c>
      <c r="O893" s="104">
        <f t="shared" si="569"/>
        <v>9811.5</v>
      </c>
      <c r="P893" s="101" t="s">
        <v>1660</v>
      </c>
      <c r="Q893" s="101" t="str">
        <f>P893&amp;"-L"</f>
        <v>OTC-C00517-L</v>
      </c>
      <c r="R893" s="104"/>
      <c r="S893" s="104"/>
      <c r="T893" s="104"/>
      <c r="U893" s="104">
        <v>47080</v>
      </c>
      <c r="V893" s="104">
        <v>0</v>
      </c>
      <c r="W893" s="546">
        <v>43802</v>
      </c>
      <c r="X893" s="105">
        <f t="shared" ref="X893:X905" si="573">IF(I893="买入",V893-O893,V893+O893)</f>
        <v>9811.5</v>
      </c>
      <c r="Y893" s="198">
        <f t="shared" si="570"/>
        <v>2364000</v>
      </c>
      <c r="Z893" s="469" t="str">
        <f t="shared" si="571"/>
        <v/>
      </c>
      <c r="AA893" s="469" t="str">
        <f>IF(I893="买入","卖出","买入19-新22")</f>
        <v>买入19-新22</v>
      </c>
      <c r="AB893" s="469">
        <v>167</v>
      </c>
      <c r="AC893" s="321">
        <v>0.152</v>
      </c>
      <c r="AD893" s="322">
        <v>0.152</v>
      </c>
      <c r="AE893" s="104"/>
      <c r="AF893" s="105">
        <v>31250</v>
      </c>
    </row>
    <row r="894" spans="1:32" ht="24.95" customHeight="1" x14ac:dyDescent="0.15">
      <c r="A894" s="316" t="s">
        <v>248</v>
      </c>
      <c r="B894" s="120" t="s">
        <v>263</v>
      </c>
      <c r="C894" s="316" t="str">
        <f t="shared" si="568"/>
        <v>到期</v>
      </c>
      <c r="D894" s="103" t="s">
        <v>1841</v>
      </c>
      <c r="E894" s="316" t="s">
        <v>298</v>
      </c>
      <c r="F894" s="470">
        <v>43774</v>
      </c>
      <c r="G894" s="470">
        <v>43802</v>
      </c>
      <c r="H894" s="469" t="s">
        <v>1550</v>
      </c>
      <c r="I894" s="469" t="s">
        <v>222</v>
      </c>
      <c r="J894" s="316" t="s">
        <v>59</v>
      </c>
      <c r="K894" s="105">
        <v>50</v>
      </c>
      <c r="L894" s="104">
        <v>45630</v>
      </c>
      <c r="M894" s="104">
        <v>47280</v>
      </c>
      <c r="N894" s="104">
        <f t="shared" ref="N894:N902" si="574">392.46/2</f>
        <v>196.23</v>
      </c>
      <c r="O894" s="104">
        <f t="shared" si="569"/>
        <v>9811.5</v>
      </c>
      <c r="P894" s="101" t="s">
        <v>1660</v>
      </c>
      <c r="Q894" s="101" t="str">
        <f t="shared" ref="Q894:Q902" si="575">P894&amp;"-L"</f>
        <v>OTC-C00517-L</v>
      </c>
      <c r="R894" s="104"/>
      <c r="S894" s="104"/>
      <c r="T894" s="104"/>
      <c r="U894" s="104">
        <v>47080</v>
      </c>
      <c r="V894" s="104">
        <v>0</v>
      </c>
      <c r="W894" s="546">
        <v>43802</v>
      </c>
      <c r="X894" s="105">
        <f t="shared" si="573"/>
        <v>9811.5</v>
      </c>
      <c r="Y894" s="198">
        <f t="shared" si="570"/>
        <v>2364000</v>
      </c>
      <c r="Z894" s="469" t="str">
        <f t="shared" si="571"/>
        <v/>
      </c>
      <c r="AA894" s="469" t="str">
        <f t="shared" ref="AA894:AA902" si="576">IF(I894="买入","卖出","买入19-新22")</f>
        <v>买入19-新22</v>
      </c>
      <c r="AB894" s="469">
        <v>167</v>
      </c>
      <c r="AC894" s="321">
        <v>0.152</v>
      </c>
      <c r="AD894" s="322">
        <v>0.152</v>
      </c>
      <c r="AE894" s="104"/>
      <c r="AF894" s="105">
        <v>31250</v>
      </c>
    </row>
    <row r="895" spans="1:32" ht="24.95" customHeight="1" x14ac:dyDescent="0.15">
      <c r="A895" s="316" t="s">
        <v>248</v>
      </c>
      <c r="B895" s="120" t="s">
        <v>263</v>
      </c>
      <c r="C895" s="316" t="str">
        <f t="shared" si="568"/>
        <v>到期</v>
      </c>
      <c r="D895" s="103" t="s">
        <v>1842</v>
      </c>
      <c r="E895" s="316" t="s">
        <v>298</v>
      </c>
      <c r="F895" s="470">
        <v>43774</v>
      </c>
      <c r="G895" s="470">
        <v>43802</v>
      </c>
      <c r="H895" s="469" t="s">
        <v>1550</v>
      </c>
      <c r="I895" s="469" t="s">
        <v>222</v>
      </c>
      <c r="J895" s="316" t="s">
        <v>56</v>
      </c>
      <c r="K895" s="105">
        <v>50</v>
      </c>
      <c r="L895" s="104">
        <v>49410</v>
      </c>
      <c r="M895" s="104">
        <v>47280</v>
      </c>
      <c r="N895" s="104">
        <f t="shared" si="574"/>
        <v>196.23</v>
      </c>
      <c r="O895" s="104">
        <f t="shared" si="569"/>
        <v>9811.5</v>
      </c>
      <c r="P895" s="101" t="s">
        <v>1661</v>
      </c>
      <c r="Q895" s="101" t="str">
        <f t="shared" si="575"/>
        <v>OTC-C00518-L</v>
      </c>
      <c r="R895" s="104"/>
      <c r="S895" s="104"/>
      <c r="T895" s="104"/>
      <c r="U895" s="104">
        <v>47080</v>
      </c>
      <c r="V895" s="104">
        <v>0</v>
      </c>
      <c r="W895" s="546">
        <v>43802</v>
      </c>
      <c r="X895" s="105">
        <f t="shared" si="573"/>
        <v>9811.5</v>
      </c>
      <c r="Y895" s="198">
        <f t="shared" si="570"/>
        <v>2364000</v>
      </c>
      <c r="Z895" s="469" t="str">
        <f t="shared" si="571"/>
        <v/>
      </c>
      <c r="AA895" s="469" t="str">
        <f t="shared" si="576"/>
        <v>买入19-新22</v>
      </c>
      <c r="AB895" s="469">
        <v>167</v>
      </c>
      <c r="AC895" s="321">
        <v>0.152</v>
      </c>
      <c r="AD895" s="322">
        <v>0.152</v>
      </c>
      <c r="AE895" s="104"/>
      <c r="AF895" s="105">
        <v>31250</v>
      </c>
    </row>
    <row r="896" spans="1:32" ht="24.95" customHeight="1" x14ac:dyDescent="0.15">
      <c r="A896" s="316" t="s">
        <v>248</v>
      </c>
      <c r="B896" s="120" t="s">
        <v>263</v>
      </c>
      <c r="C896" s="316" t="str">
        <f t="shared" si="568"/>
        <v>到期</v>
      </c>
      <c r="D896" s="103" t="s">
        <v>1842</v>
      </c>
      <c r="E896" s="316" t="s">
        <v>298</v>
      </c>
      <c r="F896" s="470">
        <v>43774</v>
      </c>
      <c r="G896" s="470">
        <v>43802</v>
      </c>
      <c r="H896" s="469" t="s">
        <v>1550</v>
      </c>
      <c r="I896" s="469" t="s">
        <v>222</v>
      </c>
      <c r="J896" s="316" t="s">
        <v>59</v>
      </c>
      <c r="K896" s="105">
        <v>50</v>
      </c>
      <c r="L896" s="104">
        <v>45630</v>
      </c>
      <c r="M896" s="104">
        <v>47280</v>
      </c>
      <c r="N896" s="104">
        <f t="shared" si="574"/>
        <v>196.23</v>
      </c>
      <c r="O896" s="104">
        <f t="shared" si="569"/>
        <v>9811.5</v>
      </c>
      <c r="P896" s="101" t="s">
        <v>1661</v>
      </c>
      <c r="Q896" s="101" t="str">
        <f t="shared" si="575"/>
        <v>OTC-C00518-L</v>
      </c>
      <c r="R896" s="104"/>
      <c r="S896" s="104"/>
      <c r="T896" s="104"/>
      <c r="U896" s="104">
        <v>47080</v>
      </c>
      <c r="V896" s="104">
        <v>0</v>
      </c>
      <c r="W896" s="546">
        <v>43802</v>
      </c>
      <c r="X896" s="105">
        <f t="shared" si="573"/>
        <v>9811.5</v>
      </c>
      <c r="Y896" s="198">
        <f t="shared" si="570"/>
        <v>2364000</v>
      </c>
      <c r="Z896" s="469" t="str">
        <f t="shared" si="571"/>
        <v/>
      </c>
      <c r="AA896" s="469" t="str">
        <f t="shared" si="576"/>
        <v>买入19-新22</v>
      </c>
      <c r="AB896" s="469">
        <v>167</v>
      </c>
      <c r="AC896" s="321">
        <v>0.152</v>
      </c>
      <c r="AD896" s="322">
        <v>0.152</v>
      </c>
      <c r="AE896" s="104"/>
      <c r="AF896" s="105">
        <v>31250</v>
      </c>
    </row>
    <row r="897" spans="1:32" ht="24.95" customHeight="1" x14ac:dyDescent="0.15">
      <c r="A897" s="316" t="s">
        <v>248</v>
      </c>
      <c r="B897" s="120" t="s">
        <v>263</v>
      </c>
      <c r="C897" s="316" t="str">
        <f t="shared" si="568"/>
        <v>到期</v>
      </c>
      <c r="D897" s="103" t="s">
        <v>1843</v>
      </c>
      <c r="E897" s="316" t="s">
        <v>298</v>
      </c>
      <c r="F897" s="470">
        <v>43774</v>
      </c>
      <c r="G897" s="470">
        <v>43802</v>
      </c>
      <c r="H897" s="469" t="s">
        <v>1550</v>
      </c>
      <c r="I897" s="469" t="s">
        <v>222</v>
      </c>
      <c r="J897" s="316" t="s">
        <v>56</v>
      </c>
      <c r="K897" s="105">
        <v>50</v>
      </c>
      <c r="L897" s="104">
        <v>49410</v>
      </c>
      <c r="M897" s="104">
        <v>47280</v>
      </c>
      <c r="N897" s="104">
        <f t="shared" si="574"/>
        <v>196.23</v>
      </c>
      <c r="O897" s="104">
        <f t="shared" si="569"/>
        <v>9811.5</v>
      </c>
      <c r="P897" s="101" t="s">
        <v>1662</v>
      </c>
      <c r="Q897" s="101" t="str">
        <f t="shared" si="575"/>
        <v>OTC-C00519-L</v>
      </c>
      <c r="R897" s="104"/>
      <c r="S897" s="104"/>
      <c r="T897" s="104"/>
      <c r="U897" s="104">
        <v>47080</v>
      </c>
      <c r="V897" s="104">
        <v>0</v>
      </c>
      <c r="W897" s="546">
        <v>43802</v>
      </c>
      <c r="X897" s="105">
        <f t="shared" si="573"/>
        <v>9811.5</v>
      </c>
      <c r="Y897" s="198">
        <f t="shared" si="570"/>
        <v>2364000</v>
      </c>
      <c r="Z897" s="469" t="str">
        <f t="shared" si="571"/>
        <v/>
      </c>
      <c r="AA897" s="469" t="str">
        <f t="shared" si="576"/>
        <v>买入19-新22</v>
      </c>
      <c r="AB897" s="469">
        <v>167</v>
      </c>
      <c r="AC897" s="321">
        <v>0.152</v>
      </c>
      <c r="AD897" s="322">
        <v>0.152</v>
      </c>
      <c r="AE897" s="104"/>
      <c r="AF897" s="105">
        <v>31250</v>
      </c>
    </row>
    <row r="898" spans="1:32" ht="24.95" customHeight="1" x14ac:dyDescent="0.15">
      <c r="A898" s="316" t="s">
        <v>248</v>
      </c>
      <c r="B898" s="120" t="s">
        <v>263</v>
      </c>
      <c r="C898" s="316" t="str">
        <f t="shared" si="568"/>
        <v>到期</v>
      </c>
      <c r="D898" s="103" t="s">
        <v>1843</v>
      </c>
      <c r="E898" s="316" t="s">
        <v>298</v>
      </c>
      <c r="F898" s="470">
        <v>43774</v>
      </c>
      <c r="G898" s="470">
        <v>43802</v>
      </c>
      <c r="H898" s="469" t="s">
        <v>1550</v>
      </c>
      <c r="I898" s="469" t="s">
        <v>222</v>
      </c>
      <c r="J898" s="316" t="s">
        <v>59</v>
      </c>
      <c r="K898" s="105">
        <v>50</v>
      </c>
      <c r="L898" s="104">
        <v>45630</v>
      </c>
      <c r="M898" s="104">
        <v>47280</v>
      </c>
      <c r="N898" s="104">
        <f t="shared" si="574"/>
        <v>196.23</v>
      </c>
      <c r="O898" s="104">
        <f t="shared" si="569"/>
        <v>9811.5</v>
      </c>
      <c r="P898" s="101" t="s">
        <v>1662</v>
      </c>
      <c r="Q898" s="101" t="str">
        <f t="shared" si="575"/>
        <v>OTC-C00519-L</v>
      </c>
      <c r="R898" s="104"/>
      <c r="S898" s="104"/>
      <c r="T898" s="104"/>
      <c r="U898" s="104">
        <v>47080</v>
      </c>
      <c r="V898" s="104">
        <v>0</v>
      </c>
      <c r="W898" s="546">
        <v>43802</v>
      </c>
      <c r="X898" s="105">
        <f t="shared" si="573"/>
        <v>9811.5</v>
      </c>
      <c r="Y898" s="198">
        <f t="shared" si="570"/>
        <v>2364000</v>
      </c>
      <c r="Z898" s="469" t="str">
        <f t="shared" si="571"/>
        <v/>
      </c>
      <c r="AA898" s="469" t="str">
        <f t="shared" si="576"/>
        <v>买入19-新22</v>
      </c>
      <c r="AB898" s="469">
        <v>167</v>
      </c>
      <c r="AC898" s="321">
        <v>0.152</v>
      </c>
      <c r="AD898" s="322">
        <v>0.152</v>
      </c>
      <c r="AE898" s="104"/>
      <c r="AF898" s="105">
        <v>31250</v>
      </c>
    </row>
    <row r="899" spans="1:32" ht="24.95" customHeight="1" x14ac:dyDescent="0.15">
      <c r="A899" s="316" t="s">
        <v>248</v>
      </c>
      <c r="B899" s="120" t="s">
        <v>263</v>
      </c>
      <c r="C899" s="316" t="str">
        <f t="shared" si="568"/>
        <v>到期</v>
      </c>
      <c r="D899" s="103" t="s">
        <v>1844</v>
      </c>
      <c r="E899" s="316" t="s">
        <v>298</v>
      </c>
      <c r="F899" s="470">
        <v>43774</v>
      </c>
      <c r="G899" s="470">
        <v>43802</v>
      </c>
      <c r="H899" s="469" t="s">
        <v>1550</v>
      </c>
      <c r="I899" s="469" t="s">
        <v>222</v>
      </c>
      <c r="J899" s="316" t="s">
        <v>56</v>
      </c>
      <c r="K899" s="105">
        <v>50</v>
      </c>
      <c r="L899" s="104">
        <v>49410</v>
      </c>
      <c r="M899" s="104">
        <v>47280</v>
      </c>
      <c r="N899" s="104">
        <f t="shared" si="574"/>
        <v>196.23</v>
      </c>
      <c r="O899" s="104">
        <f t="shared" si="569"/>
        <v>9811.5</v>
      </c>
      <c r="P899" s="101" t="s">
        <v>1663</v>
      </c>
      <c r="Q899" s="101" t="str">
        <f t="shared" si="575"/>
        <v>OTC-C00520-L</v>
      </c>
      <c r="R899" s="104"/>
      <c r="S899" s="104"/>
      <c r="T899" s="104"/>
      <c r="U899" s="104">
        <v>47080</v>
      </c>
      <c r="V899" s="104">
        <v>0</v>
      </c>
      <c r="W899" s="546">
        <v>43802</v>
      </c>
      <c r="X899" s="105">
        <f t="shared" si="573"/>
        <v>9811.5</v>
      </c>
      <c r="Y899" s="198">
        <f t="shared" si="570"/>
        <v>2364000</v>
      </c>
      <c r="Z899" s="469" t="str">
        <f t="shared" si="571"/>
        <v/>
      </c>
      <c r="AA899" s="469" t="str">
        <f t="shared" si="576"/>
        <v>买入19-新22</v>
      </c>
      <c r="AB899" s="469">
        <v>167</v>
      </c>
      <c r="AC899" s="321">
        <v>0.152</v>
      </c>
      <c r="AD899" s="322">
        <v>0.152</v>
      </c>
      <c r="AE899" s="104"/>
      <c r="AF899" s="105">
        <v>31250</v>
      </c>
    </row>
    <row r="900" spans="1:32" ht="24.95" customHeight="1" x14ac:dyDescent="0.15">
      <c r="A900" s="316" t="s">
        <v>248</v>
      </c>
      <c r="B900" s="120" t="s">
        <v>263</v>
      </c>
      <c r="C900" s="316" t="str">
        <f t="shared" si="568"/>
        <v>到期</v>
      </c>
      <c r="D900" s="103" t="s">
        <v>1844</v>
      </c>
      <c r="E900" s="316" t="s">
        <v>298</v>
      </c>
      <c r="F900" s="470">
        <v>43774</v>
      </c>
      <c r="G900" s="470">
        <v>43802</v>
      </c>
      <c r="H900" s="469" t="s">
        <v>1550</v>
      </c>
      <c r="I900" s="469" t="s">
        <v>222</v>
      </c>
      <c r="J900" s="316" t="s">
        <v>59</v>
      </c>
      <c r="K900" s="105">
        <v>50</v>
      </c>
      <c r="L900" s="104">
        <v>45630</v>
      </c>
      <c r="M900" s="104">
        <v>47280</v>
      </c>
      <c r="N900" s="104">
        <f t="shared" si="574"/>
        <v>196.23</v>
      </c>
      <c r="O900" s="104">
        <f t="shared" si="569"/>
        <v>9811.5</v>
      </c>
      <c r="P900" s="101" t="s">
        <v>1664</v>
      </c>
      <c r="Q900" s="101" t="str">
        <f t="shared" si="575"/>
        <v>OTC-C00520-L</v>
      </c>
      <c r="R900" s="104"/>
      <c r="S900" s="104"/>
      <c r="T900" s="104"/>
      <c r="U900" s="104">
        <v>47080</v>
      </c>
      <c r="V900" s="104">
        <v>0</v>
      </c>
      <c r="W900" s="546">
        <v>43802</v>
      </c>
      <c r="X900" s="105">
        <f t="shared" si="573"/>
        <v>9811.5</v>
      </c>
      <c r="Y900" s="198">
        <f t="shared" si="570"/>
        <v>2364000</v>
      </c>
      <c r="Z900" s="469" t="str">
        <f t="shared" si="571"/>
        <v/>
      </c>
      <c r="AA900" s="469" t="str">
        <f t="shared" si="576"/>
        <v>买入19-新22</v>
      </c>
      <c r="AB900" s="469">
        <v>167</v>
      </c>
      <c r="AC900" s="321">
        <v>0.152</v>
      </c>
      <c r="AD900" s="322">
        <v>0.152</v>
      </c>
      <c r="AE900" s="104"/>
      <c r="AF900" s="105">
        <v>31250</v>
      </c>
    </row>
    <row r="901" spans="1:32" ht="24.95" customHeight="1" x14ac:dyDescent="0.15">
      <c r="A901" s="316" t="s">
        <v>248</v>
      </c>
      <c r="B901" s="120" t="s">
        <v>263</v>
      </c>
      <c r="C901" s="316" t="str">
        <f t="shared" si="568"/>
        <v>到期</v>
      </c>
      <c r="D901" s="103" t="s">
        <v>1845</v>
      </c>
      <c r="E901" s="316" t="s">
        <v>298</v>
      </c>
      <c r="F901" s="470">
        <v>43774</v>
      </c>
      <c r="G901" s="470">
        <v>43802</v>
      </c>
      <c r="H901" s="469" t="s">
        <v>1550</v>
      </c>
      <c r="I901" s="469" t="s">
        <v>222</v>
      </c>
      <c r="J901" s="316" t="s">
        <v>56</v>
      </c>
      <c r="K901" s="105">
        <v>50</v>
      </c>
      <c r="L901" s="104">
        <v>49410</v>
      </c>
      <c r="M901" s="104">
        <v>47280</v>
      </c>
      <c r="N901" s="104">
        <f t="shared" si="574"/>
        <v>196.23</v>
      </c>
      <c r="O901" s="104">
        <f t="shared" si="569"/>
        <v>9811.5</v>
      </c>
      <c r="P901" s="101" t="s">
        <v>1665</v>
      </c>
      <c r="Q901" s="101" t="str">
        <f t="shared" si="575"/>
        <v>OTC-C00521-L</v>
      </c>
      <c r="R901" s="104"/>
      <c r="S901" s="104"/>
      <c r="T901" s="104"/>
      <c r="U901" s="104">
        <v>47080</v>
      </c>
      <c r="V901" s="104">
        <v>0</v>
      </c>
      <c r="W901" s="546">
        <v>43802</v>
      </c>
      <c r="X901" s="105">
        <f t="shared" si="573"/>
        <v>9811.5</v>
      </c>
      <c r="Y901" s="198">
        <f t="shared" si="570"/>
        <v>2364000</v>
      </c>
      <c r="Z901" s="469" t="str">
        <f t="shared" si="571"/>
        <v/>
      </c>
      <c r="AA901" s="469" t="str">
        <f t="shared" si="576"/>
        <v>买入19-新22</v>
      </c>
      <c r="AB901" s="469">
        <v>167</v>
      </c>
      <c r="AC901" s="321">
        <v>0.152</v>
      </c>
      <c r="AD901" s="322">
        <v>0.152</v>
      </c>
      <c r="AE901" s="104"/>
      <c r="AF901" s="105">
        <v>31250</v>
      </c>
    </row>
    <row r="902" spans="1:32" ht="24.95" customHeight="1" x14ac:dyDescent="0.15">
      <c r="A902" s="316" t="s">
        <v>248</v>
      </c>
      <c r="B902" s="120" t="s">
        <v>263</v>
      </c>
      <c r="C902" s="316" t="str">
        <f t="shared" si="568"/>
        <v>到期</v>
      </c>
      <c r="D902" s="103" t="s">
        <v>1845</v>
      </c>
      <c r="E902" s="316" t="s">
        <v>298</v>
      </c>
      <c r="F902" s="470">
        <v>43774</v>
      </c>
      <c r="G902" s="470">
        <v>43802</v>
      </c>
      <c r="H902" s="469" t="s">
        <v>1550</v>
      </c>
      <c r="I902" s="469" t="s">
        <v>222</v>
      </c>
      <c r="J902" s="316" t="s">
        <v>59</v>
      </c>
      <c r="K902" s="105">
        <v>50</v>
      </c>
      <c r="L902" s="104">
        <v>45630</v>
      </c>
      <c r="M902" s="104">
        <v>47280</v>
      </c>
      <c r="N902" s="104">
        <f t="shared" si="574"/>
        <v>196.23</v>
      </c>
      <c r="O902" s="104">
        <f t="shared" si="569"/>
        <v>9811.5</v>
      </c>
      <c r="P902" s="101" t="s">
        <v>1665</v>
      </c>
      <c r="Q902" s="101" t="str">
        <f t="shared" si="575"/>
        <v>OTC-C00521-L</v>
      </c>
      <c r="R902" s="104"/>
      <c r="S902" s="104"/>
      <c r="T902" s="104"/>
      <c r="U902" s="104">
        <v>47080</v>
      </c>
      <c r="V902" s="104">
        <v>0</v>
      </c>
      <c r="W902" s="546">
        <v>43802</v>
      </c>
      <c r="X902" s="105">
        <f t="shared" si="573"/>
        <v>9811.5</v>
      </c>
      <c r="Y902" s="198">
        <f t="shared" si="570"/>
        <v>2364000</v>
      </c>
      <c r="Z902" s="469" t="str">
        <f t="shared" si="571"/>
        <v/>
      </c>
      <c r="AA902" s="469" t="str">
        <f t="shared" si="576"/>
        <v>买入19-新22</v>
      </c>
      <c r="AB902" s="469">
        <v>167</v>
      </c>
      <c r="AC902" s="321">
        <v>0.152</v>
      </c>
      <c r="AD902" s="322">
        <v>0.152</v>
      </c>
      <c r="AE902" s="104"/>
      <c r="AF902" s="105">
        <v>31250</v>
      </c>
    </row>
    <row r="903" spans="1:32" ht="24.95" customHeight="1" x14ac:dyDescent="0.15">
      <c r="A903" s="316" t="s">
        <v>265</v>
      </c>
      <c r="B903" s="120" t="s">
        <v>263</v>
      </c>
      <c r="C903" s="316" t="str">
        <f t="shared" si="568"/>
        <v>到期</v>
      </c>
      <c r="D903" s="123" t="s">
        <v>1870</v>
      </c>
      <c r="E903" s="316" t="s">
        <v>298</v>
      </c>
      <c r="F903" s="472">
        <v>43774</v>
      </c>
      <c r="G903" s="472">
        <v>43791</v>
      </c>
      <c r="H903" s="471" t="s">
        <v>1657</v>
      </c>
      <c r="I903" s="471" t="s">
        <v>222</v>
      </c>
      <c r="J903" s="316" t="s">
        <v>59</v>
      </c>
      <c r="K903" s="471">
        <v>100</v>
      </c>
      <c r="L903" s="471">
        <v>4555</v>
      </c>
      <c r="M903" s="471">
        <v>4555</v>
      </c>
      <c r="N903" s="471">
        <v>66.599999999999994</v>
      </c>
      <c r="O903" s="104">
        <f t="shared" si="569"/>
        <v>6659.9999999999991</v>
      </c>
      <c r="P903" s="101" t="s">
        <v>1678</v>
      </c>
      <c r="Q903" s="101" t="str">
        <f>P903&amp;"-L"</f>
        <v>OTC-C00522-L</v>
      </c>
      <c r="R903" s="212"/>
      <c r="S903" s="212"/>
      <c r="T903" s="212"/>
      <c r="U903" s="105">
        <v>4503</v>
      </c>
      <c r="V903" s="471">
        <f>-(L903-U903)*K903</f>
        <v>-5200</v>
      </c>
      <c r="W903" s="48">
        <v>43791</v>
      </c>
      <c r="X903" s="105">
        <f t="shared" ref="X903" si="577">IF(I903="买入",V903-O903,V903+O903)</f>
        <v>1459.9999999999991</v>
      </c>
      <c r="Y903" s="198">
        <f t="shared" ref="Y903" si="578">M903*K903</f>
        <v>455500</v>
      </c>
      <c r="Z903" s="471" t="str">
        <f t="shared" ref="Z903:Z906" si="579">IF(C903="存续",D903&amp;H903&amp;"-"&amp;AA903,"")</f>
        <v/>
      </c>
      <c r="AA903" s="471" t="str">
        <f>IF(I903="买入","卖出","买入")</f>
        <v>买入</v>
      </c>
      <c r="AB903" s="471">
        <v>168</v>
      </c>
      <c r="AC903" s="321">
        <v>0.155</v>
      </c>
      <c r="AD903" s="322">
        <v>0.185</v>
      </c>
      <c r="AE903" s="104"/>
      <c r="AF903" s="105">
        <v>20000</v>
      </c>
    </row>
    <row r="904" spans="1:32" ht="24.95" customHeight="1" x14ac:dyDescent="0.15">
      <c r="A904" s="316" t="s">
        <v>265</v>
      </c>
      <c r="B904" s="120" t="s">
        <v>263</v>
      </c>
      <c r="C904" s="316" t="str">
        <f t="shared" ref="C904:C905" si="580">IF(Q904="","存续","到期")</f>
        <v>到期</v>
      </c>
      <c r="D904" s="123" t="s">
        <v>1835</v>
      </c>
      <c r="E904" s="316" t="s">
        <v>340</v>
      </c>
      <c r="F904" s="474">
        <v>43774</v>
      </c>
      <c r="G904" s="474">
        <v>43822</v>
      </c>
      <c r="H904" s="473" t="s">
        <v>1552</v>
      </c>
      <c r="I904" s="473" t="s">
        <v>1574</v>
      </c>
      <c r="J904" s="316" t="s">
        <v>56</v>
      </c>
      <c r="K904" s="473">
        <v>200</v>
      </c>
      <c r="L904" s="473">
        <v>12900</v>
      </c>
      <c r="M904" s="473">
        <v>12340</v>
      </c>
      <c r="N904" s="473">
        <v>115</v>
      </c>
      <c r="O904" s="473">
        <f>N904*K904</f>
        <v>23000</v>
      </c>
      <c r="P904" s="101" t="s">
        <v>1667</v>
      </c>
      <c r="Q904" s="101" t="str">
        <f>P904&amp;"-L"</f>
        <v>OTC-C00523-L</v>
      </c>
      <c r="R904" s="105"/>
      <c r="S904" s="105"/>
      <c r="T904" s="474"/>
      <c r="U904" s="473">
        <v>12715</v>
      </c>
      <c r="V904" s="473">
        <v>0</v>
      </c>
      <c r="W904" s="588">
        <v>43822</v>
      </c>
      <c r="X904" s="105">
        <f t="shared" si="573"/>
        <v>-23000</v>
      </c>
      <c r="Y904" s="473">
        <f t="shared" ref="Y904:Y905" si="581">ABS(M904*K904)</f>
        <v>2468000</v>
      </c>
      <c r="Z904" s="473" t="str">
        <f t="shared" si="579"/>
        <v/>
      </c>
      <c r="AA904" s="105" t="str">
        <f t="shared" ref="AA904:AA906" si="582">IF(I904="买入","卖出","买入")</f>
        <v>卖出</v>
      </c>
      <c r="AB904" s="473">
        <v>169</v>
      </c>
      <c r="AC904" s="321">
        <v>0.17499999999999999</v>
      </c>
      <c r="AD904" s="205">
        <v>0.20499999999999999</v>
      </c>
      <c r="AE904" s="473" t="s">
        <v>1335</v>
      </c>
      <c r="AF904" s="105"/>
    </row>
    <row r="905" spans="1:32" ht="24.95" customHeight="1" x14ac:dyDescent="0.15">
      <c r="A905" s="316" t="s">
        <v>265</v>
      </c>
      <c r="B905" s="120" t="s">
        <v>263</v>
      </c>
      <c r="C905" s="316" t="str">
        <f t="shared" si="580"/>
        <v>到期</v>
      </c>
      <c r="D905" s="123" t="s">
        <v>1835</v>
      </c>
      <c r="E905" s="316" t="s">
        <v>340</v>
      </c>
      <c r="F905" s="474">
        <v>43774</v>
      </c>
      <c r="G905" s="474">
        <v>43822</v>
      </c>
      <c r="H905" s="473" t="s">
        <v>1552</v>
      </c>
      <c r="I905" s="473" t="s">
        <v>1574</v>
      </c>
      <c r="J905" s="316" t="s">
        <v>224</v>
      </c>
      <c r="K905" s="473">
        <v>200</v>
      </c>
      <c r="L905" s="473">
        <v>11670</v>
      </c>
      <c r="M905" s="473">
        <v>12340</v>
      </c>
      <c r="N905" s="473">
        <v>85</v>
      </c>
      <c r="O905" s="473">
        <f>N905*K905</f>
        <v>17000</v>
      </c>
      <c r="P905" s="101" t="s">
        <v>1667</v>
      </c>
      <c r="Q905" s="101" t="str">
        <f>P905&amp;"-L"</f>
        <v>OTC-C00523-L</v>
      </c>
      <c r="R905" s="105"/>
      <c r="S905" s="105"/>
      <c r="T905" s="474"/>
      <c r="U905" s="473">
        <v>12715</v>
      </c>
      <c r="V905" s="473">
        <v>0</v>
      </c>
      <c r="W905" s="588">
        <v>43822</v>
      </c>
      <c r="X905" s="105">
        <f t="shared" si="573"/>
        <v>-17000</v>
      </c>
      <c r="Y905" s="473">
        <f t="shared" si="581"/>
        <v>2468000</v>
      </c>
      <c r="Z905" s="473" t="str">
        <f t="shared" si="579"/>
        <v/>
      </c>
      <c r="AA905" s="105" t="str">
        <f t="shared" si="582"/>
        <v>卖出</v>
      </c>
      <c r="AB905" s="473">
        <v>169</v>
      </c>
      <c r="AC905" s="321">
        <v>0.17499999999999999</v>
      </c>
      <c r="AD905" s="205">
        <v>0.20499999999999999</v>
      </c>
      <c r="AE905" s="473" t="s">
        <v>1335</v>
      </c>
      <c r="AF905" s="105"/>
    </row>
    <row r="906" spans="1:32" ht="32.450000000000003" customHeight="1" x14ac:dyDescent="0.15">
      <c r="A906" s="316" t="s">
        <v>265</v>
      </c>
      <c r="B906" s="120" t="s">
        <v>263</v>
      </c>
      <c r="C906" s="316" t="str">
        <f>IF(Q906="","存续","到期")</f>
        <v>到期</v>
      </c>
      <c r="D906" s="123" t="s">
        <v>1836</v>
      </c>
      <c r="E906" s="316" t="s">
        <v>298</v>
      </c>
      <c r="F906" s="48">
        <v>43775</v>
      </c>
      <c r="G906" s="476">
        <v>43804</v>
      </c>
      <c r="H906" s="475" t="s">
        <v>1055</v>
      </c>
      <c r="I906" s="475" t="s">
        <v>998</v>
      </c>
      <c r="J906" s="316" t="s">
        <v>59</v>
      </c>
      <c r="K906" s="475">
        <v>500</v>
      </c>
      <c r="L906" s="475">
        <v>4860</v>
      </c>
      <c r="M906" s="475">
        <v>4860</v>
      </c>
      <c r="N906" s="475">
        <v>115.52</v>
      </c>
      <c r="O906" s="105">
        <f t="shared" ref="O906" si="583">N906*K906</f>
        <v>57760</v>
      </c>
      <c r="P906" s="101" t="s">
        <v>1666</v>
      </c>
      <c r="Q906" s="101" t="str">
        <f t="shared" ref="Q906:Q911" si="584">P906&amp;"-L"</f>
        <v>OTC-C00524-L</v>
      </c>
      <c r="R906" s="212"/>
      <c r="S906" s="212"/>
      <c r="T906" s="212"/>
      <c r="U906" s="548">
        <v>4818</v>
      </c>
      <c r="V906" s="548">
        <f>(L906-U906)*K906</f>
        <v>21000</v>
      </c>
      <c r="W906" s="547">
        <v>43804</v>
      </c>
      <c r="X906" s="105">
        <f t="shared" ref="X906" si="585">IF(I906="买入",V906-O906,V906+O906)</f>
        <v>-36760</v>
      </c>
      <c r="Y906" s="198">
        <f>M906*K906</f>
        <v>2430000</v>
      </c>
      <c r="Z906" s="475" t="str">
        <f t="shared" si="579"/>
        <v/>
      </c>
      <c r="AA906" s="475" t="str">
        <f t="shared" si="582"/>
        <v>卖出</v>
      </c>
      <c r="AB906" s="475">
        <v>170</v>
      </c>
      <c r="AC906" s="321">
        <v>0.2</v>
      </c>
      <c r="AD906" s="205">
        <v>0.18</v>
      </c>
      <c r="AE906" s="475" t="s">
        <v>1335</v>
      </c>
      <c r="AF906" s="105"/>
    </row>
    <row r="907" spans="1:32" ht="32.450000000000003" customHeight="1" x14ac:dyDescent="0.15">
      <c r="A907" s="316" t="s">
        <v>265</v>
      </c>
      <c r="B907" s="120" t="s">
        <v>263</v>
      </c>
      <c r="C907" s="316" t="str">
        <f>IF(Q907="","存续","到期")</f>
        <v>到期</v>
      </c>
      <c r="D907" s="123" t="s">
        <v>1836</v>
      </c>
      <c r="E907" s="316" t="s">
        <v>298</v>
      </c>
      <c r="F907" s="48">
        <v>43776</v>
      </c>
      <c r="G907" s="478">
        <v>43805</v>
      </c>
      <c r="H907" s="477" t="s">
        <v>1055</v>
      </c>
      <c r="I907" s="477" t="s">
        <v>998</v>
      </c>
      <c r="J907" s="316" t="s">
        <v>59</v>
      </c>
      <c r="K907" s="477">
        <v>500</v>
      </c>
      <c r="L907" s="477">
        <v>4800</v>
      </c>
      <c r="M907" s="477">
        <v>4800</v>
      </c>
      <c r="N907" s="477">
        <v>114</v>
      </c>
      <c r="O907" s="105">
        <f t="shared" ref="O907" si="586">N907*K907</f>
        <v>57000</v>
      </c>
      <c r="P907" s="101" t="s">
        <v>1670</v>
      </c>
      <c r="Q907" s="101" t="str">
        <f t="shared" si="584"/>
        <v>OTC-C00525-L</v>
      </c>
      <c r="R907" s="105">
        <v>10.24</v>
      </c>
      <c r="S907" s="105">
        <f>R907*K907</f>
        <v>5120</v>
      </c>
      <c r="T907" s="550">
        <v>43805</v>
      </c>
      <c r="U907" s="549">
        <v>4790</v>
      </c>
      <c r="V907" s="212"/>
      <c r="W907" s="212"/>
      <c r="X907" s="104">
        <f t="shared" ref="X907" si="587">IF(I907="买入",S907-O907,O907+S907)</f>
        <v>-51880</v>
      </c>
      <c r="Y907" s="198">
        <f>M907*K907</f>
        <v>2400000</v>
      </c>
      <c r="Z907" s="477" t="str">
        <f t="shared" ref="Z907:Z911" si="588">IF(C907="存续",D907&amp;H907&amp;"-"&amp;AA907,"")</f>
        <v/>
      </c>
      <c r="AA907" s="477" t="str">
        <f t="shared" ref="AA907:AA911" si="589">IF(I907="买入","卖出","买入")</f>
        <v>卖出</v>
      </c>
      <c r="AB907" s="477">
        <v>171</v>
      </c>
      <c r="AC907" s="321">
        <v>0.19500000000000001</v>
      </c>
      <c r="AD907" s="205">
        <v>0.17499999999999999</v>
      </c>
      <c r="AE907" s="477" t="s">
        <v>1335</v>
      </c>
      <c r="AF907" s="105"/>
    </row>
    <row r="908" spans="1:32" ht="24.95" customHeight="1" x14ac:dyDescent="0.15">
      <c r="A908" s="316" t="s">
        <v>265</v>
      </c>
      <c r="B908" s="120" t="s">
        <v>263</v>
      </c>
      <c r="C908" s="316" t="str">
        <f t="shared" ref="C908:C916" si="590">IF(Q908="","存续","到期")</f>
        <v>到期</v>
      </c>
      <c r="D908" s="123" t="s">
        <v>1835</v>
      </c>
      <c r="E908" s="316" t="s">
        <v>255</v>
      </c>
      <c r="F908" s="480">
        <v>43777</v>
      </c>
      <c r="G908" s="480">
        <v>43791</v>
      </c>
      <c r="H908" s="479" t="s">
        <v>1676</v>
      </c>
      <c r="I908" s="479" t="s">
        <v>970</v>
      </c>
      <c r="J908" s="316" t="s">
        <v>56</v>
      </c>
      <c r="K908" s="479">
        <v>400</v>
      </c>
      <c r="L908" s="479">
        <v>4476.32</v>
      </c>
      <c r="M908" s="479">
        <v>4432</v>
      </c>
      <c r="N908" s="479">
        <v>30</v>
      </c>
      <c r="O908" s="479">
        <f>N908*K908</f>
        <v>12000</v>
      </c>
      <c r="P908" s="101" t="s">
        <v>1691</v>
      </c>
      <c r="Q908" s="101" t="str">
        <f t="shared" si="584"/>
        <v>OTC-C00526-L</v>
      </c>
      <c r="R908" s="105"/>
      <c r="S908" s="105"/>
      <c r="T908" s="480"/>
      <c r="U908" s="479">
        <v>4413</v>
      </c>
      <c r="V908" s="479">
        <v>0</v>
      </c>
      <c r="W908" s="48">
        <v>43791</v>
      </c>
      <c r="X908" s="105">
        <f t="shared" ref="X908:X913" si="591">IF(I908="买入",V908-O908,V908+O908)</f>
        <v>-12000</v>
      </c>
      <c r="Y908" s="479">
        <f t="shared" ref="Y908:Y909" si="592">ABS(M908*K908)</f>
        <v>1772800</v>
      </c>
      <c r="Z908" s="479" t="str">
        <f t="shared" si="588"/>
        <v/>
      </c>
      <c r="AA908" s="105" t="str">
        <f t="shared" si="589"/>
        <v>卖出</v>
      </c>
      <c r="AB908" s="479">
        <v>172</v>
      </c>
      <c r="AC908" s="321">
        <v>0.14000000000000001</v>
      </c>
      <c r="AD908" s="205">
        <v>0.12</v>
      </c>
      <c r="AE908" s="479" t="s">
        <v>1335</v>
      </c>
      <c r="AF908" s="105"/>
    </row>
    <row r="909" spans="1:32" ht="24.95" customHeight="1" x14ac:dyDescent="0.15">
      <c r="A909" s="316" t="s">
        <v>265</v>
      </c>
      <c r="B909" s="120" t="s">
        <v>263</v>
      </c>
      <c r="C909" s="316" t="str">
        <f t="shared" si="590"/>
        <v>到期</v>
      </c>
      <c r="D909" s="123" t="s">
        <v>1835</v>
      </c>
      <c r="E909" s="316" t="s">
        <v>255</v>
      </c>
      <c r="F909" s="480">
        <v>43777</v>
      </c>
      <c r="G909" s="480">
        <v>43791</v>
      </c>
      <c r="H909" s="479" t="s">
        <v>1676</v>
      </c>
      <c r="I909" s="479" t="s">
        <v>970</v>
      </c>
      <c r="J909" s="316" t="s">
        <v>224</v>
      </c>
      <c r="K909" s="479">
        <v>400</v>
      </c>
      <c r="L909" s="479">
        <v>4387.68</v>
      </c>
      <c r="M909" s="479">
        <v>4432</v>
      </c>
      <c r="N909" s="479">
        <v>30</v>
      </c>
      <c r="O909" s="479">
        <f>N909*K909</f>
        <v>12000</v>
      </c>
      <c r="P909" s="101" t="s">
        <v>1692</v>
      </c>
      <c r="Q909" s="101" t="str">
        <f t="shared" si="584"/>
        <v>OTC-C00526-L</v>
      </c>
      <c r="R909" s="105"/>
      <c r="S909" s="105"/>
      <c r="T909" s="480"/>
      <c r="U909" s="479">
        <v>4413</v>
      </c>
      <c r="V909" s="479">
        <v>0</v>
      </c>
      <c r="W909" s="48">
        <v>43791</v>
      </c>
      <c r="X909" s="105">
        <f t="shared" si="591"/>
        <v>-12000</v>
      </c>
      <c r="Y909" s="479">
        <f t="shared" si="592"/>
        <v>1772800</v>
      </c>
      <c r="Z909" s="479" t="str">
        <f t="shared" si="588"/>
        <v/>
      </c>
      <c r="AA909" s="105" t="str">
        <f t="shared" si="589"/>
        <v>卖出</v>
      </c>
      <c r="AB909" s="479">
        <v>172</v>
      </c>
      <c r="AC909" s="321">
        <v>0.14000000000000001</v>
      </c>
      <c r="AD909" s="205">
        <v>0.12</v>
      </c>
      <c r="AE909" s="479" t="s">
        <v>1335</v>
      </c>
      <c r="AF909" s="105"/>
    </row>
    <row r="910" spans="1:32" ht="24.95" customHeight="1" x14ac:dyDescent="0.15">
      <c r="A910" s="316" t="s">
        <v>265</v>
      </c>
      <c r="B910" s="120" t="s">
        <v>263</v>
      </c>
      <c r="C910" s="316" t="str">
        <f t="shared" si="590"/>
        <v>到期</v>
      </c>
      <c r="D910" s="123" t="s">
        <v>1840</v>
      </c>
      <c r="E910" s="316" t="s">
        <v>340</v>
      </c>
      <c r="F910" s="483">
        <v>43780</v>
      </c>
      <c r="G910" s="483">
        <v>43797</v>
      </c>
      <c r="H910" s="482" t="s">
        <v>1677</v>
      </c>
      <c r="I910" s="482" t="s">
        <v>222</v>
      </c>
      <c r="J910" s="316" t="s">
        <v>1070</v>
      </c>
      <c r="K910" s="482">
        <v>500</v>
      </c>
      <c r="L910" s="482">
        <v>7150</v>
      </c>
      <c r="M910" s="482">
        <v>7150</v>
      </c>
      <c r="N910" s="482">
        <v>88.472999999999999</v>
      </c>
      <c r="O910" s="482">
        <f t="shared" ref="O910:O927" si="593">N910*K910</f>
        <v>44236.5</v>
      </c>
      <c r="P910" s="101" t="s">
        <v>2006</v>
      </c>
      <c r="Q910" s="101" t="str">
        <f t="shared" si="584"/>
        <v>OTC-C00527-L</v>
      </c>
      <c r="R910" s="301"/>
      <c r="S910" s="301"/>
      <c r="T910" s="212"/>
      <c r="U910" s="528">
        <v>7220</v>
      </c>
      <c r="V910" s="528">
        <f>-(U910-L910)*K910</f>
        <v>-35000</v>
      </c>
      <c r="W910" s="529">
        <v>43797</v>
      </c>
      <c r="X910" s="105">
        <f t="shared" si="591"/>
        <v>9236.5</v>
      </c>
      <c r="Y910" s="198">
        <f t="shared" ref="Y910:Y911" si="594">M910*K910</f>
        <v>3575000</v>
      </c>
      <c r="Z910" s="482" t="str">
        <f t="shared" si="588"/>
        <v/>
      </c>
      <c r="AA910" s="482" t="str">
        <f t="shared" si="589"/>
        <v>买入</v>
      </c>
      <c r="AB910" s="482">
        <v>173</v>
      </c>
      <c r="AC910" s="321">
        <v>0.13</v>
      </c>
      <c r="AD910" s="205"/>
      <c r="AE910" s="213"/>
      <c r="AF910" s="353"/>
    </row>
    <row r="911" spans="1:32" ht="24.95" customHeight="1" x14ac:dyDescent="0.15">
      <c r="A911" s="316" t="s">
        <v>265</v>
      </c>
      <c r="B911" s="120" t="s">
        <v>263</v>
      </c>
      <c r="C911" s="316" t="str">
        <f t="shared" si="590"/>
        <v>到期</v>
      </c>
      <c r="D911" s="123" t="s">
        <v>1840</v>
      </c>
      <c r="E911" s="316" t="s">
        <v>340</v>
      </c>
      <c r="F911" s="483">
        <v>43780</v>
      </c>
      <c r="G911" s="483">
        <v>43797</v>
      </c>
      <c r="H911" s="482" t="s">
        <v>1677</v>
      </c>
      <c r="I911" s="482" t="s">
        <v>222</v>
      </c>
      <c r="J911" s="316" t="s">
        <v>1647</v>
      </c>
      <c r="K911" s="482">
        <v>500</v>
      </c>
      <c r="L911" s="482">
        <v>7150</v>
      </c>
      <c r="M911" s="482">
        <v>7150</v>
      </c>
      <c r="N911" s="482">
        <v>88.472999999999999</v>
      </c>
      <c r="O911" s="482">
        <f t="shared" si="593"/>
        <v>44236.5</v>
      </c>
      <c r="P911" s="101" t="s">
        <v>2006</v>
      </c>
      <c r="Q911" s="101" t="str">
        <f t="shared" si="584"/>
        <v>OTC-C00527-L</v>
      </c>
      <c r="R911" s="301"/>
      <c r="S911" s="301"/>
      <c r="T911" s="212"/>
      <c r="U911" s="528">
        <v>7220</v>
      </c>
      <c r="V911" s="528">
        <v>0</v>
      </c>
      <c r="W911" s="529">
        <v>43797</v>
      </c>
      <c r="X911" s="105">
        <f t="shared" si="591"/>
        <v>44236.5</v>
      </c>
      <c r="Y911" s="198">
        <f t="shared" si="594"/>
        <v>3575000</v>
      </c>
      <c r="Z911" s="482" t="str">
        <f t="shared" si="588"/>
        <v/>
      </c>
      <c r="AA911" s="482" t="str">
        <f t="shared" si="589"/>
        <v>买入</v>
      </c>
      <c r="AB911" s="482">
        <v>173</v>
      </c>
      <c r="AC911" s="321">
        <v>0.13</v>
      </c>
      <c r="AD911" s="205"/>
      <c r="AE911" s="213"/>
      <c r="AF911" s="353"/>
    </row>
    <row r="912" spans="1:32" ht="24.95" customHeight="1" x14ac:dyDescent="0.15">
      <c r="A912" s="316" t="s">
        <v>265</v>
      </c>
      <c r="B912" s="120" t="s">
        <v>263</v>
      </c>
      <c r="C912" s="316" t="str">
        <f t="shared" si="590"/>
        <v>到期</v>
      </c>
      <c r="D912" s="123" t="s">
        <v>1881</v>
      </c>
      <c r="E912" s="316" t="s">
        <v>340</v>
      </c>
      <c r="F912" s="485">
        <v>43780</v>
      </c>
      <c r="G912" s="485">
        <v>43810</v>
      </c>
      <c r="H912" s="484" t="s">
        <v>1679</v>
      </c>
      <c r="I912" s="484" t="s">
        <v>222</v>
      </c>
      <c r="J912" s="316" t="s">
        <v>56</v>
      </c>
      <c r="K912" s="484">
        <v>1000</v>
      </c>
      <c r="L912" s="484">
        <v>4700</v>
      </c>
      <c r="M912" s="484">
        <v>4700</v>
      </c>
      <c r="N912" s="484">
        <v>99.366</v>
      </c>
      <c r="O912" s="484">
        <f t="shared" si="593"/>
        <v>99366</v>
      </c>
      <c r="P912" s="101" t="s">
        <v>2007</v>
      </c>
      <c r="Q912" s="101" t="str">
        <f>P912&amp;"-L"</f>
        <v>OTC-C00528-L</v>
      </c>
      <c r="R912" s="301"/>
      <c r="S912" s="301"/>
      <c r="T912" s="212"/>
      <c r="U912" s="557">
        <v>4780</v>
      </c>
      <c r="V912" s="557">
        <f>-(U912-L912)*K912</f>
        <v>-80000</v>
      </c>
      <c r="W912" s="558">
        <v>43810</v>
      </c>
      <c r="X912" s="105">
        <f t="shared" si="591"/>
        <v>19366</v>
      </c>
      <c r="Y912" s="198">
        <f t="shared" ref="Y912:Y927" si="595">M912*K912</f>
        <v>4700000</v>
      </c>
      <c r="Z912" s="484" t="str">
        <f t="shared" ref="Z912:Z915" si="596">IF(C912="存续",D912&amp;H912&amp;"-"&amp;AA912,"")</f>
        <v/>
      </c>
      <c r="AA912" s="484" t="str">
        <f t="shared" ref="AA912:AA916" si="597">IF(I912="买入","卖出","买入")</f>
        <v>买入</v>
      </c>
      <c r="AB912" s="484">
        <v>174</v>
      </c>
      <c r="AC912" s="321">
        <v>0.17499999999999999</v>
      </c>
      <c r="AD912" s="205">
        <v>0.2</v>
      </c>
      <c r="AE912" s="213"/>
      <c r="AF912" s="353">
        <f>210000/2</f>
        <v>105000</v>
      </c>
    </row>
    <row r="913" spans="1:34" ht="24.95" customHeight="1" x14ac:dyDescent="0.15">
      <c r="A913" s="316" t="s">
        <v>265</v>
      </c>
      <c r="B913" s="120" t="s">
        <v>263</v>
      </c>
      <c r="C913" s="316" t="str">
        <f t="shared" si="590"/>
        <v>到期</v>
      </c>
      <c r="D913" s="123" t="s">
        <v>1881</v>
      </c>
      <c r="E913" s="316" t="s">
        <v>340</v>
      </c>
      <c r="F913" s="485">
        <v>43780</v>
      </c>
      <c r="G913" s="485">
        <v>43810</v>
      </c>
      <c r="H913" s="484" t="s">
        <v>1679</v>
      </c>
      <c r="I913" s="484" t="s">
        <v>222</v>
      </c>
      <c r="J913" s="316" t="s">
        <v>224</v>
      </c>
      <c r="K913" s="484">
        <v>1000</v>
      </c>
      <c r="L913" s="484">
        <v>4700</v>
      </c>
      <c r="M913" s="484">
        <v>4700</v>
      </c>
      <c r="N913" s="484">
        <v>99.366</v>
      </c>
      <c r="O913" s="484">
        <f t="shared" si="593"/>
        <v>99366</v>
      </c>
      <c r="P913" s="101" t="s">
        <v>2007</v>
      </c>
      <c r="Q913" s="101" t="str">
        <f t="shared" ref="Q913:Q916" si="598">P913&amp;"-L"</f>
        <v>OTC-C00528-L</v>
      </c>
      <c r="R913" s="301"/>
      <c r="S913" s="301"/>
      <c r="T913" s="212"/>
      <c r="U913" s="557">
        <v>4780</v>
      </c>
      <c r="V913" s="557">
        <v>0</v>
      </c>
      <c r="W913" s="558">
        <v>43810</v>
      </c>
      <c r="X913" s="105">
        <f t="shared" si="591"/>
        <v>99366</v>
      </c>
      <c r="Y913" s="198">
        <f t="shared" si="595"/>
        <v>4700000</v>
      </c>
      <c r="Z913" s="484" t="str">
        <f t="shared" si="596"/>
        <v/>
      </c>
      <c r="AA913" s="484" t="str">
        <f t="shared" si="597"/>
        <v>买入</v>
      </c>
      <c r="AB913" s="484">
        <v>174</v>
      </c>
      <c r="AC913" s="321">
        <v>0.17499999999999999</v>
      </c>
      <c r="AD913" s="205">
        <v>0.2</v>
      </c>
      <c r="AE913" s="213"/>
      <c r="AF913" s="353">
        <f>210000/2</f>
        <v>105000</v>
      </c>
    </row>
    <row r="914" spans="1:34" ht="24.95" customHeight="1" x14ac:dyDescent="0.15">
      <c r="A914" s="316" t="s">
        <v>265</v>
      </c>
      <c r="B914" s="120" t="s">
        <v>263</v>
      </c>
      <c r="C914" s="316" t="str">
        <f t="shared" si="590"/>
        <v>到期</v>
      </c>
      <c r="D914" s="123" t="s">
        <v>1881</v>
      </c>
      <c r="E914" s="316" t="s">
        <v>340</v>
      </c>
      <c r="F914" s="485">
        <v>43780</v>
      </c>
      <c r="G914" s="485">
        <v>43810</v>
      </c>
      <c r="H914" s="484" t="s">
        <v>1680</v>
      </c>
      <c r="I914" s="484" t="s">
        <v>222</v>
      </c>
      <c r="J914" s="316" t="s">
        <v>56</v>
      </c>
      <c r="K914" s="484">
        <v>1000</v>
      </c>
      <c r="L914" s="484">
        <v>4602</v>
      </c>
      <c r="M914" s="484">
        <v>4602</v>
      </c>
      <c r="N914" s="484">
        <v>67.213999999999999</v>
      </c>
      <c r="O914" s="484">
        <f t="shared" si="593"/>
        <v>67214</v>
      </c>
      <c r="P914" s="101" t="s">
        <v>2008</v>
      </c>
      <c r="Q914" s="101" t="str">
        <f t="shared" si="598"/>
        <v>OTC-C00529-L</v>
      </c>
      <c r="R914" s="105">
        <v>0</v>
      </c>
      <c r="S914" s="105">
        <v>0</v>
      </c>
      <c r="T914" s="554">
        <v>43810</v>
      </c>
      <c r="U914" s="553">
        <v>4428</v>
      </c>
      <c r="V914" s="212"/>
      <c r="W914" s="485"/>
      <c r="X914" s="104">
        <f t="shared" ref="X914:X915" si="599">IF(I914="买入",S914-O914,O914+S914)</f>
        <v>67214</v>
      </c>
      <c r="Y914" s="198">
        <f t="shared" si="595"/>
        <v>4602000</v>
      </c>
      <c r="Z914" s="484" t="str">
        <f t="shared" si="596"/>
        <v/>
      </c>
      <c r="AA914" s="484" t="str">
        <f t="shared" si="597"/>
        <v>买入</v>
      </c>
      <c r="AB914" s="484">
        <v>175</v>
      </c>
      <c r="AC914" s="321">
        <v>0.12</v>
      </c>
      <c r="AD914" s="205">
        <v>0.14000000000000001</v>
      </c>
      <c r="AE914" s="213"/>
      <c r="AF914" s="353">
        <f>190000/2</f>
        <v>95000</v>
      </c>
    </row>
    <row r="915" spans="1:34" ht="24.95" customHeight="1" x14ac:dyDescent="0.15">
      <c r="A915" s="316" t="s">
        <v>265</v>
      </c>
      <c r="B915" s="120" t="s">
        <v>263</v>
      </c>
      <c r="C915" s="316" t="str">
        <f t="shared" si="590"/>
        <v>到期</v>
      </c>
      <c r="D915" s="123" t="s">
        <v>1881</v>
      </c>
      <c r="E915" s="316" t="s">
        <v>340</v>
      </c>
      <c r="F915" s="485">
        <v>43780</v>
      </c>
      <c r="G915" s="485">
        <v>43810</v>
      </c>
      <c r="H915" s="484" t="s">
        <v>1681</v>
      </c>
      <c r="I915" s="484" t="s">
        <v>222</v>
      </c>
      <c r="J915" s="316" t="s">
        <v>224</v>
      </c>
      <c r="K915" s="484">
        <v>1000</v>
      </c>
      <c r="L915" s="484">
        <v>4602</v>
      </c>
      <c r="M915" s="484">
        <v>4602</v>
      </c>
      <c r="N915" s="484">
        <v>67.213999999999999</v>
      </c>
      <c r="O915" s="484">
        <f t="shared" si="593"/>
        <v>67214</v>
      </c>
      <c r="P915" s="101" t="s">
        <v>2008</v>
      </c>
      <c r="Q915" s="101" t="str">
        <f t="shared" si="598"/>
        <v>OTC-C00529-L</v>
      </c>
      <c r="R915" s="105">
        <v>174</v>
      </c>
      <c r="S915" s="105">
        <f>-R915*K915</f>
        <v>-174000</v>
      </c>
      <c r="T915" s="554">
        <v>43810</v>
      </c>
      <c r="U915" s="553">
        <v>4428</v>
      </c>
      <c r="V915" s="212"/>
      <c r="W915" s="485"/>
      <c r="X915" s="104">
        <f t="shared" si="599"/>
        <v>-106786</v>
      </c>
      <c r="Y915" s="198">
        <f t="shared" si="595"/>
        <v>4602000</v>
      </c>
      <c r="Z915" s="484" t="str">
        <f t="shared" si="596"/>
        <v/>
      </c>
      <c r="AA915" s="484" t="str">
        <f t="shared" si="597"/>
        <v>买入</v>
      </c>
      <c r="AB915" s="484">
        <v>175</v>
      </c>
      <c r="AC915" s="321">
        <v>0.12</v>
      </c>
      <c r="AD915" s="205">
        <v>0.14000000000000001</v>
      </c>
      <c r="AE915" s="213"/>
      <c r="AF915" s="353">
        <f>190000/2</f>
        <v>95000</v>
      </c>
    </row>
    <row r="916" spans="1:34" ht="20.25" customHeight="1" x14ac:dyDescent="0.15">
      <c r="A916" s="316" t="s">
        <v>265</v>
      </c>
      <c r="B916" s="316" t="s">
        <v>297</v>
      </c>
      <c r="C916" s="316" t="str">
        <f t="shared" si="590"/>
        <v>到期</v>
      </c>
      <c r="D916" s="123" t="s">
        <v>1859</v>
      </c>
      <c r="E916" s="316" t="s">
        <v>298</v>
      </c>
      <c r="F916" s="48">
        <v>43780</v>
      </c>
      <c r="G916" s="487">
        <v>43810</v>
      </c>
      <c r="H916" s="486" t="s">
        <v>1682</v>
      </c>
      <c r="I916" s="486" t="s">
        <v>978</v>
      </c>
      <c r="J916" s="316" t="s">
        <v>59</v>
      </c>
      <c r="K916" s="105">
        <v>300</v>
      </c>
      <c r="L916" s="105">
        <v>17500</v>
      </c>
      <c r="M916" s="105">
        <v>18545</v>
      </c>
      <c r="N916" s="105">
        <v>28.48</v>
      </c>
      <c r="O916" s="105">
        <f t="shared" si="593"/>
        <v>8544</v>
      </c>
      <c r="P916" s="101" t="s">
        <v>2009</v>
      </c>
      <c r="Q916" s="101" t="str">
        <f t="shared" si="598"/>
        <v>OTC-C00530-L</v>
      </c>
      <c r="R916" s="105"/>
      <c r="S916" s="105"/>
      <c r="T916" s="486"/>
      <c r="U916" s="486">
        <v>18020</v>
      </c>
      <c r="V916" s="486">
        <v>0</v>
      </c>
      <c r="W916" s="556">
        <v>43810</v>
      </c>
      <c r="X916" s="555">
        <f>IF(I916="买入",V916-O916,V916+O916)</f>
        <v>8544</v>
      </c>
      <c r="Y916" s="198">
        <f t="shared" si="595"/>
        <v>5563500</v>
      </c>
      <c r="Z916" s="486" t="str">
        <f>IF(C916="存续",D916&amp;H916&amp;"-"&amp;AA916,"")</f>
        <v/>
      </c>
      <c r="AA916" s="486" t="str">
        <f t="shared" si="597"/>
        <v>买入</v>
      </c>
      <c r="AB916" s="486">
        <v>176</v>
      </c>
      <c r="AC916" s="321">
        <v>0.14000000000000001</v>
      </c>
      <c r="AD916" s="205">
        <v>0.16</v>
      </c>
      <c r="AE916" s="205"/>
      <c r="AF916" s="105">
        <f>200*K916</f>
        <v>60000</v>
      </c>
    </row>
    <row r="917" spans="1:34" ht="20.25" customHeight="1" x14ac:dyDescent="0.15">
      <c r="A917" s="316" t="s">
        <v>265</v>
      </c>
      <c r="B917" s="316" t="s">
        <v>297</v>
      </c>
      <c r="C917" s="316" t="str">
        <f t="shared" ref="C917:C932" si="600">IF(Q917="","存续","到期")</f>
        <v>到期</v>
      </c>
      <c r="D917" s="123" t="s">
        <v>1882</v>
      </c>
      <c r="E917" s="316" t="s">
        <v>1683</v>
      </c>
      <c r="F917" s="48">
        <v>43781</v>
      </c>
      <c r="G917" s="489">
        <v>43795</v>
      </c>
      <c r="H917" s="488" t="s">
        <v>977</v>
      </c>
      <c r="I917" s="488" t="s">
        <v>978</v>
      </c>
      <c r="J917" s="316" t="s">
        <v>59</v>
      </c>
      <c r="K917" s="105">
        <v>100</v>
      </c>
      <c r="L917" s="105">
        <v>1950</v>
      </c>
      <c r="M917" s="105">
        <v>1950</v>
      </c>
      <c r="N917" s="105">
        <v>32.39</v>
      </c>
      <c r="O917" s="105">
        <f t="shared" si="593"/>
        <v>3239</v>
      </c>
      <c r="P917" s="101" t="s">
        <v>2010</v>
      </c>
      <c r="Q917" s="101" t="str">
        <f>P917&amp;"-L"</f>
        <v>OTC-C00531-L</v>
      </c>
      <c r="R917" s="105"/>
      <c r="S917" s="105"/>
      <c r="T917" s="488"/>
      <c r="U917" s="488">
        <v>1977</v>
      </c>
      <c r="V917" s="488">
        <v>0</v>
      </c>
      <c r="W917" s="519">
        <v>43795</v>
      </c>
      <c r="X917" s="105">
        <f t="shared" ref="X917:X927" si="601">IF(I917="买入",V917-O917,V917+O917)</f>
        <v>3239</v>
      </c>
      <c r="Y917" s="198">
        <f t="shared" si="595"/>
        <v>195000</v>
      </c>
      <c r="Z917" s="488" t="str">
        <f>IF(C917="存续",D917&amp;H917&amp;"-"&amp;AA917,"")</f>
        <v/>
      </c>
      <c r="AA917" s="488" t="str">
        <f t="shared" ref="AA917" si="602">IF(I917="买入","卖出","买入")</f>
        <v>买入</v>
      </c>
      <c r="AB917" s="488">
        <v>177</v>
      </c>
      <c r="AC917" s="321">
        <v>0.2</v>
      </c>
      <c r="AD917" s="205">
        <v>0.22</v>
      </c>
      <c r="AE917" s="205"/>
      <c r="AF917" s="105">
        <v>8000</v>
      </c>
    </row>
    <row r="918" spans="1:34" ht="24.95" customHeight="1" x14ac:dyDescent="0.15">
      <c r="A918" s="316" t="s">
        <v>248</v>
      </c>
      <c r="B918" s="120" t="s">
        <v>263</v>
      </c>
      <c r="C918" s="316" t="str">
        <f t="shared" si="600"/>
        <v>到期</v>
      </c>
      <c r="D918" s="103" t="s">
        <v>1841</v>
      </c>
      <c r="E918" s="316" t="s">
        <v>298</v>
      </c>
      <c r="F918" s="48">
        <v>43781</v>
      </c>
      <c r="G918" s="489">
        <v>43809</v>
      </c>
      <c r="H918" s="488" t="s">
        <v>1550</v>
      </c>
      <c r="I918" s="488" t="s">
        <v>222</v>
      </c>
      <c r="J918" s="316" t="s">
        <v>56</v>
      </c>
      <c r="K918" s="105">
        <v>50</v>
      </c>
      <c r="L918" s="104">
        <v>49270</v>
      </c>
      <c r="M918" s="104">
        <v>47150</v>
      </c>
      <c r="N918" s="104">
        <f>391.38/2</f>
        <v>195.69</v>
      </c>
      <c r="O918" s="104">
        <f>N918*K918</f>
        <v>9784.5</v>
      </c>
      <c r="P918" s="101" t="s">
        <v>2011</v>
      </c>
      <c r="Q918" s="101" t="str">
        <f>P918&amp;"-L"</f>
        <v>OTC-C00532-L</v>
      </c>
      <c r="R918" s="104"/>
      <c r="S918" s="104"/>
      <c r="T918" s="104"/>
      <c r="U918" s="104">
        <v>48540</v>
      </c>
      <c r="V918" s="104">
        <v>0</v>
      </c>
      <c r="W918" s="552">
        <v>43809</v>
      </c>
      <c r="X918" s="105">
        <f t="shared" si="601"/>
        <v>9784.5</v>
      </c>
      <c r="Y918" s="198">
        <f t="shared" si="595"/>
        <v>2357500</v>
      </c>
      <c r="Z918" s="488" t="str">
        <f t="shared" ref="Z918:Z931" si="603">IF(C918="存续",D918&amp;H918&amp;"-"&amp;AA918,"")</f>
        <v/>
      </c>
      <c r="AA918" s="488" t="str">
        <f>IF(I918="买入","卖出","买入19-新23")</f>
        <v>买入19-新23</v>
      </c>
      <c r="AB918" s="488">
        <v>178</v>
      </c>
      <c r="AC918" s="321">
        <v>0.152</v>
      </c>
      <c r="AD918" s="322">
        <v>0.152</v>
      </c>
      <c r="AE918" s="104"/>
      <c r="AF918" s="105">
        <v>31250</v>
      </c>
    </row>
    <row r="919" spans="1:34" ht="24.95" customHeight="1" x14ac:dyDescent="0.15">
      <c r="A919" s="316" t="s">
        <v>248</v>
      </c>
      <c r="B919" s="120" t="s">
        <v>263</v>
      </c>
      <c r="C919" s="316" t="str">
        <f t="shared" si="600"/>
        <v>到期</v>
      </c>
      <c r="D919" s="103" t="s">
        <v>1841</v>
      </c>
      <c r="E919" s="316" t="s">
        <v>298</v>
      </c>
      <c r="F919" s="48">
        <v>43781</v>
      </c>
      <c r="G919" s="489">
        <v>43809</v>
      </c>
      <c r="H919" s="488" t="s">
        <v>1550</v>
      </c>
      <c r="I919" s="488" t="s">
        <v>222</v>
      </c>
      <c r="J919" s="316" t="s">
        <v>59</v>
      </c>
      <c r="K919" s="105">
        <v>50</v>
      </c>
      <c r="L919" s="104">
        <v>45500</v>
      </c>
      <c r="M919" s="104">
        <v>47150</v>
      </c>
      <c r="N919" s="104">
        <f t="shared" ref="N919:N927" si="604">391.38/2</f>
        <v>195.69</v>
      </c>
      <c r="O919" s="104">
        <f t="shared" si="593"/>
        <v>9784.5</v>
      </c>
      <c r="P919" s="101" t="s">
        <v>2011</v>
      </c>
      <c r="Q919" s="101" t="str">
        <f t="shared" ref="Q919:Q927" si="605">P919&amp;"-L"</f>
        <v>OTC-C00532-L</v>
      </c>
      <c r="R919" s="104"/>
      <c r="S919" s="104"/>
      <c r="T919" s="104"/>
      <c r="U919" s="104">
        <v>48540</v>
      </c>
      <c r="V919" s="104">
        <v>0</v>
      </c>
      <c r="W919" s="552">
        <v>43809</v>
      </c>
      <c r="X919" s="105">
        <f t="shared" si="601"/>
        <v>9784.5</v>
      </c>
      <c r="Y919" s="198">
        <f t="shared" si="595"/>
        <v>2357500</v>
      </c>
      <c r="Z919" s="488" t="str">
        <f t="shared" si="603"/>
        <v/>
      </c>
      <c r="AA919" s="488" t="str">
        <f t="shared" ref="AA919:AA927" si="606">IF(I919="买入","卖出","买入19-新23")</f>
        <v>买入19-新23</v>
      </c>
      <c r="AB919" s="488">
        <v>178</v>
      </c>
      <c r="AC919" s="321">
        <v>0.152</v>
      </c>
      <c r="AD919" s="322">
        <v>0.152</v>
      </c>
      <c r="AE919" s="104"/>
      <c r="AF919" s="105">
        <v>31250</v>
      </c>
    </row>
    <row r="920" spans="1:34" ht="24.95" customHeight="1" x14ac:dyDescent="0.15">
      <c r="A920" s="316" t="s">
        <v>248</v>
      </c>
      <c r="B920" s="120" t="s">
        <v>263</v>
      </c>
      <c r="C920" s="316" t="str">
        <f t="shared" si="600"/>
        <v>到期</v>
      </c>
      <c r="D920" s="103" t="s">
        <v>1842</v>
      </c>
      <c r="E920" s="316" t="s">
        <v>298</v>
      </c>
      <c r="F920" s="48">
        <v>43781</v>
      </c>
      <c r="G920" s="489">
        <v>43809</v>
      </c>
      <c r="H920" s="488" t="s">
        <v>1550</v>
      </c>
      <c r="I920" s="488" t="s">
        <v>222</v>
      </c>
      <c r="J920" s="316" t="s">
        <v>56</v>
      </c>
      <c r="K920" s="105">
        <v>50</v>
      </c>
      <c r="L920" s="104">
        <v>49270</v>
      </c>
      <c r="M920" s="104">
        <v>47150</v>
      </c>
      <c r="N920" s="104">
        <f t="shared" si="604"/>
        <v>195.69</v>
      </c>
      <c r="O920" s="104">
        <f t="shared" si="593"/>
        <v>9784.5</v>
      </c>
      <c r="P920" s="101" t="s">
        <v>2012</v>
      </c>
      <c r="Q920" s="101" t="str">
        <f t="shared" si="605"/>
        <v>OTC-C00533-L</v>
      </c>
      <c r="R920" s="104"/>
      <c r="S920" s="104"/>
      <c r="T920" s="104"/>
      <c r="U920" s="104">
        <v>48540</v>
      </c>
      <c r="V920" s="104">
        <v>0</v>
      </c>
      <c r="W920" s="552">
        <v>43809</v>
      </c>
      <c r="X920" s="105">
        <f t="shared" si="601"/>
        <v>9784.5</v>
      </c>
      <c r="Y920" s="198">
        <f t="shared" si="595"/>
        <v>2357500</v>
      </c>
      <c r="Z920" s="488" t="str">
        <f t="shared" si="603"/>
        <v/>
      </c>
      <c r="AA920" s="488" t="str">
        <f t="shared" si="606"/>
        <v>买入19-新23</v>
      </c>
      <c r="AB920" s="488">
        <v>178</v>
      </c>
      <c r="AC920" s="321">
        <v>0.152</v>
      </c>
      <c r="AD920" s="322">
        <v>0.152</v>
      </c>
      <c r="AE920" s="104"/>
      <c r="AF920" s="105">
        <v>31250</v>
      </c>
    </row>
    <row r="921" spans="1:34" ht="24.95" customHeight="1" x14ac:dyDescent="0.15">
      <c r="A921" s="316" t="s">
        <v>248</v>
      </c>
      <c r="B921" s="120" t="s">
        <v>263</v>
      </c>
      <c r="C921" s="316" t="str">
        <f t="shared" si="600"/>
        <v>到期</v>
      </c>
      <c r="D921" s="103" t="s">
        <v>1842</v>
      </c>
      <c r="E921" s="316" t="s">
        <v>298</v>
      </c>
      <c r="F921" s="48">
        <v>43781</v>
      </c>
      <c r="G921" s="489">
        <v>43809</v>
      </c>
      <c r="H921" s="488" t="s">
        <v>1550</v>
      </c>
      <c r="I921" s="488" t="s">
        <v>222</v>
      </c>
      <c r="J921" s="316" t="s">
        <v>59</v>
      </c>
      <c r="K921" s="105">
        <v>50</v>
      </c>
      <c r="L921" s="104">
        <v>45500</v>
      </c>
      <c r="M921" s="104">
        <v>47150</v>
      </c>
      <c r="N921" s="104">
        <f t="shared" si="604"/>
        <v>195.69</v>
      </c>
      <c r="O921" s="104">
        <f t="shared" si="593"/>
        <v>9784.5</v>
      </c>
      <c r="P921" s="101" t="s">
        <v>2012</v>
      </c>
      <c r="Q921" s="101" t="str">
        <f t="shared" si="605"/>
        <v>OTC-C00533-L</v>
      </c>
      <c r="R921" s="104"/>
      <c r="S921" s="104"/>
      <c r="T921" s="104"/>
      <c r="U921" s="104">
        <v>48540</v>
      </c>
      <c r="V921" s="104">
        <v>0</v>
      </c>
      <c r="W921" s="552">
        <v>43809</v>
      </c>
      <c r="X921" s="105">
        <f t="shared" si="601"/>
        <v>9784.5</v>
      </c>
      <c r="Y921" s="198">
        <f t="shared" si="595"/>
        <v>2357500</v>
      </c>
      <c r="Z921" s="488" t="str">
        <f t="shared" si="603"/>
        <v/>
      </c>
      <c r="AA921" s="488" t="str">
        <f t="shared" si="606"/>
        <v>买入19-新23</v>
      </c>
      <c r="AB921" s="488">
        <v>178</v>
      </c>
      <c r="AC921" s="321">
        <v>0.152</v>
      </c>
      <c r="AD921" s="322">
        <v>0.152</v>
      </c>
      <c r="AE921" s="104"/>
      <c r="AF921" s="105">
        <v>31250</v>
      </c>
    </row>
    <row r="922" spans="1:34" ht="24.95" customHeight="1" x14ac:dyDescent="0.15">
      <c r="A922" s="316" t="s">
        <v>248</v>
      </c>
      <c r="B922" s="120" t="s">
        <v>263</v>
      </c>
      <c r="C922" s="316" t="str">
        <f t="shared" si="600"/>
        <v>到期</v>
      </c>
      <c r="D922" s="103" t="s">
        <v>1843</v>
      </c>
      <c r="E922" s="316" t="s">
        <v>298</v>
      </c>
      <c r="F922" s="48">
        <v>43781</v>
      </c>
      <c r="G922" s="489">
        <v>43809</v>
      </c>
      <c r="H922" s="488" t="s">
        <v>1550</v>
      </c>
      <c r="I922" s="488" t="s">
        <v>222</v>
      </c>
      <c r="J922" s="316" t="s">
        <v>56</v>
      </c>
      <c r="K922" s="105">
        <v>50</v>
      </c>
      <c r="L922" s="104">
        <v>49270</v>
      </c>
      <c r="M922" s="104">
        <v>47150</v>
      </c>
      <c r="N922" s="104">
        <f t="shared" si="604"/>
        <v>195.69</v>
      </c>
      <c r="O922" s="104">
        <f t="shared" si="593"/>
        <v>9784.5</v>
      </c>
      <c r="P922" s="101" t="s">
        <v>2013</v>
      </c>
      <c r="Q922" s="101" t="str">
        <f t="shared" si="605"/>
        <v>OTC-C00534-L</v>
      </c>
      <c r="R922" s="104"/>
      <c r="S922" s="104"/>
      <c r="T922" s="104"/>
      <c r="U922" s="104">
        <v>48540</v>
      </c>
      <c r="V922" s="104">
        <v>0</v>
      </c>
      <c r="W922" s="552">
        <v>43809</v>
      </c>
      <c r="X922" s="105">
        <f t="shared" si="601"/>
        <v>9784.5</v>
      </c>
      <c r="Y922" s="198">
        <f t="shared" si="595"/>
        <v>2357500</v>
      </c>
      <c r="Z922" s="488" t="str">
        <f t="shared" si="603"/>
        <v/>
      </c>
      <c r="AA922" s="488" t="str">
        <f t="shared" si="606"/>
        <v>买入19-新23</v>
      </c>
      <c r="AB922" s="488">
        <v>178</v>
      </c>
      <c r="AC922" s="321">
        <v>0.152</v>
      </c>
      <c r="AD922" s="322">
        <v>0.152</v>
      </c>
      <c r="AE922" s="104"/>
      <c r="AF922" s="105">
        <v>31250</v>
      </c>
    </row>
    <row r="923" spans="1:34" ht="24.95" customHeight="1" x14ac:dyDescent="0.15">
      <c r="A923" s="316" t="s">
        <v>248</v>
      </c>
      <c r="B923" s="120" t="s">
        <v>263</v>
      </c>
      <c r="C923" s="316" t="str">
        <f t="shared" si="600"/>
        <v>到期</v>
      </c>
      <c r="D923" s="103" t="s">
        <v>1843</v>
      </c>
      <c r="E923" s="316" t="s">
        <v>298</v>
      </c>
      <c r="F923" s="48">
        <v>43781</v>
      </c>
      <c r="G923" s="489">
        <v>43809</v>
      </c>
      <c r="H923" s="488" t="s">
        <v>1550</v>
      </c>
      <c r="I923" s="488" t="s">
        <v>222</v>
      </c>
      <c r="J923" s="316" t="s">
        <v>59</v>
      </c>
      <c r="K923" s="105">
        <v>50</v>
      </c>
      <c r="L923" s="104">
        <v>45500</v>
      </c>
      <c r="M923" s="104">
        <v>47150</v>
      </c>
      <c r="N923" s="104">
        <f t="shared" si="604"/>
        <v>195.69</v>
      </c>
      <c r="O923" s="104">
        <f t="shared" si="593"/>
        <v>9784.5</v>
      </c>
      <c r="P923" s="101" t="s">
        <v>2013</v>
      </c>
      <c r="Q923" s="101" t="str">
        <f t="shared" si="605"/>
        <v>OTC-C00534-L</v>
      </c>
      <c r="R923" s="104"/>
      <c r="S923" s="104"/>
      <c r="T923" s="104"/>
      <c r="U923" s="104">
        <v>48540</v>
      </c>
      <c r="V923" s="104">
        <v>0</v>
      </c>
      <c r="W923" s="552">
        <v>43809</v>
      </c>
      <c r="X923" s="105">
        <f t="shared" si="601"/>
        <v>9784.5</v>
      </c>
      <c r="Y923" s="198">
        <f t="shared" si="595"/>
        <v>2357500</v>
      </c>
      <c r="Z923" s="488" t="str">
        <f t="shared" si="603"/>
        <v/>
      </c>
      <c r="AA923" s="488" t="str">
        <f t="shared" si="606"/>
        <v>买入19-新23</v>
      </c>
      <c r="AB923" s="488">
        <v>178</v>
      </c>
      <c r="AC923" s="321">
        <v>0.152</v>
      </c>
      <c r="AD923" s="322">
        <v>0.152</v>
      </c>
      <c r="AE923" s="104"/>
      <c r="AF923" s="105">
        <v>31250</v>
      </c>
    </row>
    <row r="924" spans="1:34" ht="24.95" customHeight="1" x14ac:dyDescent="0.15">
      <c r="A924" s="316" t="s">
        <v>248</v>
      </c>
      <c r="B924" s="120" t="s">
        <v>263</v>
      </c>
      <c r="C924" s="316" t="str">
        <f t="shared" si="600"/>
        <v>到期</v>
      </c>
      <c r="D924" s="103" t="s">
        <v>1844</v>
      </c>
      <c r="E924" s="316" t="s">
        <v>298</v>
      </c>
      <c r="F924" s="48">
        <v>43781</v>
      </c>
      <c r="G924" s="489">
        <v>43809</v>
      </c>
      <c r="H924" s="488" t="s">
        <v>1550</v>
      </c>
      <c r="I924" s="488" t="s">
        <v>222</v>
      </c>
      <c r="J924" s="316" t="s">
        <v>56</v>
      </c>
      <c r="K924" s="105">
        <v>50</v>
      </c>
      <c r="L924" s="104">
        <v>49270</v>
      </c>
      <c r="M924" s="104">
        <v>47150</v>
      </c>
      <c r="N924" s="104">
        <f t="shared" si="604"/>
        <v>195.69</v>
      </c>
      <c r="O924" s="104">
        <f t="shared" si="593"/>
        <v>9784.5</v>
      </c>
      <c r="P924" s="101" t="s">
        <v>2014</v>
      </c>
      <c r="Q924" s="101" t="str">
        <f t="shared" si="605"/>
        <v>OTC-C00535-L</v>
      </c>
      <c r="R924" s="104"/>
      <c r="S924" s="104"/>
      <c r="T924" s="104"/>
      <c r="U924" s="104">
        <v>48540</v>
      </c>
      <c r="V924" s="104">
        <v>0</v>
      </c>
      <c r="W924" s="552">
        <v>43809</v>
      </c>
      <c r="X924" s="105">
        <f t="shared" si="601"/>
        <v>9784.5</v>
      </c>
      <c r="Y924" s="198">
        <f t="shared" si="595"/>
        <v>2357500</v>
      </c>
      <c r="Z924" s="488" t="str">
        <f t="shared" si="603"/>
        <v/>
      </c>
      <c r="AA924" s="488" t="str">
        <f t="shared" si="606"/>
        <v>买入19-新23</v>
      </c>
      <c r="AB924" s="488">
        <v>178</v>
      </c>
      <c r="AC924" s="321">
        <v>0.152</v>
      </c>
      <c r="AD924" s="322">
        <v>0.152</v>
      </c>
      <c r="AE924" s="104"/>
      <c r="AF924" s="105">
        <v>31250</v>
      </c>
    </row>
    <row r="925" spans="1:34" ht="24.95" customHeight="1" x14ac:dyDescent="0.15">
      <c r="A925" s="316" t="s">
        <v>248</v>
      </c>
      <c r="B925" s="120" t="s">
        <v>263</v>
      </c>
      <c r="C925" s="316" t="str">
        <f t="shared" si="600"/>
        <v>到期</v>
      </c>
      <c r="D925" s="103" t="s">
        <v>1844</v>
      </c>
      <c r="E925" s="316" t="s">
        <v>298</v>
      </c>
      <c r="F925" s="48">
        <v>43781</v>
      </c>
      <c r="G925" s="489">
        <v>43809</v>
      </c>
      <c r="H925" s="488" t="s">
        <v>1550</v>
      </c>
      <c r="I925" s="488" t="s">
        <v>222</v>
      </c>
      <c r="J925" s="316" t="s">
        <v>59</v>
      </c>
      <c r="K925" s="105">
        <v>50</v>
      </c>
      <c r="L925" s="104">
        <v>45500</v>
      </c>
      <c r="M925" s="104">
        <v>47150</v>
      </c>
      <c r="N925" s="104">
        <f t="shared" si="604"/>
        <v>195.69</v>
      </c>
      <c r="O925" s="104">
        <f t="shared" si="593"/>
        <v>9784.5</v>
      </c>
      <c r="P925" s="101" t="s">
        <v>2014</v>
      </c>
      <c r="Q925" s="101" t="str">
        <f t="shared" si="605"/>
        <v>OTC-C00535-L</v>
      </c>
      <c r="R925" s="104"/>
      <c r="S925" s="104"/>
      <c r="T925" s="104"/>
      <c r="U925" s="104">
        <v>48540</v>
      </c>
      <c r="V925" s="104">
        <v>0</v>
      </c>
      <c r="W925" s="552">
        <v>43809</v>
      </c>
      <c r="X925" s="105">
        <f t="shared" si="601"/>
        <v>9784.5</v>
      </c>
      <c r="Y925" s="198">
        <f t="shared" si="595"/>
        <v>2357500</v>
      </c>
      <c r="Z925" s="488" t="str">
        <f t="shared" si="603"/>
        <v/>
      </c>
      <c r="AA925" s="488" t="str">
        <f t="shared" si="606"/>
        <v>买入19-新23</v>
      </c>
      <c r="AB925" s="488">
        <v>178</v>
      </c>
      <c r="AC925" s="321">
        <v>0.152</v>
      </c>
      <c r="AD925" s="322">
        <v>0.152</v>
      </c>
      <c r="AE925" s="104"/>
      <c r="AF925" s="105">
        <v>31250</v>
      </c>
    </row>
    <row r="926" spans="1:34" ht="24.95" customHeight="1" x14ac:dyDescent="0.15">
      <c r="A926" s="316" t="s">
        <v>248</v>
      </c>
      <c r="B926" s="120" t="s">
        <v>263</v>
      </c>
      <c r="C926" s="316" t="str">
        <f t="shared" si="600"/>
        <v>到期</v>
      </c>
      <c r="D926" s="103" t="s">
        <v>1845</v>
      </c>
      <c r="E926" s="316" t="s">
        <v>298</v>
      </c>
      <c r="F926" s="48">
        <v>43781</v>
      </c>
      <c r="G926" s="489">
        <v>43809</v>
      </c>
      <c r="H926" s="488" t="s">
        <v>1550</v>
      </c>
      <c r="I926" s="488" t="s">
        <v>222</v>
      </c>
      <c r="J926" s="316" t="s">
        <v>56</v>
      </c>
      <c r="K926" s="105">
        <v>50</v>
      </c>
      <c r="L926" s="104">
        <v>49270</v>
      </c>
      <c r="M926" s="104">
        <v>47150</v>
      </c>
      <c r="N926" s="104">
        <f t="shared" si="604"/>
        <v>195.69</v>
      </c>
      <c r="O926" s="104">
        <f t="shared" si="593"/>
        <v>9784.5</v>
      </c>
      <c r="P926" s="101" t="s">
        <v>2015</v>
      </c>
      <c r="Q926" s="101" t="str">
        <f t="shared" si="605"/>
        <v>OTC-C00536-L</v>
      </c>
      <c r="R926" s="104"/>
      <c r="S926" s="104"/>
      <c r="T926" s="104"/>
      <c r="U926" s="104">
        <v>48540</v>
      </c>
      <c r="V926" s="104">
        <v>0</v>
      </c>
      <c r="W926" s="552">
        <v>43809</v>
      </c>
      <c r="X926" s="105">
        <f t="shared" si="601"/>
        <v>9784.5</v>
      </c>
      <c r="Y926" s="198">
        <f t="shared" si="595"/>
        <v>2357500</v>
      </c>
      <c r="Z926" s="488" t="str">
        <f t="shared" si="603"/>
        <v/>
      </c>
      <c r="AA926" s="488" t="str">
        <f t="shared" si="606"/>
        <v>买入19-新23</v>
      </c>
      <c r="AB926" s="488">
        <v>178</v>
      </c>
      <c r="AC926" s="321">
        <v>0.152</v>
      </c>
      <c r="AD926" s="322">
        <v>0.152</v>
      </c>
      <c r="AE926" s="104"/>
      <c r="AF926" s="105">
        <v>31250</v>
      </c>
    </row>
    <row r="927" spans="1:34" ht="24.95" customHeight="1" x14ac:dyDescent="0.15">
      <c r="A927" s="316" t="s">
        <v>248</v>
      </c>
      <c r="B927" s="120" t="s">
        <v>263</v>
      </c>
      <c r="C927" s="316" t="str">
        <f t="shared" si="600"/>
        <v>到期</v>
      </c>
      <c r="D927" s="103" t="s">
        <v>1845</v>
      </c>
      <c r="E927" s="316" t="s">
        <v>298</v>
      </c>
      <c r="F927" s="48">
        <v>43781</v>
      </c>
      <c r="G927" s="489">
        <v>43809</v>
      </c>
      <c r="H927" s="488" t="s">
        <v>1550</v>
      </c>
      <c r="I927" s="488" t="s">
        <v>222</v>
      </c>
      <c r="J927" s="316" t="s">
        <v>59</v>
      </c>
      <c r="K927" s="105">
        <v>50</v>
      </c>
      <c r="L927" s="104">
        <v>45500</v>
      </c>
      <c r="M927" s="104">
        <v>47150</v>
      </c>
      <c r="N927" s="104">
        <f t="shared" si="604"/>
        <v>195.69</v>
      </c>
      <c r="O927" s="104">
        <f t="shared" si="593"/>
        <v>9784.5</v>
      </c>
      <c r="P927" s="101" t="s">
        <v>2015</v>
      </c>
      <c r="Q927" s="101" t="str">
        <f t="shared" si="605"/>
        <v>OTC-C00536-L</v>
      </c>
      <c r="R927" s="104"/>
      <c r="S927" s="104"/>
      <c r="T927" s="104"/>
      <c r="U927" s="104">
        <v>48540</v>
      </c>
      <c r="V927" s="104">
        <v>0</v>
      </c>
      <c r="W927" s="552">
        <v>43809</v>
      </c>
      <c r="X927" s="105">
        <f t="shared" si="601"/>
        <v>9784.5</v>
      </c>
      <c r="Y927" s="198">
        <f t="shared" si="595"/>
        <v>2357500</v>
      </c>
      <c r="Z927" s="488" t="str">
        <f t="shared" si="603"/>
        <v/>
      </c>
      <c r="AA927" s="488" t="str">
        <f t="shared" si="606"/>
        <v>买入19-新23</v>
      </c>
      <c r="AB927" s="488">
        <v>178</v>
      </c>
      <c r="AC927" s="321">
        <v>0.152</v>
      </c>
      <c r="AD927" s="322">
        <v>0.152</v>
      </c>
      <c r="AE927" s="104"/>
      <c r="AF927" s="105">
        <v>31250</v>
      </c>
      <c r="AH927" s="108" t="s">
        <v>1687</v>
      </c>
    </row>
    <row r="928" spans="1:34" ht="24.95" customHeight="1" x14ac:dyDescent="0.15">
      <c r="A928" s="316" t="s">
        <v>1684</v>
      </c>
      <c r="B928" s="120"/>
      <c r="C928" s="316" t="str">
        <f t="shared" si="600"/>
        <v>存续</v>
      </c>
      <c r="D928" s="123" t="s">
        <v>1883</v>
      </c>
      <c r="E928" s="316" t="s">
        <v>255</v>
      </c>
      <c r="F928" s="492">
        <v>43780</v>
      </c>
      <c r="G928" s="492">
        <v>43872</v>
      </c>
      <c r="H928" s="491" t="s">
        <v>1685</v>
      </c>
      <c r="I928" s="491" t="s">
        <v>1690</v>
      </c>
      <c r="J928" s="316" t="s">
        <v>1766</v>
      </c>
      <c r="K928" s="491"/>
      <c r="L928" s="491"/>
      <c r="M928" s="491">
        <v>13825</v>
      </c>
      <c r="N928" s="491"/>
      <c r="O928" s="491"/>
      <c r="P928" s="101" t="s">
        <v>2016</v>
      </c>
      <c r="Q928" s="101"/>
      <c r="R928" s="301"/>
      <c r="S928" s="301"/>
      <c r="T928" s="212"/>
      <c r="U928" s="212"/>
      <c r="V928" s="212"/>
      <c r="W928" s="492"/>
      <c r="X928" s="491"/>
      <c r="Y928" s="198">
        <v>99000000</v>
      </c>
      <c r="Z928" s="491" t="str">
        <f t="shared" si="603"/>
        <v>申万宏源证券有限公司al2003-买入</v>
      </c>
      <c r="AA928" s="491" t="str">
        <f>IF(I928="买入","卖出","买入")</f>
        <v>买入</v>
      </c>
      <c r="AB928" s="491">
        <v>179</v>
      </c>
      <c r="AC928" s="321"/>
      <c r="AD928" s="321"/>
      <c r="AE928" s="593" t="s">
        <v>1823</v>
      </c>
      <c r="AF928" s="353"/>
      <c r="AG928" s="493">
        <v>7.1999999999999995E-2</v>
      </c>
      <c r="AH928" s="108" t="s">
        <v>1688</v>
      </c>
    </row>
    <row r="929" spans="1:34" ht="24.95" customHeight="1" x14ac:dyDescent="0.15">
      <c r="A929" s="316" t="s">
        <v>1684</v>
      </c>
      <c r="B929" s="120"/>
      <c r="C929" s="316" t="str">
        <f t="shared" si="600"/>
        <v>存续</v>
      </c>
      <c r="D929" s="123" t="s">
        <v>1883</v>
      </c>
      <c r="E929" s="316" t="s">
        <v>255</v>
      </c>
      <c r="F929" s="492">
        <v>43780</v>
      </c>
      <c r="G929" s="492">
        <v>43872</v>
      </c>
      <c r="H929" s="491" t="s">
        <v>1686</v>
      </c>
      <c r="I929" s="491" t="s">
        <v>241</v>
      </c>
      <c r="J929" s="316" t="s">
        <v>1767</v>
      </c>
      <c r="K929" s="491"/>
      <c r="L929" s="491"/>
      <c r="M929" s="491">
        <v>13845</v>
      </c>
      <c r="N929" s="491"/>
      <c r="O929" s="491"/>
      <c r="P929" s="101" t="s">
        <v>2017</v>
      </c>
      <c r="Q929" s="101"/>
      <c r="R929" s="301"/>
      <c r="S929" s="301"/>
      <c r="T929" s="212"/>
      <c r="U929" s="212"/>
      <c r="V929" s="212"/>
      <c r="W929" s="492"/>
      <c r="X929" s="491"/>
      <c r="Y929" s="198">
        <v>99000000</v>
      </c>
      <c r="Z929" s="491" t="str">
        <f t="shared" si="603"/>
        <v>申万宏源证券有限公司al2004-卖出</v>
      </c>
      <c r="AA929" s="491" t="str">
        <f>IF(I929="买入","卖出","买入")</f>
        <v>卖出</v>
      </c>
      <c r="AB929" s="491">
        <v>180</v>
      </c>
      <c r="AC929" s="321"/>
      <c r="AD929" s="321"/>
      <c r="AE929" s="593" t="s">
        <v>1823</v>
      </c>
      <c r="AF929" s="353"/>
      <c r="AG929" s="337">
        <v>0.01</v>
      </c>
      <c r="AH929" s="108" t="s">
        <v>1689</v>
      </c>
    </row>
    <row r="930" spans="1:34" ht="24.95" customHeight="1" x14ac:dyDescent="0.15">
      <c r="A930" s="316" t="s">
        <v>394</v>
      </c>
      <c r="B930" s="120" t="s">
        <v>263</v>
      </c>
      <c r="C930" s="316" t="str">
        <f t="shared" si="600"/>
        <v>到期</v>
      </c>
      <c r="D930" s="128" t="s">
        <v>1853</v>
      </c>
      <c r="E930" s="316" t="s">
        <v>255</v>
      </c>
      <c r="F930" s="495">
        <v>43782</v>
      </c>
      <c r="G930" s="495">
        <v>43819</v>
      </c>
      <c r="H930" s="494" t="s">
        <v>1640</v>
      </c>
      <c r="I930" s="494" t="s">
        <v>978</v>
      </c>
      <c r="J930" s="316" t="s">
        <v>986</v>
      </c>
      <c r="K930" s="494">
        <v>1500</v>
      </c>
      <c r="L930" s="494">
        <v>3256</v>
      </c>
      <c r="M930" s="494">
        <v>3256</v>
      </c>
      <c r="N930" s="494">
        <v>65.12</v>
      </c>
      <c r="O930" s="494">
        <f t="shared" ref="O930:O932" si="607">N930*K930</f>
        <v>97680</v>
      </c>
      <c r="P930" s="101" t="s">
        <v>2018</v>
      </c>
      <c r="Q930" s="101" t="s">
        <v>1817</v>
      </c>
      <c r="R930" s="105"/>
      <c r="S930" s="105"/>
      <c r="T930" s="582"/>
      <c r="U930" s="494">
        <v>3518</v>
      </c>
      <c r="V930" s="494">
        <f>-MAX((U930-L930)*K930,0)</f>
        <v>-393000</v>
      </c>
      <c r="W930" s="582">
        <v>43819</v>
      </c>
      <c r="X930" s="105">
        <f t="shared" ref="X930:X931" si="608">IF(I930="买入",V930-O930,V930+O930)</f>
        <v>-295320</v>
      </c>
      <c r="Y930" s="198">
        <f t="shared" ref="Y930:Y932" si="609">M930*K930</f>
        <v>4884000</v>
      </c>
      <c r="Z930" s="494" t="str">
        <f t="shared" si="603"/>
        <v/>
      </c>
      <c r="AA930" s="105" t="str">
        <f t="shared" ref="AA930:AA931" si="610">IF(I930="买入","卖出","买入")</f>
        <v>买入</v>
      </c>
      <c r="AB930" s="494">
        <v>181</v>
      </c>
      <c r="AC930" s="321">
        <v>0.1515</v>
      </c>
      <c r="AD930" s="494"/>
      <c r="AE930" s="494" t="s">
        <v>1804</v>
      </c>
      <c r="AF930" s="105">
        <v>250000</v>
      </c>
    </row>
    <row r="931" spans="1:34" ht="24.95" customHeight="1" x14ac:dyDescent="0.15">
      <c r="A931" s="316" t="s">
        <v>394</v>
      </c>
      <c r="B931" s="120" t="s">
        <v>263</v>
      </c>
      <c r="C931" s="316" t="str">
        <f t="shared" si="600"/>
        <v>到期</v>
      </c>
      <c r="D931" s="128" t="s">
        <v>1853</v>
      </c>
      <c r="E931" s="316" t="s">
        <v>255</v>
      </c>
      <c r="F931" s="495">
        <v>43782</v>
      </c>
      <c r="G931" s="495">
        <v>43819</v>
      </c>
      <c r="H931" s="494" t="s">
        <v>1640</v>
      </c>
      <c r="I931" s="494" t="s">
        <v>978</v>
      </c>
      <c r="J931" s="316" t="s">
        <v>979</v>
      </c>
      <c r="K931" s="494">
        <v>1500</v>
      </c>
      <c r="L931" s="494">
        <v>3256</v>
      </c>
      <c r="M931" s="494">
        <v>3256</v>
      </c>
      <c r="N931" s="494">
        <v>65.12</v>
      </c>
      <c r="O931" s="494">
        <f t="shared" si="607"/>
        <v>97680</v>
      </c>
      <c r="P931" s="101" t="s">
        <v>2018</v>
      </c>
      <c r="Q931" s="101" t="s">
        <v>1817</v>
      </c>
      <c r="R931" s="105"/>
      <c r="S931" s="105"/>
      <c r="T931" s="582"/>
      <c r="U931" s="581">
        <v>3518</v>
      </c>
      <c r="V931" s="581">
        <v>0</v>
      </c>
      <c r="W931" s="582">
        <v>43819</v>
      </c>
      <c r="X931" s="105">
        <f t="shared" si="608"/>
        <v>97680</v>
      </c>
      <c r="Y931" s="198">
        <f t="shared" si="609"/>
        <v>4884000</v>
      </c>
      <c r="Z931" s="494" t="str">
        <f t="shared" si="603"/>
        <v/>
      </c>
      <c r="AA931" s="105" t="str">
        <f t="shared" si="610"/>
        <v>买入</v>
      </c>
      <c r="AB931" s="494">
        <v>181</v>
      </c>
      <c r="AC931" s="321">
        <v>0.1515</v>
      </c>
      <c r="AD931" s="494"/>
      <c r="AE931" s="581" t="s">
        <v>1804</v>
      </c>
      <c r="AF931" s="105">
        <v>250000</v>
      </c>
    </row>
    <row r="932" spans="1:34" ht="24.95" customHeight="1" x14ac:dyDescent="0.15">
      <c r="A932" s="316" t="s">
        <v>1684</v>
      </c>
      <c r="B932" s="120" t="s">
        <v>764</v>
      </c>
      <c r="C932" s="316" t="str">
        <f t="shared" si="600"/>
        <v>到期</v>
      </c>
      <c r="D932" s="123" t="s">
        <v>1852</v>
      </c>
      <c r="E932" s="316" t="s">
        <v>338</v>
      </c>
      <c r="F932" s="498">
        <v>43783</v>
      </c>
      <c r="G932" s="498">
        <v>43797</v>
      </c>
      <c r="H932" s="497" t="s">
        <v>1702</v>
      </c>
      <c r="I932" s="497" t="s">
        <v>1701</v>
      </c>
      <c r="J932" s="316" t="s">
        <v>59</v>
      </c>
      <c r="K932" s="497">
        <v>8</v>
      </c>
      <c r="L932" s="497">
        <v>123500</v>
      </c>
      <c r="M932" s="497">
        <v>123500</v>
      </c>
      <c r="N932" s="497">
        <v>2100</v>
      </c>
      <c r="O932" s="497">
        <f t="shared" si="607"/>
        <v>16800</v>
      </c>
      <c r="P932" s="101" t="s">
        <v>2019</v>
      </c>
      <c r="Q932" s="101" t="str">
        <f>P932&amp;"-L"</f>
        <v>OTC-C00540-L</v>
      </c>
      <c r="R932" s="301"/>
      <c r="S932" s="301"/>
      <c r="T932" s="212"/>
      <c r="U932" s="528">
        <v>111870</v>
      </c>
      <c r="V932" s="528">
        <f>-(L932-U932)*K932</f>
        <v>-93040</v>
      </c>
      <c r="W932" s="529">
        <v>43797</v>
      </c>
      <c r="X932" s="105">
        <f t="shared" ref="X932:X935" si="611">IF(I932="买入",V932-O932,V932+O932)</f>
        <v>-76240</v>
      </c>
      <c r="Y932" s="198">
        <f t="shared" si="609"/>
        <v>988000</v>
      </c>
      <c r="Z932" s="497" t="str">
        <f t="shared" ref="Z932:Z954" si="612">IF(C932="存续",D932&amp;H932&amp;"-"&amp;AA932,"")</f>
        <v/>
      </c>
      <c r="AA932" s="105" t="str">
        <f t="shared" ref="AA932:AA936" si="613">IF(I932="买入","卖出","买入")</f>
        <v>买入</v>
      </c>
      <c r="AB932" s="497">
        <v>182</v>
      </c>
      <c r="AC932" s="321">
        <v>0.20799999999999999</v>
      </c>
      <c r="AD932" s="205">
        <v>0.23</v>
      </c>
      <c r="AE932" s="205"/>
      <c r="AF932" s="353">
        <v>60000</v>
      </c>
      <c r="AG932" s="337"/>
    </row>
    <row r="933" spans="1:34" ht="24.95" customHeight="1" x14ac:dyDescent="0.15">
      <c r="A933" s="316" t="s">
        <v>1703</v>
      </c>
      <c r="B933" s="120" t="s">
        <v>1704</v>
      </c>
      <c r="C933" s="316" t="str">
        <f t="shared" ref="C933:C950" si="614">IF(Q933="","存续","到期")</f>
        <v>到期</v>
      </c>
      <c r="D933" s="323" t="s">
        <v>1852</v>
      </c>
      <c r="E933" s="316" t="s">
        <v>338</v>
      </c>
      <c r="F933" s="498">
        <v>43783</v>
      </c>
      <c r="G933" s="498">
        <v>43812</v>
      </c>
      <c r="H933" s="497" t="s">
        <v>1705</v>
      </c>
      <c r="I933" s="497" t="s">
        <v>316</v>
      </c>
      <c r="J933" s="316" t="s">
        <v>223</v>
      </c>
      <c r="K933" s="497">
        <v>270</v>
      </c>
      <c r="L933" s="497">
        <v>4157</v>
      </c>
      <c r="M933" s="497">
        <v>4157</v>
      </c>
      <c r="N933" s="497">
        <v>112.239</v>
      </c>
      <c r="O933" s="497">
        <f t="shared" ref="O933" si="615">N933*K933</f>
        <v>30304.530000000002</v>
      </c>
      <c r="P933" s="101" t="s">
        <v>2020</v>
      </c>
      <c r="Q933" s="101" t="str">
        <f>P933&amp;"-L"</f>
        <v>OTC-C00541-L</v>
      </c>
      <c r="R933" s="301"/>
      <c r="S933" s="301"/>
      <c r="T933" s="212"/>
      <c r="U933" s="571">
        <v>4103</v>
      </c>
      <c r="V933" s="571">
        <v>0</v>
      </c>
      <c r="W933" s="568">
        <v>43812</v>
      </c>
      <c r="X933" s="567">
        <f>IF(I933="买入",V933-O933,V933+O933)</f>
        <v>-30304.530000000002</v>
      </c>
      <c r="Y933" s="198">
        <f>M933*K933</f>
        <v>1122390</v>
      </c>
      <c r="Z933" s="497" t="str">
        <f t="shared" si="612"/>
        <v/>
      </c>
      <c r="AA933" s="105" t="str">
        <f t="shared" si="613"/>
        <v>卖出</v>
      </c>
      <c r="AB933" s="497">
        <v>183</v>
      </c>
      <c r="AC933" s="321">
        <v>0.23</v>
      </c>
      <c r="AD933" s="205">
        <v>0.2</v>
      </c>
      <c r="AE933" s="213"/>
      <c r="AF933" s="353"/>
    </row>
    <row r="934" spans="1:34" ht="24.95" customHeight="1" x14ac:dyDescent="0.15">
      <c r="A934" s="316" t="s">
        <v>265</v>
      </c>
      <c r="B934" s="120" t="s">
        <v>263</v>
      </c>
      <c r="C934" s="316" t="str">
        <f t="shared" si="614"/>
        <v>到期</v>
      </c>
      <c r="D934" s="123" t="s">
        <v>1835</v>
      </c>
      <c r="E934" s="316" t="s">
        <v>255</v>
      </c>
      <c r="F934" s="500">
        <v>43784</v>
      </c>
      <c r="G934" s="500">
        <v>43798</v>
      </c>
      <c r="H934" s="499" t="s">
        <v>1706</v>
      </c>
      <c r="I934" s="499" t="s">
        <v>241</v>
      </c>
      <c r="J934" s="316" t="s">
        <v>56</v>
      </c>
      <c r="K934" s="499">
        <v>600</v>
      </c>
      <c r="L934" s="499">
        <v>4599</v>
      </c>
      <c r="M934" s="499">
        <v>4599</v>
      </c>
      <c r="N934" s="499">
        <v>63</v>
      </c>
      <c r="O934" s="499">
        <f>N934*K934</f>
        <v>37800</v>
      </c>
      <c r="P934" s="101" t="s">
        <v>2021</v>
      </c>
      <c r="Q934" s="101" t="str">
        <f t="shared" ref="Q934:Q935" si="616">P934&amp;"-L"</f>
        <v>OTC-C00542-L</v>
      </c>
      <c r="R934" s="105"/>
      <c r="S934" s="105"/>
      <c r="T934" s="500"/>
      <c r="U934" s="499">
        <v>4600</v>
      </c>
      <c r="V934" s="499">
        <f>(U934-L934)*K934</f>
        <v>600</v>
      </c>
      <c r="W934" s="532">
        <v>43798</v>
      </c>
      <c r="X934" s="105">
        <f t="shared" si="611"/>
        <v>-37200</v>
      </c>
      <c r="Y934" s="198">
        <f t="shared" ref="Y934:Y935" si="617">M934*K934</f>
        <v>2759400</v>
      </c>
      <c r="Z934" s="499" t="str">
        <f t="shared" si="612"/>
        <v/>
      </c>
      <c r="AA934" s="105" t="str">
        <f t="shared" si="613"/>
        <v>卖出</v>
      </c>
      <c r="AB934" s="499">
        <v>184</v>
      </c>
      <c r="AC934" s="321">
        <v>0.17</v>
      </c>
      <c r="AD934" s="205">
        <v>0.15</v>
      </c>
      <c r="AE934" s="499" t="s">
        <v>1335</v>
      </c>
      <c r="AF934" s="105"/>
    </row>
    <row r="935" spans="1:34" ht="24.95" customHeight="1" x14ac:dyDescent="0.15">
      <c r="A935" s="316" t="s">
        <v>265</v>
      </c>
      <c r="B935" s="120" t="s">
        <v>263</v>
      </c>
      <c r="C935" s="316" t="str">
        <f t="shared" si="614"/>
        <v>到期</v>
      </c>
      <c r="D935" s="123" t="s">
        <v>1835</v>
      </c>
      <c r="E935" s="316" t="s">
        <v>255</v>
      </c>
      <c r="F935" s="500">
        <v>43784</v>
      </c>
      <c r="G935" s="500">
        <v>43798</v>
      </c>
      <c r="H935" s="499" t="s">
        <v>1706</v>
      </c>
      <c r="I935" s="499" t="s">
        <v>241</v>
      </c>
      <c r="J935" s="316" t="s">
        <v>224</v>
      </c>
      <c r="K935" s="499">
        <v>600</v>
      </c>
      <c r="L935" s="499">
        <v>4599</v>
      </c>
      <c r="M935" s="499">
        <v>4599</v>
      </c>
      <c r="N935" s="499">
        <v>63</v>
      </c>
      <c r="O935" s="499">
        <f>N935*K935</f>
        <v>37800</v>
      </c>
      <c r="P935" s="101" t="s">
        <v>2021</v>
      </c>
      <c r="Q935" s="101" t="str">
        <f t="shared" si="616"/>
        <v>OTC-C00542-L</v>
      </c>
      <c r="R935" s="105"/>
      <c r="S935" s="105"/>
      <c r="T935" s="500"/>
      <c r="U935" s="499">
        <v>4600</v>
      </c>
      <c r="V935" s="499">
        <v>0</v>
      </c>
      <c r="W935" s="532">
        <v>43798</v>
      </c>
      <c r="X935" s="105">
        <f t="shared" si="611"/>
        <v>-37800</v>
      </c>
      <c r="Y935" s="198">
        <f t="shared" si="617"/>
        <v>2759400</v>
      </c>
      <c r="Z935" s="499" t="str">
        <f t="shared" si="612"/>
        <v/>
      </c>
      <c r="AA935" s="105" t="str">
        <f t="shared" si="613"/>
        <v>卖出</v>
      </c>
      <c r="AB935" s="499">
        <v>184</v>
      </c>
      <c r="AC935" s="321">
        <v>0.17</v>
      </c>
      <c r="AD935" s="205">
        <v>0.15</v>
      </c>
      <c r="AE935" s="499" t="s">
        <v>1335</v>
      </c>
      <c r="AF935" s="105"/>
    </row>
    <row r="936" spans="1:34" ht="24.95" customHeight="1" x14ac:dyDescent="0.15">
      <c r="A936" s="316" t="s">
        <v>265</v>
      </c>
      <c r="B936" s="120" t="s">
        <v>263</v>
      </c>
      <c r="C936" s="316" t="str">
        <f t="shared" si="614"/>
        <v>存续</v>
      </c>
      <c r="D936" s="123" t="s">
        <v>1833</v>
      </c>
      <c r="E936" s="316" t="s">
        <v>298</v>
      </c>
      <c r="F936" s="502">
        <v>43787</v>
      </c>
      <c r="G936" s="502">
        <v>43941</v>
      </c>
      <c r="H936" s="501" t="s">
        <v>1707</v>
      </c>
      <c r="I936" s="501" t="s">
        <v>222</v>
      </c>
      <c r="J936" s="316" t="s">
        <v>1708</v>
      </c>
      <c r="K936" s="501">
        <v>1000</v>
      </c>
      <c r="L936" s="501">
        <v>11200</v>
      </c>
      <c r="M936" s="501">
        <v>12105</v>
      </c>
      <c r="N936" s="501">
        <v>185</v>
      </c>
      <c r="O936" s="501">
        <f>N936*K936</f>
        <v>185000</v>
      </c>
      <c r="P936" s="101" t="s">
        <v>2022</v>
      </c>
      <c r="Q936" s="101"/>
      <c r="R936" s="105"/>
      <c r="S936" s="105"/>
      <c r="T936" s="502"/>
      <c r="U936" s="501"/>
      <c r="V936" s="501"/>
      <c r="W936" s="501"/>
      <c r="X936" s="104"/>
      <c r="Y936" s="501">
        <f t="shared" ref="Y936" si="618">ABS(M936*K936)</f>
        <v>12105000</v>
      </c>
      <c r="Z936" s="501" t="str">
        <f t="shared" si="612"/>
        <v>宁波中哲物产有限公司ru2005-买入</v>
      </c>
      <c r="AA936" s="105" t="str">
        <f t="shared" si="613"/>
        <v>买入</v>
      </c>
      <c r="AB936" s="501">
        <v>185</v>
      </c>
      <c r="AC936" s="321">
        <v>0.17199999999999999</v>
      </c>
      <c r="AD936" s="205">
        <v>0.192</v>
      </c>
      <c r="AE936" s="501" t="s">
        <v>1335</v>
      </c>
      <c r="AF936" s="105">
        <v>300000</v>
      </c>
    </row>
    <row r="937" spans="1:34" ht="24.95" customHeight="1" x14ac:dyDescent="0.15">
      <c r="A937" s="316" t="s">
        <v>248</v>
      </c>
      <c r="B937" s="120" t="s">
        <v>263</v>
      </c>
      <c r="C937" s="316" t="str">
        <f t="shared" si="614"/>
        <v>到期</v>
      </c>
      <c r="D937" s="103" t="s">
        <v>1841</v>
      </c>
      <c r="E937" s="316" t="s">
        <v>298</v>
      </c>
      <c r="F937" s="48">
        <v>43788</v>
      </c>
      <c r="G937" s="506">
        <v>43816</v>
      </c>
      <c r="H937" s="505" t="s">
        <v>1710</v>
      </c>
      <c r="I937" s="505" t="s">
        <v>222</v>
      </c>
      <c r="J937" s="316" t="s">
        <v>56</v>
      </c>
      <c r="K937" s="105">
        <v>50</v>
      </c>
      <c r="L937" s="104">
        <v>48830</v>
      </c>
      <c r="M937" s="104">
        <v>46950</v>
      </c>
      <c r="N937" s="104">
        <f>389.72/2</f>
        <v>194.86</v>
      </c>
      <c r="O937" s="104">
        <f>N937*K937</f>
        <v>9743</v>
      </c>
      <c r="P937" s="101" t="s">
        <v>2023</v>
      </c>
      <c r="Q937" s="101" t="str">
        <f>P937&amp;"-L"</f>
        <v>OTC-C00544-L</v>
      </c>
      <c r="R937" s="104"/>
      <c r="S937" s="104"/>
      <c r="T937" s="104"/>
      <c r="U937" s="104">
        <v>49260</v>
      </c>
      <c r="V937" s="104">
        <f>-(U937-L937)*K937</f>
        <v>-21500</v>
      </c>
      <c r="W937" s="574">
        <v>43816</v>
      </c>
      <c r="X937" s="573">
        <f t="shared" ref="X937:X946" si="619">IF(I937="买入",V937-O937,V937+O937)</f>
        <v>-11757</v>
      </c>
      <c r="Y937" s="198">
        <f t="shared" ref="Y937:Y948" si="620">M937*K937</f>
        <v>2347500</v>
      </c>
      <c r="Z937" s="505" t="str">
        <f t="shared" si="612"/>
        <v/>
      </c>
      <c r="AA937" s="505" t="str">
        <f>IF(I937="买入","卖出","买入19-新24")</f>
        <v>买入19-新24</v>
      </c>
      <c r="AB937" s="505">
        <v>186</v>
      </c>
      <c r="AC937" s="321">
        <v>0.152</v>
      </c>
      <c r="AD937" s="322">
        <v>0.152</v>
      </c>
      <c r="AE937" s="104"/>
      <c r="AF937" s="105">
        <v>31250</v>
      </c>
    </row>
    <row r="938" spans="1:34" ht="24.95" customHeight="1" x14ac:dyDescent="0.15">
      <c r="A938" s="316" t="s">
        <v>248</v>
      </c>
      <c r="B938" s="120" t="s">
        <v>263</v>
      </c>
      <c r="C938" s="316" t="str">
        <f t="shared" si="614"/>
        <v>到期</v>
      </c>
      <c r="D938" s="103" t="s">
        <v>1841</v>
      </c>
      <c r="E938" s="316" t="s">
        <v>298</v>
      </c>
      <c r="F938" s="48">
        <v>43788</v>
      </c>
      <c r="G938" s="506">
        <v>43816</v>
      </c>
      <c r="H938" s="505" t="s">
        <v>1710</v>
      </c>
      <c r="I938" s="505" t="s">
        <v>222</v>
      </c>
      <c r="J938" s="316" t="s">
        <v>59</v>
      </c>
      <c r="K938" s="105">
        <v>50</v>
      </c>
      <c r="L938" s="104">
        <v>45070</v>
      </c>
      <c r="M938" s="104">
        <v>46950</v>
      </c>
      <c r="N938" s="104">
        <f t="shared" ref="N938:N946" si="621">389.72/2</f>
        <v>194.86</v>
      </c>
      <c r="O938" s="104">
        <f t="shared" ref="O938:O946" si="622">N938*K938</f>
        <v>9743</v>
      </c>
      <c r="P938" s="101" t="s">
        <v>2023</v>
      </c>
      <c r="Q938" s="101" t="str">
        <f t="shared" ref="Q938:Q946" si="623">P938&amp;"-L"</f>
        <v>OTC-C00544-L</v>
      </c>
      <c r="R938" s="104"/>
      <c r="S938" s="104"/>
      <c r="T938" s="104"/>
      <c r="U938" s="104">
        <v>49260</v>
      </c>
      <c r="V938" s="104">
        <v>0</v>
      </c>
      <c r="W938" s="574">
        <v>43816</v>
      </c>
      <c r="X938" s="573">
        <f t="shared" si="619"/>
        <v>9743</v>
      </c>
      <c r="Y938" s="198">
        <f t="shared" si="620"/>
        <v>2347500</v>
      </c>
      <c r="Z938" s="505" t="str">
        <f t="shared" si="612"/>
        <v/>
      </c>
      <c r="AA938" s="505" t="str">
        <f t="shared" ref="AA938:AA946" si="624">IF(I938="买入","卖出","买入19-新24")</f>
        <v>买入19-新24</v>
      </c>
      <c r="AB938" s="505">
        <v>186</v>
      </c>
      <c r="AC938" s="321">
        <v>0.152</v>
      </c>
      <c r="AD938" s="322">
        <v>0.152</v>
      </c>
      <c r="AE938" s="104"/>
      <c r="AF938" s="105">
        <v>31250</v>
      </c>
    </row>
    <row r="939" spans="1:34" ht="24.95" customHeight="1" x14ac:dyDescent="0.15">
      <c r="A939" s="316" t="s">
        <v>248</v>
      </c>
      <c r="B939" s="120" t="s">
        <v>263</v>
      </c>
      <c r="C939" s="316" t="str">
        <f t="shared" si="614"/>
        <v>到期</v>
      </c>
      <c r="D939" s="103" t="s">
        <v>1842</v>
      </c>
      <c r="E939" s="316" t="s">
        <v>298</v>
      </c>
      <c r="F939" s="48">
        <v>43788</v>
      </c>
      <c r="G939" s="506">
        <v>43816</v>
      </c>
      <c r="H939" s="505" t="s">
        <v>1710</v>
      </c>
      <c r="I939" s="505" t="s">
        <v>222</v>
      </c>
      <c r="J939" s="316" t="s">
        <v>56</v>
      </c>
      <c r="K939" s="105">
        <v>50</v>
      </c>
      <c r="L939" s="104">
        <v>48830</v>
      </c>
      <c r="M939" s="104">
        <v>46950</v>
      </c>
      <c r="N939" s="104">
        <f t="shared" si="621"/>
        <v>194.86</v>
      </c>
      <c r="O939" s="104">
        <f t="shared" si="622"/>
        <v>9743</v>
      </c>
      <c r="P939" s="101" t="s">
        <v>2024</v>
      </c>
      <c r="Q939" s="101" t="str">
        <f t="shared" si="623"/>
        <v>OTC-C00545-L</v>
      </c>
      <c r="R939" s="104"/>
      <c r="S939" s="104"/>
      <c r="T939" s="104"/>
      <c r="U939" s="104">
        <v>49260</v>
      </c>
      <c r="V939" s="104">
        <f t="shared" ref="V939" si="625">-(U939-L939)*K939</f>
        <v>-21500</v>
      </c>
      <c r="W939" s="574">
        <v>43816</v>
      </c>
      <c r="X939" s="573">
        <f t="shared" si="619"/>
        <v>-11757</v>
      </c>
      <c r="Y939" s="198">
        <f t="shared" si="620"/>
        <v>2347500</v>
      </c>
      <c r="Z939" s="505" t="str">
        <f t="shared" si="612"/>
        <v/>
      </c>
      <c r="AA939" s="505" t="str">
        <f t="shared" si="624"/>
        <v>买入19-新24</v>
      </c>
      <c r="AB939" s="505">
        <v>186</v>
      </c>
      <c r="AC939" s="321">
        <v>0.152</v>
      </c>
      <c r="AD939" s="322">
        <v>0.152</v>
      </c>
      <c r="AE939" s="104"/>
      <c r="AF939" s="105">
        <v>31250</v>
      </c>
    </row>
    <row r="940" spans="1:34" ht="24.95" customHeight="1" x14ac:dyDescent="0.15">
      <c r="A940" s="316" t="s">
        <v>248</v>
      </c>
      <c r="B940" s="120" t="s">
        <v>263</v>
      </c>
      <c r="C940" s="316" t="str">
        <f t="shared" si="614"/>
        <v>到期</v>
      </c>
      <c r="D940" s="103" t="s">
        <v>1842</v>
      </c>
      <c r="E940" s="316" t="s">
        <v>298</v>
      </c>
      <c r="F940" s="48">
        <v>43788</v>
      </c>
      <c r="G940" s="506">
        <v>43816</v>
      </c>
      <c r="H940" s="505" t="s">
        <v>1710</v>
      </c>
      <c r="I940" s="505" t="s">
        <v>222</v>
      </c>
      <c r="J940" s="316" t="s">
        <v>59</v>
      </c>
      <c r="K940" s="105">
        <v>50</v>
      </c>
      <c r="L940" s="104">
        <v>45070</v>
      </c>
      <c r="M940" s="104">
        <v>46950</v>
      </c>
      <c r="N940" s="104">
        <f t="shared" si="621"/>
        <v>194.86</v>
      </c>
      <c r="O940" s="104">
        <f t="shared" si="622"/>
        <v>9743</v>
      </c>
      <c r="P940" s="101" t="s">
        <v>2024</v>
      </c>
      <c r="Q940" s="101" t="str">
        <f t="shared" si="623"/>
        <v>OTC-C00545-L</v>
      </c>
      <c r="R940" s="104"/>
      <c r="S940" s="104"/>
      <c r="T940" s="104"/>
      <c r="U940" s="104">
        <v>49260</v>
      </c>
      <c r="V940" s="104">
        <v>0</v>
      </c>
      <c r="W940" s="574">
        <v>43816</v>
      </c>
      <c r="X940" s="573">
        <f t="shared" si="619"/>
        <v>9743</v>
      </c>
      <c r="Y940" s="198">
        <f t="shared" si="620"/>
        <v>2347500</v>
      </c>
      <c r="Z940" s="505" t="str">
        <f t="shared" si="612"/>
        <v/>
      </c>
      <c r="AA940" s="505" t="str">
        <f t="shared" si="624"/>
        <v>买入19-新24</v>
      </c>
      <c r="AB940" s="505">
        <v>186</v>
      </c>
      <c r="AC940" s="321">
        <v>0.152</v>
      </c>
      <c r="AD940" s="322">
        <v>0.152</v>
      </c>
      <c r="AE940" s="104"/>
      <c r="AF940" s="105">
        <v>31250</v>
      </c>
    </row>
    <row r="941" spans="1:34" ht="24.95" customHeight="1" x14ac:dyDescent="0.15">
      <c r="A941" s="316" t="s">
        <v>248</v>
      </c>
      <c r="B941" s="120" t="s">
        <v>263</v>
      </c>
      <c r="C941" s="316" t="str">
        <f t="shared" si="614"/>
        <v>到期</v>
      </c>
      <c r="D941" s="103" t="s">
        <v>1843</v>
      </c>
      <c r="E941" s="316" t="s">
        <v>298</v>
      </c>
      <c r="F941" s="48">
        <v>43788</v>
      </c>
      <c r="G941" s="506">
        <v>43816</v>
      </c>
      <c r="H941" s="505" t="s">
        <v>1710</v>
      </c>
      <c r="I941" s="505" t="s">
        <v>222</v>
      </c>
      <c r="J941" s="316" t="s">
        <v>56</v>
      </c>
      <c r="K941" s="105">
        <v>50</v>
      </c>
      <c r="L941" s="104">
        <v>48830</v>
      </c>
      <c r="M941" s="104">
        <v>46950</v>
      </c>
      <c r="N941" s="104">
        <f t="shared" si="621"/>
        <v>194.86</v>
      </c>
      <c r="O941" s="104">
        <f t="shared" si="622"/>
        <v>9743</v>
      </c>
      <c r="P941" s="101" t="s">
        <v>2025</v>
      </c>
      <c r="Q941" s="101" t="str">
        <f t="shared" si="623"/>
        <v>OTC-C00546-L</v>
      </c>
      <c r="R941" s="104"/>
      <c r="S941" s="104"/>
      <c r="T941" s="104"/>
      <c r="U941" s="104">
        <v>49260</v>
      </c>
      <c r="V941" s="104">
        <f t="shared" ref="V941" si="626">-(U941-L941)*K941</f>
        <v>-21500</v>
      </c>
      <c r="W941" s="574">
        <v>43816</v>
      </c>
      <c r="X941" s="573">
        <f t="shared" si="619"/>
        <v>-11757</v>
      </c>
      <c r="Y941" s="198">
        <f t="shared" si="620"/>
        <v>2347500</v>
      </c>
      <c r="Z941" s="505" t="str">
        <f t="shared" si="612"/>
        <v/>
      </c>
      <c r="AA941" s="505" t="str">
        <f t="shared" si="624"/>
        <v>买入19-新24</v>
      </c>
      <c r="AB941" s="505">
        <v>186</v>
      </c>
      <c r="AC941" s="321">
        <v>0.152</v>
      </c>
      <c r="AD941" s="322">
        <v>0.152</v>
      </c>
      <c r="AE941" s="104"/>
      <c r="AF941" s="105">
        <v>31250</v>
      </c>
    </row>
    <row r="942" spans="1:34" ht="24.95" customHeight="1" x14ac:dyDescent="0.15">
      <c r="A942" s="316" t="s">
        <v>248</v>
      </c>
      <c r="B942" s="120" t="s">
        <v>263</v>
      </c>
      <c r="C942" s="316" t="str">
        <f t="shared" si="614"/>
        <v>到期</v>
      </c>
      <c r="D942" s="103" t="s">
        <v>1843</v>
      </c>
      <c r="E942" s="316" t="s">
        <v>298</v>
      </c>
      <c r="F942" s="48">
        <v>43788</v>
      </c>
      <c r="G942" s="506">
        <v>43816</v>
      </c>
      <c r="H942" s="505" t="s">
        <v>1710</v>
      </c>
      <c r="I942" s="505" t="s">
        <v>222</v>
      </c>
      <c r="J942" s="316" t="s">
        <v>59</v>
      </c>
      <c r="K942" s="105">
        <v>50</v>
      </c>
      <c r="L942" s="104">
        <v>45070</v>
      </c>
      <c r="M942" s="104">
        <v>46950</v>
      </c>
      <c r="N942" s="104">
        <f t="shared" si="621"/>
        <v>194.86</v>
      </c>
      <c r="O942" s="104">
        <f t="shared" si="622"/>
        <v>9743</v>
      </c>
      <c r="P942" s="101" t="s">
        <v>2025</v>
      </c>
      <c r="Q942" s="101" t="str">
        <f t="shared" si="623"/>
        <v>OTC-C00546-L</v>
      </c>
      <c r="R942" s="104"/>
      <c r="S942" s="104"/>
      <c r="T942" s="104"/>
      <c r="U942" s="104">
        <v>49260</v>
      </c>
      <c r="V942" s="104">
        <v>0</v>
      </c>
      <c r="W942" s="574">
        <v>43816</v>
      </c>
      <c r="X942" s="573">
        <f t="shared" si="619"/>
        <v>9743</v>
      </c>
      <c r="Y942" s="198">
        <f t="shared" si="620"/>
        <v>2347500</v>
      </c>
      <c r="Z942" s="505" t="str">
        <f t="shared" si="612"/>
        <v/>
      </c>
      <c r="AA942" s="505" t="str">
        <f t="shared" si="624"/>
        <v>买入19-新24</v>
      </c>
      <c r="AB942" s="505">
        <v>186</v>
      </c>
      <c r="AC942" s="321">
        <v>0.152</v>
      </c>
      <c r="AD942" s="322">
        <v>0.152</v>
      </c>
      <c r="AE942" s="104"/>
      <c r="AF942" s="105">
        <v>31250</v>
      </c>
    </row>
    <row r="943" spans="1:34" ht="24.95" customHeight="1" x14ac:dyDescent="0.15">
      <c r="A943" s="316" t="s">
        <v>248</v>
      </c>
      <c r="B943" s="120" t="s">
        <v>263</v>
      </c>
      <c r="C943" s="316" t="str">
        <f t="shared" si="614"/>
        <v>到期</v>
      </c>
      <c r="D943" s="103" t="s">
        <v>1844</v>
      </c>
      <c r="E943" s="316" t="s">
        <v>298</v>
      </c>
      <c r="F943" s="48">
        <v>43788</v>
      </c>
      <c r="G943" s="506">
        <v>43816</v>
      </c>
      <c r="H943" s="505" t="s">
        <v>1710</v>
      </c>
      <c r="I943" s="505" t="s">
        <v>222</v>
      </c>
      <c r="J943" s="316" t="s">
        <v>56</v>
      </c>
      <c r="K943" s="105">
        <v>50</v>
      </c>
      <c r="L943" s="104">
        <v>48830</v>
      </c>
      <c r="M943" s="104">
        <v>46950</v>
      </c>
      <c r="N943" s="104">
        <f t="shared" si="621"/>
        <v>194.86</v>
      </c>
      <c r="O943" s="104">
        <f t="shared" si="622"/>
        <v>9743</v>
      </c>
      <c r="P943" s="101" t="s">
        <v>2026</v>
      </c>
      <c r="Q943" s="101" t="str">
        <f t="shared" si="623"/>
        <v>OTC-C00547-L</v>
      </c>
      <c r="R943" s="104"/>
      <c r="S943" s="104"/>
      <c r="T943" s="104"/>
      <c r="U943" s="104">
        <v>49260</v>
      </c>
      <c r="V943" s="104">
        <f t="shared" ref="V943" si="627">-(U943-L943)*K943</f>
        <v>-21500</v>
      </c>
      <c r="W943" s="574">
        <v>43816</v>
      </c>
      <c r="X943" s="573">
        <f t="shared" si="619"/>
        <v>-11757</v>
      </c>
      <c r="Y943" s="198">
        <f t="shared" si="620"/>
        <v>2347500</v>
      </c>
      <c r="Z943" s="505" t="str">
        <f t="shared" si="612"/>
        <v/>
      </c>
      <c r="AA943" s="505" t="str">
        <f t="shared" si="624"/>
        <v>买入19-新24</v>
      </c>
      <c r="AB943" s="505">
        <v>186</v>
      </c>
      <c r="AC943" s="321">
        <v>0.152</v>
      </c>
      <c r="AD943" s="322">
        <v>0.152</v>
      </c>
      <c r="AE943" s="104"/>
      <c r="AF943" s="105">
        <v>31250</v>
      </c>
    </row>
    <row r="944" spans="1:34" ht="24.95" customHeight="1" x14ac:dyDescent="0.15">
      <c r="A944" s="316" t="s">
        <v>248</v>
      </c>
      <c r="B944" s="120" t="s">
        <v>263</v>
      </c>
      <c r="C944" s="316" t="str">
        <f t="shared" si="614"/>
        <v>到期</v>
      </c>
      <c r="D944" s="103" t="s">
        <v>1844</v>
      </c>
      <c r="E944" s="316" t="s">
        <v>298</v>
      </c>
      <c r="F944" s="48">
        <v>43788</v>
      </c>
      <c r="G944" s="506">
        <v>43816</v>
      </c>
      <c r="H944" s="505" t="s">
        <v>1710</v>
      </c>
      <c r="I944" s="505" t="s">
        <v>222</v>
      </c>
      <c r="J944" s="316" t="s">
        <v>59</v>
      </c>
      <c r="K944" s="105">
        <v>50</v>
      </c>
      <c r="L944" s="104">
        <v>45070</v>
      </c>
      <c r="M944" s="104">
        <v>46950</v>
      </c>
      <c r="N944" s="104">
        <f t="shared" si="621"/>
        <v>194.86</v>
      </c>
      <c r="O944" s="104">
        <f t="shared" si="622"/>
        <v>9743</v>
      </c>
      <c r="P944" s="101" t="s">
        <v>2026</v>
      </c>
      <c r="Q944" s="101" t="str">
        <f t="shared" si="623"/>
        <v>OTC-C00547-L</v>
      </c>
      <c r="R944" s="104"/>
      <c r="S944" s="104"/>
      <c r="T944" s="104"/>
      <c r="U944" s="104">
        <v>49260</v>
      </c>
      <c r="V944" s="104">
        <v>0</v>
      </c>
      <c r="W944" s="574">
        <v>43816</v>
      </c>
      <c r="X944" s="573">
        <f t="shared" si="619"/>
        <v>9743</v>
      </c>
      <c r="Y944" s="198">
        <f t="shared" si="620"/>
        <v>2347500</v>
      </c>
      <c r="Z944" s="505" t="str">
        <f t="shared" si="612"/>
        <v/>
      </c>
      <c r="AA944" s="505" t="str">
        <f t="shared" si="624"/>
        <v>买入19-新24</v>
      </c>
      <c r="AB944" s="505">
        <v>186</v>
      </c>
      <c r="AC944" s="321">
        <v>0.152</v>
      </c>
      <c r="AD944" s="322">
        <v>0.152</v>
      </c>
      <c r="AE944" s="104"/>
      <c r="AF944" s="105">
        <v>31250</v>
      </c>
    </row>
    <row r="945" spans="1:32" ht="24.95" customHeight="1" x14ac:dyDescent="0.15">
      <c r="A945" s="316" t="s">
        <v>248</v>
      </c>
      <c r="B945" s="120" t="s">
        <v>263</v>
      </c>
      <c r="C945" s="316" t="str">
        <f t="shared" si="614"/>
        <v>到期</v>
      </c>
      <c r="D945" s="103" t="s">
        <v>1845</v>
      </c>
      <c r="E945" s="316" t="s">
        <v>298</v>
      </c>
      <c r="F945" s="48">
        <v>43788</v>
      </c>
      <c r="G945" s="506">
        <v>43816</v>
      </c>
      <c r="H945" s="505" t="s">
        <v>1710</v>
      </c>
      <c r="I945" s="505" t="s">
        <v>222</v>
      </c>
      <c r="J945" s="316" t="s">
        <v>56</v>
      </c>
      <c r="K945" s="105">
        <v>50</v>
      </c>
      <c r="L945" s="104">
        <v>48830</v>
      </c>
      <c r="M945" s="104">
        <v>46950</v>
      </c>
      <c r="N945" s="104">
        <f t="shared" si="621"/>
        <v>194.86</v>
      </c>
      <c r="O945" s="104">
        <f t="shared" si="622"/>
        <v>9743</v>
      </c>
      <c r="P945" s="101" t="s">
        <v>2027</v>
      </c>
      <c r="Q945" s="101" t="str">
        <f t="shared" si="623"/>
        <v>OTC-C00548-L</v>
      </c>
      <c r="R945" s="104"/>
      <c r="S945" s="104"/>
      <c r="T945" s="104"/>
      <c r="U945" s="104">
        <v>49260</v>
      </c>
      <c r="V945" s="104">
        <f t="shared" ref="V945" si="628">-(U945-L945)*K945</f>
        <v>-21500</v>
      </c>
      <c r="W945" s="574">
        <v>43816</v>
      </c>
      <c r="X945" s="573">
        <f t="shared" si="619"/>
        <v>-11757</v>
      </c>
      <c r="Y945" s="198">
        <f t="shared" si="620"/>
        <v>2347500</v>
      </c>
      <c r="Z945" s="505" t="str">
        <f t="shared" si="612"/>
        <v/>
      </c>
      <c r="AA945" s="505" t="str">
        <f t="shared" si="624"/>
        <v>买入19-新24</v>
      </c>
      <c r="AB945" s="505">
        <v>186</v>
      </c>
      <c r="AC945" s="321">
        <v>0.152</v>
      </c>
      <c r="AD945" s="322">
        <v>0.152</v>
      </c>
      <c r="AE945" s="104"/>
      <c r="AF945" s="105">
        <v>31250</v>
      </c>
    </row>
    <row r="946" spans="1:32" ht="24.95" customHeight="1" x14ac:dyDescent="0.15">
      <c r="A946" s="316" t="s">
        <v>248</v>
      </c>
      <c r="B946" s="120" t="s">
        <v>263</v>
      </c>
      <c r="C946" s="316" t="str">
        <f t="shared" si="614"/>
        <v>到期</v>
      </c>
      <c r="D946" s="103" t="s">
        <v>1845</v>
      </c>
      <c r="E946" s="316" t="s">
        <v>298</v>
      </c>
      <c r="F946" s="48">
        <v>43788</v>
      </c>
      <c r="G946" s="506">
        <v>43816</v>
      </c>
      <c r="H946" s="505" t="s">
        <v>1710</v>
      </c>
      <c r="I946" s="505" t="s">
        <v>222</v>
      </c>
      <c r="J946" s="316" t="s">
        <v>59</v>
      </c>
      <c r="K946" s="105">
        <v>50</v>
      </c>
      <c r="L946" s="104">
        <v>45070</v>
      </c>
      <c r="M946" s="104">
        <v>46950</v>
      </c>
      <c r="N946" s="104">
        <f t="shared" si="621"/>
        <v>194.86</v>
      </c>
      <c r="O946" s="104">
        <f t="shared" si="622"/>
        <v>9743</v>
      </c>
      <c r="P946" s="101" t="s">
        <v>2027</v>
      </c>
      <c r="Q946" s="101" t="str">
        <f t="shared" si="623"/>
        <v>OTC-C00548-L</v>
      </c>
      <c r="R946" s="104"/>
      <c r="S946" s="104"/>
      <c r="T946" s="104"/>
      <c r="U946" s="104">
        <v>49260</v>
      </c>
      <c r="V946" s="104">
        <v>0</v>
      </c>
      <c r="W946" s="574">
        <v>43816</v>
      </c>
      <c r="X946" s="573">
        <f t="shared" si="619"/>
        <v>9743</v>
      </c>
      <c r="Y946" s="198">
        <f t="shared" si="620"/>
        <v>2347500</v>
      </c>
      <c r="Z946" s="505" t="str">
        <f t="shared" si="612"/>
        <v/>
      </c>
      <c r="AA946" s="505" t="str">
        <f t="shared" si="624"/>
        <v>买入19-新24</v>
      </c>
      <c r="AB946" s="505">
        <v>186</v>
      </c>
      <c r="AC946" s="321">
        <v>0.152</v>
      </c>
      <c r="AD946" s="322">
        <v>0.152</v>
      </c>
      <c r="AE946" s="104"/>
      <c r="AF946" s="105">
        <v>31250</v>
      </c>
    </row>
    <row r="947" spans="1:32" ht="24.95" customHeight="1" x14ac:dyDescent="0.15">
      <c r="A947" s="316" t="s">
        <v>265</v>
      </c>
      <c r="B947" s="120" t="s">
        <v>263</v>
      </c>
      <c r="C947" s="316" t="str">
        <f t="shared" si="614"/>
        <v>存续</v>
      </c>
      <c r="D947" s="123" t="s">
        <v>1880</v>
      </c>
      <c r="E947" s="316" t="s">
        <v>298</v>
      </c>
      <c r="F947" s="48">
        <v>43789</v>
      </c>
      <c r="G947" s="508">
        <v>43903</v>
      </c>
      <c r="H947" s="507" t="s">
        <v>1711</v>
      </c>
      <c r="I947" s="507" t="s">
        <v>222</v>
      </c>
      <c r="J947" s="316" t="s">
        <v>56</v>
      </c>
      <c r="K947" s="507">
        <v>1500</v>
      </c>
      <c r="L947" s="507">
        <v>2948.4</v>
      </c>
      <c r="M947" s="507">
        <v>2808</v>
      </c>
      <c r="N947" s="507">
        <v>88</v>
      </c>
      <c r="O947" s="104">
        <f>N947*K947</f>
        <v>132000</v>
      </c>
      <c r="P947" s="101" t="s">
        <v>2028</v>
      </c>
      <c r="Q947" s="101"/>
      <c r="R947" s="301"/>
      <c r="S947" s="301"/>
      <c r="T947" s="212"/>
      <c r="U947" s="104"/>
      <c r="V947" s="104"/>
      <c r="W947" s="508"/>
      <c r="X947" s="105"/>
      <c r="Y947" s="198">
        <f t="shared" si="620"/>
        <v>4212000</v>
      </c>
      <c r="Z947" s="507" t="str">
        <f t="shared" si="612"/>
        <v>武汉劲暄物业管理有限公司bu2006-买入</v>
      </c>
      <c r="AA947" s="507" t="str">
        <f>IF(I947="买入","卖出","买入")</f>
        <v>买入</v>
      </c>
      <c r="AB947" s="507">
        <v>187</v>
      </c>
      <c r="AC947" s="321">
        <v>0.23300000000000001</v>
      </c>
      <c r="AD947" s="205">
        <v>0.253</v>
      </c>
      <c r="AE947" s="213"/>
      <c r="AF947" s="353">
        <v>90000</v>
      </c>
    </row>
    <row r="948" spans="1:32" ht="24.95" customHeight="1" x14ac:dyDescent="0.15">
      <c r="A948" s="316" t="s">
        <v>265</v>
      </c>
      <c r="B948" s="120" t="s">
        <v>263</v>
      </c>
      <c r="C948" s="316" t="str">
        <f t="shared" si="614"/>
        <v>存续</v>
      </c>
      <c r="D948" s="123" t="s">
        <v>1880</v>
      </c>
      <c r="E948" s="316" t="s">
        <v>298</v>
      </c>
      <c r="F948" s="48">
        <v>43789</v>
      </c>
      <c r="G948" s="508">
        <v>43903</v>
      </c>
      <c r="H948" s="507" t="s">
        <v>1712</v>
      </c>
      <c r="I948" s="507" t="s">
        <v>222</v>
      </c>
      <c r="J948" s="316" t="s">
        <v>59</v>
      </c>
      <c r="K948" s="507">
        <v>1500</v>
      </c>
      <c r="L948" s="507">
        <v>2667.6</v>
      </c>
      <c r="M948" s="507">
        <v>2808</v>
      </c>
      <c r="N948" s="507">
        <v>82</v>
      </c>
      <c r="O948" s="104">
        <f t="shared" ref="O948" si="629">N948*K948</f>
        <v>123000</v>
      </c>
      <c r="P948" s="101" t="s">
        <v>2028</v>
      </c>
      <c r="Q948" s="101"/>
      <c r="R948" s="301"/>
      <c r="S948" s="301"/>
      <c r="T948" s="212"/>
      <c r="U948" s="104"/>
      <c r="V948" s="104"/>
      <c r="W948" s="508"/>
      <c r="X948" s="105"/>
      <c r="Y948" s="198">
        <f t="shared" si="620"/>
        <v>4212000</v>
      </c>
      <c r="Z948" s="507" t="str">
        <f t="shared" si="612"/>
        <v>武汉劲暄物业管理有限公司bu2006-买入</v>
      </c>
      <c r="AA948" s="507" t="str">
        <f>IF(I948="买入","卖出","买入")</f>
        <v>买入</v>
      </c>
      <c r="AB948" s="507">
        <v>187</v>
      </c>
      <c r="AC948" s="321">
        <v>0.23300000000000001</v>
      </c>
      <c r="AD948" s="205">
        <v>0.253</v>
      </c>
      <c r="AE948" s="213"/>
      <c r="AF948" s="353">
        <v>90000</v>
      </c>
    </row>
    <row r="949" spans="1:32" ht="24" customHeight="1" x14ac:dyDescent="0.15">
      <c r="A949" s="316" t="s">
        <v>248</v>
      </c>
      <c r="B949" s="316" t="s">
        <v>297</v>
      </c>
      <c r="C949" s="316" t="str">
        <f t="shared" si="614"/>
        <v>到期</v>
      </c>
      <c r="D949" s="323" t="s">
        <v>1837</v>
      </c>
      <c r="E949" s="316" t="s">
        <v>340</v>
      </c>
      <c r="F949" s="48">
        <v>43790</v>
      </c>
      <c r="G949" s="48">
        <v>43819</v>
      </c>
      <c r="H949" s="509" t="s">
        <v>1713</v>
      </c>
      <c r="I949" s="509" t="s">
        <v>241</v>
      </c>
      <c r="J949" s="386" t="s">
        <v>1714</v>
      </c>
      <c r="K949" s="105">
        <v>900</v>
      </c>
      <c r="L949" s="105">
        <v>7900</v>
      </c>
      <c r="M949" s="105">
        <v>7900</v>
      </c>
      <c r="N949" s="105">
        <v>321</v>
      </c>
      <c r="O949" s="105">
        <f>N949*K949</f>
        <v>288900</v>
      </c>
      <c r="P949" s="101" t="s">
        <v>2029</v>
      </c>
      <c r="Q949" s="101" t="s">
        <v>1811</v>
      </c>
      <c r="R949" s="105"/>
      <c r="S949" s="105"/>
      <c r="T949" s="510"/>
      <c r="U949" s="509">
        <v>8096</v>
      </c>
      <c r="V949" s="316">
        <f>89.29*K949</f>
        <v>80361</v>
      </c>
      <c r="W949" s="584">
        <v>43819</v>
      </c>
      <c r="X949" s="105">
        <f t="shared" ref="X949" si="630">IF(I949="买入",V949-O949,V949+O949)</f>
        <v>-208539</v>
      </c>
      <c r="Y949" s="198">
        <f>M949*K949</f>
        <v>7110000</v>
      </c>
      <c r="Z949" s="509" t="str">
        <f t="shared" si="612"/>
        <v/>
      </c>
      <c r="AA949" s="581" t="str">
        <f>IF(I949="买入","卖出","买入")</f>
        <v>卖出</v>
      </c>
      <c r="AB949" s="105">
        <v>188</v>
      </c>
      <c r="AC949" s="321">
        <v>0.37</v>
      </c>
      <c r="AD949" s="105"/>
      <c r="AE949" s="511" t="s">
        <v>1333</v>
      </c>
      <c r="AF949" s="105"/>
    </row>
    <row r="950" spans="1:32" ht="24.95" customHeight="1" x14ac:dyDescent="0.15">
      <c r="A950" s="316" t="s">
        <v>265</v>
      </c>
      <c r="B950" s="120" t="s">
        <v>263</v>
      </c>
      <c r="C950" s="316" t="str">
        <f t="shared" si="614"/>
        <v>到期</v>
      </c>
      <c r="D950" s="123" t="s">
        <v>1834</v>
      </c>
      <c r="E950" s="316" t="s">
        <v>298</v>
      </c>
      <c r="F950" s="48">
        <v>43791</v>
      </c>
      <c r="G950" s="513">
        <v>43805</v>
      </c>
      <c r="H950" s="512" t="s">
        <v>1715</v>
      </c>
      <c r="I950" s="512" t="s">
        <v>222</v>
      </c>
      <c r="J950" s="316" t="s">
        <v>223</v>
      </c>
      <c r="K950" s="512">
        <v>1000</v>
      </c>
      <c r="L950" s="512">
        <v>7190</v>
      </c>
      <c r="M950" s="512">
        <v>7190</v>
      </c>
      <c r="N950" s="512">
        <v>69.753</v>
      </c>
      <c r="O950" s="512">
        <f>N950*K950</f>
        <v>69753</v>
      </c>
      <c r="P950" s="101" t="s">
        <v>2030</v>
      </c>
      <c r="Q950" s="101" t="str">
        <f>P950&amp;"-L-1"</f>
        <v>OTC-C00551-L-1</v>
      </c>
      <c r="R950" s="105">
        <v>116.38</v>
      </c>
      <c r="S950" s="105">
        <f>-R950*K950</f>
        <v>-116380</v>
      </c>
      <c r="T950" s="48">
        <v>43798</v>
      </c>
      <c r="U950" s="512">
        <v>7285</v>
      </c>
      <c r="V950" s="512"/>
      <c r="W950" s="513"/>
      <c r="X950" s="104">
        <f t="shared" ref="X950" si="631">IF(I950="买入",S950-O950,O950+S950)</f>
        <v>-46627</v>
      </c>
      <c r="Y950" s="512">
        <f t="shared" ref="Y950:Y951" si="632">ABS(M950*K950)</f>
        <v>7190000</v>
      </c>
      <c r="Z950" s="530" t="str">
        <f t="shared" si="612"/>
        <v/>
      </c>
      <c r="AA950" s="105" t="str">
        <f t="shared" ref="AA950:AA954" si="633">IF(I950="买入","卖出","买入")</f>
        <v>买入</v>
      </c>
      <c r="AB950" s="512">
        <v>189</v>
      </c>
      <c r="AC950" s="321">
        <v>0.115</v>
      </c>
      <c r="AD950" s="205">
        <v>0.13500000000000001</v>
      </c>
      <c r="AE950" s="512" t="s">
        <v>1335</v>
      </c>
      <c r="AF950" s="105">
        <f>520000/2</f>
        <v>260000</v>
      </c>
    </row>
    <row r="951" spans="1:32" ht="24.95" customHeight="1" x14ac:dyDescent="0.15">
      <c r="A951" s="316" t="s">
        <v>265</v>
      </c>
      <c r="B951" s="120" t="s">
        <v>263</v>
      </c>
      <c r="C951" s="316" t="str">
        <f t="shared" ref="C951" si="634">IF(Q951="","存续","到期")</f>
        <v>到期</v>
      </c>
      <c r="D951" s="123" t="s">
        <v>1834</v>
      </c>
      <c r="E951" s="316" t="s">
        <v>298</v>
      </c>
      <c r="F951" s="48">
        <v>43791</v>
      </c>
      <c r="G951" s="531">
        <v>43805</v>
      </c>
      <c r="H951" s="530" t="s">
        <v>906</v>
      </c>
      <c r="I951" s="530" t="s">
        <v>222</v>
      </c>
      <c r="J951" s="316" t="s">
        <v>223</v>
      </c>
      <c r="K951" s="530">
        <v>1000</v>
      </c>
      <c r="L951" s="530">
        <v>7190</v>
      </c>
      <c r="M951" s="530">
        <v>7190</v>
      </c>
      <c r="N951" s="530">
        <v>69.753</v>
      </c>
      <c r="O951" s="530">
        <f>N951*K951</f>
        <v>69753</v>
      </c>
      <c r="P951" s="101" t="s">
        <v>2030</v>
      </c>
      <c r="Q951" s="101" t="str">
        <f>P951&amp;"-L-2"</f>
        <v>OTC-C00551-L-2</v>
      </c>
      <c r="R951" s="105"/>
      <c r="S951" s="105"/>
      <c r="T951" s="531"/>
      <c r="U951" s="530">
        <v>7255</v>
      </c>
      <c r="V951" s="530">
        <f>-(U951-L951)*K951</f>
        <v>-65000</v>
      </c>
      <c r="W951" s="550">
        <v>43805</v>
      </c>
      <c r="X951" s="105">
        <f t="shared" ref="X951:X970" si="635">IF(I951="买入",V951-O951,V951+O951)</f>
        <v>4753</v>
      </c>
      <c r="Y951" s="530">
        <f t="shared" si="632"/>
        <v>7190000</v>
      </c>
      <c r="Z951" s="530" t="str">
        <f t="shared" si="612"/>
        <v/>
      </c>
      <c r="AA951" s="105" t="str">
        <f t="shared" si="633"/>
        <v>买入</v>
      </c>
      <c r="AB951" s="537">
        <v>189</v>
      </c>
      <c r="AC951" s="321">
        <v>0.115</v>
      </c>
      <c r="AD951" s="205">
        <v>0.13500000000000001</v>
      </c>
      <c r="AE951" s="537" t="s">
        <v>1335</v>
      </c>
      <c r="AF951" s="105">
        <f>520000/2</f>
        <v>260000</v>
      </c>
    </row>
    <row r="952" spans="1:32" ht="24.95" customHeight="1" x14ac:dyDescent="0.15">
      <c r="A952" s="316" t="s">
        <v>248</v>
      </c>
      <c r="B952" s="120" t="s">
        <v>263</v>
      </c>
      <c r="C952" s="316" t="str">
        <f>IF(Q952="","存续","到期")</f>
        <v>到期</v>
      </c>
      <c r="D952" s="323" t="s">
        <v>1865</v>
      </c>
      <c r="E952" s="316" t="s">
        <v>298</v>
      </c>
      <c r="F952" s="48">
        <v>43795</v>
      </c>
      <c r="G952" s="517">
        <v>43812</v>
      </c>
      <c r="H952" s="516" t="s">
        <v>1729</v>
      </c>
      <c r="I952" s="516" t="s">
        <v>1000</v>
      </c>
      <c r="J952" s="316" t="s">
        <v>223</v>
      </c>
      <c r="K952" s="516">
        <v>1720</v>
      </c>
      <c r="L952" s="516">
        <v>6230</v>
      </c>
      <c r="M952" s="516">
        <v>5830</v>
      </c>
      <c r="N952" s="516">
        <v>18</v>
      </c>
      <c r="O952" s="516">
        <f t="shared" ref="O952:O954" si="636">N952*K952</f>
        <v>30960</v>
      </c>
      <c r="P952" s="101" t="s">
        <v>2031</v>
      </c>
      <c r="Q952" s="101" t="str">
        <f t="shared" ref="Q952:Q954" si="637">P952&amp;"-L"</f>
        <v>OTC-C00552-L</v>
      </c>
      <c r="R952" s="104"/>
      <c r="S952" s="104"/>
      <c r="T952" s="48"/>
      <c r="U952" s="571">
        <v>5922</v>
      </c>
      <c r="V952" s="571">
        <v>0</v>
      </c>
      <c r="W952" s="568">
        <v>43812</v>
      </c>
      <c r="X952" s="567">
        <f t="shared" si="635"/>
        <v>-30960</v>
      </c>
      <c r="Y952" s="198">
        <f>ABS(M952*K952)</f>
        <v>10027600</v>
      </c>
      <c r="Z952" s="516" t="str">
        <f t="shared" si="612"/>
        <v/>
      </c>
      <c r="AA952" s="516" t="str">
        <f t="shared" si="633"/>
        <v>卖出</v>
      </c>
      <c r="AB952" s="516">
        <v>190</v>
      </c>
      <c r="AC952" s="321">
        <v>0.2235</v>
      </c>
      <c r="AD952" s="204">
        <v>0.2</v>
      </c>
      <c r="AE952" s="204"/>
      <c r="AF952" s="105"/>
    </row>
    <row r="953" spans="1:32" ht="24.95" customHeight="1" x14ac:dyDescent="0.15">
      <c r="A953" s="316" t="s">
        <v>248</v>
      </c>
      <c r="B953" s="120" t="s">
        <v>295</v>
      </c>
      <c r="C953" s="316" t="str">
        <f t="shared" ref="C953:C967" si="638">IF(Q953="","存续","到期")</f>
        <v>到期</v>
      </c>
      <c r="D953" s="323" t="s">
        <v>1840</v>
      </c>
      <c r="E953" s="316" t="s">
        <v>255</v>
      </c>
      <c r="F953" s="48">
        <v>43795</v>
      </c>
      <c r="G953" s="517">
        <v>43812</v>
      </c>
      <c r="H953" s="516" t="s">
        <v>1718</v>
      </c>
      <c r="I953" s="516" t="s">
        <v>1720</v>
      </c>
      <c r="J953" s="316" t="s">
        <v>1719</v>
      </c>
      <c r="K953" s="516">
        <v>500</v>
      </c>
      <c r="L953" s="516">
        <v>6163.2</v>
      </c>
      <c r="M953" s="516">
        <v>5760</v>
      </c>
      <c r="N953" s="516">
        <v>19.72</v>
      </c>
      <c r="O953" s="516">
        <f t="shared" si="636"/>
        <v>9860</v>
      </c>
      <c r="P953" s="101" t="s">
        <v>2032</v>
      </c>
      <c r="Q953" s="101" t="str">
        <f t="shared" si="637"/>
        <v>OTC-C00553-L</v>
      </c>
      <c r="R953" s="301"/>
      <c r="S953" s="301"/>
      <c r="T953" s="212"/>
      <c r="U953" s="571">
        <v>5922</v>
      </c>
      <c r="V953" s="571">
        <v>0</v>
      </c>
      <c r="W953" s="568">
        <v>43812</v>
      </c>
      <c r="X953" s="567">
        <f t="shared" si="635"/>
        <v>9860</v>
      </c>
      <c r="Y953" s="198">
        <f t="shared" ref="Y953:Y968" si="639">M953*K953</f>
        <v>2880000</v>
      </c>
      <c r="Z953" s="516" t="str">
        <f t="shared" si="612"/>
        <v/>
      </c>
      <c r="AA953" s="516" t="str">
        <f t="shared" si="633"/>
        <v>买入</v>
      </c>
      <c r="AB953" s="516">
        <v>191</v>
      </c>
      <c r="AC953" s="321">
        <v>0.24199999999999999</v>
      </c>
      <c r="AD953" s="205"/>
      <c r="AE953" s="213"/>
      <c r="AF953" s="353"/>
    </row>
    <row r="954" spans="1:32" ht="24.95" customHeight="1" x14ac:dyDescent="0.15">
      <c r="A954" s="316" t="s">
        <v>248</v>
      </c>
      <c r="B954" s="120" t="s">
        <v>295</v>
      </c>
      <c r="C954" s="316" t="str">
        <f t="shared" si="638"/>
        <v>到期</v>
      </c>
      <c r="D954" s="323" t="s">
        <v>1881</v>
      </c>
      <c r="E954" s="316" t="s">
        <v>255</v>
      </c>
      <c r="F954" s="48">
        <v>43795</v>
      </c>
      <c r="G954" s="517">
        <v>43812</v>
      </c>
      <c r="H954" s="516" t="s">
        <v>1718</v>
      </c>
      <c r="I954" s="516" t="s">
        <v>222</v>
      </c>
      <c r="J954" s="316" t="s">
        <v>223</v>
      </c>
      <c r="K954" s="516">
        <v>500</v>
      </c>
      <c r="L954" s="516">
        <v>6176.04</v>
      </c>
      <c r="M954" s="516">
        <v>5772</v>
      </c>
      <c r="N954" s="516">
        <v>16.16</v>
      </c>
      <c r="O954" s="516">
        <f t="shared" si="636"/>
        <v>8080</v>
      </c>
      <c r="P954" s="101" t="s">
        <v>1765</v>
      </c>
      <c r="Q954" s="567" t="str">
        <f t="shared" si="637"/>
        <v>OTC-C00554-L</v>
      </c>
      <c r="R954" s="301"/>
      <c r="S954" s="301"/>
      <c r="T954" s="212"/>
      <c r="U954" s="571">
        <v>5922</v>
      </c>
      <c r="V954" s="571">
        <v>0</v>
      </c>
      <c r="W954" s="568">
        <v>43812</v>
      </c>
      <c r="X954" s="567">
        <f t="shared" si="635"/>
        <v>8080</v>
      </c>
      <c r="Y954" s="198">
        <f t="shared" si="639"/>
        <v>2886000</v>
      </c>
      <c r="Z954" s="516" t="str">
        <f t="shared" si="612"/>
        <v/>
      </c>
      <c r="AA954" s="516" t="str">
        <f t="shared" si="633"/>
        <v>买入</v>
      </c>
      <c r="AB954" s="516">
        <v>192</v>
      </c>
      <c r="AC954" s="321">
        <v>0.22850000000000001</v>
      </c>
      <c r="AD954" s="205"/>
      <c r="AE954" s="213"/>
      <c r="AF954" s="353"/>
    </row>
    <row r="955" spans="1:32" ht="24.95" customHeight="1" x14ac:dyDescent="0.15">
      <c r="A955" s="316" t="s">
        <v>248</v>
      </c>
      <c r="B955" s="120" t="s">
        <v>263</v>
      </c>
      <c r="C955" s="316" t="str">
        <f t="shared" si="638"/>
        <v>到期</v>
      </c>
      <c r="D955" s="103" t="s">
        <v>1841</v>
      </c>
      <c r="E955" s="316" t="s">
        <v>298</v>
      </c>
      <c r="F955" s="48">
        <v>43795</v>
      </c>
      <c r="G955" s="517">
        <v>43823</v>
      </c>
      <c r="H955" s="516" t="s">
        <v>1710</v>
      </c>
      <c r="I955" s="516" t="s">
        <v>222</v>
      </c>
      <c r="J955" s="316" t="s">
        <v>56</v>
      </c>
      <c r="K955" s="105">
        <v>50</v>
      </c>
      <c r="L955" s="104">
        <v>49060</v>
      </c>
      <c r="M955" s="104">
        <v>47170</v>
      </c>
      <c r="N955" s="104">
        <f>391.55/2</f>
        <v>195.77500000000001</v>
      </c>
      <c r="O955" s="104">
        <f>N955*K955</f>
        <v>9788.75</v>
      </c>
      <c r="P955" s="101" t="s">
        <v>1742</v>
      </c>
      <c r="Q955" s="101" t="str">
        <f>P955&amp;"-L"</f>
        <v>OTC-C00555-L</v>
      </c>
      <c r="R955" s="104"/>
      <c r="S955" s="104"/>
      <c r="T955" s="104"/>
      <c r="U955" s="104">
        <v>49590</v>
      </c>
      <c r="V955" s="104">
        <f>-(U955-L955)*K955</f>
        <v>-26500</v>
      </c>
      <c r="W955" s="590">
        <v>43823</v>
      </c>
      <c r="X955" s="589">
        <f t="shared" si="635"/>
        <v>-16711.25</v>
      </c>
      <c r="Y955" s="198">
        <f t="shared" si="639"/>
        <v>2358500</v>
      </c>
      <c r="Z955" s="516" t="str">
        <f t="shared" ref="Z955:Z966" si="640">IF(C955="存续",D955&amp;H955&amp;"-"&amp;AA955,"")</f>
        <v/>
      </c>
      <c r="AA955" s="516" t="str">
        <f>IF(I955="买入","卖出","买入19-新25")</f>
        <v>买入19-新25</v>
      </c>
      <c r="AB955" s="516">
        <v>193</v>
      </c>
      <c r="AC955" s="321">
        <v>0.152</v>
      </c>
      <c r="AD955" s="322">
        <v>0.152</v>
      </c>
      <c r="AE955" s="104"/>
      <c r="AF955" s="105">
        <v>31250</v>
      </c>
    </row>
    <row r="956" spans="1:32" ht="24.95" customHeight="1" x14ac:dyDescent="0.15">
      <c r="A956" s="316" t="s">
        <v>248</v>
      </c>
      <c r="B956" s="120" t="s">
        <v>263</v>
      </c>
      <c r="C956" s="316" t="str">
        <f t="shared" si="638"/>
        <v>到期</v>
      </c>
      <c r="D956" s="103" t="s">
        <v>1841</v>
      </c>
      <c r="E956" s="316" t="s">
        <v>298</v>
      </c>
      <c r="F956" s="48">
        <v>43795</v>
      </c>
      <c r="G956" s="517">
        <v>43823</v>
      </c>
      <c r="H956" s="516" t="s">
        <v>1710</v>
      </c>
      <c r="I956" s="516" t="s">
        <v>222</v>
      </c>
      <c r="J956" s="316" t="s">
        <v>59</v>
      </c>
      <c r="K956" s="105">
        <v>50</v>
      </c>
      <c r="L956" s="104">
        <v>45280</v>
      </c>
      <c r="M956" s="104">
        <v>47170</v>
      </c>
      <c r="N956" s="104">
        <f t="shared" ref="N956:N964" si="641">391.55/2</f>
        <v>195.77500000000001</v>
      </c>
      <c r="O956" s="104">
        <f t="shared" ref="O956:O964" si="642">N956*K956</f>
        <v>9788.75</v>
      </c>
      <c r="P956" s="101" t="s">
        <v>1742</v>
      </c>
      <c r="Q956" s="101" t="str">
        <f t="shared" ref="Q956:Q964" si="643">P956&amp;"-L"</f>
        <v>OTC-C00555-L</v>
      </c>
      <c r="R956" s="104"/>
      <c r="S956" s="104"/>
      <c r="T956" s="104"/>
      <c r="U956" s="104">
        <v>49590</v>
      </c>
      <c r="V956" s="104">
        <v>0</v>
      </c>
      <c r="W956" s="590">
        <v>43823</v>
      </c>
      <c r="X956" s="589">
        <f t="shared" si="635"/>
        <v>9788.75</v>
      </c>
      <c r="Y956" s="198">
        <f t="shared" si="639"/>
        <v>2358500</v>
      </c>
      <c r="Z956" s="516" t="str">
        <f t="shared" si="640"/>
        <v/>
      </c>
      <c r="AA956" s="516" t="str">
        <f t="shared" ref="AA956:AA964" si="644">IF(I956="买入","卖出","买入19-新25")</f>
        <v>买入19-新25</v>
      </c>
      <c r="AB956" s="516">
        <v>193</v>
      </c>
      <c r="AC956" s="321">
        <v>0.152</v>
      </c>
      <c r="AD956" s="322">
        <v>0.152</v>
      </c>
      <c r="AE956" s="104"/>
      <c r="AF956" s="105">
        <v>31250</v>
      </c>
    </row>
    <row r="957" spans="1:32" ht="24.95" customHeight="1" x14ac:dyDescent="0.15">
      <c r="A957" s="316" t="s">
        <v>248</v>
      </c>
      <c r="B957" s="120" t="s">
        <v>263</v>
      </c>
      <c r="C957" s="316" t="str">
        <f t="shared" si="638"/>
        <v>到期</v>
      </c>
      <c r="D957" s="103" t="s">
        <v>1842</v>
      </c>
      <c r="E957" s="316" t="s">
        <v>298</v>
      </c>
      <c r="F957" s="48">
        <v>43795</v>
      </c>
      <c r="G957" s="517">
        <v>43823</v>
      </c>
      <c r="H957" s="516" t="s">
        <v>1710</v>
      </c>
      <c r="I957" s="516" t="s">
        <v>222</v>
      </c>
      <c r="J957" s="316" t="s">
        <v>56</v>
      </c>
      <c r="K957" s="105">
        <v>50</v>
      </c>
      <c r="L957" s="104">
        <v>49060</v>
      </c>
      <c r="M957" s="104">
        <v>47170</v>
      </c>
      <c r="N957" s="104">
        <f t="shared" si="641"/>
        <v>195.77500000000001</v>
      </c>
      <c r="O957" s="104">
        <f t="shared" si="642"/>
        <v>9788.75</v>
      </c>
      <c r="P957" s="101" t="s">
        <v>1743</v>
      </c>
      <c r="Q957" s="101" t="str">
        <f t="shared" si="643"/>
        <v>OTC-C00556-L</v>
      </c>
      <c r="R957" s="104"/>
      <c r="S957" s="104"/>
      <c r="T957" s="104"/>
      <c r="U957" s="104">
        <v>49590</v>
      </c>
      <c r="V957" s="104">
        <f t="shared" ref="V957" si="645">-(U957-L957)*K957</f>
        <v>-26500</v>
      </c>
      <c r="W957" s="590">
        <v>43823</v>
      </c>
      <c r="X957" s="589">
        <f t="shared" si="635"/>
        <v>-16711.25</v>
      </c>
      <c r="Y957" s="198">
        <f t="shared" si="639"/>
        <v>2358500</v>
      </c>
      <c r="Z957" s="516" t="str">
        <f t="shared" si="640"/>
        <v/>
      </c>
      <c r="AA957" s="516" t="str">
        <f t="shared" si="644"/>
        <v>买入19-新25</v>
      </c>
      <c r="AB957" s="516">
        <v>193</v>
      </c>
      <c r="AC957" s="321">
        <v>0.152</v>
      </c>
      <c r="AD957" s="322">
        <v>0.152</v>
      </c>
      <c r="AE957" s="104"/>
      <c r="AF957" s="105">
        <v>31250</v>
      </c>
    </row>
    <row r="958" spans="1:32" ht="24.95" customHeight="1" x14ac:dyDescent="0.15">
      <c r="A958" s="316" t="s">
        <v>248</v>
      </c>
      <c r="B958" s="120" t="s">
        <v>263</v>
      </c>
      <c r="C958" s="316" t="str">
        <f t="shared" si="638"/>
        <v>到期</v>
      </c>
      <c r="D958" s="103" t="s">
        <v>1842</v>
      </c>
      <c r="E958" s="316" t="s">
        <v>298</v>
      </c>
      <c r="F958" s="48">
        <v>43795</v>
      </c>
      <c r="G958" s="517">
        <v>43823</v>
      </c>
      <c r="H958" s="516" t="s">
        <v>1710</v>
      </c>
      <c r="I958" s="516" t="s">
        <v>222</v>
      </c>
      <c r="J958" s="316" t="s">
        <v>59</v>
      </c>
      <c r="K958" s="105">
        <v>50</v>
      </c>
      <c r="L958" s="104">
        <v>45280</v>
      </c>
      <c r="M958" s="104">
        <v>47170</v>
      </c>
      <c r="N958" s="104">
        <f t="shared" si="641"/>
        <v>195.77500000000001</v>
      </c>
      <c r="O958" s="104">
        <f t="shared" si="642"/>
        <v>9788.75</v>
      </c>
      <c r="P958" s="101" t="s">
        <v>1744</v>
      </c>
      <c r="Q958" s="101" t="str">
        <f t="shared" si="643"/>
        <v>OTC-C00556-L</v>
      </c>
      <c r="R958" s="104"/>
      <c r="S958" s="104"/>
      <c r="T958" s="104"/>
      <c r="U958" s="104">
        <v>49590</v>
      </c>
      <c r="V958" s="104">
        <v>0</v>
      </c>
      <c r="W958" s="590">
        <v>43823</v>
      </c>
      <c r="X958" s="589">
        <f t="shared" si="635"/>
        <v>9788.75</v>
      </c>
      <c r="Y958" s="198">
        <f t="shared" si="639"/>
        <v>2358500</v>
      </c>
      <c r="Z958" s="516" t="str">
        <f t="shared" si="640"/>
        <v/>
      </c>
      <c r="AA958" s="516" t="str">
        <f t="shared" si="644"/>
        <v>买入19-新25</v>
      </c>
      <c r="AB958" s="516">
        <v>193</v>
      </c>
      <c r="AC958" s="321">
        <v>0.152</v>
      </c>
      <c r="AD958" s="322">
        <v>0.152</v>
      </c>
      <c r="AE958" s="104"/>
      <c r="AF958" s="105">
        <v>31250</v>
      </c>
    </row>
    <row r="959" spans="1:32" ht="24.95" customHeight="1" x14ac:dyDescent="0.15">
      <c r="A959" s="316" t="s">
        <v>248</v>
      </c>
      <c r="B959" s="120" t="s">
        <v>263</v>
      </c>
      <c r="C959" s="316" t="str">
        <f t="shared" si="638"/>
        <v>到期</v>
      </c>
      <c r="D959" s="103" t="s">
        <v>1843</v>
      </c>
      <c r="E959" s="316" t="s">
        <v>298</v>
      </c>
      <c r="F959" s="48">
        <v>43795</v>
      </c>
      <c r="G959" s="517">
        <v>43823</v>
      </c>
      <c r="H959" s="516" t="s">
        <v>1710</v>
      </c>
      <c r="I959" s="516" t="s">
        <v>222</v>
      </c>
      <c r="J959" s="316" t="s">
        <v>56</v>
      </c>
      <c r="K959" s="105">
        <v>50</v>
      </c>
      <c r="L959" s="104">
        <v>49060</v>
      </c>
      <c r="M959" s="104">
        <v>47170</v>
      </c>
      <c r="N959" s="104">
        <f t="shared" si="641"/>
        <v>195.77500000000001</v>
      </c>
      <c r="O959" s="104">
        <f t="shared" si="642"/>
        <v>9788.75</v>
      </c>
      <c r="P959" s="101" t="s">
        <v>1745</v>
      </c>
      <c r="Q959" s="101" t="str">
        <f t="shared" si="643"/>
        <v>OTC-C00557-L</v>
      </c>
      <c r="R959" s="104"/>
      <c r="S959" s="104"/>
      <c r="T959" s="104"/>
      <c r="U959" s="104">
        <v>49590</v>
      </c>
      <c r="V959" s="104">
        <f t="shared" ref="V959" si="646">-(U959-L959)*K959</f>
        <v>-26500</v>
      </c>
      <c r="W959" s="590">
        <v>43823</v>
      </c>
      <c r="X959" s="589">
        <f t="shared" si="635"/>
        <v>-16711.25</v>
      </c>
      <c r="Y959" s="198">
        <f t="shared" si="639"/>
        <v>2358500</v>
      </c>
      <c r="Z959" s="516" t="str">
        <f t="shared" si="640"/>
        <v/>
      </c>
      <c r="AA959" s="516" t="str">
        <f t="shared" si="644"/>
        <v>买入19-新25</v>
      </c>
      <c r="AB959" s="516">
        <v>193</v>
      </c>
      <c r="AC959" s="321">
        <v>0.152</v>
      </c>
      <c r="AD959" s="322">
        <v>0.152</v>
      </c>
      <c r="AE959" s="104"/>
      <c r="AF959" s="105">
        <v>31250</v>
      </c>
    </row>
    <row r="960" spans="1:32" ht="24.95" customHeight="1" x14ac:dyDescent="0.15">
      <c r="A960" s="316" t="s">
        <v>248</v>
      </c>
      <c r="B960" s="120" t="s">
        <v>263</v>
      </c>
      <c r="C960" s="316" t="str">
        <f t="shared" si="638"/>
        <v>到期</v>
      </c>
      <c r="D960" s="103" t="s">
        <v>1843</v>
      </c>
      <c r="E960" s="316" t="s">
        <v>298</v>
      </c>
      <c r="F960" s="48">
        <v>43795</v>
      </c>
      <c r="G960" s="517">
        <v>43823</v>
      </c>
      <c r="H960" s="516" t="s">
        <v>1710</v>
      </c>
      <c r="I960" s="516" t="s">
        <v>222</v>
      </c>
      <c r="J960" s="316" t="s">
        <v>59</v>
      </c>
      <c r="K960" s="105">
        <v>50</v>
      </c>
      <c r="L960" s="104">
        <v>45280</v>
      </c>
      <c r="M960" s="104">
        <v>47170</v>
      </c>
      <c r="N960" s="104">
        <f t="shared" si="641"/>
        <v>195.77500000000001</v>
      </c>
      <c r="O960" s="104">
        <f t="shared" si="642"/>
        <v>9788.75</v>
      </c>
      <c r="P960" s="101" t="s">
        <v>1745</v>
      </c>
      <c r="Q960" s="101" t="str">
        <f t="shared" si="643"/>
        <v>OTC-C00557-L</v>
      </c>
      <c r="R960" s="104"/>
      <c r="S960" s="104"/>
      <c r="T960" s="104"/>
      <c r="U960" s="104">
        <v>49590</v>
      </c>
      <c r="V960" s="104">
        <v>0</v>
      </c>
      <c r="W960" s="590">
        <v>43823</v>
      </c>
      <c r="X960" s="589">
        <f t="shared" si="635"/>
        <v>9788.75</v>
      </c>
      <c r="Y960" s="198">
        <f t="shared" si="639"/>
        <v>2358500</v>
      </c>
      <c r="Z960" s="516" t="str">
        <f t="shared" si="640"/>
        <v/>
      </c>
      <c r="AA960" s="516" t="str">
        <f t="shared" si="644"/>
        <v>买入19-新25</v>
      </c>
      <c r="AB960" s="516">
        <v>193</v>
      </c>
      <c r="AC960" s="321">
        <v>0.152</v>
      </c>
      <c r="AD960" s="322">
        <v>0.152</v>
      </c>
      <c r="AE960" s="104"/>
      <c r="AF960" s="105">
        <v>31250</v>
      </c>
    </row>
    <row r="961" spans="1:32" ht="24.95" customHeight="1" x14ac:dyDescent="0.15">
      <c r="A961" s="316" t="s">
        <v>248</v>
      </c>
      <c r="B961" s="120" t="s">
        <v>263</v>
      </c>
      <c r="C961" s="316" t="str">
        <f t="shared" si="638"/>
        <v>到期</v>
      </c>
      <c r="D961" s="103" t="s">
        <v>1844</v>
      </c>
      <c r="E961" s="316" t="s">
        <v>298</v>
      </c>
      <c r="F961" s="48">
        <v>43795</v>
      </c>
      <c r="G961" s="517">
        <v>43823</v>
      </c>
      <c r="H961" s="516" t="s">
        <v>1710</v>
      </c>
      <c r="I961" s="516" t="s">
        <v>222</v>
      </c>
      <c r="J961" s="316" t="s">
        <v>56</v>
      </c>
      <c r="K961" s="105">
        <v>50</v>
      </c>
      <c r="L961" s="104">
        <v>49060</v>
      </c>
      <c r="M961" s="104">
        <v>47170</v>
      </c>
      <c r="N961" s="104">
        <f t="shared" si="641"/>
        <v>195.77500000000001</v>
      </c>
      <c r="O961" s="104">
        <f t="shared" si="642"/>
        <v>9788.75</v>
      </c>
      <c r="P961" s="101" t="s">
        <v>1746</v>
      </c>
      <c r="Q961" s="101" t="str">
        <f t="shared" si="643"/>
        <v>OTC-C00558-L</v>
      </c>
      <c r="R961" s="104"/>
      <c r="S961" s="104"/>
      <c r="T961" s="104"/>
      <c r="U961" s="104">
        <v>49590</v>
      </c>
      <c r="V961" s="104">
        <f t="shared" ref="V961" si="647">-(U961-L961)*K961</f>
        <v>-26500</v>
      </c>
      <c r="W961" s="590">
        <v>43823</v>
      </c>
      <c r="X961" s="589">
        <f t="shared" si="635"/>
        <v>-16711.25</v>
      </c>
      <c r="Y961" s="198">
        <f t="shared" si="639"/>
        <v>2358500</v>
      </c>
      <c r="Z961" s="516" t="str">
        <f t="shared" si="640"/>
        <v/>
      </c>
      <c r="AA961" s="516" t="str">
        <f t="shared" si="644"/>
        <v>买入19-新25</v>
      </c>
      <c r="AB961" s="516">
        <v>193</v>
      </c>
      <c r="AC961" s="321">
        <v>0.152</v>
      </c>
      <c r="AD961" s="322">
        <v>0.152</v>
      </c>
      <c r="AE961" s="104"/>
      <c r="AF961" s="105">
        <v>31250</v>
      </c>
    </row>
    <row r="962" spans="1:32" ht="24.95" customHeight="1" x14ac:dyDescent="0.15">
      <c r="A962" s="316" t="s">
        <v>248</v>
      </c>
      <c r="B962" s="120" t="s">
        <v>263</v>
      </c>
      <c r="C962" s="316" t="str">
        <f t="shared" si="638"/>
        <v>到期</v>
      </c>
      <c r="D962" s="103" t="s">
        <v>1844</v>
      </c>
      <c r="E962" s="316" t="s">
        <v>298</v>
      </c>
      <c r="F962" s="48">
        <v>43795</v>
      </c>
      <c r="G962" s="517">
        <v>43823</v>
      </c>
      <c r="H962" s="516" t="s">
        <v>1710</v>
      </c>
      <c r="I962" s="516" t="s">
        <v>222</v>
      </c>
      <c r="J962" s="316" t="s">
        <v>59</v>
      </c>
      <c r="K962" s="105">
        <v>50</v>
      </c>
      <c r="L962" s="104">
        <v>45280</v>
      </c>
      <c r="M962" s="104">
        <v>47170</v>
      </c>
      <c r="N962" s="104">
        <f t="shared" si="641"/>
        <v>195.77500000000001</v>
      </c>
      <c r="O962" s="104">
        <f t="shared" si="642"/>
        <v>9788.75</v>
      </c>
      <c r="P962" s="101" t="s">
        <v>1746</v>
      </c>
      <c r="Q962" s="101" t="str">
        <f t="shared" si="643"/>
        <v>OTC-C00558-L</v>
      </c>
      <c r="R962" s="104"/>
      <c r="S962" s="104"/>
      <c r="T962" s="104"/>
      <c r="U962" s="104">
        <v>49590</v>
      </c>
      <c r="V962" s="104">
        <v>0</v>
      </c>
      <c r="W962" s="590">
        <v>43823</v>
      </c>
      <c r="X962" s="589">
        <f t="shared" si="635"/>
        <v>9788.75</v>
      </c>
      <c r="Y962" s="198">
        <f t="shared" si="639"/>
        <v>2358500</v>
      </c>
      <c r="Z962" s="516" t="str">
        <f t="shared" si="640"/>
        <v/>
      </c>
      <c r="AA962" s="516" t="str">
        <f t="shared" si="644"/>
        <v>买入19-新25</v>
      </c>
      <c r="AB962" s="516">
        <v>193</v>
      </c>
      <c r="AC962" s="321">
        <v>0.152</v>
      </c>
      <c r="AD962" s="322">
        <v>0.152</v>
      </c>
      <c r="AE962" s="104"/>
      <c r="AF962" s="105">
        <v>31250</v>
      </c>
    </row>
    <row r="963" spans="1:32" ht="24.95" customHeight="1" x14ac:dyDescent="0.15">
      <c r="A963" s="316" t="s">
        <v>248</v>
      </c>
      <c r="B963" s="120" t="s">
        <v>263</v>
      </c>
      <c r="C963" s="316" t="str">
        <f t="shared" si="638"/>
        <v>到期</v>
      </c>
      <c r="D963" s="103" t="s">
        <v>1845</v>
      </c>
      <c r="E963" s="316" t="s">
        <v>298</v>
      </c>
      <c r="F963" s="48">
        <v>43795</v>
      </c>
      <c r="G963" s="517">
        <v>43823</v>
      </c>
      <c r="H963" s="516" t="s">
        <v>1710</v>
      </c>
      <c r="I963" s="516" t="s">
        <v>222</v>
      </c>
      <c r="J963" s="316" t="s">
        <v>56</v>
      </c>
      <c r="K963" s="105">
        <v>50</v>
      </c>
      <c r="L963" s="104">
        <v>49060</v>
      </c>
      <c r="M963" s="104">
        <v>47170</v>
      </c>
      <c r="N963" s="104">
        <f t="shared" si="641"/>
        <v>195.77500000000001</v>
      </c>
      <c r="O963" s="104">
        <f t="shared" si="642"/>
        <v>9788.75</v>
      </c>
      <c r="P963" s="101" t="s">
        <v>1747</v>
      </c>
      <c r="Q963" s="101" t="str">
        <f t="shared" si="643"/>
        <v>OTC-C00559-L</v>
      </c>
      <c r="R963" s="104"/>
      <c r="S963" s="104"/>
      <c r="T963" s="104"/>
      <c r="U963" s="104">
        <v>49590</v>
      </c>
      <c r="V963" s="104">
        <f t="shared" ref="V963" si="648">-(U963-L963)*K963</f>
        <v>-26500</v>
      </c>
      <c r="W963" s="590">
        <v>43823</v>
      </c>
      <c r="X963" s="589">
        <f t="shared" si="635"/>
        <v>-16711.25</v>
      </c>
      <c r="Y963" s="198">
        <f t="shared" si="639"/>
        <v>2358500</v>
      </c>
      <c r="Z963" s="516" t="str">
        <f t="shared" si="640"/>
        <v/>
      </c>
      <c r="AA963" s="516" t="str">
        <f t="shared" si="644"/>
        <v>买入19-新25</v>
      </c>
      <c r="AB963" s="516">
        <v>193</v>
      </c>
      <c r="AC963" s="321">
        <v>0.152</v>
      </c>
      <c r="AD963" s="322">
        <v>0.152</v>
      </c>
      <c r="AE963" s="104"/>
      <c r="AF963" s="105">
        <v>31250</v>
      </c>
    </row>
    <row r="964" spans="1:32" ht="24.95" customHeight="1" x14ac:dyDescent="0.15">
      <c r="A964" s="316" t="s">
        <v>248</v>
      </c>
      <c r="B964" s="120" t="s">
        <v>263</v>
      </c>
      <c r="C964" s="316" t="str">
        <f t="shared" si="638"/>
        <v>到期</v>
      </c>
      <c r="D964" s="103" t="s">
        <v>1845</v>
      </c>
      <c r="E964" s="316" t="s">
        <v>298</v>
      </c>
      <c r="F964" s="48">
        <v>43795</v>
      </c>
      <c r="G964" s="517">
        <v>43823</v>
      </c>
      <c r="H964" s="516" t="s">
        <v>1710</v>
      </c>
      <c r="I964" s="516" t="s">
        <v>222</v>
      </c>
      <c r="J964" s="316" t="s">
        <v>59</v>
      </c>
      <c r="K964" s="105">
        <v>50</v>
      </c>
      <c r="L964" s="104">
        <v>45280</v>
      </c>
      <c r="M964" s="104">
        <v>47170</v>
      </c>
      <c r="N964" s="104">
        <f t="shared" si="641"/>
        <v>195.77500000000001</v>
      </c>
      <c r="O964" s="104">
        <f t="shared" si="642"/>
        <v>9788.75</v>
      </c>
      <c r="P964" s="101" t="s">
        <v>1748</v>
      </c>
      <c r="Q964" s="101" t="str">
        <f t="shared" si="643"/>
        <v>OTC-C00559-L</v>
      </c>
      <c r="R964" s="104"/>
      <c r="S964" s="104"/>
      <c r="T964" s="104"/>
      <c r="U964" s="104">
        <v>49590</v>
      </c>
      <c r="V964" s="104">
        <v>0</v>
      </c>
      <c r="W964" s="590">
        <v>43823</v>
      </c>
      <c r="X964" s="589">
        <f t="shared" si="635"/>
        <v>9788.75</v>
      </c>
      <c r="Y964" s="198">
        <f t="shared" si="639"/>
        <v>2358500</v>
      </c>
      <c r="Z964" s="516" t="str">
        <f t="shared" si="640"/>
        <v/>
      </c>
      <c r="AA964" s="516" t="str">
        <f t="shared" si="644"/>
        <v>买入19-新25</v>
      </c>
      <c r="AB964" s="516">
        <v>193</v>
      </c>
      <c r="AC964" s="321">
        <v>0.152</v>
      </c>
      <c r="AD964" s="322">
        <v>0.152</v>
      </c>
      <c r="AE964" s="104"/>
      <c r="AF964" s="105">
        <v>31250</v>
      </c>
    </row>
    <row r="965" spans="1:32" ht="24.95" customHeight="1" x14ac:dyDescent="0.15">
      <c r="A965" s="316" t="s">
        <v>265</v>
      </c>
      <c r="B965" s="120" t="s">
        <v>263</v>
      </c>
      <c r="C965" s="316" t="str">
        <f t="shared" si="638"/>
        <v>到期</v>
      </c>
      <c r="D965" s="123" t="s">
        <v>1835</v>
      </c>
      <c r="E965" s="316" t="s">
        <v>255</v>
      </c>
      <c r="F965" s="48">
        <v>43795</v>
      </c>
      <c r="G965" s="48">
        <v>43825</v>
      </c>
      <c r="H965" s="518" t="s">
        <v>1721</v>
      </c>
      <c r="I965" s="518" t="s">
        <v>241</v>
      </c>
      <c r="J965" s="316" t="s">
        <v>56</v>
      </c>
      <c r="K965" s="518">
        <v>1000</v>
      </c>
      <c r="L965" s="518">
        <v>2084</v>
      </c>
      <c r="M965" s="518">
        <v>2084</v>
      </c>
      <c r="N965" s="518">
        <v>50</v>
      </c>
      <c r="O965" s="518">
        <f>N965*K965</f>
        <v>50000</v>
      </c>
      <c r="P965" s="101" t="s">
        <v>1739</v>
      </c>
      <c r="Q965" s="101" t="str">
        <f>P965&amp;"-L"</f>
        <v>OTC-C00560-L</v>
      </c>
      <c r="R965" s="105"/>
      <c r="S965" s="105"/>
      <c r="T965" s="519"/>
      <c r="U965" s="518">
        <v>2161</v>
      </c>
      <c r="V965" s="518">
        <f>(U965-L965)*K965</f>
        <v>77000</v>
      </c>
      <c r="W965" s="48">
        <v>43825</v>
      </c>
      <c r="X965" s="597">
        <f t="shared" si="635"/>
        <v>27000</v>
      </c>
      <c r="Y965" s="198">
        <f t="shared" si="639"/>
        <v>2084000</v>
      </c>
      <c r="Z965" s="518" t="str">
        <f t="shared" si="640"/>
        <v/>
      </c>
      <c r="AA965" s="105" t="str">
        <f t="shared" ref="AA965:AA966" si="649">IF(I965="买入","卖出","买入")</f>
        <v>卖出</v>
      </c>
      <c r="AB965" s="518">
        <v>194</v>
      </c>
      <c r="AC965" s="321">
        <v>0.2</v>
      </c>
      <c r="AD965" s="205">
        <v>0.18</v>
      </c>
      <c r="AE965" s="518" t="s">
        <v>1335</v>
      </c>
      <c r="AF965" s="105"/>
    </row>
    <row r="966" spans="1:32" ht="24.95" customHeight="1" x14ac:dyDescent="0.15">
      <c r="A966" s="316" t="s">
        <v>265</v>
      </c>
      <c r="B966" s="120" t="s">
        <v>263</v>
      </c>
      <c r="C966" s="316" t="str">
        <f t="shared" si="638"/>
        <v>到期</v>
      </c>
      <c r="D966" s="123" t="s">
        <v>1835</v>
      </c>
      <c r="E966" s="316" t="s">
        <v>255</v>
      </c>
      <c r="F966" s="48">
        <v>43795</v>
      </c>
      <c r="G966" s="48">
        <v>43825</v>
      </c>
      <c r="H966" s="518" t="s">
        <v>1722</v>
      </c>
      <c r="I966" s="518" t="s">
        <v>241</v>
      </c>
      <c r="J966" s="316" t="s">
        <v>224</v>
      </c>
      <c r="K966" s="518">
        <v>1000</v>
      </c>
      <c r="L966" s="518">
        <v>2084</v>
      </c>
      <c r="M966" s="518">
        <v>2084</v>
      </c>
      <c r="N966" s="518">
        <v>50</v>
      </c>
      <c r="O966" s="518">
        <f>N966*K966</f>
        <v>50000</v>
      </c>
      <c r="P966" s="101" t="s">
        <v>1739</v>
      </c>
      <c r="Q966" s="101" t="str">
        <f>P966&amp;"-L"</f>
        <v>OTC-C00560-L</v>
      </c>
      <c r="R966" s="105"/>
      <c r="S966" s="105"/>
      <c r="T966" s="519"/>
      <c r="U966" s="598">
        <v>2161</v>
      </c>
      <c r="V966" s="518">
        <v>0</v>
      </c>
      <c r="W966" s="48">
        <v>43825</v>
      </c>
      <c r="X966" s="597">
        <f t="shared" si="635"/>
        <v>-50000</v>
      </c>
      <c r="Y966" s="198">
        <f t="shared" si="639"/>
        <v>2084000</v>
      </c>
      <c r="Z966" s="518" t="str">
        <f t="shared" si="640"/>
        <v/>
      </c>
      <c r="AA966" s="105" t="str">
        <f t="shared" si="649"/>
        <v>卖出</v>
      </c>
      <c r="AB966" s="518">
        <v>194</v>
      </c>
      <c r="AC966" s="321">
        <v>0.2</v>
      </c>
      <c r="AD966" s="205">
        <v>0.18</v>
      </c>
      <c r="AE966" s="518" t="s">
        <v>1335</v>
      </c>
      <c r="AF966" s="105"/>
    </row>
    <row r="967" spans="1:32" ht="24.95" customHeight="1" x14ac:dyDescent="0.15">
      <c r="A967" s="316" t="s">
        <v>1723</v>
      </c>
      <c r="B967" s="120" t="s">
        <v>263</v>
      </c>
      <c r="C967" s="316" t="str">
        <f t="shared" si="638"/>
        <v>到期</v>
      </c>
      <c r="D967" s="128" t="s">
        <v>1884</v>
      </c>
      <c r="E967" s="316" t="s">
        <v>255</v>
      </c>
      <c r="F967" s="48">
        <v>43795</v>
      </c>
      <c r="G967" s="48">
        <v>43825</v>
      </c>
      <c r="H967" s="520" t="s">
        <v>1740</v>
      </c>
      <c r="I967" s="520" t="s">
        <v>222</v>
      </c>
      <c r="J967" s="316" t="s">
        <v>1726</v>
      </c>
      <c r="K967" s="520">
        <v>1800</v>
      </c>
      <c r="L967" s="520">
        <v>2771.5</v>
      </c>
      <c r="M967" s="520">
        <v>2771.5</v>
      </c>
      <c r="N967" s="520">
        <v>60</v>
      </c>
      <c r="O967" s="520">
        <f t="shared" ref="O967:O968" si="650">N967*K967</f>
        <v>108000</v>
      </c>
      <c r="P967" s="105" t="s">
        <v>1724</v>
      </c>
      <c r="Q967" s="105" t="str">
        <f t="shared" ref="Q967:Q968" si="651">P967&amp;"-L"</f>
        <v>OTC-C00561-L</v>
      </c>
      <c r="R967" s="105"/>
      <c r="S967" s="105"/>
      <c r="T967" s="521"/>
      <c r="U967" s="520">
        <f>3529-639.5</f>
        <v>2889.5</v>
      </c>
      <c r="V967" s="520">
        <f>-(U967-L967)*K967</f>
        <v>-212400</v>
      </c>
      <c r="W967" s="48">
        <v>43825</v>
      </c>
      <c r="X967" s="597">
        <f t="shared" si="635"/>
        <v>-104400</v>
      </c>
      <c r="Y967" s="198">
        <f t="shared" si="639"/>
        <v>4988700</v>
      </c>
      <c r="Z967" s="520" t="str">
        <f t="shared" ref="Z967:Z968" si="652">IF(C967="存续",D967&amp;H967&amp;"-"&amp;AA967,"")</f>
        <v/>
      </c>
      <c r="AA967" s="105" t="str">
        <f t="shared" ref="AA967:AA968" si="653">IF(I967="买入","卖出","买入")</f>
        <v>买入</v>
      </c>
      <c r="AB967" s="520">
        <v>195</v>
      </c>
      <c r="AC967" s="321"/>
      <c r="AD967" s="321"/>
      <c r="AE967" s="520"/>
      <c r="AF967" s="105">
        <v>107649</v>
      </c>
    </row>
    <row r="968" spans="1:32" ht="24.95" customHeight="1" x14ac:dyDescent="0.15">
      <c r="A968" s="316" t="s">
        <v>1723</v>
      </c>
      <c r="B968" s="120" t="s">
        <v>263</v>
      </c>
      <c r="C968" s="316" t="str">
        <f t="shared" ref="C968" si="654">IF(Q968="","存续","到期")</f>
        <v>到期</v>
      </c>
      <c r="D968" s="128" t="s">
        <v>1884</v>
      </c>
      <c r="E968" s="316" t="s">
        <v>255</v>
      </c>
      <c r="F968" s="48">
        <v>43795</v>
      </c>
      <c r="G968" s="48">
        <v>43825</v>
      </c>
      <c r="H968" s="520" t="s">
        <v>1725</v>
      </c>
      <c r="I968" s="520" t="s">
        <v>222</v>
      </c>
      <c r="J968" s="316" t="s">
        <v>1727</v>
      </c>
      <c r="K968" s="520">
        <v>1800</v>
      </c>
      <c r="L968" s="520">
        <v>2771.5</v>
      </c>
      <c r="M968" s="520">
        <v>2771.5</v>
      </c>
      <c r="N968" s="520">
        <v>60</v>
      </c>
      <c r="O968" s="520">
        <f t="shared" si="650"/>
        <v>108000</v>
      </c>
      <c r="P968" s="105" t="s">
        <v>1724</v>
      </c>
      <c r="Q968" s="105" t="str">
        <f t="shared" si="651"/>
        <v>OTC-C00561-L</v>
      </c>
      <c r="R968" s="105"/>
      <c r="S968" s="105"/>
      <c r="T968" s="521"/>
      <c r="U968" s="598">
        <f>3529-639.5</f>
        <v>2889.5</v>
      </c>
      <c r="V968" s="520">
        <v>0</v>
      </c>
      <c r="W968" s="48">
        <v>43825</v>
      </c>
      <c r="X968" s="597">
        <f t="shared" si="635"/>
        <v>108000</v>
      </c>
      <c r="Y968" s="198">
        <f t="shared" si="639"/>
        <v>4988700</v>
      </c>
      <c r="Z968" s="520" t="str">
        <f t="shared" si="652"/>
        <v/>
      </c>
      <c r="AA968" s="105" t="str">
        <f t="shared" si="653"/>
        <v>买入</v>
      </c>
      <c r="AB968" s="520">
        <v>195</v>
      </c>
      <c r="AC968" s="321"/>
      <c r="AD968" s="321"/>
      <c r="AE968" s="520"/>
      <c r="AF968" s="105">
        <v>107649</v>
      </c>
    </row>
    <row r="969" spans="1:32" ht="24.95" customHeight="1" x14ac:dyDescent="0.15">
      <c r="A969" s="316" t="s">
        <v>265</v>
      </c>
      <c r="B969" s="120" t="s">
        <v>263</v>
      </c>
      <c r="C969" s="316" t="str">
        <f t="shared" ref="C969" si="655">IF(Q969="","存续","到期")</f>
        <v>到期</v>
      </c>
      <c r="D969" s="123" t="s">
        <v>1332</v>
      </c>
      <c r="E969" s="316" t="s">
        <v>255</v>
      </c>
      <c r="F969" s="48">
        <v>43796</v>
      </c>
      <c r="G969" s="523">
        <v>43826</v>
      </c>
      <c r="H969" s="522" t="s">
        <v>1730</v>
      </c>
      <c r="I969" s="522" t="s">
        <v>316</v>
      </c>
      <c r="J969" s="316" t="s">
        <v>56</v>
      </c>
      <c r="K969" s="522">
        <v>1000</v>
      </c>
      <c r="L969" s="522">
        <v>6658.95</v>
      </c>
      <c r="M969" s="522">
        <v>6465</v>
      </c>
      <c r="N969" s="522">
        <v>22.58</v>
      </c>
      <c r="O969" s="522">
        <f>N969*K969</f>
        <v>22580</v>
      </c>
      <c r="P969" s="101" t="s">
        <v>1763</v>
      </c>
      <c r="Q969" s="105" t="str">
        <f>P969&amp;"-L"</f>
        <v>OTC-C00562-L</v>
      </c>
      <c r="R969" s="301"/>
      <c r="S969" s="301"/>
      <c r="T969" s="212"/>
      <c r="U969" s="104">
        <v>6505</v>
      </c>
      <c r="V969" s="104">
        <v>0</v>
      </c>
      <c r="W969" s="607">
        <v>43826</v>
      </c>
      <c r="X969" s="105">
        <f t="shared" si="635"/>
        <v>-22580</v>
      </c>
      <c r="Y969" s="198">
        <f>ABS(M969*K969)</f>
        <v>6465000</v>
      </c>
      <c r="Z969" s="522" t="str">
        <f t="shared" ref="Z969" si="656">IF(C969="存续",D969&amp;H969&amp;"-"&amp;AA969,"")</f>
        <v/>
      </c>
      <c r="AA969" s="522" t="str">
        <f>IF(I969="买入","卖出","买入")</f>
        <v>卖出</v>
      </c>
      <c r="AB969" s="522">
        <v>196</v>
      </c>
      <c r="AC969" s="321">
        <v>0.11</v>
      </c>
      <c r="AD969" s="205">
        <v>0.09</v>
      </c>
      <c r="AE969" s="213"/>
      <c r="AF969" s="105"/>
    </row>
    <row r="970" spans="1:32" ht="24.95" customHeight="1" x14ac:dyDescent="0.15">
      <c r="A970" s="316" t="s">
        <v>265</v>
      </c>
      <c r="B970" s="120" t="s">
        <v>263</v>
      </c>
      <c r="C970" s="316" t="str">
        <f t="shared" ref="C970:C972" si="657">IF(Q970="","存续","到期")</f>
        <v>到期</v>
      </c>
      <c r="D970" s="123" t="s">
        <v>1885</v>
      </c>
      <c r="E970" s="316" t="s">
        <v>255</v>
      </c>
      <c r="F970" s="48">
        <v>43796</v>
      </c>
      <c r="G970" s="523">
        <v>43826</v>
      </c>
      <c r="H970" s="522" t="s">
        <v>1730</v>
      </c>
      <c r="I970" s="522" t="s">
        <v>316</v>
      </c>
      <c r="J970" s="316" t="s">
        <v>56</v>
      </c>
      <c r="K970" s="522">
        <v>1000</v>
      </c>
      <c r="L970" s="522">
        <v>6653.8</v>
      </c>
      <c r="M970" s="522">
        <v>6460</v>
      </c>
      <c r="N970" s="522">
        <v>22.2</v>
      </c>
      <c r="O970" s="522">
        <f>N970*K970</f>
        <v>22200</v>
      </c>
      <c r="P970" s="101" t="s">
        <v>1764</v>
      </c>
      <c r="Q970" s="105" t="str">
        <f>P970&amp;"-L"</f>
        <v>OTC-C00563-L</v>
      </c>
      <c r="R970" s="301"/>
      <c r="S970" s="301"/>
      <c r="T970" s="212"/>
      <c r="U970" s="104">
        <v>6505</v>
      </c>
      <c r="V970" s="104">
        <v>0</v>
      </c>
      <c r="W970" s="607">
        <v>43826</v>
      </c>
      <c r="X970" s="105">
        <f t="shared" si="635"/>
        <v>-22200</v>
      </c>
      <c r="Y970" s="198">
        <f>ABS(M970*K970)</f>
        <v>6460000</v>
      </c>
      <c r="Z970" s="522" t="str">
        <f t="shared" ref="Z970:Z972" si="658">IF(C970="存续",D970&amp;H970&amp;"-"&amp;AA970,"")</f>
        <v/>
      </c>
      <c r="AA970" s="522" t="str">
        <f>IF(I970="买入","卖出","买入")</f>
        <v>卖出</v>
      </c>
      <c r="AB970" s="522">
        <v>197</v>
      </c>
      <c r="AC970" s="321">
        <v>0.11</v>
      </c>
      <c r="AD970" s="205">
        <v>0.09</v>
      </c>
      <c r="AE970" s="213"/>
      <c r="AF970" s="105"/>
    </row>
    <row r="971" spans="1:32" ht="24.95" customHeight="1" x14ac:dyDescent="0.15">
      <c r="A971" s="316" t="s">
        <v>265</v>
      </c>
      <c r="B971" s="120" t="s">
        <v>263</v>
      </c>
      <c r="C971" s="316" t="str">
        <f t="shared" si="657"/>
        <v>到期</v>
      </c>
      <c r="D971" s="123" t="s">
        <v>1332</v>
      </c>
      <c r="E971" s="316" t="s">
        <v>255</v>
      </c>
      <c r="F971" s="48">
        <v>43797</v>
      </c>
      <c r="G971" s="525">
        <v>43826</v>
      </c>
      <c r="H971" s="524" t="s">
        <v>1741</v>
      </c>
      <c r="I971" s="524" t="s">
        <v>316</v>
      </c>
      <c r="J971" s="316" t="s">
        <v>56</v>
      </c>
      <c r="K971" s="524">
        <v>500</v>
      </c>
      <c r="L971" s="524">
        <v>4792</v>
      </c>
      <c r="M971" s="524">
        <v>4792</v>
      </c>
      <c r="N971" s="524">
        <v>80.730999999999995</v>
      </c>
      <c r="O971" s="524">
        <v>40365</v>
      </c>
      <c r="P971" s="101" t="s">
        <v>1762</v>
      </c>
      <c r="Q971" s="104" t="str">
        <f t="shared" ref="Q971:Q974" si="659">P971&amp;"-L"</f>
        <v>OTC-C00564-L</v>
      </c>
      <c r="R971" s="105">
        <f>U971-L971</f>
        <v>178</v>
      </c>
      <c r="S971" s="105">
        <f>R971*K971</f>
        <v>89000</v>
      </c>
      <c r="T971" s="605">
        <v>43826</v>
      </c>
      <c r="U971" s="104">
        <v>4970</v>
      </c>
      <c r="V971" s="104"/>
      <c r="W971" s="525"/>
      <c r="X971" s="104">
        <f t="shared" ref="X971:X974" si="660">IF(I971="买入",S971-O971,O971+S971)</f>
        <v>48635</v>
      </c>
      <c r="Y971" s="198">
        <f t="shared" ref="Y971:Y974" si="661">ABS(M971*K971)</f>
        <v>2396000</v>
      </c>
      <c r="Z971" s="524" t="str">
        <f t="shared" si="658"/>
        <v/>
      </c>
      <c r="AA971" s="524" t="str">
        <f t="shared" ref="AA971:AA982" si="662">IF(I971="买入","卖出","买入")</f>
        <v>卖出</v>
      </c>
      <c r="AB971" s="524">
        <v>198</v>
      </c>
      <c r="AC971" s="321">
        <v>0.14099999999999999</v>
      </c>
      <c r="AD971" s="205">
        <v>0.12</v>
      </c>
      <c r="AE971" s="213"/>
      <c r="AF971" s="105"/>
    </row>
    <row r="972" spans="1:32" ht="24.95" customHeight="1" x14ac:dyDescent="0.15">
      <c r="A972" s="316" t="s">
        <v>265</v>
      </c>
      <c r="B972" s="120" t="s">
        <v>263</v>
      </c>
      <c r="C972" s="316" t="str">
        <f t="shared" si="657"/>
        <v>到期</v>
      </c>
      <c r="D972" s="123" t="s">
        <v>1332</v>
      </c>
      <c r="E972" s="316" t="s">
        <v>255</v>
      </c>
      <c r="F972" s="48">
        <v>43797</v>
      </c>
      <c r="G972" s="525">
        <v>43826</v>
      </c>
      <c r="H972" s="524" t="s">
        <v>1908</v>
      </c>
      <c r="I972" s="524" t="s">
        <v>316</v>
      </c>
      <c r="J972" s="316" t="s">
        <v>224</v>
      </c>
      <c r="K972" s="524">
        <v>500</v>
      </c>
      <c r="L972" s="524">
        <v>4792</v>
      </c>
      <c r="M972" s="524">
        <v>4792</v>
      </c>
      <c r="N972" s="524">
        <v>80.730999999999995</v>
      </c>
      <c r="O972" s="524">
        <v>40365</v>
      </c>
      <c r="P972" s="101" t="s">
        <v>1762</v>
      </c>
      <c r="Q972" s="104" t="str">
        <f t="shared" si="659"/>
        <v>OTC-C00564-L</v>
      </c>
      <c r="R972" s="105">
        <v>0</v>
      </c>
      <c r="S972" s="105">
        <f t="shared" ref="S972:S974" si="663">R972*K972</f>
        <v>0</v>
      </c>
      <c r="T972" s="605">
        <v>43826</v>
      </c>
      <c r="U972" s="104">
        <v>4970</v>
      </c>
      <c r="V972" s="104"/>
      <c r="W972" s="525"/>
      <c r="X972" s="104">
        <f t="shared" si="660"/>
        <v>-40365</v>
      </c>
      <c r="Y972" s="198">
        <f t="shared" si="661"/>
        <v>2396000</v>
      </c>
      <c r="Z972" s="524" t="str">
        <f t="shared" si="658"/>
        <v/>
      </c>
      <c r="AA972" s="524" t="str">
        <f t="shared" si="662"/>
        <v>卖出</v>
      </c>
      <c r="AB972" s="524">
        <v>198</v>
      </c>
      <c r="AC972" s="321">
        <v>0.14099999999999999</v>
      </c>
      <c r="AD972" s="205">
        <v>0.12</v>
      </c>
      <c r="AE972" s="213"/>
      <c r="AF972" s="105"/>
    </row>
    <row r="973" spans="1:32" ht="24.95" customHeight="1" x14ac:dyDescent="0.15">
      <c r="A973" s="316" t="s">
        <v>265</v>
      </c>
      <c r="B973" s="120" t="s">
        <v>263</v>
      </c>
      <c r="C973" s="316" t="str">
        <f t="shared" ref="C973:C986" si="664">IF(Q973="","存续","到期")</f>
        <v>到期</v>
      </c>
      <c r="D973" s="123" t="s">
        <v>1885</v>
      </c>
      <c r="E973" s="316" t="s">
        <v>255</v>
      </c>
      <c r="F973" s="48">
        <v>43797</v>
      </c>
      <c r="G973" s="525">
        <v>43826</v>
      </c>
      <c r="H973" s="524" t="s">
        <v>1741</v>
      </c>
      <c r="I973" s="524" t="s">
        <v>316</v>
      </c>
      <c r="J973" s="316" t="s">
        <v>56</v>
      </c>
      <c r="K973" s="524">
        <v>500</v>
      </c>
      <c r="L973" s="524">
        <v>4792</v>
      </c>
      <c r="M973" s="524">
        <v>4792</v>
      </c>
      <c r="N973" s="524">
        <v>80.730999999999995</v>
      </c>
      <c r="O973" s="524">
        <v>40365</v>
      </c>
      <c r="P973" s="101" t="s">
        <v>1760</v>
      </c>
      <c r="Q973" s="104" t="str">
        <f t="shared" si="659"/>
        <v>OTC-C00565-L</v>
      </c>
      <c r="R973" s="105">
        <f>U973-L973</f>
        <v>178</v>
      </c>
      <c r="S973" s="105">
        <f t="shared" si="663"/>
        <v>89000</v>
      </c>
      <c r="T973" s="605">
        <v>43826</v>
      </c>
      <c r="U973" s="104">
        <v>4970</v>
      </c>
      <c r="V973" s="104"/>
      <c r="W973" s="525"/>
      <c r="X973" s="104">
        <f t="shared" si="660"/>
        <v>48635</v>
      </c>
      <c r="Y973" s="198">
        <f t="shared" si="661"/>
        <v>2396000</v>
      </c>
      <c r="Z973" s="524" t="str">
        <f t="shared" ref="Z973:Z980" si="665">IF(C973="存续",D973&amp;H973&amp;"-"&amp;AA973,"")</f>
        <v/>
      </c>
      <c r="AA973" s="524" t="str">
        <f t="shared" si="662"/>
        <v>卖出</v>
      </c>
      <c r="AB973" s="524">
        <v>199</v>
      </c>
      <c r="AC973" s="321">
        <v>0.14099999999999999</v>
      </c>
      <c r="AD973" s="205">
        <v>0.12</v>
      </c>
      <c r="AE973" s="213"/>
      <c r="AF973" s="105"/>
    </row>
    <row r="974" spans="1:32" ht="24.95" customHeight="1" x14ac:dyDescent="0.15">
      <c r="A974" s="316" t="s">
        <v>265</v>
      </c>
      <c r="B974" s="120" t="s">
        <v>263</v>
      </c>
      <c r="C974" s="316" t="str">
        <f t="shared" si="664"/>
        <v>到期</v>
      </c>
      <c r="D974" s="123" t="s">
        <v>1885</v>
      </c>
      <c r="E974" s="316" t="s">
        <v>255</v>
      </c>
      <c r="F974" s="48">
        <v>43797</v>
      </c>
      <c r="G974" s="525">
        <v>43826</v>
      </c>
      <c r="H974" s="524" t="s">
        <v>1741</v>
      </c>
      <c r="I974" s="524" t="s">
        <v>316</v>
      </c>
      <c r="J974" s="316" t="s">
        <v>224</v>
      </c>
      <c r="K974" s="524">
        <v>500</v>
      </c>
      <c r="L974" s="524">
        <v>4792</v>
      </c>
      <c r="M974" s="524">
        <v>4792</v>
      </c>
      <c r="N974" s="524">
        <v>80.730999999999995</v>
      </c>
      <c r="O974" s="524">
        <v>40365</v>
      </c>
      <c r="P974" s="101" t="s">
        <v>1761</v>
      </c>
      <c r="Q974" s="104" t="str">
        <f t="shared" si="659"/>
        <v>OTC-C00565-L</v>
      </c>
      <c r="R974" s="105">
        <v>0</v>
      </c>
      <c r="S974" s="105">
        <f t="shared" si="663"/>
        <v>0</v>
      </c>
      <c r="T974" s="605">
        <v>43826</v>
      </c>
      <c r="U974" s="104">
        <v>4970</v>
      </c>
      <c r="V974" s="104"/>
      <c r="W974" s="525"/>
      <c r="X974" s="104">
        <f t="shared" si="660"/>
        <v>-40365</v>
      </c>
      <c r="Y974" s="198">
        <f t="shared" si="661"/>
        <v>2396000</v>
      </c>
      <c r="Z974" s="524" t="str">
        <f t="shared" si="665"/>
        <v/>
      </c>
      <c r="AA974" s="524" t="str">
        <f t="shared" si="662"/>
        <v>卖出</v>
      </c>
      <c r="AB974" s="524">
        <v>199</v>
      </c>
      <c r="AC974" s="321">
        <v>0.14099999999999999</v>
      </c>
      <c r="AD974" s="205">
        <v>0.12</v>
      </c>
      <c r="AE974" s="213"/>
      <c r="AF974" s="105"/>
    </row>
    <row r="975" spans="1:32" ht="24.95" customHeight="1" x14ac:dyDescent="0.15">
      <c r="A975" s="316" t="s">
        <v>394</v>
      </c>
      <c r="B975" s="120" t="s">
        <v>263</v>
      </c>
      <c r="C975" s="316" t="str">
        <f t="shared" si="664"/>
        <v>到期</v>
      </c>
      <c r="D975" s="128" t="s">
        <v>1853</v>
      </c>
      <c r="E975" s="316" t="s">
        <v>255</v>
      </c>
      <c r="F975" s="527">
        <v>43797</v>
      </c>
      <c r="G975" s="527">
        <v>43829</v>
      </c>
      <c r="H975" s="526" t="s">
        <v>1640</v>
      </c>
      <c r="I975" s="526" t="s">
        <v>316</v>
      </c>
      <c r="J975" s="316" t="s">
        <v>986</v>
      </c>
      <c r="K975" s="526">
        <v>1000</v>
      </c>
      <c r="L975" s="526">
        <v>3390</v>
      </c>
      <c r="M975" s="526">
        <v>3390</v>
      </c>
      <c r="N975" s="526">
        <v>68.48</v>
      </c>
      <c r="O975" s="526">
        <f t="shared" ref="O975:O983" si="666">N975*K975</f>
        <v>68480</v>
      </c>
      <c r="P975" s="101" t="s">
        <v>1758</v>
      </c>
      <c r="Q975" s="105" t="s">
        <v>1911</v>
      </c>
      <c r="R975" s="105"/>
      <c r="S975" s="105"/>
      <c r="T975" s="527"/>
      <c r="U975" s="526">
        <v>3545</v>
      </c>
      <c r="V975" s="526">
        <f>155*K975</f>
        <v>155000</v>
      </c>
      <c r="W975" s="609">
        <v>43829</v>
      </c>
      <c r="X975" s="105">
        <f t="shared" ref="X975:X976" si="667">IF(I975="买入",V975-O975,V975+O975)</f>
        <v>86520</v>
      </c>
      <c r="Y975" s="198">
        <f t="shared" ref="Y975:Y976" si="668">M975*K975</f>
        <v>3390000</v>
      </c>
      <c r="Z975" s="526" t="str">
        <f t="shared" si="665"/>
        <v/>
      </c>
      <c r="AA975" s="105" t="str">
        <f t="shared" si="662"/>
        <v>卖出</v>
      </c>
      <c r="AB975" s="526">
        <v>200</v>
      </c>
      <c r="AC975" s="321">
        <v>0.16900000000000001</v>
      </c>
      <c r="AD975" s="526"/>
      <c r="AE975" s="526"/>
      <c r="AF975" s="105"/>
    </row>
    <row r="976" spans="1:32" ht="24.95" customHeight="1" x14ac:dyDescent="0.15">
      <c r="A976" s="316" t="s">
        <v>394</v>
      </c>
      <c r="B976" s="120" t="s">
        <v>263</v>
      </c>
      <c r="C976" s="316" t="str">
        <f t="shared" si="664"/>
        <v>到期</v>
      </c>
      <c r="D976" s="128" t="s">
        <v>1853</v>
      </c>
      <c r="E976" s="316" t="s">
        <v>255</v>
      </c>
      <c r="F976" s="527">
        <v>43797</v>
      </c>
      <c r="G976" s="527">
        <v>43829</v>
      </c>
      <c r="H976" s="526" t="s">
        <v>1640</v>
      </c>
      <c r="I976" s="526" t="s">
        <v>316</v>
      </c>
      <c r="J976" s="316" t="s">
        <v>979</v>
      </c>
      <c r="K976" s="526">
        <v>1000</v>
      </c>
      <c r="L976" s="526">
        <v>3390</v>
      </c>
      <c r="M976" s="526">
        <v>3390</v>
      </c>
      <c r="N976" s="526">
        <v>68.48</v>
      </c>
      <c r="O976" s="526">
        <f t="shared" si="666"/>
        <v>68480</v>
      </c>
      <c r="P976" s="101" t="s">
        <v>1759</v>
      </c>
      <c r="Q976" s="105" t="s">
        <v>1911</v>
      </c>
      <c r="R976" s="105"/>
      <c r="S976" s="105"/>
      <c r="T976" s="527"/>
      <c r="U976" s="608">
        <v>3545</v>
      </c>
      <c r="V976" s="526">
        <v>0</v>
      </c>
      <c r="W976" s="609">
        <v>43829</v>
      </c>
      <c r="X976" s="105">
        <f t="shared" si="667"/>
        <v>-68480</v>
      </c>
      <c r="Y976" s="198">
        <f t="shared" si="668"/>
        <v>3390000</v>
      </c>
      <c r="Z976" s="526" t="str">
        <f t="shared" si="665"/>
        <v/>
      </c>
      <c r="AA976" s="105" t="str">
        <f t="shared" si="662"/>
        <v>卖出</v>
      </c>
      <c r="AB976" s="526">
        <v>200</v>
      </c>
      <c r="AC976" s="321">
        <v>0.16900000000000001</v>
      </c>
      <c r="AD976" s="526"/>
      <c r="AE976" s="526"/>
      <c r="AF976" s="105"/>
    </row>
    <row r="977" spans="1:32" ht="24.95" customHeight="1" x14ac:dyDescent="0.15">
      <c r="A977" s="316" t="s">
        <v>394</v>
      </c>
      <c r="B977" s="120" t="s">
        <v>263</v>
      </c>
      <c r="C977" s="316" t="str">
        <f t="shared" si="664"/>
        <v>到期</v>
      </c>
      <c r="D977" s="128" t="s">
        <v>1846</v>
      </c>
      <c r="E977" s="316" t="s">
        <v>255</v>
      </c>
      <c r="F977" s="536">
        <v>43798</v>
      </c>
      <c r="G977" s="536">
        <v>43948</v>
      </c>
      <c r="H977" s="535" t="s">
        <v>1640</v>
      </c>
      <c r="I977" s="535" t="s">
        <v>1331</v>
      </c>
      <c r="J977" s="316" t="s">
        <v>986</v>
      </c>
      <c r="K977" s="535">
        <v>2000</v>
      </c>
      <c r="L977" s="535">
        <v>3427</v>
      </c>
      <c r="M977" s="535">
        <v>3427</v>
      </c>
      <c r="N977" s="535">
        <v>130</v>
      </c>
      <c r="O977" s="535">
        <f t="shared" si="666"/>
        <v>260000</v>
      </c>
      <c r="P977" s="105" t="s">
        <v>1750</v>
      </c>
      <c r="Q977" s="105" t="str">
        <f>P977&amp;"-L"</f>
        <v>OTC-C00567-L</v>
      </c>
      <c r="R977" s="105">
        <v>0</v>
      </c>
      <c r="S977" s="105">
        <f t="shared" ref="S977:S979" si="669">R977*K977</f>
        <v>0</v>
      </c>
      <c r="T977" s="536">
        <v>43801</v>
      </c>
      <c r="U977" s="535">
        <v>3423</v>
      </c>
      <c r="V977" s="535"/>
      <c r="W977" s="536"/>
      <c r="X977" s="538">
        <f>IF(I977="买入",S977-O977,O977+S977)</f>
        <v>260000</v>
      </c>
      <c r="Y977" s="535">
        <f t="shared" ref="Y977:Y978" si="670">ABS(M977*K977)</f>
        <v>6854000</v>
      </c>
      <c r="Z977" s="535" t="str">
        <f t="shared" si="665"/>
        <v/>
      </c>
      <c r="AA977" s="105" t="str">
        <f t="shared" si="662"/>
        <v>买入</v>
      </c>
      <c r="AB977" s="535">
        <v>201</v>
      </c>
      <c r="AC977" s="321"/>
      <c r="AD977" s="535"/>
      <c r="AE977" s="113" t="s">
        <v>1717</v>
      </c>
      <c r="AF977" s="105"/>
    </row>
    <row r="978" spans="1:32" ht="24.95" customHeight="1" x14ac:dyDescent="0.15">
      <c r="A978" s="316" t="s">
        <v>394</v>
      </c>
      <c r="B978" s="120" t="s">
        <v>263</v>
      </c>
      <c r="C978" s="316" t="str">
        <f t="shared" si="664"/>
        <v>到期</v>
      </c>
      <c r="D978" s="128" t="s">
        <v>1846</v>
      </c>
      <c r="E978" s="316" t="s">
        <v>255</v>
      </c>
      <c r="F978" s="536">
        <v>43798</v>
      </c>
      <c r="G978" s="536">
        <v>43948</v>
      </c>
      <c r="H978" s="535" t="s">
        <v>1640</v>
      </c>
      <c r="I978" s="535" t="s">
        <v>1749</v>
      </c>
      <c r="J978" s="316" t="s">
        <v>979</v>
      </c>
      <c r="K978" s="535">
        <v>2000</v>
      </c>
      <c r="L978" s="535">
        <v>3427</v>
      </c>
      <c r="M978" s="535">
        <v>3427</v>
      </c>
      <c r="N978" s="535">
        <v>130</v>
      </c>
      <c r="O978" s="535">
        <f t="shared" si="666"/>
        <v>260000</v>
      </c>
      <c r="P978" s="105" t="s">
        <v>1750</v>
      </c>
      <c r="Q978" s="105" t="str">
        <f t="shared" ref="Q978:Q980" si="671">P978&amp;"-L"</f>
        <v>OTC-C00567-L</v>
      </c>
      <c r="R978" s="105">
        <f>L978-U978</f>
        <v>4</v>
      </c>
      <c r="S978" s="105">
        <f t="shared" si="669"/>
        <v>8000</v>
      </c>
      <c r="T978" s="539">
        <v>43801</v>
      </c>
      <c r="U978" s="535">
        <v>3423</v>
      </c>
      <c r="V978" s="535"/>
      <c r="W978" s="536"/>
      <c r="X978" s="538">
        <f t="shared" ref="X978:X980" si="672">IF(I978="买入",S978-O978,O978+S978)</f>
        <v>-252000</v>
      </c>
      <c r="Y978" s="535">
        <f t="shared" si="670"/>
        <v>6854000</v>
      </c>
      <c r="Z978" s="535" t="str">
        <f t="shared" si="665"/>
        <v/>
      </c>
      <c r="AA978" s="105" t="str">
        <f t="shared" si="662"/>
        <v>卖出</v>
      </c>
      <c r="AB978" s="535">
        <v>201</v>
      </c>
      <c r="AC978" s="321"/>
      <c r="AD978" s="535"/>
      <c r="AE978" s="113" t="s">
        <v>1717</v>
      </c>
      <c r="AF978" s="105"/>
    </row>
    <row r="979" spans="1:32" ht="20.25" customHeight="1" x14ac:dyDescent="0.15">
      <c r="A979" s="316" t="s">
        <v>394</v>
      </c>
      <c r="B979" s="120" t="s">
        <v>264</v>
      </c>
      <c r="C979" s="316" t="str">
        <f t="shared" si="664"/>
        <v>到期</v>
      </c>
      <c r="D979" s="128" t="s">
        <v>1872</v>
      </c>
      <c r="E979" s="316" t="s">
        <v>255</v>
      </c>
      <c r="F979" s="536">
        <v>43798</v>
      </c>
      <c r="G979" s="536">
        <v>43829</v>
      </c>
      <c r="H979" s="535" t="s">
        <v>1640</v>
      </c>
      <c r="I979" s="535" t="s">
        <v>316</v>
      </c>
      <c r="J979" s="316" t="s">
        <v>1638</v>
      </c>
      <c r="K979" s="105">
        <v>1000</v>
      </c>
      <c r="L979" s="535">
        <v>3427</v>
      </c>
      <c r="M979" s="535">
        <v>3427</v>
      </c>
      <c r="N979" s="105">
        <v>68</v>
      </c>
      <c r="O979" s="105">
        <f t="shared" si="666"/>
        <v>68000</v>
      </c>
      <c r="P979" s="101" t="s">
        <v>1769</v>
      </c>
      <c r="Q979" s="101" t="str">
        <f t="shared" si="671"/>
        <v>OTC-C00568-L</v>
      </c>
      <c r="R979" s="105">
        <v>60.836660000000002</v>
      </c>
      <c r="S979" s="105">
        <f t="shared" si="669"/>
        <v>60836.66</v>
      </c>
      <c r="T979" s="539">
        <v>43801</v>
      </c>
      <c r="U979" s="538">
        <v>3423</v>
      </c>
      <c r="V979" s="105"/>
      <c r="W979" s="536"/>
      <c r="X979" s="538">
        <f t="shared" si="672"/>
        <v>-7163.3399999999965</v>
      </c>
      <c r="Y979" s="198">
        <f t="shared" ref="Y979:Y983" si="673">M979*K979</f>
        <v>3427000</v>
      </c>
      <c r="Z979" s="535" t="str">
        <f t="shared" si="665"/>
        <v/>
      </c>
      <c r="AA979" s="535" t="str">
        <f t="shared" si="662"/>
        <v>卖出</v>
      </c>
      <c r="AB979" s="535">
        <v>202</v>
      </c>
      <c r="AC979" s="321"/>
      <c r="AD979" s="535"/>
      <c r="AE979" s="113" t="s">
        <v>1717</v>
      </c>
      <c r="AF979" s="105"/>
    </row>
    <row r="980" spans="1:32" ht="20.25" customHeight="1" x14ac:dyDescent="0.15">
      <c r="A980" s="316" t="s">
        <v>394</v>
      </c>
      <c r="B980" s="120" t="s">
        <v>264</v>
      </c>
      <c r="C980" s="316" t="str">
        <f t="shared" si="664"/>
        <v>到期</v>
      </c>
      <c r="D980" s="128" t="s">
        <v>1872</v>
      </c>
      <c r="E980" s="316" t="s">
        <v>255</v>
      </c>
      <c r="F980" s="536">
        <v>43798</v>
      </c>
      <c r="G980" s="536">
        <v>43829</v>
      </c>
      <c r="H980" s="535" t="s">
        <v>1640</v>
      </c>
      <c r="I980" s="535" t="s">
        <v>1751</v>
      </c>
      <c r="J980" s="316" t="s">
        <v>1639</v>
      </c>
      <c r="K980" s="105">
        <v>1000</v>
      </c>
      <c r="L980" s="535">
        <v>3427</v>
      </c>
      <c r="M980" s="535">
        <v>3427</v>
      </c>
      <c r="N980" s="105">
        <v>68</v>
      </c>
      <c r="O980" s="105">
        <f t="shared" si="666"/>
        <v>68000</v>
      </c>
      <c r="P980" s="101" t="s">
        <v>1769</v>
      </c>
      <c r="Q980" s="101" t="str">
        <f t="shared" si="671"/>
        <v>OTC-C00568-L</v>
      </c>
      <c r="R980" s="105">
        <v>64.836659999999995</v>
      </c>
      <c r="S980" s="105">
        <f>-R980*K980</f>
        <v>-64836.659999999996</v>
      </c>
      <c r="T980" s="539">
        <v>43801</v>
      </c>
      <c r="U980" s="538">
        <v>3423</v>
      </c>
      <c r="V980" s="105"/>
      <c r="W980" s="536"/>
      <c r="X980" s="538">
        <f t="shared" si="672"/>
        <v>3163.3400000000038</v>
      </c>
      <c r="Y980" s="198">
        <f t="shared" si="673"/>
        <v>3427000</v>
      </c>
      <c r="Z980" s="535" t="str">
        <f t="shared" si="665"/>
        <v/>
      </c>
      <c r="AA980" s="535" t="str">
        <f t="shared" si="662"/>
        <v>买入</v>
      </c>
      <c r="AB980" s="535">
        <v>202</v>
      </c>
      <c r="AC980" s="321"/>
      <c r="AD980" s="535"/>
      <c r="AE980" s="113" t="s">
        <v>1717</v>
      </c>
      <c r="AF980" s="105"/>
    </row>
    <row r="981" spans="1:32" ht="20.25" customHeight="1" x14ac:dyDescent="0.15">
      <c r="A981" s="316" t="s">
        <v>394</v>
      </c>
      <c r="B981" s="120" t="s">
        <v>994</v>
      </c>
      <c r="C981" s="316" t="str">
        <f t="shared" si="664"/>
        <v>到期</v>
      </c>
      <c r="D981" s="128" t="s">
        <v>942</v>
      </c>
      <c r="E981" s="316" t="s">
        <v>137</v>
      </c>
      <c r="F981" s="541">
        <v>43801</v>
      </c>
      <c r="G981" s="541">
        <v>43832</v>
      </c>
      <c r="H981" s="540" t="s">
        <v>1752</v>
      </c>
      <c r="I981" s="540" t="s">
        <v>978</v>
      </c>
      <c r="J981" s="316" t="s">
        <v>992</v>
      </c>
      <c r="K981" s="105">
        <v>2000</v>
      </c>
      <c r="L981" s="105">
        <v>1403</v>
      </c>
      <c r="M981" s="105">
        <v>1403</v>
      </c>
      <c r="N981" s="105">
        <v>22.88</v>
      </c>
      <c r="O981" s="105">
        <f t="shared" si="666"/>
        <v>45760</v>
      </c>
      <c r="P981" s="101" t="s">
        <v>1774</v>
      </c>
      <c r="Q981" s="101" t="str">
        <f>P981&amp;"-L"</f>
        <v>OTC-C00569-L</v>
      </c>
      <c r="R981" s="105">
        <v>1.22</v>
      </c>
      <c r="S981" s="105">
        <f>-R981*K981</f>
        <v>-2440</v>
      </c>
      <c r="T981" s="48">
        <v>43817</v>
      </c>
      <c r="U981" s="540">
        <v>1477</v>
      </c>
      <c r="V981" s="540"/>
      <c r="W981" s="540"/>
      <c r="X981" s="104">
        <f>IF(I981="买入",S981-O981,O981+S981)</f>
        <v>43320</v>
      </c>
      <c r="Y981" s="198">
        <f t="shared" si="673"/>
        <v>2806000</v>
      </c>
      <c r="Z981" s="540" t="str">
        <f>IF(C981="存续",D981&amp;H981&amp;"-"&amp;AA981,"")</f>
        <v/>
      </c>
      <c r="AA981" s="540" t="str">
        <f t="shared" si="662"/>
        <v>买入</v>
      </c>
      <c r="AB981" s="540">
        <v>203</v>
      </c>
      <c r="AC981" s="321">
        <v>0.13619999999999999</v>
      </c>
      <c r="AD981" s="321">
        <v>0.16200000000000001</v>
      </c>
      <c r="AE981" s="540" t="s">
        <v>1335</v>
      </c>
      <c r="AF981" s="105"/>
    </row>
    <row r="982" spans="1:32" ht="20.25" customHeight="1" x14ac:dyDescent="0.15">
      <c r="A982" s="316" t="s">
        <v>394</v>
      </c>
      <c r="B982" s="120" t="s">
        <v>1753</v>
      </c>
      <c r="C982" s="316" t="str">
        <f t="shared" si="664"/>
        <v>存续</v>
      </c>
      <c r="D982" s="128" t="s">
        <v>1881</v>
      </c>
      <c r="E982" s="316" t="s">
        <v>255</v>
      </c>
      <c r="F982" s="541">
        <v>43801</v>
      </c>
      <c r="G982" s="541">
        <v>43832</v>
      </c>
      <c r="H982" s="540" t="s">
        <v>1752</v>
      </c>
      <c r="I982" s="540" t="s">
        <v>241</v>
      </c>
      <c r="J982" s="316" t="s">
        <v>992</v>
      </c>
      <c r="K982" s="105">
        <v>2000</v>
      </c>
      <c r="L982" s="105">
        <v>1406</v>
      </c>
      <c r="M982" s="105">
        <v>1406</v>
      </c>
      <c r="N982" s="105">
        <v>23.9</v>
      </c>
      <c r="O982" s="105">
        <f t="shared" si="666"/>
        <v>47800</v>
      </c>
      <c r="P982" s="105" t="s">
        <v>1754</v>
      </c>
      <c r="Q982" s="105"/>
      <c r="R982" s="105"/>
      <c r="S982" s="105"/>
      <c r="T982" s="48"/>
      <c r="U982" s="540"/>
      <c r="V982" s="540"/>
      <c r="W982" s="540"/>
      <c r="X982" s="104"/>
      <c r="Y982" s="198">
        <f t="shared" si="673"/>
        <v>2812000</v>
      </c>
      <c r="Z982" s="540" t="str">
        <f t="shared" ref="Z982:Z987" si="674">IF(C982="存续",D982&amp;H982&amp;"-"&amp;AA982,"")</f>
        <v>上海海通资源管理有限公司FG005-卖出</v>
      </c>
      <c r="AA982" s="540" t="str">
        <f t="shared" si="662"/>
        <v>卖出</v>
      </c>
      <c r="AB982" s="540">
        <v>204</v>
      </c>
      <c r="AC982" s="321">
        <v>0.14249999999999999</v>
      </c>
      <c r="AD982" s="321"/>
      <c r="AE982" s="540"/>
      <c r="AF982" s="105"/>
    </row>
    <row r="983" spans="1:32" ht="20.25" customHeight="1" x14ac:dyDescent="0.15">
      <c r="A983" s="316" t="s">
        <v>394</v>
      </c>
      <c r="B983" s="120" t="s">
        <v>263</v>
      </c>
      <c r="C983" s="316" t="str">
        <f t="shared" ref="C983" si="675">IF(Q983="","存续","到期")</f>
        <v>存续</v>
      </c>
      <c r="D983" s="128" t="s">
        <v>1886</v>
      </c>
      <c r="E983" s="316" t="s">
        <v>1755</v>
      </c>
      <c r="F983" s="543">
        <v>43801</v>
      </c>
      <c r="G983" s="543">
        <v>43850</v>
      </c>
      <c r="H983" s="542" t="s">
        <v>1640</v>
      </c>
      <c r="I983" s="542" t="s">
        <v>222</v>
      </c>
      <c r="J983" s="316" t="s">
        <v>992</v>
      </c>
      <c r="K983" s="105">
        <v>2000</v>
      </c>
      <c r="L983" s="105">
        <v>3320</v>
      </c>
      <c r="M983" s="105">
        <v>3425</v>
      </c>
      <c r="N983" s="105">
        <v>38</v>
      </c>
      <c r="O983" s="105">
        <f t="shared" si="666"/>
        <v>76000</v>
      </c>
      <c r="P983" s="101" t="s">
        <v>1770</v>
      </c>
      <c r="Q983" s="105"/>
      <c r="R983" s="105"/>
      <c r="S983" s="105"/>
      <c r="T983" s="48"/>
      <c r="U983" s="542"/>
      <c r="V983" s="542"/>
      <c r="W983" s="542"/>
      <c r="X983" s="104"/>
      <c r="Y983" s="198">
        <f t="shared" si="673"/>
        <v>6850000</v>
      </c>
      <c r="Z983" s="542" t="str">
        <f t="shared" ref="Z983" si="676">IF(C983="存续",D983&amp;H983&amp;"-"&amp;AA983,"")</f>
        <v>上海锐镐有色金属股份有限公司rb2005-买入</v>
      </c>
      <c r="AA983" s="542" t="str">
        <f t="shared" ref="AA983" si="677">IF(I983="买入","卖出","买入")</f>
        <v>买入</v>
      </c>
      <c r="AB983" s="542">
        <v>205</v>
      </c>
      <c r="AC983" s="321">
        <v>0.16</v>
      </c>
      <c r="AD983" s="321">
        <v>0.18</v>
      </c>
      <c r="AE983" s="542"/>
      <c r="AF983" s="105"/>
    </row>
    <row r="984" spans="1:32" ht="24" customHeight="1" x14ac:dyDescent="0.15">
      <c r="A984" s="316" t="s">
        <v>248</v>
      </c>
      <c r="B984" s="316" t="s">
        <v>263</v>
      </c>
      <c r="C984" s="316" t="str">
        <f t="shared" si="664"/>
        <v>到期</v>
      </c>
      <c r="D984" s="323" t="s">
        <v>1837</v>
      </c>
      <c r="E984" s="316" t="s">
        <v>255</v>
      </c>
      <c r="F984" s="543">
        <v>43801</v>
      </c>
      <c r="G984" s="48">
        <v>43830</v>
      </c>
      <c r="H984" s="542" t="s">
        <v>1713</v>
      </c>
      <c r="I984" s="542" t="s">
        <v>241</v>
      </c>
      <c r="J984" s="386" t="s">
        <v>1714</v>
      </c>
      <c r="K984" s="105">
        <v>1900</v>
      </c>
      <c r="L984" s="105">
        <v>7887.08</v>
      </c>
      <c r="M984" s="105">
        <v>7887.08</v>
      </c>
      <c r="N984" s="109">
        <v>321.63159999999999</v>
      </c>
      <c r="O984" s="105">
        <v>611100</v>
      </c>
      <c r="P984" s="105" t="s">
        <v>1756</v>
      </c>
      <c r="Q984" s="104" t="s">
        <v>2034</v>
      </c>
      <c r="R984" s="105"/>
      <c r="S984" s="105"/>
      <c r="T984" s="543"/>
      <c r="U984" s="542">
        <v>7738</v>
      </c>
      <c r="V984" s="316">
        <f>(L984-U984)*K984</f>
        <v>283251.99999999988</v>
      </c>
      <c r="W984" s="48">
        <v>43830</v>
      </c>
      <c r="X984" s="105">
        <f t="shared" ref="X984:X986" si="678">IF(I984="买入",V984-O984,V984+O984)</f>
        <v>-327848.00000000012</v>
      </c>
      <c r="Y984" s="198">
        <f>M984*K984</f>
        <v>14985452</v>
      </c>
      <c r="Z984" s="542" t="str">
        <f t="shared" si="674"/>
        <v/>
      </c>
      <c r="AA984" s="105" t="str">
        <f t="shared" ref="AA984" si="679">IF(I984="买入","卖出","买入19-新2")</f>
        <v>卖出</v>
      </c>
      <c r="AB984" s="105">
        <v>206</v>
      </c>
      <c r="AC984" s="321">
        <v>0.37</v>
      </c>
      <c r="AD984" s="105"/>
      <c r="AE984" s="542" t="s">
        <v>1333</v>
      </c>
      <c r="AF984" s="105"/>
    </row>
    <row r="985" spans="1:32" ht="24.95" customHeight="1" x14ac:dyDescent="0.15">
      <c r="A985" s="316" t="s">
        <v>248</v>
      </c>
      <c r="B985" s="120" t="s">
        <v>263</v>
      </c>
      <c r="C985" s="316" t="str">
        <f t="shared" si="664"/>
        <v>到期</v>
      </c>
      <c r="D985" s="103" t="s">
        <v>1842</v>
      </c>
      <c r="E985" s="316" t="s">
        <v>298</v>
      </c>
      <c r="F985" s="545">
        <v>43802</v>
      </c>
      <c r="G985" s="48">
        <v>43830</v>
      </c>
      <c r="H985" s="544" t="s">
        <v>1710</v>
      </c>
      <c r="I985" s="544" t="s">
        <v>222</v>
      </c>
      <c r="J985" s="316" t="s">
        <v>56</v>
      </c>
      <c r="K985" s="105">
        <v>50</v>
      </c>
      <c r="L985" s="104">
        <v>49060</v>
      </c>
      <c r="M985" s="104">
        <v>47170</v>
      </c>
      <c r="N985" s="104">
        <f t="shared" ref="N985:N986" si="680">391.55/2</f>
        <v>195.77500000000001</v>
      </c>
      <c r="O985" s="104">
        <f t="shared" ref="O985:O991" si="681">N985*K985</f>
        <v>9788.75</v>
      </c>
      <c r="P985" s="101" t="s">
        <v>1773</v>
      </c>
      <c r="Q985" s="104" t="s">
        <v>2033</v>
      </c>
      <c r="R985" s="104"/>
      <c r="S985" s="104"/>
      <c r="T985" s="104"/>
      <c r="U985" s="104">
        <v>49150</v>
      </c>
      <c r="V985" s="104">
        <f>-(U985-L985)*K985</f>
        <v>-4500</v>
      </c>
      <c r="W985" s="48">
        <v>43830</v>
      </c>
      <c r="X985" s="105">
        <f t="shared" si="678"/>
        <v>5288.75</v>
      </c>
      <c r="Y985" s="198">
        <f t="shared" ref="Y985:Y986" si="682">M985*K985</f>
        <v>2358500</v>
      </c>
      <c r="Z985" s="544" t="str">
        <f t="shared" si="674"/>
        <v/>
      </c>
      <c r="AA985" s="544" t="str">
        <f>IF(I985="买入","卖出","买入19-新26")</f>
        <v>买入19-新26</v>
      </c>
      <c r="AB985" s="544">
        <v>207</v>
      </c>
      <c r="AC985" s="321">
        <v>0.152</v>
      </c>
      <c r="AD985" s="322">
        <v>0.152</v>
      </c>
      <c r="AE985" s="104"/>
      <c r="AF985" s="105">
        <v>31250</v>
      </c>
    </row>
    <row r="986" spans="1:32" ht="24.95" customHeight="1" x14ac:dyDescent="0.15">
      <c r="A986" s="316" t="s">
        <v>248</v>
      </c>
      <c r="B986" s="120" t="s">
        <v>263</v>
      </c>
      <c r="C986" s="316" t="str">
        <f t="shared" si="664"/>
        <v>到期</v>
      </c>
      <c r="D986" s="103" t="s">
        <v>1842</v>
      </c>
      <c r="E986" s="316" t="s">
        <v>298</v>
      </c>
      <c r="F986" s="545">
        <v>43802</v>
      </c>
      <c r="G986" s="48">
        <v>43830</v>
      </c>
      <c r="H986" s="544" t="s">
        <v>1710</v>
      </c>
      <c r="I986" s="544" t="s">
        <v>222</v>
      </c>
      <c r="J986" s="316" t="s">
        <v>59</v>
      </c>
      <c r="K986" s="105">
        <v>50</v>
      </c>
      <c r="L986" s="104">
        <v>45280</v>
      </c>
      <c r="M986" s="104">
        <v>47170</v>
      </c>
      <c r="N986" s="104">
        <f t="shared" si="680"/>
        <v>195.77500000000001</v>
      </c>
      <c r="O986" s="104">
        <f t="shared" si="681"/>
        <v>9788.75</v>
      </c>
      <c r="P986" s="101" t="s">
        <v>1773</v>
      </c>
      <c r="Q986" s="104" t="s">
        <v>2033</v>
      </c>
      <c r="R986" s="104"/>
      <c r="S986" s="104"/>
      <c r="T986" s="104"/>
      <c r="U986" s="104">
        <v>49150</v>
      </c>
      <c r="V986" s="104">
        <v>0</v>
      </c>
      <c r="W986" s="48">
        <v>43830</v>
      </c>
      <c r="X986" s="105">
        <f t="shared" si="678"/>
        <v>9788.75</v>
      </c>
      <c r="Y986" s="198">
        <f t="shared" si="682"/>
        <v>2358500</v>
      </c>
      <c r="Z986" s="544" t="str">
        <f t="shared" si="674"/>
        <v/>
      </c>
      <c r="AA986" s="544" t="str">
        <f>IF(I986="买入","卖出","买入19-新26")</f>
        <v>买入19-新26</v>
      </c>
      <c r="AB986" s="544">
        <v>207</v>
      </c>
      <c r="AC986" s="321">
        <v>0.152</v>
      </c>
      <c r="AD986" s="322">
        <v>0.152</v>
      </c>
      <c r="AE986" s="104"/>
      <c r="AF986" s="105">
        <v>31250</v>
      </c>
    </row>
    <row r="987" spans="1:32" ht="24.95" customHeight="1" x14ac:dyDescent="0.15">
      <c r="A987" s="316" t="s">
        <v>394</v>
      </c>
      <c r="B987" s="120" t="s">
        <v>263</v>
      </c>
      <c r="C987" s="316" t="str">
        <f t="shared" ref="C987:C1001" si="683">IF(Q987="","存续","到期")</f>
        <v>存续</v>
      </c>
      <c r="D987" s="128" t="s">
        <v>1846</v>
      </c>
      <c r="E987" s="316" t="s">
        <v>255</v>
      </c>
      <c r="F987" s="545">
        <v>43802</v>
      </c>
      <c r="G987" s="545">
        <v>43850</v>
      </c>
      <c r="H987" s="544" t="s">
        <v>1640</v>
      </c>
      <c r="I987" s="544" t="s">
        <v>998</v>
      </c>
      <c r="J987" s="316" t="s">
        <v>979</v>
      </c>
      <c r="K987" s="544">
        <v>2000</v>
      </c>
      <c r="L987" s="544">
        <v>3433</v>
      </c>
      <c r="M987" s="544">
        <v>3433</v>
      </c>
      <c r="N987" s="544">
        <v>85.14</v>
      </c>
      <c r="O987" s="544">
        <f t="shared" si="681"/>
        <v>170280</v>
      </c>
      <c r="P987" s="105" t="s">
        <v>1757</v>
      </c>
      <c r="Q987" s="105"/>
      <c r="R987" s="105"/>
      <c r="S987" s="105"/>
      <c r="T987" s="545"/>
      <c r="U987" s="544"/>
      <c r="V987" s="544"/>
      <c r="W987" s="545"/>
      <c r="X987" s="544"/>
      <c r="Y987" s="544">
        <f t="shared" ref="Y987" si="684">ABS(M987*K987)</f>
        <v>6866000</v>
      </c>
      <c r="Z987" s="544" t="str">
        <f t="shared" si="674"/>
        <v>华泰长城资本管理有限公司rb2005-卖出</v>
      </c>
      <c r="AA987" s="105" t="str">
        <f t="shared" ref="AA987" si="685">IF(I987="买入","卖出","买入")</f>
        <v>卖出</v>
      </c>
      <c r="AB987" s="544">
        <v>208</v>
      </c>
      <c r="AC987" s="321">
        <v>0.16850000000000001</v>
      </c>
      <c r="AD987" s="544"/>
      <c r="AE987" s="113"/>
      <c r="AF987" s="105"/>
    </row>
    <row r="988" spans="1:32" ht="24.95" customHeight="1" x14ac:dyDescent="0.15">
      <c r="A988" s="316" t="s">
        <v>265</v>
      </c>
      <c r="B988" s="120" t="s">
        <v>264</v>
      </c>
      <c r="C988" s="316" t="str">
        <f t="shared" si="683"/>
        <v>到期</v>
      </c>
      <c r="D988" s="123" t="s">
        <v>196</v>
      </c>
      <c r="E988" s="316" t="s">
        <v>255</v>
      </c>
      <c r="F988" s="48">
        <v>43805</v>
      </c>
      <c r="G988" s="48">
        <v>43824</v>
      </c>
      <c r="H988" s="549" t="s">
        <v>1768</v>
      </c>
      <c r="I988" s="549" t="s">
        <v>998</v>
      </c>
      <c r="J988" s="316" t="s">
        <v>1594</v>
      </c>
      <c r="K988" s="549">
        <v>10000</v>
      </c>
      <c r="L988" s="549">
        <v>456</v>
      </c>
      <c r="M988" s="549">
        <v>456</v>
      </c>
      <c r="N988" s="105">
        <v>11</v>
      </c>
      <c r="O988" s="549">
        <f t="shared" si="681"/>
        <v>110000</v>
      </c>
      <c r="P988" s="101" t="s">
        <v>1775</v>
      </c>
      <c r="Q988" s="575" t="str">
        <f>P988&amp;"-L"</f>
        <v>OTC-C00575-L</v>
      </c>
      <c r="R988" s="105">
        <v>17.350000000000001</v>
      </c>
      <c r="S988" s="105">
        <f>R988*K988</f>
        <v>173500</v>
      </c>
      <c r="T988" s="576">
        <v>43816</v>
      </c>
      <c r="U988" s="549">
        <v>471.5</v>
      </c>
      <c r="V988" s="549"/>
      <c r="W988" s="550"/>
      <c r="X988" s="575">
        <f t="shared" ref="X988:X989" si="686">IF(I988="买入",S988-O988,O988+S988)</f>
        <v>63500</v>
      </c>
      <c r="Y988" s="549">
        <f t="shared" ref="Y988:Y989" si="687">ABS(M988*K988)</f>
        <v>4560000</v>
      </c>
      <c r="Z988" s="549" t="str">
        <f t="shared" ref="Z988:Z989" si="688">IF(C988="存续",D988&amp;H988&amp;"-"&amp;AA988,"")</f>
        <v/>
      </c>
      <c r="AA988" s="105" t="str">
        <f t="shared" ref="AA988:AA989" si="689">IF(I988="买入","卖出","买入")</f>
        <v>卖出</v>
      </c>
      <c r="AB988" s="549">
        <v>209</v>
      </c>
      <c r="AC988" s="321">
        <v>0.26</v>
      </c>
      <c r="AD988" s="549"/>
      <c r="AE988" s="113"/>
      <c r="AF988" s="105"/>
    </row>
    <row r="989" spans="1:32" ht="24.95" customHeight="1" x14ac:dyDescent="0.15">
      <c r="A989" s="316" t="s">
        <v>265</v>
      </c>
      <c r="B989" s="120" t="s">
        <v>264</v>
      </c>
      <c r="C989" s="316" t="str">
        <f t="shared" si="683"/>
        <v>到期</v>
      </c>
      <c r="D989" s="123" t="s">
        <v>196</v>
      </c>
      <c r="E989" s="316" t="s">
        <v>255</v>
      </c>
      <c r="F989" s="48">
        <v>43805</v>
      </c>
      <c r="G989" s="48">
        <v>43824</v>
      </c>
      <c r="H989" s="549" t="s">
        <v>1768</v>
      </c>
      <c r="I989" s="549" t="s">
        <v>998</v>
      </c>
      <c r="J989" s="316" t="s">
        <v>59</v>
      </c>
      <c r="K989" s="549">
        <v>10000</v>
      </c>
      <c r="L989" s="549">
        <v>456</v>
      </c>
      <c r="M989" s="549">
        <v>456</v>
      </c>
      <c r="N989" s="105">
        <v>11</v>
      </c>
      <c r="O989" s="549">
        <f t="shared" si="681"/>
        <v>110000</v>
      </c>
      <c r="P989" s="101" t="s">
        <v>1776</v>
      </c>
      <c r="Q989" s="575" t="str">
        <f>P989&amp;"-L"</f>
        <v>OTC-C00575-L</v>
      </c>
      <c r="R989" s="105">
        <v>1.86</v>
      </c>
      <c r="S989" s="105">
        <f>R989*K989</f>
        <v>18600</v>
      </c>
      <c r="T989" s="576">
        <v>43816</v>
      </c>
      <c r="U989" s="549">
        <v>471.5</v>
      </c>
      <c r="V989" s="549"/>
      <c r="W989" s="550"/>
      <c r="X989" s="575">
        <f t="shared" si="686"/>
        <v>-91400</v>
      </c>
      <c r="Y989" s="549">
        <f t="shared" si="687"/>
        <v>4560000</v>
      </c>
      <c r="Z989" s="549" t="str">
        <f t="shared" si="688"/>
        <v/>
      </c>
      <c r="AA989" s="105" t="str">
        <f t="shared" si="689"/>
        <v>卖出</v>
      </c>
      <c r="AB989" s="549">
        <v>209</v>
      </c>
      <c r="AC989" s="321">
        <v>0.26</v>
      </c>
      <c r="AD989" s="549"/>
      <c r="AE989" s="113"/>
      <c r="AF989" s="105"/>
    </row>
    <row r="990" spans="1:32" ht="24.95" customHeight="1" x14ac:dyDescent="0.15">
      <c r="A990" s="316" t="s">
        <v>248</v>
      </c>
      <c r="B990" s="120" t="s">
        <v>264</v>
      </c>
      <c r="C990" s="316" t="str">
        <f t="shared" si="683"/>
        <v>到期</v>
      </c>
      <c r="D990" s="323" t="s">
        <v>1849</v>
      </c>
      <c r="E990" s="316" t="s">
        <v>255</v>
      </c>
      <c r="F990" s="48">
        <v>43805</v>
      </c>
      <c r="G990" s="48">
        <v>43822</v>
      </c>
      <c r="H990" s="549" t="s">
        <v>1768</v>
      </c>
      <c r="I990" s="549" t="s">
        <v>998</v>
      </c>
      <c r="J990" s="316" t="s">
        <v>1594</v>
      </c>
      <c r="K990" s="549">
        <v>10000</v>
      </c>
      <c r="L990" s="549">
        <v>457</v>
      </c>
      <c r="M990" s="549">
        <v>457</v>
      </c>
      <c r="N990" s="109">
        <f>20.5/2</f>
        <v>10.25</v>
      </c>
      <c r="O990" s="549">
        <f t="shared" si="681"/>
        <v>102500</v>
      </c>
      <c r="P990" s="101" t="s">
        <v>1794</v>
      </c>
      <c r="Q990" s="101" t="str">
        <f t="shared" ref="Q990:Q991" si="690">P990&amp;"-L"</f>
        <v>OTC-C00576-L</v>
      </c>
      <c r="R990" s="105"/>
      <c r="S990" s="105"/>
      <c r="T990" s="550"/>
      <c r="U990" s="549">
        <v>476.8</v>
      </c>
      <c r="V990" s="549">
        <f>(U990-L990)*K990</f>
        <v>198000.00000000012</v>
      </c>
      <c r="W990" s="588">
        <v>43822</v>
      </c>
      <c r="X990" s="105">
        <f t="shared" ref="X990:X991" si="691">IF(I990="买入",V990-O990,V990+O990)</f>
        <v>95500.000000000116</v>
      </c>
      <c r="Y990" s="549">
        <f t="shared" ref="Y990:Y991" si="692">ABS(M990*K990)</f>
        <v>4570000</v>
      </c>
      <c r="Z990" s="549" t="str">
        <f t="shared" ref="Z990:Z999" si="693">IF(C990="存续",D990&amp;H990&amp;"-"&amp;AA990,"")</f>
        <v/>
      </c>
      <c r="AA990" s="105" t="str">
        <f t="shared" ref="AA990:AA991" si="694">IF(I990="买入","卖出","买入")</f>
        <v>卖出</v>
      </c>
      <c r="AB990" s="549">
        <v>210</v>
      </c>
      <c r="AC990" s="321">
        <v>0.26600000000000001</v>
      </c>
      <c r="AD990" s="204">
        <v>0.28000000000000003</v>
      </c>
      <c r="AE990" s="113"/>
      <c r="AF990" s="105"/>
    </row>
    <row r="991" spans="1:32" ht="24.95" customHeight="1" x14ac:dyDescent="0.15">
      <c r="A991" s="316" t="s">
        <v>248</v>
      </c>
      <c r="B991" s="120" t="s">
        <v>264</v>
      </c>
      <c r="C991" s="316" t="str">
        <f t="shared" si="683"/>
        <v>到期</v>
      </c>
      <c r="D991" s="323" t="s">
        <v>1849</v>
      </c>
      <c r="E991" s="316" t="s">
        <v>255</v>
      </c>
      <c r="F991" s="48">
        <v>43805</v>
      </c>
      <c r="G991" s="48">
        <v>43822</v>
      </c>
      <c r="H991" s="549" t="s">
        <v>1768</v>
      </c>
      <c r="I991" s="549" t="s">
        <v>998</v>
      </c>
      <c r="J991" s="316" t="s">
        <v>59</v>
      </c>
      <c r="K991" s="549">
        <v>10000</v>
      </c>
      <c r="L991" s="549">
        <v>457</v>
      </c>
      <c r="M991" s="549">
        <v>457</v>
      </c>
      <c r="N991" s="109">
        <f>20.5/2</f>
        <v>10.25</v>
      </c>
      <c r="O991" s="549">
        <f t="shared" si="681"/>
        <v>102500</v>
      </c>
      <c r="P991" s="101" t="s">
        <v>1795</v>
      </c>
      <c r="Q991" s="101" t="str">
        <f t="shared" si="690"/>
        <v>OTC-C00576-L</v>
      </c>
      <c r="R991" s="105"/>
      <c r="S991" s="105"/>
      <c r="T991" s="550"/>
      <c r="U991" s="549">
        <v>476.8</v>
      </c>
      <c r="V991" s="549">
        <v>0</v>
      </c>
      <c r="W991" s="588">
        <v>43822</v>
      </c>
      <c r="X991" s="105">
        <f t="shared" si="691"/>
        <v>-102500</v>
      </c>
      <c r="Y991" s="549">
        <f t="shared" si="692"/>
        <v>4570000</v>
      </c>
      <c r="Z991" s="549" t="str">
        <f t="shared" si="693"/>
        <v/>
      </c>
      <c r="AA991" s="105" t="str">
        <f t="shared" si="694"/>
        <v>卖出</v>
      </c>
      <c r="AB991" s="549">
        <v>210</v>
      </c>
      <c r="AC991" s="321">
        <v>0.26600000000000001</v>
      </c>
      <c r="AD991" s="204">
        <v>0.28000000000000003</v>
      </c>
      <c r="AE991" s="113"/>
      <c r="AF991" s="105"/>
    </row>
    <row r="992" spans="1:32" ht="24.95" customHeight="1" x14ac:dyDescent="0.15">
      <c r="A992" s="316" t="s">
        <v>248</v>
      </c>
      <c r="B992" s="120" t="s">
        <v>263</v>
      </c>
      <c r="C992" s="316" t="str">
        <f t="shared" si="683"/>
        <v>存续</v>
      </c>
      <c r="D992" s="103" t="s">
        <v>1842</v>
      </c>
      <c r="E992" s="316" t="s">
        <v>298</v>
      </c>
      <c r="F992" s="552">
        <v>43809</v>
      </c>
      <c r="G992" s="48">
        <v>43837</v>
      </c>
      <c r="H992" s="551" t="s">
        <v>1710</v>
      </c>
      <c r="I992" s="551" t="s">
        <v>222</v>
      </c>
      <c r="J992" s="316" t="s">
        <v>56</v>
      </c>
      <c r="K992" s="105">
        <v>50</v>
      </c>
      <c r="L992" s="104">
        <v>50550</v>
      </c>
      <c r="M992" s="104">
        <v>48610</v>
      </c>
      <c r="N992" s="104">
        <f>403.5/2</f>
        <v>201.75</v>
      </c>
      <c r="O992" s="104">
        <f t="shared" ref="O992:O1001" si="695">N992*K992</f>
        <v>10087.5</v>
      </c>
      <c r="P992" s="101" t="s">
        <v>1789</v>
      </c>
      <c r="Q992" s="104"/>
      <c r="R992" s="104"/>
      <c r="S992" s="104"/>
      <c r="T992" s="104"/>
      <c r="U992" s="104"/>
      <c r="V992" s="104"/>
      <c r="W992" s="104"/>
      <c r="X992" s="575"/>
      <c r="Y992" s="198">
        <f t="shared" ref="Y992:Y1001" si="696">M992*K992</f>
        <v>2430500</v>
      </c>
      <c r="Z992" s="551" t="str">
        <f t="shared" si="693"/>
        <v>亨通集团上海贸易有限公司cu2002-买入19-新27</v>
      </c>
      <c r="AA992" s="551" t="str">
        <f>IF(I992="买入","卖出","买入19-新27")</f>
        <v>买入19-新27</v>
      </c>
      <c r="AB992" s="551">
        <v>211</v>
      </c>
      <c r="AC992" s="321">
        <v>0.152</v>
      </c>
      <c r="AD992" s="322">
        <v>0.152</v>
      </c>
      <c r="AE992" s="104"/>
      <c r="AF992" s="105">
        <v>31250</v>
      </c>
    </row>
    <row r="993" spans="1:32" ht="24.95" customHeight="1" x14ac:dyDescent="0.15">
      <c r="A993" s="316" t="s">
        <v>248</v>
      </c>
      <c r="B993" s="120" t="s">
        <v>263</v>
      </c>
      <c r="C993" s="316" t="str">
        <f t="shared" si="683"/>
        <v>存续</v>
      </c>
      <c r="D993" s="103" t="s">
        <v>1842</v>
      </c>
      <c r="E993" s="316" t="s">
        <v>298</v>
      </c>
      <c r="F993" s="552">
        <v>43809</v>
      </c>
      <c r="G993" s="48">
        <v>43837</v>
      </c>
      <c r="H993" s="551" t="s">
        <v>1710</v>
      </c>
      <c r="I993" s="551" t="s">
        <v>222</v>
      </c>
      <c r="J993" s="316" t="s">
        <v>59</v>
      </c>
      <c r="K993" s="105">
        <v>50</v>
      </c>
      <c r="L993" s="104">
        <v>46670</v>
      </c>
      <c r="M993" s="104">
        <v>48610</v>
      </c>
      <c r="N993" s="104">
        <f>403.5/2</f>
        <v>201.75</v>
      </c>
      <c r="O993" s="104">
        <f t="shared" si="695"/>
        <v>10087.5</v>
      </c>
      <c r="P993" s="101" t="s">
        <v>1789</v>
      </c>
      <c r="Q993" s="104"/>
      <c r="R993" s="104"/>
      <c r="S993" s="104"/>
      <c r="T993" s="104"/>
      <c r="U993" s="104"/>
      <c r="V993" s="104"/>
      <c r="W993" s="104"/>
      <c r="X993" s="575"/>
      <c r="Y993" s="198">
        <f t="shared" si="696"/>
        <v>2430500</v>
      </c>
      <c r="Z993" s="551" t="str">
        <f t="shared" si="693"/>
        <v>亨通集团上海贸易有限公司cu2002-买入19-新27</v>
      </c>
      <c r="AA993" s="551" t="str">
        <f>IF(I993="买入","卖出","买入19-新27")</f>
        <v>买入19-新27</v>
      </c>
      <c r="AB993" s="551">
        <v>211</v>
      </c>
      <c r="AC993" s="321">
        <v>0.152</v>
      </c>
      <c r="AD993" s="322">
        <v>0.152</v>
      </c>
      <c r="AE993" s="104"/>
      <c r="AF993" s="105">
        <v>31250</v>
      </c>
    </row>
    <row r="994" spans="1:32" ht="24.95" customHeight="1" x14ac:dyDescent="0.15">
      <c r="A994" s="316" t="s">
        <v>265</v>
      </c>
      <c r="B994" s="120" t="s">
        <v>263</v>
      </c>
      <c r="C994" s="316" t="str">
        <f t="shared" si="683"/>
        <v>存续</v>
      </c>
      <c r="D994" s="123" t="s">
        <v>1881</v>
      </c>
      <c r="E994" s="316" t="s">
        <v>340</v>
      </c>
      <c r="F994" s="558">
        <v>43810</v>
      </c>
      <c r="G994" s="48">
        <v>43840</v>
      </c>
      <c r="H994" s="557" t="s">
        <v>1778</v>
      </c>
      <c r="I994" s="557" t="s">
        <v>998</v>
      </c>
      <c r="J994" s="316" t="s">
        <v>56</v>
      </c>
      <c r="K994" s="557">
        <v>500</v>
      </c>
      <c r="L994" s="557">
        <v>6630</v>
      </c>
      <c r="M994" s="557">
        <v>6630</v>
      </c>
      <c r="N994" s="557">
        <v>104.09</v>
      </c>
      <c r="O994" s="557">
        <f t="shared" si="695"/>
        <v>52045</v>
      </c>
      <c r="P994" s="105" t="s">
        <v>1777</v>
      </c>
      <c r="Q994" s="557"/>
      <c r="R994" s="105"/>
      <c r="S994" s="105"/>
      <c r="T994" s="558"/>
      <c r="U994" s="557"/>
      <c r="V994" s="212"/>
      <c r="W994" s="558"/>
      <c r="X994" s="575"/>
      <c r="Y994" s="198">
        <f t="shared" si="696"/>
        <v>3315000</v>
      </c>
      <c r="Z994" s="557" t="str">
        <f t="shared" si="693"/>
        <v>上海海通资源管理有限公司v2005-卖出</v>
      </c>
      <c r="AA994" s="557" t="str">
        <f t="shared" ref="AA994:AA999" si="697">IF(I994="买入","卖出","买入")</f>
        <v>卖出</v>
      </c>
      <c r="AB994" s="557">
        <v>212</v>
      </c>
      <c r="AC994" s="321">
        <v>0.13500000000000001</v>
      </c>
      <c r="AD994" s="205">
        <v>0.115</v>
      </c>
      <c r="AE994" s="213"/>
      <c r="AF994" s="353"/>
    </row>
    <row r="995" spans="1:32" ht="24.95" customHeight="1" x14ac:dyDescent="0.15">
      <c r="A995" s="316" t="s">
        <v>265</v>
      </c>
      <c r="B995" s="120" t="s">
        <v>263</v>
      </c>
      <c r="C995" s="316" t="str">
        <f t="shared" si="683"/>
        <v>存续</v>
      </c>
      <c r="D995" s="123" t="s">
        <v>1881</v>
      </c>
      <c r="E995" s="316" t="s">
        <v>340</v>
      </c>
      <c r="F995" s="558">
        <v>43810</v>
      </c>
      <c r="G995" s="48">
        <v>43840</v>
      </c>
      <c r="H995" s="557" t="s">
        <v>1778</v>
      </c>
      <c r="I995" s="557" t="s">
        <v>998</v>
      </c>
      <c r="J995" s="316" t="s">
        <v>224</v>
      </c>
      <c r="K995" s="557">
        <v>500</v>
      </c>
      <c r="L995" s="557">
        <v>6630</v>
      </c>
      <c r="M995" s="557">
        <v>6630</v>
      </c>
      <c r="N995" s="557">
        <v>104.09</v>
      </c>
      <c r="O995" s="557">
        <f t="shared" si="695"/>
        <v>52045</v>
      </c>
      <c r="P995" s="105" t="s">
        <v>1777</v>
      </c>
      <c r="Q995" s="557"/>
      <c r="R995" s="105"/>
      <c r="S995" s="105"/>
      <c r="T995" s="558"/>
      <c r="U995" s="557"/>
      <c r="V995" s="212"/>
      <c r="W995" s="558"/>
      <c r="X995" s="575"/>
      <c r="Y995" s="198">
        <f t="shared" si="696"/>
        <v>3315000</v>
      </c>
      <c r="Z995" s="557" t="str">
        <f t="shared" si="693"/>
        <v>上海海通资源管理有限公司v2005-卖出</v>
      </c>
      <c r="AA995" s="557" t="str">
        <f t="shared" si="697"/>
        <v>卖出</v>
      </c>
      <c r="AB995" s="557">
        <v>212</v>
      </c>
      <c r="AC995" s="321">
        <v>0.13500000000000001</v>
      </c>
      <c r="AD995" s="205">
        <v>0.115</v>
      </c>
      <c r="AE995" s="213"/>
      <c r="AF995" s="353"/>
    </row>
    <row r="996" spans="1:32" ht="24.95" customHeight="1" x14ac:dyDescent="0.15">
      <c r="A996" s="316" t="s">
        <v>265</v>
      </c>
      <c r="B996" s="120" t="s">
        <v>263</v>
      </c>
      <c r="C996" s="316" t="str">
        <f t="shared" si="683"/>
        <v>到期</v>
      </c>
      <c r="D996" s="123" t="s">
        <v>1881</v>
      </c>
      <c r="E996" s="316" t="s">
        <v>340</v>
      </c>
      <c r="F996" s="558">
        <v>43810</v>
      </c>
      <c r="G996" s="558">
        <v>43824</v>
      </c>
      <c r="H996" s="557" t="s">
        <v>1055</v>
      </c>
      <c r="I996" s="557" t="s">
        <v>222</v>
      </c>
      <c r="J996" s="316" t="s">
        <v>56</v>
      </c>
      <c r="K996" s="557">
        <v>1000</v>
      </c>
      <c r="L996" s="557">
        <v>4780</v>
      </c>
      <c r="M996" s="557">
        <v>4780</v>
      </c>
      <c r="N996" s="557">
        <v>100</v>
      </c>
      <c r="O996" s="557">
        <f t="shared" si="695"/>
        <v>100000</v>
      </c>
      <c r="P996" s="105" t="s">
        <v>1779</v>
      </c>
      <c r="Q996" s="557" t="str">
        <f>P996&amp;"-L"</f>
        <v>OTC-C00579-L</v>
      </c>
      <c r="R996" s="105">
        <v>0</v>
      </c>
      <c r="S996" s="105">
        <v>0</v>
      </c>
      <c r="T996" s="560">
        <v>43811</v>
      </c>
      <c r="U996" s="557">
        <v>4780</v>
      </c>
      <c r="V996" s="557"/>
      <c r="W996" s="558"/>
      <c r="X996" s="572">
        <f t="shared" ref="X996:X997" si="698">IF(I996="买入",S996-O996,O996+S996)</f>
        <v>100000</v>
      </c>
      <c r="Y996" s="198">
        <f t="shared" si="696"/>
        <v>4780000</v>
      </c>
      <c r="Z996" s="557" t="str">
        <f t="shared" si="693"/>
        <v/>
      </c>
      <c r="AA996" s="557" t="str">
        <f t="shared" si="697"/>
        <v>买入</v>
      </c>
      <c r="AB996" s="557">
        <v>213</v>
      </c>
      <c r="AC996" s="321"/>
      <c r="AD996" s="205"/>
      <c r="AE996" s="113" t="s">
        <v>1716</v>
      </c>
      <c r="AF996" s="353"/>
    </row>
    <row r="997" spans="1:32" ht="24.95" customHeight="1" x14ac:dyDescent="0.15">
      <c r="A997" s="316" t="s">
        <v>265</v>
      </c>
      <c r="B997" s="120" t="s">
        <v>263</v>
      </c>
      <c r="C997" s="316" t="str">
        <f t="shared" si="683"/>
        <v>到期</v>
      </c>
      <c r="D997" s="123" t="s">
        <v>1881</v>
      </c>
      <c r="E997" s="316" t="s">
        <v>340</v>
      </c>
      <c r="F997" s="558">
        <v>43810</v>
      </c>
      <c r="G997" s="558">
        <v>43824</v>
      </c>
      <c r="H997" s="557" t="s">
        <v>1055</v>
      </c>
      <c r="I997" s="557" t="s">
        <v>998</v>
      </c>
      <c r="J997" s="316" t="s">
        <v>224</v>
      </c>
      <c r="K997" s="557">
        <v>1000</v>
      </c>
      <c r="L997" s="557">
        <v>4780</v>
      </c>
      <c r="M997" s="557">
        <v>4780</v>
      </c>
      <c r="N997" s="557">
        <v>100</v>
      </c>
      <c r="O997" s="557">
        <f t="shared" si="695"/>
        <v>100000</v>
      </c>
      <c r="P997" s="105" t="s">
        <v>1779</v>
      </c>
      <c r="Q997" s="559" t="str">
        <f>P997&amp;"-L"</f>
        <v>OTC-C00579-L</v>
      </c>
      <c r="R997" s="105">
        <v>0</v>
      </c>
      <c r="S997" s="105">
        <v>0</v>
      </c>
      <c r="T997" s="560">
        <v>43811</v>
      </c>
      <c r="U997" s="557">
        <v>4780</v>
      </c>
      <c r="V997" s="557"/>
      <c r="W997" s="558"/>
      <c r="X997" s="572">
        <f t="shared" si="698"/>
        <v>-100000</v>
      </c>
      <c r="Y997" s="198">
        <f t="shared" si="696"/>
        <v>4780000</v>
      </c>
      <c r="Z997" s="557" t="str">
        <f t="shared" si="693"/>
        <v/>
      </c>
      <c r="AA997" s="557" t="str">
        <f t="shared" si="697"/>
        <v>卖出</v>
      </c>
      <c r="AB997" s="557">
        <v>213</v>
      </c>
      <c r="AC997" s="321"/>
      <c r="AD997" s="205"/>
      <c r="AE997" s="113" t="s">
        <v>1716</v>
      </c>
      <c r="AF997" s="353"/>
    </row>
    <row r="998" spans="1:32" ht="24.95" customHeight="1" x14ac:dyDescent="0.15">
      <c r="A998" s="316" t="s">
        <v>265</v>
      </c>
      <c r="B998" s="120" t="s">
        <v>1780</v>
      </c>
      <c r="C998" s="316" t="str">
        <f t="shared" si="683"/>
        <v>存续</v>
      </c>
      <c r="D998" s="123" t="s">
        <v>1853</v>
      </c>
      <c r="E998" s="316" t="s">
        <v>1781</v>
      </c>
      <c r="F998" s="562">
        <v>43811</v>
      </c>
      <c r="G998" s="48">
        <v>43843</v>
      </c>
      <c r="H998" s="561" t="s">
        <v>1785</v>
      </c>
      <c r="I998" s="561" t="s">
        <v>1782</v>
      </c>
      <c r="J998" s="316" t="s">
        <v>986</v>
      </c>
      <c r="K998" s="561">
        <v>350</v>
      </c>
      <c r="L998" s="561">
        <v>13210</v>
      </c>
      <c r="M998" s="561">
        <v>13210</v>
      </c>
      <c r="N998" s="561">
        <v>293.26</v>
      </c>
      <c r="O998" s="561">
        <f t="shared" si="695"/>
        <v>102641</v>
      </c>
      <c r="P998" s="101" t="s">
        <v>1791</v>
      </c>
      <c r="Q998" s="561"/>
      <c r="R998" s="105"/>
      <c r="S998" s="105"/>
      <c r="T998" s="562"/>
      <c r="U998" s="561"/>
      <c r="V998" s="561"/>
      <c r="W998" s="562"/>
      <c r="X998" s="561"/>
      <c r="Y998" s="198">
        <f t="shared" si="696"/>
        <v>4623500</v>
      </c>
      <c r="Z998" s="561" t="str">
        <f t="shared" si="693"/>
        <v>深圳茂源资本资产管理有限公司ru2005-卖出</v>
      </c>
      <c r="AA998" s="561" t="str">
        <f t="shared" si="697"/>
        <v>卖出</v>
      </c>
      <c r="AB998" s="561">
        <v>214</v>
      </c>
      <c r="AC998" s="321">
        <v>0.19</v>
      </c>
      <c r="AD998" s="205">
        <v>0.17</v>
      </c>
      <c r="AE998" s="113"/>
      <c r="AF998" s="353"/>
    </row>
    <row r="999" spans="1:32" ht="24.95" customHeight="1" x14ac:dyDescent="0.15">
      <c r="A999" s="316" t="s">
        <v>265</v>
      </c>
      <c r="B999" s="120" t="s">
        <v>1780</v>
      </c>
      <c r="C999" s="316" t="str">
        <f t="shared" si="683"/>
        <v>存续</v>
      </c>
      <c r="D999" s="123" t="s">
        <v>1853</v>
      </c>
      <c r="E999" s="316" t="s">
        <v>1603</v>
      </c>
      <c r="F999" s="562">
        <v>43811</v>
      </c>
      <c r="G999" s="48">
        <v>43843</v>
      </c>
      <c r="H999" s="561" t="s">
        <v>1785</v>
      </c>
      <c r="I999" s="561" t="s">
        <v>1783</v>
      </c>
      <c r="J999" s="316" t="s">
        <v>1784</v>
      </c>
      <c r="K999" s="561">
        <v>350</v>
      </c>
      <c r="L999" s="561">
        <v>13210</v>
      </c>
      <c r="M999" s="561">
        <v>13210</v>
      </c>
      <c r="N999" s="561">
        <v>293.26</v>
      </c>
      <c r="O999" s="561">
        <f t="shared" si="695"/>
        <v>102641</v>
      </c>
      <c r="P999" s="101" t="s">
        <v>1791</v>
      </c>
      <c r="Q999" s="561"/>
      <c r="R999" s="105"/>
      <c r="S999" s="105"/>
      <c r="T999" s="562"/>
      <c r="U999" s="561"/>
      <c r="V999" s="561"/>
      <c r="W999" s="562"/>
      <c r="X999" s="561"/>
      <c r="Y999" s="198">
        <f t="shared" si="696"/>
        <v>4623500</v>
      </c>
      <c r="Z999" s="561" t="str">
        <f t="shared" si="693"/>
        <v>深圳茂源资本资产管理有限公司ru2005-卖出</v>
      </c>
      <c r="AA999" s="561" t="str">
        <f t="shared" si="697"/>
        <v>卖出</v>
      </c>
      <c r="AB999" s="561">
        <v>214</v>
      </c>
      <c r="AC999" s="321">
        <v>0.19</v>
      </c>
      <c r="AD999" s="205">
        <v>0.17</v>
      </c>
      <c r="AE999" s="113"/>
      <c r="AF999" s="353"/>
    </row>
    <row r="1000" spans="1:32" ht="24.95" customHeight="1" x14ac:dyDescent="0.15">
      <c r="A1000" s="316" t="s">
        <v>265</v>
      </c>
      <c r="B1000" s="120" t="s">
        <v>994</v>
      </c>
      <c r="C1000" s="316" t="str">
        <f t="shared" si="683"/>
        <v>存续</v>
      </c>
      <c r="D1000" s="123" t="s">
        <v>1887</v>
      </c>
      <c r="E1000" s="316" t="s">
        <v>298</v>
      </c>
      <c r="F1000" s="564">
        <v>43811</v>
      </c>
      <c r="G1000" s="48">
        <v>43843</v>
      </c>
      <c r="H1000" s="563" t="s">
        <v>1552</v>
      </c>
      <c r="I1000" s="563" t="s">
        <v>1482</v>
      </c>
      <c r="J1000" s="316" t="s">
        <v>224</v>
      </c>
      <c r="K1000" s="563">
        <v>1000</v>
      </c>
      <c r="L1000" s="563">
        <v>14000</v>
      </c>
      <c r="M1000" s="563">
        <v>13240</v>
      </c>
      <c r="N1000" s="563">
        <v>845.86</v>
      </c>
      <c r="O1000" s="563">
        <f t="shared" si="695"/>
        <v>845860</v>
      </c>
      <c r="P1000" s="101" t="s">
        <v>1790</v>
      </c>
      <c r="Q1000" s="563"/>
      <c r="R1000" s="105"/>
      <c r="S1000" s="105"/>
      <c r="T1000" s="564"/>
      <c r="U1000" s="563"/>
      <c r="V1000" s="563"/>
      <c r="W1000" s="564"/>
      <c r="X1000" s="563"/>
      <c r="Y1000" s="198">
        <f t="shared" si="696"/>
        <v>13240000</v>
      </c>
      <c r="Z1000" s="563" t="str">
        <f t="shared" ref="Z1000:Z1008" si="699">IF(C1000="存续",D1000&amp;H1000&amp;"-"&amp;AA1000,"")</f>
        <v>宁波杉杉能化有限公司ru2005-卖出</v>
      </c>
      <c r="AA1000" s="563" t="str">
        <f t="shared" ref="AA1000:AA1003" si="700">IF(I1000="买入","卖出","买入")</f>
        <v>卖出</v>
      </c>
      <c r="AB1000" s="563">
        <v>215</v>
      </c>
      <c r="AC1000" s="321">
        <v>0.215</v>
      </c>
      <c r="AD1000" s="205">
        <v>0.19500000000000001</v>
      </c>
      <c r="AE1000" s="563" t="s">
        <v>1786</v>
      </c>
      <c r="AF1000" s="353"/>
    </row>
    <row r="1001" spans="1:32" ht="24.95" customHeight="1" x14ac:dyDescent="0.15">
      <c r="A1001" s="316" t="s">
        <v>394</v>
      </c>
      <c r="B1001" s="120" t="s">
        <v>264</v>
      </c>
      <c r="C1001" s="316" t="str">
        <f t="shared" si="683"/>
        <v>存续</v>
      </c>
      <c r="D1001" s="128" t="s">
        <v>1850</v>
      </c>
      <c r="E1001" s="316" t="s">
        <v>340</v>
      </c>
      <c r="F1001" s="566">
        <v>43811</v>
      </c>
      <c r="G1001" s="48">
        <v>43843</v>
      </c>
      <c r="H1001" s="565" t="s">
        <v>1787</v>
      </c>
      <c r="I1001" s="565" t="s">
        <v>241</v>
      </c>
      <c r="J1001" s="316" t="s">
        <v>1788</v>
      </c>
      <c r="K1001" s="105">
        <v>10000</v>
      </c>
      <c r="L1001" s="105">
        <v>690</v>
      </c>
      <c r="M1001" s="105">
        <v>650</v>
      </c>
      <c r="N1001" s="105">
        <v>5.4</v>
      </c>
      <c r="O1001" s="105">
        <f t="shared" si="695"/>
        <v>54000</v>
      </c>
      <c r="P1001" s="101" t="s">
        <v>1793</v>
      </c>
      <c r="Q1001" s="565"/>
      <c r="R1001" s="105"/>
      <c r="S1001" s="105"/>
      <c r="T1001" s="565"/>
      <c r="U1001" s="565"/>
      <c r="V1001" s="316"/>
      <c r="W1001" s="566"/>
      <c r="X1001" s="565"/>
      <c r="Y1001" s="198">
        <f t="shared" si="696"/>
        <v>6500000</v>
      </c>
      <c r="Z1001" s="105" t="str">
        <f t="shared" si="699"/>
        <v>中信证券股份有限公司i2005-卖出</v>
      </c>
      <c r="AA1001" s="105" t="str">
        <f t="shared" si="700"/>
        <v>卖出</v>
      </c>
      <c r="AB1001" s="105">
        <v>216</v>
      </c>
      <c r="AC1001" s="205">
        <v>0.2445</v>
      </c>
      <c r="AD1001" s="105"/>
      <c r="AE1001" s="105"/>
      <c r="AF1001" s="105"/>
    </row>
    <row r="1002" spans="1:32" ht="24.95" customHeight="1" x14ac:dyDescent="0.15">
      <c r="A1002" s="316" t="s">
        <v>265</v>
      </c>
      <c r="B1002" s="120" t="s">
        <v>764</v>
      </c>
      <c r="C1002" s="316" t="str">
        <f t="shared" ref="C1002:C1006" si="701">IF(Q1002="","存续","到期")</f>
        <v>存续</v>
      </c>
      <c r="D1002" s="123" t="s">
        <v>1853</v>
      </c>
      <c r="E1002" s="316" t="s">
        <v>255</v>
      </c>
      <c r="F1002" s="570">
        <v>43812</v>
      </c>
      <c r="G1002" s="48">
        <v>43843</v>
      </c>
      <c r="H1002" s="569" t="s">
        <v>1730</v>
      </c>
      <c r="I1002" s="569" t="s">
        <v>222</v>
      </c>
      <c r="J1002" s="316" t="s">
        <v>986</v>
      </c>
      <c r="K1002" s="569">
        <v>750</v>
      </c>
      <c r="L1002" s="569">
        <v>6550</v>
      </c>
      <c r="M1002" s="569">
        <v>6550</v>
      </c>
      <c r="N1002" s="569">
        <v>94.32</v>
      </c>
      <c r="O1002" s="569">
        <f t="shared" ref="O1002:O1005" si="702">N1002*K1002</f>
        <v>70740</v>
      </c>
      <c r="P1002" s="101" t="s">
        <v>1792</v>
      </c>
      <c r="Q1002" s="569"/>
      <c r="R1002" s="105"/>
      <c r="S1002" s="105"/>
      <c r="T1002" s="570"/>
      <c r="U1002" s="569"/>
      <c r="V1002" s="569"/>
      <c r="W1002" s="570"/>
      <c r="X1002" s="569"/>
      <c r="Y1002" s="198">
        <f t="shared" ref="Y1002:Y1006" si="703">M1002*K1002</f>
        <v>4912500</v>
      </c>
      <c r="Z1002" s="569" t="str">
        <f t="shared" si="699"/>
        <v>深圳茂源资本资产管理有限公司v2005-买入</v>
      </c>
      <c r="AA1002" s="569" t="str">
        <f t="shared" si="700"/>
        <v>买入</v>
      </c>
      <c r="AB1002" s="569">
        <v>217</v>
      </c>
      <c r="AC1002" s="321">
        <v>0.126</v>
      </c>
      <c r="AD1002" s="205">
        <v>0.14599999999999999</v>
      </c>
      <c r="AE1002" s="113"/>
      <c r="AF1002" s="353"/>
    </row>
    <row r="1003" spans="1:32" ht="24.95" customHeight="1" x14ac:dyDescent="0.15">
      <c r="A1003" s="316" t="s">
        <v>265</v>
      </c>
      <c r="B1003" s="120" t="s">
        <v>764</v>
      </c>
      <c r="C1003" s="316" t="str">
        <f t="shared" si="701"/>
        <v>存续</v>
      </c>
      <c r="D1003" s="123" t="s">
        <v>1853</v>
      </c>
      <c r="E1003" s="316" t="s">
        <v>255</v>
      </c>
      <c r="F1003" s="570">
        <v>43812</v>
      </c>
      <c r="G1003" s="48">
        <v>43843</v>
      </c>
      <c r="H1003" s="569" t="s">
        <v>1730</v>
      </c>
      <c r="I1003" s="569" t="s">
        <v>222</v>
      </c>
      <c r="J1003" s="316" t="s">
        <v>1566</v>
      </c>
      <c r="K1003" s="569">
        <v>750</v>
      </c>
      <c r="L1003" s="569">
        <v>6550</v>
      </c>
      <c r="M1003" s="569">
        <v>6550</v>
      </c>
      <c r="N1003" s="569">
        <v>94.32</v>
      </c>
      <c r="O1003" s="569">
        <f t="shared" si="702"/>
        <v>70740</v>
      </c>
      <c r="P1003" s="101" t="s">
        <v>1792</v>
      </c>
      <c r="Q1003" s="569"/>
      <c r="R1003" s="105"/>
      <c r="S1003" s="105"/>
      <c r="T1003" s="570"/>
      <c r="U1003" s="569"/>
      <c r="V1003" s="569"/>
      <c r="W1003" s="570"/>
      <c r="X1003" s="569"/>
      <c r="Y1003" s="198">
        <f t="shared" si="703"/>
        <v>4912500</v>
      </c>
      <c r="Z1003" s="569" t="str">
        <f t="shared" si="699"/>
        <v>深圳茂源资本资产管理有限公司v2005-买入</v>
      </c>
      <c r="AA1003" s="569" t="str">
        <f t="shared" si="700"/>
        <v>买入</v>
      </c>
      <c r="AB1003" s="569">
        <v>217</v>
      </c>
      <c r="AC1003" s="321">
        <v>0.126</v>
      </c>
      <c r="AD1003" s="205">
        <v>0.14599999999999999</v>
      </c>
      <c r="AE1003" s="113"/>
      <c r="AF1003" s="353"/>
    </row>
    <row r="1004" spans="1:32" ht="24.95" customHeight="1" x14ac:dyDescent="0.15">
      <c r="A1004" s="316" t="s">
        <v>248</v>
      </c>
      <c r="B1004" s="120" t="s">
        <v>263</v>
      </c>
      <c r="C1004" s="316" t="str">
        <f t="shared" si="701"/>
        <v>存续</v>
      </c>
      <c r="D1004" s="103" t="s">
        <v>1842</v>
      </c>
      <c r="E1004" s="316" t="s">
        <v>298</v>
      </c>
      <c r="F1004" s="576">
        <v>43816</v>
      </c>
      <c r="G1004" s="48">
        <v>43844</v>
      </c>
      <c r="H1004" s="575" t="s">
        <v>1796</v>
      </c>
      <c r="I1004" s="575" t="s">
        <v>222</v>
      </c>
      <c r="J1004" s="316" t="s">
        <v>56</v>
      </c>
      <c r="K1004" s="105">
        <v>50</v>
      </c>
      <c r="L1004" s="104">
        <v>51000</v>
      </c>
      <c r="M1004" s="104">
        <v>49280</v>
      </c>
      <c r="N1004" s="104">
        <f>409.06/2</f>
        <v>204.53</v>
      </c>
      <c r="O1004" s="104">
        <f t="shared" si="702"/>
        <v>10226.5</v>
      </c>
      <c r="P1004" s="101" t="s">
        <v>1799</v>
      </c>
      <c r="Q1004" s="104"/>
      <c r="R1004" s="104"/>
      <c r="S1004" s="104"/>
      <c r="T1004" s="104"/>
      <c r="U1004" s="104"/>
      <c r="V1004" s="104"/>
      <c r="W1004" s="104"/>
      <c r="X1004" s="575"/>
      <c r="Y1004" s="198">
        <f t="shared" si="703"/>
        <v>2464000</v>
      </c>
      <c r="Z1004" s="575" t="str">
        <f t="shared" si="699"/>
        <v>亨通集团上海贸易有限公司cu2003-买入19-新28</v>
      </c>
      <c r="AA1004" s="575" t="str">
        <f>IF(I1004="买入","卖出","买入19-新28")</f>
        <v>买入19-新28</v>
      </c>
      <c r="AB1004" s="575">
        <v>218</v>
      </c>
      <c r="AC1004" s="321">
        <v>0.152</v>
      </c>
      <c r="AD1004" s="322">
        <v>0.152</v>
      </c>
      <c r="AE1004" s="104"/>
      <c r="AF1004" s="105">
        <v>31250</v>
      </c>
    </row>
    <row r="1005" spans="1:32" ht="24.95" customHeight="1" x14ac:dyDescent="0.15">
      <c r="A1005" s="316" t="s">
        <v>248</v>
      </c>
      <c r="B1005" s="120" t="s">
        <v>263</v>
      </c>
      <c r="C1005" s="316" t="str">
        <f t="shared" si="701"/>
        <v>存续</v>
      </c>
      <c r="D1005" s="103" t="s">
        <v>1842</v>
      </c>
      <c r="E1005" s="316" t="s">
        <v>298</v>
      </c>
      <c r="F1005" s="576">
        <v>43816</v>
      </c>
      <c r="G1005" s="48">
        <v>43844</v>
      </c>
      <c r="H1005" s="575" t="s">
        <v>1797</v>
      </c>
      <c r="I1005" s="575" t="s">
        <v>222</v>
      </c>
      <c r="J1005" s="316" t="s">
        <v>59</v>
      </c>
      <c r="K1005" s="105">
        <v>50</v>
      </c>
      <c r="L1005" s="104">
        <v>47060</v>
      </c>
      <c r="M1005" s="104">
        <v>49280</v>
      </c>
      <c r="N1005" s="104">
        <f>409.06/2</f>
        <v>204.53</v>
      </c>
      <c r="O1005" s="104">
        <f t="shared" si="702"/>
        <v>10226.5</v>
      </c>
      <c r="P1005" s="101" t="s">
        <v>1800</v>
      </c>
      <c r="Q1005" s="104"/>
      <c r="R1005" s="104"/>
      <c r="S1005" s="104"/>
      <c r="T1005" s="104"/>
      <c r="U1005" s="104"/>
      <c r="V1005" s="104"/>
      <c r="W1005" s="104"/>
      <c r="X1005" s="575"/>
      <c r="Y1005" s="198">
        <f t="shared" si="703"/>
        <v>2464000</v>
      </c>
      <c r="Z1005" s="575" t="str">
        <f t="shared" si="699"/>
        <v>亨通集团上海贸易有限公司cu2003-买入19-新28</v>
      </c>
      <c r="AA1005" s="575" t="str">
        <f>IF(I1005="买入","卖出","买入19-新28")</f>
        <v>买入19-新28</v>
      </c>
      <c r="AB1005" s="575">
        <v>218</v>
      </c>
      <c r="AC1005" s="321">
        <v>0.152</v>
      </c>
      <c r="AD1005" s="322">
        <v>0.152</v>
      </c>
      <c r="AE1005" s="104"/>
      <c r="AF1005" s="105">
        <v>31250</v>
      </c>
    </row>
    <row r="1006" spans="1:32" ht="24.95" customHeight="1" x14ac:dyDescent="0.15">
      <c r="A1006" s="316" t="s">
        <v>394</v>
      </c>
      <c r="B1006" s="120" t="s">
        <v>764</v>
      </c>
      <c r="C1006" s="316" t="str">
        <f t="shared" si="701"/>
        <v>存续</v>
      </c>
      <c r="D1006" s="128" t="s">
        <v>1877</v>
      </c>
      <c r="E1006" s="316" t="s">
        <v>255</v>
      </c>
      <c r="F1006" s="578">
        <v>43817</v>
      </c>
      <c r="G1006" s="578">
        <v>43845</v>
      </c>
      <c r="H1006" s="577" t="s">
        <v>1798</v>
      </c>
      <c r="I1006" s="577" t="s">
        <v>241</v>
      </c>
      <c r="J1006" s="316" t="s">
        <v>59</v>
      </c>
      <c r="K1006" s="577">
        <v>8120</v>
      </c>
      <c r="L1006" s="105">
        <v>1591.77</v>
      </c>
      <c r="M1006" s="577">
        <v>1641</v>
      </c>
      <c r="N1006" s="577">
        <f>200000/8120</f>
        <v>24.630541871921181</v>
      </c>
      <c r="O1006" s="577">
        <f>N1006*K1006</f>
        <v>200000</v>
      </c>
      <c r="P1006" s="101" t="s">
        <v>1801</v>
      </c>
      <c r="Q1006" s="104"/>
      <c r="R1006" s="105"/>
      <c r="S1006" s="105"/>
      <c r="T1006" s="578"/>
      <c r="U1006" s="577"/>
      <c r="V1006" s="577"/>
      <c r="W1006" s="578"/>
      <c r="X1006" s="577"/>
      <c r="Y1006" s="198">
        <f t="shared" si="703"/>
        <v>13324920</v>
      </c>
      <c r="Z1006" s="577" t="str">
        <f t="shared" si="699"/>
        <v>卓汇基金管理有限公司SA005-卖出</v>
      </c>
      <c r="AA1006" s="105" t="str">
        <f t="shared" ref="AA1006:AA1008" si="704">IF(I1006="买入","卖出","买入")</f>
        <v>卖出</v>
      </c>
      <c r="AB1006" s="577">
        <v>219</v>
      </c>
      <c r="AC1006" s="321">
        <v>0.25</v>
      </c>
      <c r="AD1006" s="321">
        <v>0.2</v>
      </c>
      <c r="AE1006" s="577"/>
      <c r="AF1006" s="105"/>
    </row>
    <row r="1007" spans="1:32" ht="24.95" customHeight="1" x14ac:dyDescent="0.15">
      <c r="A1007" s="316" t="s">
        <v>265</v>
      </c>
      <c r="B1007" s="120" t="s">
        <v>264</v>
      </c>
      <c r="C1007" s="316" t="str">
        <f t="shared" ref="C1007:C1008" si="705">IF(W1007="","存续","到期")</f>
        <v>存续</v>
      </c>
      <c r="D1007" s="123" t="s">
        <v>1838</v>
      </c>
      <c r="E1007" s="316" t="s">
        <v>137</v>
      </c>
      <c r="F1007" s="580">
        <v>43818</v>
      </c>
      <c r="G1007" s="580">
        <v>43938</v>
      </c>
      <c r="H1007" s="579" t="s">
        <v>1803</v>
      </c>
      <c r="I1007" s="579" t="s">
        <v>241</v>
      </c>
      <c r="J1007" s="316" t="s">
        <v>223</v>
      </c>
      <c r="K1007" s="105">
        <v>1000</v>
      </c>
      <c r="L1007" s="105">
        <v>5932</v>
      </c>
      <c r="M1007" s="105">
        <v>5932</v>
      </c>
      <c r="N1007" s="105">
        <v>252</v>
      </c>
      <c r="O1007" s="105">
        <f t="shared" ref="O1007:O1010" si="706">N1007*K1007</f>
        <v>252000</v>
      </c>
      <c r="P1007" s="104" t="s">
        <v>1802</v>
      </c>
      <c r="Q1007" s="105"/>
      <c r="R1007" s="105"/>
      <c r="S1007" s="105"/>
      <c r="T1007" s="580"/>
      <c r="U1007" s="105"/>
      <c r="V1007" s="105"/>
      <c r="W1007" s="580"/>
      <c r="X1007" s="104"/>
      <c r="Y1007" s="197">
        <f>M1007*K1007</f>
        <v>5932000</v>
      </c>
      <c r="Z1007" s="579" t="str">
        <f t="shared" si="699"/>
        <v>浙江永安资本管理有限公司p2005-卖出</v>
      </c>
      <c r="AA1007" s="579" t="str">
        <f t="shared" si="704"/>
        <v>卖出</v>
      </c>
      <c r="AB1007" s="579">
        <v>220</v>
      </c>
      <c r="AC1007" s="321">
        <v>0.19</v>
      </c>
      <c r="AD1007" s="321">
        <v>0.13</v>
      </c>
      <c r="AE1007" s="579"/>
      <c r="AF1007" s="104"/>
    </row>
    <row r="1008" spans="1:32" ht="24.95" customHeight="1" x14ac:dyDescent="0.15">
      <c r="A1008" s="316" t="s">
        <v>265</v>
      </c>
      <c r="B1008" s="120" t="s">
        <v>264</v>
      </c>
      <c r="C1008" s="316" t="str">
        <f t="shared" si="705"/>
        <v>存续</v>
      </c>
      <c r="D1008" s="123" t="s">
        <v>1838</v>
      </c>
      <c r="E1008" s="316" t="s">
        <v>137</v>
      </c>
      <c r="F1008" s="580">
        <v>43818</v>
      </c>
      <c r="G1008" s="580">
        <v>43938</v>
      </c>
      <c r="H1008" s="579" t="s">
        <v>1803</v>
      </c>
      <c r="I1008" s="579" t="s">
        <v>241</v>
      </c>
      <c r="J1008" s="316" t="s">
        <v>59</v>
      </c>
      <c r="K1008" s="105">
        <v>1000</v>
      </c>
      <c r="L1008" s="105">
        <v>5932</v>
      </c>
      <c r="M1008" s="105">
        <v>5932</v>
      </c>
      <c r="N1008" s="105">
        <v>252</v>
      </c>
      <c r="O1008" s="105">
        <f t="shared" si="706"/>
        <v>252000</v>
      </c>
      <c r="P1008" s="104" t="s">
        <v>1802</v>
      </c>
      <c r="Q1008" s="105"/>
      <c r="R1008" s="105"/>
      <c r="S1008" s="105"/>
      <c r="T1008" s="580"/>
      <c r="U1008" s="105"/>
      <c r="V1008" s="105"/>
      <c r="W1008" s="580"/>
      <c r="X1008" s="104"/>
      <c r="Y1008" s="197">
        <f>M1008*K1008</f>
        <v>5932000</v>
      </c>
      <c r="Z1008" s="579" t="str">
        <f t="shared" si="699"/>
        <v>浙江永安资本管理有限公司p2005-卖出</v>
      </c>
      <c r="AA1008" s="579" t="str">
        <f t="shared" si="704"/>
        <v>卖出</v>
      </c>
      <c r="AB1008" s="579">
        <v>220</v>
      </c>
      <c r="AC1008" s="321">
        <v>0.19</v>
      </c>
      <c r="AD1008" s="321">
        <v>0.13</v>
      </c>
      <c r="AE1008" s="579"/>
      <c r="AF1008" s="104"/>
    </row>
    <row r="1009" spans="1:32" ht="24.95" customHeight="1" x14ac:dyDescent="0.15">
      <c r="A1009" s="316" t="s">
        <v>265</v>
      </c>
      <c r="B1009" s="120" t="s">
        <v>1602</v>
      </c>
      <c r="C1009" s="316" t="str">
        <f t="shared" ref="C1009:C1012" si="707">IF(Q1009="","存续","到期")</f>
        <v>到期</v>
      </c>
      <c r="D1009" s="123" t="s">
        <v>1846</v>
      </c>
      <c r="E1009" s="316" t="s">
        <v>255</v>
      </c>
      <c r="F1009" s="582">
        <v>43819</v>
      </c>
      <c r="G1009" s="48">
        <v>43826</v>
      </c>
      <c r="H1009" s="581" t="s">
        <v>1596</v>
      </c>
      <c r="I1009" s="583" t="s">
        <v>241</v>
      </c>
      <c r="J1009" s="316" t="s">
        <v>986</v>
      </c>
      <c r="K1009" s="581">
        <v>500</v>
      </c>
      <c r="L1009" s="583">
        <v>10705</v>
      </c>
      <c r="M1009" s="583">
        <v>10705</v>
      </c>
      <c r="N1009" s="583">
        <v>100</v>
      </c>
      <c r="O1009" s="105">
        <f t="shared" si="706"/>
        <v>50000</v>
      </c>
      <c r="P1009" s="104" t="s">
        <v>1809</v>
      </c>
      <c r="Q1009" s="104" t="str">
        <f>P1009&amp;"-L"</f>
        <v>OTC-C00587-L</v>
      </c>
      <c r="R1009" s="105"/>
      <c r="S1009" s="105"/>
      <c r="T1009" s="587"/>
      <c r="U1009" s="581">
        <v>10710</v>
      </c>
      <c r="V1009" s="316">
        <f>(U1009-L1009)*K1009</f>
        <v>2500</v>
      </c>
      <c r="W1009" s="48">
        <v>43822</v>
      </c>
      <c r="X1009" s="105">
        <f t="shared" ref="X1009:X1010" si="708">IF(I1009="买入",V1009-O1009,V1009+O1009)</f>
        <v>-47500</v>
      </c>
      <c r="Y1009" s="197">
        <f t="shared" ref="Y1009:Y1012" si="709">M1009*K1009</f>
        <v>5352500</v>
      </c>
      <c r="Z1009" s="581" t="str">
        <f t="shared" ref="Z1009:Z1018" si="710">IF(C1009="存续",D1009&amp;H1009&amp;"-"&amp;AA1009,"")</f>
        <v/>
      </c>
      <c r="AA1009" s="581" t="str">
        <f t="shared" ref="AA1009:AA1014" si="711">IF(I1009="买入","卖出","买入")</f>
        <v>卖出</v>
      </c>
      <c r="AB1009" s="581">
        <v>221</v>
      </c>
      <c r="AC1009" s="581"/>
      <c r="AD1009" s="581"/>
      <c r="AE1009" s="581" t="s">
        <v>1808</v>
      </c>
      <c r="AF1009" s="104"/>
    </row>
    <row r="1010" spans="1:32" ht="24.95" customHeight="1" x14ac:dyDescent="0.15">
      <c r="A1010" s="316" t="s">
        <v>265</v>
      </c>
      <c r="B1010" s="120" t="s">
        <v>1602</v>
      </c>
      <c r="C1010" s="316" t="str">
        <f t="shared" si="707"/>
        <v>到期</v>
      </c>
      <c r="D1010" s="123" t="s">
        <v>1846</v>
      </c>
      <c r="E1010" s="316" t="s">
        <v>255</v>
      </c>
      <c r="F1010" s="582">
        <v>43819</v>
      </c>
      <c r="G1010" s="48">
        <v>43826</v>
      </c>
      <c r="H1010" s="581" t="s">
        <v>1596</v>
      </c>
      <c r="I1010" s="583" t="s">
        <v>978</v>
      </c>
      <c r="J1010" s="316" t="s">
        <v>1566</v>
      </c>
      <c r="K1010" s="581">
        <v>500</v>
      </c>
      <c r="L1010" s="583">
        <v>10705</v>
      </c>
      <c r="M1010" s="583">
        <v>10705</v>
      </c>
      <c r="N1010" s="583">
        <v>100</v>
      </c>
      <c r="O1010" s="105">
        <f t="shared" si="706"/>
        <v>50000</v>
      </c>
      <c r="P1010" s="104" t="s">
        <v>1809</v>
      </c>
      <c r="Q1010" s="104" t="str">
        <f t="shared" ref="Q1010:Q1012" si="712">P1010&amp;"-L"</f>
        <v>OTC-C00587-L</v>
      </c>
      <c r="R1010" s="105"/>
      <c r="S1010" s="105"/>
      <c r="T1010" s="587"/>
      <c r="U1010" s="581">
        <v>10710</v>
      </c>
      <c r="V1010" s="316">
        <v>0</v>
      </c>
      <c r="W1010" s="48">
        <v>43822</v>
      </c>
      <c r="X1010" s="105">
        <f t="shared" si="708"/>
        <v>50000</v>
      </c>
      <c r="Y1010" s="197">
        <f t="shared" si="709"/>
        <v>5352500</v>
      </c>
      <c r="Z1010" s="581" t="str">
        <f t="shared" si="710"/>
        <v/>
      </c>
      <c r="AA1010" s="581" t="str">
        <f t="shared" si="711"/>
        <v>买入</v>
      </c>
      <c r="AB1010" s="581">
        <v>221</v>
      </c>
      <c r="AC1010" s="581"/>
      <c r="AD1010" s="581"/>
      <c r="AE1010" s="581" t="s">
        <v>1808</v>
      </c>
      <c r="AF1010" s="104"/>
    </row>
    <row r="1011" spans="1:32" ht="24.95" customHeight="1" x14ac:dyDescent="0.15">
      <c r="A1011" s="316" t="s">
        <v>265</v>
      </c>
      <c r="B1011" s="120" t="s">
        <v>264</v>
      </c>
      <c r="C1011" s="316" t="str">
        <f t="shared" si="707"/>
        <v>到期</v>
      </c>
      <c r="D1011" s="123" t="s">
        <v>266</v>
      </c>
      <c r="E1011" s="316" t="s">
        <v>1603</v>
      </c>
      <c r="F1011" s="582">
        <v>43819</v>
      </c>
      <c r="G1011" s="48">
        <v>43830</v>
      </c>
      <c r="H1011" s="581" t="s">
        <v>1596</v>
      </c>
      <c r="I1011" s="583" t="s">
        <v>978</v>
      </c>
      <c r="J1011" s="316" t="s">
        <v>223</v>
      </c>
      <c r="K1011" s="581">
        <v>500</v>
      </c>
      <c r="L1011" s="583">
        <v>10705</v>
      </c>
      <c r="M1011" s="583">
        <v>10705</v>
      </c>
      <c r="N1011" s="583">
        <v>100</v>
      </c>
      <c r="O1011" s="105">
        <f t="shared" ref="O1011:O1013" si="713">N1011*K1011</f>
        <v>50000</v>
      </c>
      <c r="P1011" s="104" t="s">
        <v>1810</v>
      </c>
      <c r="Q1011" s="104" t="str">
        <f t="shared" si="712"/>
        <v>OTC-C00588-L</v>
      </c>
      <c r="R1011" s="105">
        <v>5</v>
      </c>
      <c r="S1011" s="105">
        <f>-R1011*K1011</f>
        <v>-2500</v>
      </c>
      <c r="T1011" s="48">
        <v>43822</v>
      </c>
      <c r="U1011" s="587">
        <v>10710</v>
      </c>
      <c r="V1011" s="316"/>
      <c r="W1011" s="105"/>
      <c r="X1011" s="587">
        <f t="shared" ref="X1011:X1012" si="714">IF(I1011="买入",S1011-O1011,O1011+S1011)</f>
        <v>47500</v>
      </c>
      <c r="Y1011" s="197">
        <f t="shared" si="709"/>
        <v>5352500</v>
      </c>
      <c r="Z1011" s="581" t="str">
        <f t="shared" si="710"/>
        <v/>
      </c>
      <c r="AA1011" s="581" t="str">
        <f t="shared" si="711"/>
        <v>买入</v>
      </c>
      <c r="AB1011" s="581">
        <v>222</v>
      </c>
      <c r="AC1011" s="581"/>
      <c r="AD1011" s="581"/>
      <c r="AE1011" s="581" t="s">
        <v>1808</v>
      </c>
      <c r="AF1011" s="104"/>
    </row>
    <row r="1012" spans="1:32" ht="24.95" customHeight="1" x14ac:dyDescent="0.15">
      <c r="A1012" s="316" t="s">
        <v>265</v>
      </c>
      <c r="B1012" s="120" t="s">
        <v>264</v>
      </c>
      <c r="C1012" s="316" t="str">
        <f t="shared" si="707"/>
        <v>到期</v>
      </c>
      <c r="D1012" s="123" t="s">
        <v>266</v>
      </c>
      <c r="E1012" s="316" t="s">
        <v>1603</v>
      </c>
      <c r="F1012" s="582">
        <v>43819</v>
      </c>
      <c r="G1012" s="48">
        <v>43830</v>
      </c>
      <c r="H1012" s="581" t="s">
        <v>1596</v>
      </c>
      <c r="I1012" s="583" t="s">
        <v>241</v>
      </c>
      <c r="J1012" s="316" t="s">
        <v>59</v>
      </c>
      <c r="K1012" s="581">
        <v>500</v>
      </c>
      <c r="L1012" s="583">
        <v>10705</v>
      </c>
      <c r="M1012" s="583">
        <v>10705</v>
      </c>
      <c r="N1012" s="583">
        <v>100</v>
      </c>
      <c r="O1012" s="105">
        <f t="shared" si="713"/>
        <v>50000</v>
      </c>
      <c r="P1012" s="104" t="s">
        <v>1810</v>
      </c>
      <c r="Q1012" s="104" t="str">
        <f t="shared" si="712"/>
        <v>OTC-C00588-L</v>
      </c>
      <c r="R1012" s="105">
        <v>0</v>
      </c>
      <c r="S1012" s="105">
        <v>0</v>
      </c>
      <c r="T1012" s="48">
        <v>43822</v>
      </c>
      <c r="U1012" s="587">
        <v>10710</v>
      </c>
      <c r="V1012" s="316"/>
      <c r="W1012" s="105"/>
      <c r="X1012" s="587">
        <f t="shared" si="714"/>
        <v>-50000</v>
      </c>
      <c r="Y1012" s="197">
        <f t="shared" si="709"/>
        <v>5352500</v>
      </c>
      <c r="Z1012" s="581" t="str">
        <f t="shared" si="710"/>
        <v/>
      </c>
      <c r="AA1012" s="581" t="str">
        <f t="shared" si="711"/>
        <v>卖出</v>
      </c>
      <c r="AB1012" s="581">
        <v>222</v>
      </c>
      <c r="AC1012" s="581"/>
      <c r="AD1012" s="581"/>
      <c r="AE1012" s="581" t="s">
        <v>1808</v>
      </c>
      <c r="AF1012" s="104"/>
    </row>
    <row r="1013" spans="1:32" ht="24.95" customHeight="1" x14ac:dyDescent="0.15">
      <c r="A1013" s="316" t="s">
        <v>248</v>
      </c>
      <c r="B1013" s="120" t="s">
        <v>263</v>
      </c>
      <c r="C1013" s="316" t="str">
        <f>IF(Q1013="","存续","到期")</f>
        <v>存续</v>
      </c>
      <c r="D1013" s="323" t="s">
        <v>1865</v>
      </c>
      <c r="E1013" s="316" t="s">
        <v>1071</v>
      </c>
      <c r="F1013" s="48">
        <v>43822</v>
      </c>
      <c r="G1013" s="588">
        <v>43850</v>
      </c>
      <c r="H1013" s="587" t="s">
        <v>1814</v>
      </c>
      <c r="I1013" s="587" t="s">
        <v>1074</v>
      </c>
      <c r="J1013" s="316" t="s">
        <v>1075</v>
      </c>
      <c r="K1013" s="587">
        <v>1200</v>
      </c>
      <c r="L1013" s="587">
        <v>6444</v>
      </c>
      <c r="M1013" s="587">
        <v>6060</v>
      </c>
      <c r="N1013" s="587">
        <v>41.31</v>
      </c>
      <c r="O1013" s="587">
        <f t="shared" si="713"/>
        <v>49572</v>
      </c>
      <c r="P1013" s="101" t="s">
        <v>1824</v>
      </c>
      <c r="Q1013" s="104"/>
      <c r="R1013" s="104"/>
      <c r="S1013" s="104"/>
      <c r="T1013" s="48"/>
      <c r="U1013" s="212"/>
      <c r="V1013" s="212"/>
      <c r="W1013" s="212"/>
      <c r="X1013" s="104"/>
      <c r="Y1013" s="198">
        <f>ABS(M1013*K1013)</f>
        <v>7272000</v>
      </c>
      <c r="Z1013" s="587" t="str">
        <f t="shared" si="710"/>
        <v>南京构世云贸易有限公司p2005-卖出</v>
      </c>
      <c r="AA1013" s="587" t="str">
        <f t="shared" si="711"/>
        <v>卖出</v>
      </c>
      <c r="AB1013" s="587">
        <v>223</v>
      </c>
      <c r="AC1013" s="321">
        <v>0.23780000000000001</v>
      </c>
      <c r="AD1013" s="321">
        <v>0.21779999999999999</v>
      </c>
      <c r="AE1013" s="204"/>
      <c r="AF1013" s="105"/>
    </row>
    <row r="1014" spans="1:32" ht="24.95" customHeight="1" x14ac:dyDescent="0.15">
      <c r="A1014" s="316" t="s">
        <v>265</v>
      </c>
      <c r="B1014" s="120" t="s">
        <v>263</v>
      </c>
      <c r="C1014" s="316" t="str">
        <f t="shared" ref="C1014:C1016" si="715">IF(Q1014="","存续","到期")</f>
        <v>存续</v>
      </c>
      <c r="D1014" s="123" t="s">
        <v>1833</v>
      </c>
      <c r="E1014" s="316" t="s">
        <v>298</v>
      </c>
      <c r="F1014" s="48">
        <v>43822</v>
      </c>
      <c r="G1014" s="588">
        <v>43850</v>
      </c>
      <c r="H1014" s="587" t="s">
        <v>1815</v>
      </c>
      <c r="I1014" s="587" t="s">
        <v>222</v>
      </c>
      <c r="J1014" s="316" t="s">
        <v>1816</v>
      </c>
      <c r="K1014" s="587">
        <v>2200</v>
      </c>
      <c r="L1014" s="587">
        <v>4700</v>
      </c>
      <c r="M1014" s="587">
        <v>4590</v>
      </c>
      <c r="N1014" s="587">
        <v>16.52</v>
      </c>
      <c r="O1014" s="587">
        <f>N1014*K1014</f>
        <v>36344</v>
      </c>
      <c r="P1014" s="101" t="s">
        <v>1818</v>
      </c>
      <c r="Q1014" s="587"/>
      <c r="R1014" s="105"/>
      <c r="S1014" s="105"/>
      <c r="T1014" s="588"/>
      <c r="U1014" s="587"/>
      <c r="V1014" s="587"/>
      <c r="W1014" s="587"/>
      <c r="X1014" s="104"/>
      <c r="Y1014" s="587">
        <f t="shared" ref="Y1014" si="716">ABS(M1014*K1014)</f>
        <v>10098000</v>
      </c>
      <c r="Z1014" s="587" t="str">
        <f t="shared" si="710"/>
        <v>宁波中哲物产有限公司sp2005-买入</v>
      </c>
      <c r="AA1014" s="105" t="str">
        <f t="shared" si="711"/>
        <v>买入</v>
      </c>
      <c r="AB1014" s="587">
        <v>224</v>
      </c>
      <c r="AC1014" s="321">
        <v>0.10580000000000001</v>
      </c>
      <c r="AD1014" s="205">
        <v>0.1258</v>
      </c>
      <c r="AE1014" s="587" t="s">
        <v>1335</v>
      </c>
      <c r="AF1014" s="105">
        <v>57000</v>
      </c>
    </row>
    <row r="1015" spans="1:32" ht="24.95" customHeight="1" x14ac:dyDescent="0.15">
      <c r="A1015" s="316" t="s">
        <v>248</v>
      </c>
      <c r="B1015" s="120" t="s">
        <v>263</v>
      </c>
      <c r="C1015" s="316" t="str">
        <f t="shared" si="715"/>
        <v>存续</v>
      </c>
      <c r="D1015" s="103" t="s">
        <v>1842</v>
      </c>
      <c r="E1015" s="316" t="s">
        <v>298</v>
      </c>
      <c r="F1015" s="48">
        <v>43823</v>
      </c>
      <c r="G1015" s="48">
        <v>43851</v>
      </c>
      <c r="H1015" s="589" t="s">
        <v>1796</v>
      </c>
      <c r="I1015" s="589" t="s">
        <v>222</v>
      </c>
      <c r="J1015" s="316" t="s">
        <v>56</v>
      </c>
      <c r="K1015" s="105">
        <v>50</v>
      </c>
      <c r="L1015" s="104">
        <v>51220</v>
      </c>
      <c r="M1015" s="104">
        <v>49250</v>
      </c>
      <c r="N1015" s="104">
        <f>408.81/2</f>
        <v>204.405</v>
      </c>
      <c r="O1015" s="104">
        <f t="shared" ref="O1015:O1027" si="717">N1015*K1015</f>
        <v>10220.25</v>
      </c>
      <c r="P1015" s="101" t="s">
        <v>1831</v>
      </c>
      <c r="Q1015" s="104"/>
      <c r="R1015" s="104"/>
      <c r="S1015" s="104"/>
      <c r="T1015" s="104"/>
      <c r="U1015" s="104"/>
      <c r="V1015" s="104"/>
      <c r="W1015" s="104"/>
      <c r="X1015" s="589"/>
      <c r="Y1015" s="198">
        <f t="shared" ref="Y1015:Y1016" si="718">M1015*K1015</f>
        <v>2462500</v>
      </c>
      <c r="Z1015" s="589" t="str">
        <f t="shared" si="710"/>
        <v>亨通集团上海贸易有限公司cu2003-买入19-新29</v>
      </c>
      <c r="AA1015" s="589" t="str">
        <f>IF(I1015="买入","卖出","买入19-新29")</f>
        <v>买入19-新29</v>
      </c>
      <c r="AB1015" s="589">
        <v>225</v>
      </c>
      <c r="AC1015" s="321">
        <v>0.152</v>
      </c>
      <c r="AD1015" s="322">
        <v>0.152</v>
      </c>
      <c r="AE1015" s="104"/>
      <c r="AF1015" s="105">
        <v>31250</v>
      </c>
    </row>
    <row r="1016" spans="1:32" ht="24.95" customHeight="1" x14ac:dyDescent="0.15">
      <c r="A1016" s="316" t="s">
        <v>248</v>
      </c>
      <c r="B1016" s="120" t="s">
        <v>263</v>
      </c>
      <c r="C1016" s="316" t="str">
        <f t="shared" si="715"/>
        <v>存续</v>
      </c>
      <c r="D1016" s="103" t="s">
        <v>1842</v>
      </c>
      <c r="E1016" s="316" t="s">
        <v>298</v>
      </c>
      <c r="F1016" s="48">
        <v>43823</v>
      </c>
      <c r="G1016" s="48">
        <v>43851</v>
      </c>
      <c r="H1016" s="589" t="s">
        <v>1796</v>
      </c>
      <c r="I1016" s="589" t="s">
        <v>222</v>
      </c>
      <c r="J1016" s="316" t="s">
        <v>59</v>
      </c>
      <c r="K1016" s="105">
        <v>50</v>
      </c>
      <c r="L1016" s="104">
        <v>47280</v>
      </c>
      <c r="M1016" s="104">
        <v>49250</v>
      </c>
      <c r="N1016" s="104">
        <f>408.81/2</f>
        <v>204.405</v>
      </c>
      <c r="O1016" s="104">
        <f t="shared" si="717"/>
        <v>10220.25</v>
      </c>
      <c r="P1016" s="101" t="s">
        <v>1832</v>
      </c>
      <c r="Q1016" s="104"/>
      <c r="R1016" s="104"/>
      <c r="S1016" s="104"/>
      <c r="T1016" s="104"/>
      <c r="U1016" s="104"/>
      <c r="V1016" s="104"/>
      <c r="W1016" s="104"/>
      <c r="X1016" s="589"/>
      <c r="Y1016" s="198">
        <f t="shared" si="718"/>
        <v>2462500</v>
      </c>
      <c r="Z1016" s="589" t="str">
        <f t="shared" si="710"/>
        <v>亨通集团上海贸易有限公司cu2003-买入19-新29</v>
      </c>
      <c r="AA1016" s="589" t="str">
        <f>IF(I1016="买入","卖出","买入19-新29")</f>
        <v>买入19-新29</v>
      </c>
      <c r="AB1016" s="589">
        <v>225</v>
      </c>
      <c r="AC1016" s="321">
        <v>0.152</v>
      </c>
      <c r="AD1016" s="322">
        <v>0.152</v>
      </c>
      <c r="AE1016" s="104"/>
      <c r="AF1016" s="105">
        <v>31250</v>
      </c>
    </row>
    <row r="1017" spans="1:32" ht="24.95" customHeight="1" x14ac:dyDescent="0.15">
      <c r="A1017" s="316" t="s">
        <v>265</v>
      </c>
      <c r="B1017" s="120" t="s">
        <v>264</v>
      </c>
      <c r="C1017" s="316" t="str">
        <f t="shared" ref="C1017:C1019" si="719">IF(W1017="","存续","到期")</f>
        <v>存续</v>
      </c>
      <c r="D1017" s="123" t="s">
        <v>1838</v>
      </c>
      <c r="E1017" s="316" t="s">
        <v>137</v>
      </c>
      <c r="F1017" s="48">
        <v>43823</v>
      </c>
      <c r="G1017" s="590">
        <v>43943</v>
      </c>
      <c r="H1017" s="589" t="s">
        <v>1820</v>
      </c>
      <c r="I1017" s="589" t="s">
        <v>241</v>
      </c>
      <c r="J1017" s="316" t="s">
        <v>223</v>
      </c>
      <c r="K1017" s="105">
        <v>700</v>
      </c>
      <c r="L1017" s="105">
        <v>6515</v>
      </c>
      <c r="M1017" s="105">
        <v>6515</v>
      </c>
      <c r="N1017" s="105">
        <v>165</v>
      </c>
      <c r="O1017" s="105">
        <f t="shared" si="717"/>
        <v>115500</v>
      </c>
      <c r="P1017" s="104" t="s">
        <v>1819</v>
      </c>
      <c r="Q1017" s="105"/>
      <c r="R1017" s="105"/>
      <c r="S1017" s="105"/>
      <c r="T1017" s="590"/>
      <c r="U1017" s="105"/>
      <c r="V1017" s="105"/>
      <c r="W1017" s="590"/>
      <c r="X1017" s="104"/>
      <c r="Y1017" s="197">
        <f>M1017*K1017</f>
        <v>4560500</v>
      </c>
      <c r="Z1017" s="589" t="str">
        <f t="shared" si="710"/>
        <v>浙江永安资本管理有限公司v2005-卖出</v>
      </c>
      <c r="AA1017" s="589" t="str">
        <f t="shared" ref="AA1017:AA1018" si="720">IF(I1017="买入","卖出","买入")</f>
        <v>卖出</v>
      </c>
      <c r="AB1017" s="589">
        <v>226</v>
      </c>
      <c r="AC1017" s="321">
        <v>0.113</v>
      </c>
      <c r="AD1017" s="321">
        <v>9.2999999999999999E-2</v>
      </c>
      <c r="AE1017" s="589"/>
      <c r="AF1017" s="104"/>
    </row>
    <row r="1018" spans="1:32" ht="24.95" customHeight="1" x14ac:dyDescent="0.15">
      <c r="A1018" s="316" t="s">
        <v>265</v>
      </c>
      <c r="B1018" s="120" t="s">
        <v>264</v>
      </c>
      <c r="C1018" s="316" t="str">
        <f t="shared" si="719"/>
        <v>存续</v>
      </c>
      <c r="D1018" s="123" t="s">
        <v>1838</v>
      </c>
      <c r="E1018" s="316" t="s">
        <v>137</v>
      </c>
      <c r="F1018" s="48">
        <v>43823</v>
      </c>
      <c r="G1018" s="590">
        <v>43943</v>
      </c>
      <c r="H1018" s="589" t="s">
        <v>1820</v>
      </c>
      <c r="I1018" s="589" t="s">
        <v>241</v>
      </c>
      <c r="J1018" s="316" t="s">
        <v>59</v>
      </c>
      <c r="K1018" s="105">
        <v>700</v>
      </c>
      <c r="L1018" s="105">
        <v>6515</v>
      </c>
      <c r="M1018" s="105">
        <v>6515</v>
      </c>
      <c r="N1018" s="105">
        <v>165</v>
      </c>
      <c r="O1018" s="105">
        <f t="shared" si="717"/>
        <v>115500</v>
      </c>
      <c r="P1018" s="104" t="s">
        <v>1819</v>
      </c>
      <c r="Q1018" s="105"/>
      <c r="R1018" s="105"/>
      <c r="S1018" s="105"/>
      <c r="T1018" s="590"/>
      <c r="U1018" s="105"/>
      <c r="V1018" s="105"/>
      <c r="W1018" s="590"/>
      <c r="X1018" s="104"/>
      <c r="Y1018" s="197">
        <f>M1018*K1018</f>
        <v>4560500</v>
      </c>
      <c r="Z1018" s="589" t="str">
        <f t="shared" si="710"/>
        <v>浙江永安资本管理有限公司v2005-卖出</v>
      </c>
      <c r="AA1018" s="589" t="str">
        <f t="shared" si="720"/>
        <v>卖出</v>
      </c>
      <c r="AB1018" s="589">
        <v>226</v>
      </c>
      <c r="AC1018" s="321">
        <v>0.113</v>
      </c>
      <c r="AD1018" s="321">
        <v>9.2999999999999999E-2</v>
      </c>
      <c r="AE1018" s="589"/>
      <c r="AF1018" s="104"/>
    </row>
    <row r="1019" spans="1:32" ht="24.95" customHeight="1" x14ac:dyDescent="0.15">
      <c r="A1019" s="592" t="s">
        <v>1821</v>
      </c>
      <c r="B1019" s="120" t="s">
        <v>263</v>
      </c>
      <c r="C1019" s="316" t="str">
        <f t="shared" si="719"/>
        <v>存续</v>
      </c>
      <c r="D1019" s="591" t="s">
        <v>1895</v>
      </c>
      <c r="E1019" s="316" t="s">
        <v>1896</v>
      </c>
      <c r="F1019" s="48">
        <v>43823</v>
      </c>
      <c r="G1019" s="590">
        <v>43885</v>
      </c>
      <c r="H1019" s="589" t="s">
        <v>1325</v>
      </c>
      <c r="I1019" s="589" t="s">
        <v>1897</v>
      </c>
      <c r="J1019" s="316" t="s">
        <v>1898</v>
      </c>
      <c r="K1019" s="105">
        <v>100000</v>
      </c>
      <c r="L1019" s="105">
        <v>2145</v>
      </c>
      <c r="M1019" s="105">
        <v>1900</v>
      </c>
      <c r="N1019" s="105">
        <v>0.75</v>
      </c>
      <c r="O1019" s="105">
        <f t="shared" si="717"/>
        <v>75000</v>
      </c>
      <c r="P1019" s="101" t="s">
        <v>1899</v>
      </c>
      <c r="Q1019" s="105"/>
      <c r="R1019" s="105"/>
      <c r="S1019" s="105"/>
      <c r="T1019" s="590"/>
      <c r="U1019" s="105"/>
      <c r="V1019" s="105"/>
      <c r="W1019" s="590"/>
      <c r="X1019" s="104"/>
      <c r="Y1019" s="197">
        <f>M1019*K1019</f>
        <v>190000000</v>
      </c>
      <c r="Z1019" s="603" t="str">
        <f t="shared" ref="Z1019:Z1027" si="721">IF(C1019="存续",D1019&amp;H1019&amp;"-"&amp;AA1019,"")</f>
        <v>上海新湖瑞丰金融服务有限公司c2005-买入</v>
      </c>
      <c r="AA1019" s="603" t="str">
        <f t="shared" ref="AA1019:AA1027" si="722">IF(I1019="买入","卖出","买入")</f>
        <v>买入</v>
      </c>
      <c r="AB1019" s="603">
        <v>227</v>
      </c>
      <c r="AC1019" s="604">
        <v>0.15</v>
      </c>
      <c r="AD1019" s="604"/>
      <c r="AE1019" s="603" t="s">
        <v>1822</v>
      </c>
      <c r="AF1019" s="104"/>
    </row>
    <row r="1020" spans="1:32" ht="24.95" customHeight="1" x14ac:dyDescent="0.15">
      <c r="A1020" s="316" t="s">
        <v>265</v>
      </c>
      <c r="B1020" s="120" t="s">
        <v>264</v>
      </c>
      <c r="C1020" s="316" t="str">
        <f t="shared" ref="C1020:C1023" si="723">IF(Q1020="","存续","到期")</f>
        <v>存续</v>
      </c>
      <c r="D1020" s="123" t="s">
        <v>266</v>
      </c>
      <c r="E1020" s="316" t="s">
        <v>340</v>
      </c>
      <c r="F1020" s="48">
        <v>43824</v>
      </c>
      <c r="G1020" s="48">
        <v>43839</v>
      </c>
      <c r="H1020" s="595" t="s">
        <v>1827</v>
      </c>
      <c r="I1020" s="595" t="s">
        <v>978</v>
      </c>
      <c r="J1020" s="316" t="s">
        <v>223</v>
      </c>
      <c r="K1020" s="595">
        <v>500</v>
      </c>
      <c r="L1020" s="595">
        <v>12820</v>
      </c>
      <c r="M1020" s="595">
        <v>12820</v>
      </c>
      <c r="N1020" s="595">
        <v>165.01300000000001</v>
      </c>
      <c r="O1020" s="105">
        <f t="shared" si="717"/>
        <v>82506.5</v>
      </c>
      <c r="P1020" s="104" t="s">
        <v>1826</v>
      </c>
      <c r="Q1020" s="104"/>
      <c r="R1020" s="105"/>
      <c r="S1020" s="105"/>
      <c r="T1020" s="48"/>
      <c r="U1020" s="595"/>
      <c r="V1020" s="316"/>
      <c r="W1020" s="105"/>
      <c r="X1020" s="595"/>
      <c r="Y1020" s="197">
        <f t="shared" ref="Y1020:Y1023" si="724">M1020*K1020</f>
        <v>6410000</v>
      </c>
      <c r="Z1020" s="595" t="str">
        <f t="shared" si="721"/>
        <v>国泰君安风险管理有限公司ru2005-买入</v>
      </c>
      <c r="AA1020" s="595" t="str">
        <f t="shared" si="722"/>
        <v>买入</v>
      </c>
      <c r="AB1020" s="595">
        <v>228</v>
      </c>
      <c r="AC1020" s="321">
        <v>0.16</v>
      </c>
      <c r="AD1020" s="595"/>
      <c r="AE1020" s="595"/>
      <c r="AF1020" s="104"/>
    </row>
    <row r="1021" spans="1:32" ht="24.95" customHeight="1" x14ac:dyDescent="0.15">
      <c r="A1021" s="316" t="s">
        <v>265</v>
      </c>
      <c r="B1021" s="120" t="s">
        <v>264</v>
      </c>
      <c r="C1021" s="316" t="str">
        <f t="shared" si="723"/>
        <v>存续</v>
      </c>
      <c r="D1021" s="123" t="s">
        <v>266</v>
      </c>
      <c r="E1021" s="316" t="s">
        <v>340</v>
      </c>
      <c r="F1021" s="48">
        <v>43824</v>
      </c>
      <c r="G1021" s="48">
        <v>43839</v>
      </c>
      <c r="H1021" s="595" t="s">
        <v>1828</v>
      </c>
      <c r="I1021" s="595" t="s">
        <v>978</v>
      </c>
      <c r="J1021" s="316" t="s">
        <v>59</v>
      </c>
      <c r="K1021" s="595">
        <v>500</v>
      </c>
      <c r="L1021" s="595">
        <v>12820</v>
      </c>
      <c r="M1021" s="595">
        <v>12820</v>
      </c>
      <c r="N1021" s="595">
        <v>165.01300000000001</v>
      </c>
      <c r="O1021" s="105">
        <f t="shared" si="717"/>
        <v>82506.5</v>
      </c>
      <c r="P1021" s="104" t="s">
        <v>1826</v>
      </c>
      <c r="Q1021" s="104"/>
      <c r="R1021" s="105"/>
      <c r="S1021" s="105"/>
      <c r="T1021" s="48"/>
      <c r="U1021" s="595"/>
      <c r="V1021" s="316"/>
      <c r="W1021" s="105"/>
      <c r="X1021" s="595"/>
      <c r="Y1021" s="197">
        <f t="shared" si="724"/>
        <v>6410000</v>
      </c>
      <c r="Z1021" s="595" t="str">
        <f t="shared" si="721"/>
        <v>国泰君安风险管理有限公司ru2005-买入</v>
      </c>
      <c r="AA1021" s="595" t="str">
        <f t="shared" si="722"/>
        <v>买入</v>
      </c>
      <c r="AB1021" s="595">
        <v>228</v>
      </c>
      <c r="AC1021" s="321">
        <v>0.16</v>
      </c>
      <c r="AD1021" s="595"/>
      <c r="AE1021" s="595"/>
      <c r="AF1021" s="104"/>
    </row>
    <row r="1022" spans="1:32" ht="24.95" customHeight="1" x14ac:dyDescent="0.15">
      <c r="A1022" s="316" t="s">
        <v>248</v>
      </c>
      <c r="B1022" s="120" t="s">
        <v>264</v>
      </c>
      <c r="C1022" s="316" t="str">
        <f t="shared" si="723"/>
        <v>存续</v>
      </c>
      <c r="D1022" s="323" t="s">
        <v>1840</v>
      </c>
      <c r="E1022" s="316" t="s">
        <v>340</v>
      </c>
      <c r="F1022" s="48">
        <v>43824</v>
      </c>
      <c r="G1022" s="48">
        <v>43852</v>
      </c>
      <c r="H1022" s="595" t="s">
        <v>1830</v>
      </c>
      <c r="I1022" s="595" t="s">
        <v>241</v>
      </c>
      <c r="J1022" s="316" t="s">
        <v>1070</v>
      </c>
      <c r="K1022" s="595">
        <v>1300</v>
      </c>
      <c r="L1022" s="595">
        <v>1845</v>
      </c>
      <c r="M1022" s="595">
        <v>1845</v>
      </c>
      <c r="N1022" s="595">
        <v>47.05</v>
      </c>
      <c r="O1022" s="595">
        <f t="shared" si="717"/>
        <v>61164.999999999993</v>
      </c>
      <c r="P1022" s="104" t="s">
        <v>1829</v>
      </c>
      <c r="Q1022" s="105"/>
      <c r="R1022" s="105"/>
      <c r="S1022" s="105"/>
      <c r="T1022" s="48"/>
      <c r="U1022" s="105"/>
      <c r="V1022" s="212"/>
      <c r="W1022" s="596"/>
      <c r="X1022" s="595"/>
      <c r="Y1022" s="198">
        <f t="shared" si="724"/>
        <v>2398500</v>
      </c>
      <c r="Z1022" s="595" t="str">
        <f t="shared" si="721"/>
        <v>鲁证经贸有限公司j2005-卖出</v>
      </c>
      <c r="AA1022" s="595" t="str">
        <f t="shared" si="722"/>
        <v>卖出</v>
      </c>
      <c r="AB1022" s="595">
        <v>229</v>
      </c>
      <c r="AC1022" s="321">
        <v>0.23</v>
      </c>
      <c r="AD1022" s="205"/>
      <c r="AE1022" s="213"/>
      <c r="AF1022" s="353"/>
    </row>
    <row r="1023" spans="1:32" ht="24.95" customHeight="1" x14ac:dyDescent="0.15">
      <c r="A1023" s="316" t="s">
        <v>248</v>
      </c>
      <c r="B1023" s="120" t="s">
        <v>264</v>
      </c>
      <c r="C1023" s="316" t="str">
        <f t="shared" si="723"/>
        <v>存续</v>
      </c>
      <c r="D1023" s="323" t="s">
        <v>1840</v>
      </c>
      <c r="E1023" s="316" t="s">
        <v>340</v>
      </c>
      <c r="F1023" s="48">
        <v>43824</v>
      </c>
      <c r="G1023" s="48">
        <v>43852</v>
      </c>
      <c r="H1023" s="595" t="s">
        <v>1830</v>
      </c>
      <c r="I1023" s="595" t="s">
        <v>241</v>
      </c>
      <c r="J1023" s="316" t="s">
        <v>1566</v>
      </c>
      <c r="K1023" s="595">
        <v>1300</v>
      </c>
      <c r="L1023" s="595">
        <v>1845</v>
      </c>
      <c r="M1023" s="595">
        <v>1845</v>
      </c>
      <c r="N1023" s="595">
        <v>47.05</v>
      </c>
      <c r="O1023" s="595">
        <f t="shared" si="717"/>
        <v>61164.999999999993</v>
      </c>
      <c r="P1023" s="104" t="s">
        <v>1829</v>
      </c>
      <c r="Q1023" s="105"/>
      <c r="R1023" s="105"/>
      <c r="S1023" s="105"/>
      <c r="T1023" s="48"/>
      <c r="U1023" s="105"/>
      <c r="V1023" s="212"/>
      <c r="W1023" s="596"/>
      <c r="X1023" s="595"/>
      <c r="Y1023" s="198">
        <f t="shared" si="724"/>
        <v>2398500</v>
      </c>
      <c r="Z1023" s="595" t="str">
        <f t="shared" si="721"/>
        <v>鲁证经贸有限公司j2005-卖出</v>
      </c>
      <c r="AA1023" s="595" t="str">
        <f t="shared" si="722"/>
        <v>卖出</v>
      </c>
      <c r="AB1023" s="595">
        <v>229</v>
      </c>
      <c r="AC1023" s="321">
        <v>0.23</v>
      </c>
      <c r="AD1023" s="205"/>
      <c r="AE1023" s="213"/>
      <c r="AF1023" s="353"/>
    </row>
    <row r="1024" spans="1:32" ht="24.95" customHeight="1" x14ac:dyDescent="0.15">
      <c r="A1024" s="316" t="s">
        <v>265</v>
      </c>
      <c r="B1024" s="120" t="s">
        <v>264</v>
      </c>
      <c r="C1024" s="316" t="str">
        <f t="shared" ref="C1024:C1025" si="725">IF(W1024="","存续","到期")</f>
        <v>存续</v>
      </c>
      <c r="D1024" s="123" t="s">
        <v>1900</v>
      </c>
      <c r="E1024" s="316" t="s">
        <v>137</v>
      </c>
      <c r="F1024" s="48">
        <v>43825</v>
      </c>
      <c r="G1024" s="599">
        <v>43888</v>
      </c>
      <c r="H1024" s="598" t="s">
        <v>1827</v>
      </c>
      <c r="I1024" s="598" t="s">
        <v>241</v>
      </c>
      <c r="J1024" s="316" t="s">
        <v>223</v>
      </c>
      <c r="K1024" s="105">
        <v>500</v>
      </c>
      <c r="L1024" s="105">
        <v>12810</v>
      </c>
      <c r="M1024" s="105">
        <v>12810</v>
      </c>
      <c r="N1024" s="105">
        <v>350</v>
      </c>
      <c r="O1024" s="105">
        <f t="shared" si="717"/>
        <v>175000</v>
      </c>
      <c r="P1024" s="104" t="s">
        <v>1888</v>
      </c>
      <c r="Q1024" s="105"/>
      <c r="R1024" s="105"/>
      <c r="S1024" s="105"/>
      <c r="T1024" s="599"/>
      <c r="U1024" s="105"/>
      <c r="V1024" s="105"/>
      <c r="W1024" s="599"/>
      <c r="X1024" s="104"/>
      <c r="Y1024" s="197">
        <f>M1024*K1024</f>
        <v>6405000</v>
      </c>
      <c r="Z1024" s="598" t="str">
        <f t="shared" si="721"/>
        <v>浙江永安资本管理有限公司ru2005-卖出</v>
      </c>
      <c r="AA1024" s="598" t="str">
        <f t="shared" si="722"/>
        <v>卖出</v>
      </c>
      <c r="AB1024" s="598">
        <v>230</v>
      </c>
      <c r="AC1024" s="321">
        <v>0.17299999999999999</v>
      </c>
      <c r="AD1024" s="321"/>
      <c r="AE1024" s="598"/>
      <c r="AF1024" s="104"/>
    </row>
    <row r="1025" spans="1:33" ht="24.95" customHeight="1" x14ac:dyDescent="0.15">
      <c r="A1025" s="316" t="s">
        <v>265</v>
      </c>
      <c r="B1025" s="120" t="s">
        <v>264</v>
      </c>
      <c r="C1025" s="316" t="str">
        <f t="shared" si="725"/>
        <v>存续</v>
      </c>
      <c r="D1025" s="123" t="s">
        <v>1838</v>
      </c>
      <c r="E1025" s="316" t="s">
        <v>137</v>
      </c>
      <c r="F1025" s="48">
        <v>43825</v>
      </c>
      <c r="G1025" s="599">
        <v>43888</v>
      </c>
      <c r="H1025" s="598" t="s">
        <v>1828</v>
      </c>
      <c r="I1025" s="598" t="s">
        <v>241</v>
      </c>
      <c r="J1025" s="316" t="s">
        <v>59</v>
      </c>
      <c r="K1025" s="105">
        <v>500</v>
      </c>
      <c r="L1025" s="105">
        <v>12810</v>
      </c>
      <c r="M1025" s="105">
        <v>12810</v>
      </c>
      <c r="N1025" s="105">
        <v>350</v>
      </c>
      <c r="O1025" s="105">
        <f t="shared" si="717"/>
        <v>175000</v>
      </c>
      <c r="P1025" s="104" t="s">
        <v>1888</v>
      </c>
      <c r="Q1025" s="105"/>
      <c r="R1025" s="105"/>
      <c r="S1025" s="105"/>
      <c r="T1025" s="599"/>
      <c r="U1025" s="105"/>
      <c r="V1025" s="105"/>
      <c r="W1025" s="599"/>
      <c r="X1025" s="104"/>
      <c r="Y1025" s="197">
        <f>M1025*K1025</f>
        <v>6405000</v>
      </c>
      <c r="Z1025" s="598" t="str">
        <f t="shared" si="721"/>
        <v>浙江永安资本管理有限公司ru2005-卖出</v>
      </c>
      <c r="AA1025" s="598" t="str">
        <f t="shared" si="722"/>
        <v>卖出</v>
      </c>
      <c r="AB1025" s="598">
        <v>230</v>
      </c>
      <c r="AC1025" s="321">
        <v>0.17299999999999999</v>
      </c>
      <c r="AD1025" s="321"/>
      <c r="AE1025" s="598"/>
      <c r="AF1025" s="104"/>
    </row>
    <row r="1026" spans="1:33" ht="24.95" customHeight="1" x14ac:dyDescent="0.15">
      <c r="A1026" s="316" t="s">
        <v>394</v>
      </c>
      <c r="B1026" s="120" t="s">
        <v>263</v>
      </c>
      <c r="C1026" s="316" t="str">
        <f t="shared" ref="C1026:C1027" si="726">IF(Q1026="","存续","到期")</f>
        <v>到期</v>
      </c>
      <c r="D1026" s="128" t="s">
        <v>1884</v>
      </c>
      <c r="E1026" s="316" t="s">
        <v>255</v>
      </c>
      <c r="F1026" s="48">
        <v>43825</v>
      </c>
      <c r="G1026" s="48">
        <v>43853</v>
      </c>
      <c r="H1026" s="600" t="s">
        <v>1891</v>
      </c>
      <c r="I1026" s="601" t="s">
        <v>978</v>
      </c>
      <c r="J1026" s="316" t="s">
        <v>1070</v>
      </c>
      <c r="K1026" s="600">
        <v>1800</v>
      </c>
      <c r="L1026" s="600">
        <v>3529</v>
      </c>
      <c r="M1026" s="600">
        <v>3529</v>
      </c>
      <c r="N1026" s="600">
        <v>0</v>
      </c>
      <c r="O1026" s="600">
        <f t="shared" si="717"/>
        <v>0</v>
      </c>
      <c r="P1026" s="104" t="s">
        <v>1889</v>
      </c>
      <c r="Q1026" s="104" t="str">
        <f t="shared" ref="Q1026:Q1029" si="727">P1026&amp;"-L"</f>
        <v>OTC-C00597-L</v>
      </c>
      <c r="R1026" s="105">
        <v>0</v>
      </c>
      <c r="S1026" s="105">
        <f>-R1026*K1026</f>
        <v>0</v>
      </c>
      <c r="T1026" s="48">
        <v>43826</v>
      </c>
      <c r="U1026" s="600">
        <v>3527</v>
      </c>
      <c r="V1026" s="600"/>
      <c r="W1026" s="48"/>
      <c r="X1026" s="602">
        <f t="shared" ref="X1026:X1029" si="728">IF(I1026="买入",S1026-O1026,O1026+S1026)</f>
        <v>0</v>
      </c>
      <c r="Y1026" s="198">
        <f t="shared" ref="Y1026:Y1027" si="729">M1026*K1026</f>
        <v>6352200</v>
      </c>
      <c r="Z1026" s="600" t="str">
        <f t="shared" si="721"/>
        <v/>
      </c>
      <c r="AA1026" s="105" t="str">
        <f t="shared" si="722"/>
        <v>买入</v>
      </c>
      <c r="AB1026" s="600">
        <v>231</v>
      </c>
      <c r="AC1026" s="321"/>
      <c r="AD1026" s="321"/>
      <c r="AE1026" s="113" t="s">
        <v>1716</v>
      </c>
      <c r="AF1026" s="105"/>
    </row>
    <row r="1027" spans="1:33" ht="24.95" customHeight="1" x14ac:dyDescent="0.15">
      <c r="A1027" s="316" t="s">
        <v>394</v>
      </c>
      <c r="B1027" s="120" t="s">
        <v>263</v>
      </c>
      <c r="C1027" s="316" t="str">
        <f t="shared" si="726"/>
        <v>到期</v>
      </c>
      <c r="D1027" s="128" t="s">
        <v>1884</v>
      </c>
      <c r="E1027" s="316" t="s">
        <v>255</v>
      </c>
      <c r="F1027" s="48">
        <v>43825</v>
      </c>
      <c r="G1027" s="48">
        <v>43853</v>
      </c>
      <c r="H1027" s="600" t="s">
        <v>1892</v>
      </c>
      <c r="I1027" s="601" t="s">
        <v>241</v>
      </c>
      <c r="J1027" s="316" t="s">
        <v>1566</v>
      </c>
      <c r="K1027" s="600">
        <v>1800</v>
      </c>
      <c r="L1027" s="600">
        <v>3529</v>
      </c>
      <c r="M1027" s="600">
        <v>3529</v>
      </c>
      <c r="N1027" s="600">
        <v>0</v>
      </c>
      <c r="O1027" s="600">
        <f t="shared" si="717"/>
        <v>0</v>
      </c>
      <c r="P1027" s="104" t="s">
        <v>1889</v>
      </c>
      <c r="Q1027" s="104" t="str">
        <f t="shared" si="727"/>
        <v>OTC-C00597-L</v>
      </c>
      <c r="R1027" s="105">
        <v>2</v>
      </c>
      <c r="S1027" s="105">
        <f>R1027*K1027</f>
        <v>3600</v>
      </c>
      <c r="T1027" s="48">
        <v>43826</v>
      </c>
      <c r="U1027" s="600">
        <v>3527</v>
      </c>
      <c r="V1027" s="600"/>
      <c r="W1027" s="48"/>
      <c r="X1027" s="602">
        <f t="shared" si="728"/>
        <v>3600</v>
      </c>
      <c r="Y1027" s="198">
        <f t="shared" si="729"/>
        <v>6352200</v>
      </c>
      <c r="Z1027" s="600" t="str">
        <f t="shared" si="721"/>
        <v/>
      </c>
      <c r="AA1027" s="105" t="str">
        <f t="shared" si="722"/>
        <v>卖出</v>
      </c>
      <c r="AB1027" s="600">
        <v>231</v>
      </c>
      <c r="AC1027" s="321"/>
      <c r="AD1027" s="321"/>
      <c r="AE1027" s="113" t="s">
        <v>1716</v>
      </c>
      <c r="AF1027" s="105"/>
    </row>
    <row r="1028" spans="1:33" ht="24.95" customHeight="1" x14ac:dyDescent="0.15">
      <c r="A1028" s="316" t="s">
        <v>394</v>
      </c>
      <c r="B1028" s="120" t="s">
        <v>263</v>
      </c>
      <c r="C1028" s="316" t="str">
        <f t="shared" ref="C1028:C1038" si="730">IF(Q1028="","存续","到期")</f>
        <v>到期</v>
      </c>
      <c r="D1028" s="128" t="s">
        <v>1884</v>
      </c>
      <c r="E1028" s="316" t="s">
        <v>255</v>
      </c>
      <c r="F1028" s="48">
        <v>43825</v>
      </c>
      <c r="G1028" s="48">
        <v>43853</v>
      </c>
      <c r="H1028" s="600" t="s">
        <v>1893</v>
      </c>
      <c r="I1028" s="601" t="s">
        <v>241</v>
      </c>
      <c r="J1028" s="316" t="s">
        <v>1070</v>
      </c>
      <c r="K1028" s="600">
        <v>1800</v>
      </c>
      <c r="L1028" s="600">
        <v>639.5</v>
      </c>
      <c r="M1028" s="600">
        <v>639.5</v>
      </c>
      <c r="N1028" s="600">
        <v>0</v>
      </c>
      <c r="O1028" s="600">
        <f t="shared" ref="O1028:O1029" si="731">N1028*K1028</f>
        <v>0</v>
      </c>
      <c r="P1028" s="104" t="s">
        <v>1890</v>
      </c>
      <c r="Q1028" s="104" t="str">
        <f t="shared" si="727"/>
        <v>OTC-C00598-L</v>
      </c>
      <c r="R1028" s="105">
        <v>0</v>
      </c>
      <c r="S1028" s="105">
        <f>R1028*K1028</f>
        <v>0</v>
      </c>
      <c r="T1028" s="48">
        <v>43826</v>
      </c>
      <c r="U1028" s="600">
        <v>638</v>
      </c>
      <c r="V1028" s="600"/>
      <c r="W1028" s="48"/>
      <c r="X1028" s="602">
        <f t="shared" si="728"/>
        <v>0</v>
      </c>
      <c r="Y1028" s="198">
        <f t="shared" ref="Y1028:Y1029" si="732">M1028*K1028</f>
        <v>1151100</v>
      </c>
      <c r="Z1028" s="600" t="str">
        <f t="shared" ref="Z1028:Z1033" si="733">IF(C1028="存续",D1028&amp;H1028&amp;"-"&amp;AA1028,"")</f>
        <v/>
      </c>
      <c r="AA1028" s="105" t="str">
        <f t="shared" ref="AA1028:AA1033" si="734">IF(I1028="买入","卖出","买入")</f>
        <v>卖出</v>
      </c>
      <c r="AB1028" s="600">
        <v>232</v>
      </c>
      <c r="AC1028" s="321"/>
      <c r="AD1028" s="321"/>
      <c r="AE1028" s="113" t="s">
        <v>1716</v>
      </c>
      <c r="AF1028" s="105"/>
    </row>
    <row r="1029" spans="1:33" ht="24.95" customHeight="1" x14ac:dyDescent="0.15">
      <c r="A1029" s="316" t="s">
        <v>394</v>
      </c>
      <c r="B1029" s="120" t="s">
        <v>263</v>
      </c>
      <c r="C1029" s="316" t="str">
        <f t="shared" si="730"/>
        <v>到期</v>
      </c>
      <c r="D1029" s="128" t="s">
        <v>1907</v>
      </c>
      <c r="E1029" s="316" t="s">
        <v>255</v>
      </c>
      <c r="F1029" s="48">
        <v>43825</v>
      </c>
      <c r="G1029" s="48">
        <v>43853</v>
      </c>
      <c r="H1029" s="600" t="s">
        <v>1894</v>
      </c>
      <c r="I1029" s="601" t="s">
        <v>222</v>
      </c>
      <c r="J1029" s="316" t="s">
        <v>1566</v>
      </c>
      <c r="K1029" s="600">
        <v>1800</v>
      </c>
      <c r="L1029" s="600">
        <v>639.5</v>
      </c>
      <c r="M1029" s="600">
        <v>639.5</v>
      </c>
      <c r="N1029" s="600">
        <v>0</v>
      </c>
      <c r="O1029" s="600">
        <f t="shared" si="731"/>
        <v>0</v>
      </c>
      <c r="P1029" s="104" t="s">
        <v>1890</v>
      </c>
      <c r="Q1029" s="104" t="str">
        <f t="shared" si="727"/>
        <v>OTC-C00598-L</v>
      </c>
      <c r="R1029" s="105">
        <v>1.5</v>
      </c>
      <c r="S1029" s="105">
        <f>-R1029*K1029</f>
        <v>-2700</v>
      </c>
      <c r="T1029" s="48">
        <v>43826</v>
      </c>
      <c r="U1029" s="600">
        <v>638</v>
      </c>
      <c r="V1029" s="600"/>
      <c r="W1029" s="48"/>
      <c r="X1029" s="602">
        <f t="shared" si="728"/>
        <v>-2700</v>
      </c>
      <c r="Y1029" s="198">
        <f t="shared" si="732"/>
        <v>1151100</v>
      </c>
      <c r="Z1029" s="600" t="str">
        <f t="shared" si="733"/>
        <v/>
      </c>
      <c r="AA1029" s="105" t="str">
        <f t="shared" si="734"/>
        <v>买入</v>
      </c>
      <c r="AB1029" s="600">
        <v>232</v>
      </c>
      <c r="AC1029" s="321"/>
      <c r="AD1029" s="321"/>
      <c r="AE1029" s="113" t="s">
        <v>1716</v>
      </c>
      <c r="AF1029" s="105"/>
    </row>
    <row r="1030" spans="1:33" ht="24.95" customHeight="1" x14ac:dyDescent="0.15">
      <c r="A1030" s="316" t="s">
        <v>265</v>
      </c>
      <c r="B1030" s="120" t="s">
        <v>263</v>
      </c>
      <c r="C1030" s="316" t="str">
        <f t="shared" si="730"/>
        <v>存续</v>
      </c>
      <c r="D1030" s="123" t="s">
        <v>1905</v>
      </c>
      <c r="E1030" s="316" t="s">
        <v>255</v>
      </c>
      <c r="F1030" s="48">
        <v>43826</v>
      </c>
      <c r="G1030" s="607">
        <v>43864</v>
      </c>
      <c r="H1030" s="606" t="s">
        <v>1730</v>
      </c>
      <c r="I1030" s="606" t="s">
        <v>241</v>
      </c>
      <c r="J1030" s="316" t="s">
        <v>56</v>
      </c>
      <c r="K1030" s="606">
        <v>350</v>
      </c>
      <c r="L1030" s="606">
        <v>6510</v>
      </c>
      <c r="M1030" s="606">
        <v>6510</v>
      </c>
      <c r="N1030" s="606">
        <v>81.375</v>
      </c>
      <c r="O1030" s="606">
        <f>N1030*K1030</f>
        <v>28481.25</v>
      </c>
      <c r="P1030" s="104" t="s">
        <v>1906</v>
      </c>
      <c r="Q1030" s="104"/>
      <c r="R1030" s="105"/>
      <c r="S1030" s="105"/>
      <c r="T1030" s="607"/>
      <c r="U1030" s="104"/>
      <c r="V1030" s="104"/>
      <c r="W1030" s="607"/>
      <c r="X1030" s="104"/>
      <c r="Y1030" s="198">
        <f t="shared" ref="Y1030:Y1034" si="735">ABS(M1030*K1030)</f>
        <v>2278500</v>
      </c>
      <c r="Z1030" s="606" t="str">
        <f t="shared" si="733"/>
        <v>千惠云航1号私募证券投资基金v2005-卖出</v>
      </c>
      <c r="AA1030" s="606" t="str">
        <f t="shared" si="734"/>
        <v>卖出</v>
      </c>
      <c r="AB1030" s="606">
        <v>233</v>
      </c>
      <c r="AC1030" s="321">
        <v>0.11</v>
      </c>
      <c r="AD1030" s="205">
        <v>0.09</v>
      </c>
      <c r="AE1030" s="213"/>
      <c r="AF1030" s="105"/>
    </row>
    <row r="1031" spans="1:33" ht="24.95" customHeight="1" x14ac:dyDescent="0.15">
      <c r="A1031" s="316" t="s">
        <v>265</v>
      </c>
      <c r="B1031" s="120" t="s">
        <v>263</v>
      </c>
      <c r="C1031" s="316" t="str">
        <f t="shared" si="730"/>
        <v>存续</v>
      </c>
      <c r="D1031" s="123" t="s">
        <v>1332</v>
      </c>
      <c r="E1031" s="316" t="s">
        <v>255</v>
      </c>
      <c r="F1031" s="48">
        <v>43826</v>
      </c>
      <c r="G1031" s="607">
        <v>43864</v>
      </c>
      <c r="H1031" s="606" t="s">
        <v>1902</v>
      </c>
      <c r="I1031" s="606" t="s">
        <v>241</v>
      </c>
      <c r="J1031" s="316" t="s">
        <v>224</v>
      </c>
      <c r="K1031" s="606">
        <v>350</v>
      </c>
      <c r="L1031" s="606">
        <v>6510</v>
      </c>
      <c r="M1031" s="606">
        <v>6510</v>
      </c>
      <c r="N1031" s="606">
        <v>81.375</v>
      </c>
      <c r="O1031" s="606">
        <f t="shared" ref="O1031:O1034" si="736">N1031*K1031</f>
        <v>28481.25</v>
      </c>
      <c r="P1031" s="104" t="s">
        <v>1903</v>
      </c>
      <c r="Q1031" s="104"/>
      <c r="R1031" s="105"/>
      <c r="S1031" s="105"/>
      <c r="T1031" s="607"/>
      <c r="U1031" s="104"/>
      <c r="V1031" s="104"/>
      <c r="W1031" s="607"/>
      <c r="X1031" s="104"/>
      <c r="Y1031" s="198">
        <f t="shared" si="735"/>
        <v>2278500</v>
      </c>
      <c r="Z1031" s="606" t="str">
        <f t="shared" si="733"/>
        <v>千惠云航1号私募证券投资基金v2005-卖出</v>
      </c>
      <c r="AA1031" s="606" t="str">
        <f t="shared" si="734"/>
        <v>卖出</v>
      </c>
      <c r="AB1031" s="606">
        <v>233</v>
      </c>
      <c r="AC1031" s="321">
        <v>0.11</v>
      </c>
      <c r="AD1031" s="205">
        <v>0.09</v>
      </c>
      <c r="AE1031" s="213"/>
      <c r="AF1031" s="105"/>
    </row>
    <row r="1032" spans="1:33" ht="24.95" customHeight="1" x14ac:dyDescent="0.15">
      <c r="A1032" s="316" t="s">
        <v>265</v>
      </c>
      <c r="B1032" s="120" t="s">
        <v>263</v>
      </c>
      <c r="C1032" s="316" t="str">
        <f t="shared" si="730"/>
        <v>存续</v>
      </c>
      <c r="D1032" s="123" t="s">
        <v>1885</v>
      </c>
      <c r="E1032" s="316" t="s">
        <v>255</v>
      </c>
      <c r="F1032" s="48">
        <v>43826</v>
      </c>
      <c r="G1032" s="607">
        <v>43864</v>
      </c>
      <c r="H1032" s="606" t="s">
        <v>1902</v>
      </c>
      <c r="I1032" s="606" t="s">
        <v>241</v>
      </c>
      <c r="J1032" s="316" t="s">
        <v>56</v>
      </c>
      <c r="K1032" s="606">
        <v>350</v>
      </c>
      <c r="L1032" s="606">
        <v>6510</v>
      </c>
      <c r="M1032" s="606">
        <v>6510</v>
      </c>
      <c r="N1032" s="606">
        <v>81.375</v>
      </c>
      <c r="O1032" s="606">
        <f t="shared" si="736"/>
        <v>28481.25</v>
      </c>
      <c r="P1032" s="104" t="s">
        <v>1904</v>
      </c>
      <c r="Q1032" s="104"/>
      <c r="R1032" s="105"/>
      <c r="S1032" s="105"/>
      <c r="T1032" s="607"/>
      <c r="U1032" s="104"/>
      <c r="V1032" s="104"/>
      <c r="W1032" s="607"/>
      <c r="X1032" s="104"/>
      <c r="Y1032" s="198">
        <f t="shared" si="735"/>
        <v>2278500</v>
      </c>
      <c r="Z1032" s="606" t="str">
        <f t="shared" si="733"/>
        <v>千惠领航5号私募证券投资基金v2005-卖出</v>
      </c>
      <c r="AA1032" s="606" t="str">
        <f t="shared" si="734"/>
        <v>卖出</v>
      </c>
      <c r="AB1032" s="606">
        <v>234</v>
      </c>
      <c r="AC1032" s="321">
        <v>0.11</v>
      </c>
      <c r="AD1032" s="205">
        <v>0.09</v>
      </c>
      <c r="AE1032" s="213"/>
      <c r="AF1032" s="105"/>
    </row>
    <row r="1033" spans="1:33" ht="24.95" customHeight="1" x14ac:dyDescent="0.15">
      <c r="A1033" s="316" t="s">
        <v>265</v>
      </c>
      <c r="B1033" s="120" t="s">
        <v>263</v>
      </c>
      <c r="C1033" s="316" t="str">
        <f t="shared" si="730"/>
        <v>存续</v>
      </c>
      <c r="D1033" s="123" t="s">
        <v>1885</v>
      </c>
      <c r="E1033" s="316" t="s">
        <v>255</v>
      </c>
      <c r="F1033" s="48">
        <v>43826</v>
      </c>
      <c r="G1033" s="607">
        <v>43864</v>
      </c>
      <c r="H1033" s="606" t="s">
        <v>1902</v>
      </c>
      <c r="I1033" s="606" t="s">
        <v>241</v>
      </c>
      <c r="J1033" s="316" t="s">
        <v>224</v>
      </c>
      <c r="K1033" s="606">
        <v>350</v>
      </c>
      <c r="L1033" s="606">
        <v>6510</v>
      </c>
      <c r="M1033" s="606">
        <v>6510</v>
      </c>
      <c r="N1033" s="606">
        <v>81.375</v>
      </c>
      <c r="O1033" s="606">
        <f t="shared" si="736"/>
        <v>28481.25</v>
      </c>
      <c r="P1033" s="104" t="s">
        <v>1904</v>
      </c>
      <c r="Q1033" s="104"/>
      <c r="R1033" s="105"/>
      <c r="S1033" s="105"/>
      <c r="T1033" s="607"/>
      <c r="U1033" s="104"/>
      <c r="V1033" s="104"/>
      <c r="W1033" s="607"/>
      <c r="X1033" s="104"/>
      <c r="Y1033" s="198">
        <f t="shared" si="735"/>
        <v>2278500</v>
      </c>
      <c r="Z1033" s="606" t="str">
        <f t="shared" si="733"/>
        <v>千惠领航5号私募证券投资基金v2005-卖出</v>
      </c>
      <c r="AA1033" s="606" t="str">
        <f t="shared" si="734"/>
        <v>卖出</v>
      </c>
      <c r="AB1033" s="606">
        <v>234</v>
      </c>
      <c r="AC1033" s="321">
        <v>0.11</v>
      </c>
      <c r="AD1033" s="205">
        <v>0.09</v>
      </c>
      <c r="AE1033" s="213"/>
      <c r="AF1033" s="105"/>
    </row>
    <row r="1034" spans="1:33" ht="24.95" customHeight="1" x14ac:dyDescent="0.15">
      <c r="A1034" s="316" t="s">
        <v>248</v>
      </c>
      <c r="B1034" s="316" t="s">
        <v>263</v>
      </c>
      <c r="C1034" s="316" t="str">
        <f t="shared" si="730"/>
        <v>存续</v>
      </c>
      <c r="D1034" s="323" t="s">
        <v>1912</v>
      </c>
      <c r="E1034" s="316" t="s">
        <v>255</v>
      </c>
      <c r="F1034" s="48">
        <v>43829</v>
      </c>
      <c r="G1034" s="48">
        <v>43958</v>
      </c>
      <c r="H1034" s="608" t="s">
        <v>1913</v>
      </c>
      <c r="I1034" s="608" t="s">
        <v>241</v>
      </c>
      <c r="J1034" s="386" t="s">
        <v>1915</v>
      </c>
      <c r="K1034" s="608">
        <v>17500</v>
      </c>
      <c r="L1034" s="608">
        <v>1906.72</v>
      </c>
      <c r="M1034" s="608">
        <v>1906.72</v>
      </c>
      <c r="N1034" s="138">
        <v>56</v>
      </c>
      <c r="O1034" s="138">
        <f t="shared" si="736"/>
        <v>980000</v>
      </c>
      <c r="P1034" s="104" t="s">
        <v>1909</v>
      </c>
      <c r="Q1034" s="104"/>
      <c r="R1034" s="105"/>
      <c r="S1034" s="105"/>
      <c r="T1034" s="609"/>
      <c r="U1034" s="104"/>
      <c r="V1034" s="104"/>
      <c r="W1034" s="609"/>
      <c r="X1034" s="104"/>
      <c r="Y1034" s="198">
        <f t="shared" si="735"/>
        <v>33367600</v>
      </c>
      <c r="Z1034" s="608" t="str">
        <f t="shared" ref="Z1034:Z1038" si="737">IF(C1034="存续",D1034&amp;H1034&amp;"-"&amp;AA1034,"")</f>
        <v>中国人民财产保险股份有限公司广西壮族自治区分公司0.68*c2009+0.2*m2009-卖出</v>
      </c>
      <c r="AA1034" s="608" t="str">
        <f t="shared" ref="AA1034:AA1036" si="738">IF(I1034="买入","卖出","买入")</f>
        <v>卖出</v>
      </c>
      <c r="AB1034" s="608">
        <v>235</v>
      </c>
      <c r="AC1034" s="321" t="s">
        <v>1914</v>
      </c>
      <c r="AD1034" s="213"/>
      <c r="AE1034" s="608" t="s">
        <v>1333</v>
      </c>
      <c r="AF1034" s="105"/>
      <c r="AG1034" s="108" t="s">
        <v>1916</v>
      </c>
    </row>
    <row r="1035" spans="1:33" ht="24.95" customHeight="1" x14ac:dyDescent="0.15">
      <c r="A1035" s="316" t="s">
        <v>394</v>
      </c>
      <c r="B1035" s="120" t="s">
        <v>264</v>
      </c>
      <c r="C1035" s="316" t="str">
        <f t="shared" si="730"/>
        <v>到期</v>
      </c>
      <c r="D1035" s="128" t="s">
        <v>1853</v>
      </c>
      <c r="E1035" s="316" t="s">
        <v>255</v>
      </c>
      <c r="F1035" s="609">
        <v>43829</v>
      </c>
      <c r="G1035" s="609">
        <v>43948</v>
      </c>
      <c r="H1035" s="608" t="s">
        <v>1640</v>
      </c>
      <c r="I1035" s="608" t="s">
        <v>316</v>
      </c>
      <c r="J1035" s="316" t="s">
        <v>986</v>
      </c>
      <c r="K1035" s="608">
        <v>1000</v>
      </c>
      <c r="L1035" s="608">
        <v>3545</v>
      </c>
      <c r="M1035" s="608">
        <v>3545</v>
      </c>
      <c r="N1035" s="105">
        <v>130</v>
      </c>
      <c r="O1035" s="105">
        <f t="shared" ref="O1035:O1038" si="739">N1035*K1035</f>
        <v>130000</v>
      </c>
      <c r="P1035" s="104" t="s">
        <v>1910</v>
      </c>
      <c r="Q1035" s="104" t="s">
        <v>1918</v>
      </c>
      <c r="R1035" s="105">
        <v>0</v>
      </c>
      <c r="S1035" s="105">
        <f>R1035*K1035</f>
        <v>0</v>
      </c>
      <c r="T1035" s="611">
        <v>43830</v>
      </c>
      <c r="U1035" s="105">
        <v>3545</v>
      </c>
      <c r="V1035" s="316"/>
      <c r="W1035" s="105"/>
      <c r="X1035" s="610">
        <f t="shared" ref="X1035:X1036" si="740">IF(I1035="买入",S1035-O1035,O1035+S1035)</f>
        <v>-130000</v>
      </c>
      <c r="Y1035" s="198">
        <f t="shared" ref="Y1035:Y1038" si="741">M1035*K1035</f>
        <v>3545000</v>
      </c>
      <c r="Z1035" s="608" t="str">
        <f t="shared" si="737"/>
        <v/>
      </c>
      <c r="AA1035" s="608" t="str">
        <f t="shared" si="738"/>
        <v>卖出</v>
      </c>
      <c r="AB1035" s="608">
        <v>236</v>
      </c>
      <c r="AC1035" s="213"/>
      <c r="AD1035" s="213"/>
      <c r="AE1035" s="113" t="s">
        <v>1716</v>
      </c>
      <c r="AF1035" s="105"/>
    </row>
    <row r="1036" spans="1:33" ht="24.95" customHeight="1" x14ac:dyDescent="0.15">
      <c r="A1036" s="316" t="s">
        <v>394</v>
      </c>
      <c r="B1036" s="120" t="s">
        <v>264</v>
      </c>
      <c r="C1036" s="316" t="str">
        <f t="shared" si="730"/>
        <v>到期</v>
      </c>
      <c r="D1036" s="128" t="s">
        <v>1853</v>
      </c>
      <c r="E1036" s="316" t="s">
        <v>255</v>
      </c>
      <c r="F1036" s="609">
        <v>43829</v>
      </c>
      <c r="G1036" s="609">
        <v>43948</v>
      </c>
      <c r="H1036" s="608" t="s">
        <v>1640</v>
      </c>
      <c r="I1036" s="608" t="s">
        <v>314</v>
      </c>
      <c r="J1036" s="316" t="s">
        <v>979</v>
      </c>
      <c r="K1036" s="608">
        <v>1000</v>
      </c>
      <c r="L1036" s="608">
        <v>3545</v>
      </c>
      <c r="M1036" s="608">
        <v>3545</v>
      </c>
      <c r="N1036" s="105">
        <v>130</v>
      </c>
      <c r="O1036" s="105">
        <f t="shared" si="739"/>
        <v>130000</v>
      </c>
      <c r="P1036" s="104" t="s">
        <v>1910</v>
      </c>
      <c r="Q1036" s="104" t="s">
        <v>1918</v>
      </c>
      <c r="R1036" s="105">
        <v>0</v>
      </c>
      <c r="S1036" s="105">
        <f>R1036*K1036</f>
        <v>0</v>
      </c>
      <c r="T1036" s="611">
        <v>43830</v>
      </c>
      <c r="U1036" s="105">
        <v>3545</v>
      </c>
      <c r="V1036" s="105"/>
      <c r="W1036" s="105"/>
      <c r="X1036" s="610">
        <f t="shared" si="740"/>
        <v>130000</v>
      </c>
      <c r="Y1036" s="198">
        <f t="shared" si="741"/>
        <v>3545000</v>
      </c>
      <c r="Z1036" s="608" t="str">
        <f t="shared" si="737"/>
        <v/>
      </c>
      <c r="AA1036" s="608" t="str">
        <f t="shared" si="738"/>
        <v>买入</v>
      </c>
      <c r="AB1036" s="608">
        <v>236</v>
      </c>
      <c r="AC1036" s="213"/>
      <c r="AD1036" s="213"/>
      <c r="AE1036" s="113" t="s">
        <v>1716</v>
      </c>
      <c r="AF1036" s="105"/>
    </row>
    <row r="1037" spans="1:33" ht="24.95" customHeight="1" x14ac:dyDescent="0.15">
      <c r="A1037" s="316" t="s">
        <v>248</v>
      </c>
      <c r="B1037" s="120" t="s">
        <v>263</v>
      </c>
      <c r="C1037" s="316" t="str">
        <f t="shared" si="730"/>
        <v>存续</v>
      </c>
      <c r="D1037" s="103" t="s">
        <v>1842</v>
      </c>
      <c r="E1037" s="316" t="s">
        <v>298</v>
      </c>
      <c r="F1037" s="611">
        <v>43830</v>
      </c>
      <c r="G1037" s="48">
        <v>43861</v>
      </c>
      <c r="H1037" s="610" t="s">
        <v>1796</v>
      </c>
      <c r="I1037" s="610" t="s">
        <v>222</v>
      </c>
      <c r="J1037" s="316" t="s">
        <v>56</v>
      </c>
      <c r="K1037" s="105">
        <v>50</v>
      </c>
      <c r="L1037" s="104">
        <v>51400</v>
      </c>
      <c r="M1037" s="104">
        <v>49420</v>
      </c>
      <c r="N1037" s="105">
        <v>205.11500000000001</v>
      </c>
      <c r="O1037" s="105">
        <f t="shared" si="739"/>
        <v>10255.75</v>
      </c>
      <c r="P1037" s="104" t="s">
        <v>1917</v>
      </c>
      <c r="Q1037" s="105"/>
      <c r="R1037" s="105"/>
      <c r="S1037" s="105"/>
      <c r="T1037" s="105"/>
      <c r="U1037" s="105"/>
      <c r="V1037" s="105"/>
      <c r="W1037" s="105"/>
      <c r="X1037" s="105"/>
      <c r="Y1037" s="198">
        <f t="shared" si="741"/>
        <v>2471000</v>
      </c>
      <c r="Z1037" s="610" t="str">
        <f t="shared" si="737"/>
        <v>亨通集团上海贸易有限公司cu2003-买入19-新30</v>
      </c>
      <c r="AA1037" s="610" t="str">
        <f>IF(I1037="买入","卖出","买入19-新30")</f>
        <v>买入19-新30</v>
      </c>
      <c r="AB1037" s="610">
        <v>237</v>
      </c>
      <c r="AC1037" s="321">
        <v>0.152</v>
      </c>
      <c r="AD1037" s="322">
        <v>0.152</v>
      </c>
      <c r="AE1037" s="105"/>
      <c r="AF1037" s="105">
        <v>31250</v>
      </c>
    </row>
    <row r="1038" spans="1:33" ht="24.95" customHeight="1" x14ac:dyDescent="0.15">
      <c r="A1038" s="316" t="s">
        <v>248</v>
      </c>
      <c r="B1038" s="120" t="s">
        <v>263</v>
      </c>
      <c r="C1038" s="316" t="str">
        <f t="shared" si="730"/>
        <v>存续</v>
      </c>
      <c r="D1038" s="103" t="s">
        <v>1842</v>
      </c>
      <c r="E1038" s="316" t="s">
        <v>298</v>
      </c>
      <c r="F1038" s="611">
        <v>43830</v>
      </c>
      <c r="G1038" s="48">
        <v>43861</v>
      </c>
      <c r="H1038" s="610" t="s">
        <v>1796</v>
      </c>
      <c r="I1038" s="610" t="s">
        <v>222</v>
      </c>
      <c r="J1038" s="316" t="s">
        <v>59</v>
      </c>
      <c r="K1038" s="105">
        <v>50</v>
      </c>
      <c r="L1038" s="104">
        <v>47440</v>
      </c>
      <c r="M1038" s="104">
        <v>49420</v>
      </c>
      <c r="N1038" s="105">
        <v>205.11500000000001</v>
      </c>
      <c r="O1038" s="105">
        <f t="shared" si="739"/>
        <v>10255.75</v>
      </c>
      <c r="P1038" s="104" t="s">
        <v>1917</v>
      </c>
      <c r="Q1038" s="105"/>
      <c r="R1038" s="105"/>
      <c r="S1038" s="105"/>
      <c r="T1038" s="105"/>
      <c r="U1038" s="105"/>
      <c r="V1038" s="105"/>
      <c r="W1038" s="105"/>
      <c r="X1038" s="105"/>
      <c r="Y1038" s="198">
        <f t="shared" si="741"/>
        <v>2471000</v>
      </c>
      <c r="Z1038" s="610" t="str">
        <f t="shared" si="737"/>
        <v>亨通集团上海贸易有限公司cu2003-买入19-新30</v>
      </c>
      <c r="AA1038" s="610" t="str">
        <f>IF(I1038="买入","卖出","买入19-新30")</f>
        <v>买入19-新30</v>
      </c>
      <c r="AB1038" s="610">
        <v>237</v>
      </c>
      <c r="AC1038" s="321">
        <v>0.152</v>
      </c>
      <c r="AD1038" s="322">
        <v>0.152</v>
      </c>
      <c r="AE1038" s="105"/>
      <c r="AF1038" s="105">
        <v>31250</v>
      </c>
    </row>
  </sheetData>
  <autoFilter ref="A1:AL1038"/>
  <phoneticPr fontId="2" type="noConversion"/>
  <dataValidations disablePrompts="1" count="1">
    <dataValidation type="list" allowBlank="1" showInputMessage="1" showErrorMessage="1" sqref="C1:C182 C563:C564 C1007:C1008 C1017:C1019 C1024:C1025">
      <formula1>"存续，到期"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H3"/>
  <sheetViews>
    <sheetView topLeftCell="M1" zoomScaleNormal="100" workbookViewId="0">
      <selection activeCell="AC30" sqref="AC30"/>
    </sheetView>
  </sheetViews>
  <sheetFormatPr defaultRowHeight="13.5" x14ac:dyDescent="0.15"/>
  <cols>
    <col min="4" max="4" width="19.5" customWidth="1"/>
    <col min="7" max="7" width="10.5" bestFit="1" customWidth="1"/>
    <col min="8" max="8" width="12.375" customWidth="1"/>
    <col min="16" max="16" width="17.875" customWidth="1"/>
    <col min="17" max="17" width="19.125" customWidth="1"/>
    <col min="20" max="20" width="10.5" bestFit="1" customWidth="1"/>
    <col min="25" max="25" width="11.625" bestFit="1" customWidth="1"/>
    <col min="34" max="34" width="12.75" bestFit="1" customWidth="1"/>
  </cols>
  <sheetData>
    <row r="1" spans="1:34" s="131" customFormat="1" ht="67.5" x14ac:dyDescent="0.15">
      <c r="A1" s="111" t="s">
        <v>1505</v>
      </c>
      <c r="B1" s="111" t="s">
        <v>1506</v>
      </c>
      <c r="C1" s="111" t="s">
        <v>1507</v>
      </c>
      <c r="D1" s="111" t="s">
        <v>0</v>
      </c>
      <c r="E1" s="111" t="s">
        <v>18</v>
      </c>
      <c r="F1" s="129" t="s">
        <v>1</v>
      </c>
      <c r="G1" s="129" t="s">
        <v>1508</v>
      </c>
      <c r="H1" s="111" t="s">
        <v>3</v>
      </c>
      <c r="I1" s="111" t="s">
        <v>4</v>
      </c>
      <c r="J1" s="111" t="s">
        <v>5</v>
      </c>
      <c r="K1" s="130" t="s">
        <v>1509</v>
      </c>
      <c r="L1" s="130" t="s">
        <v>7</v>
      </c>
      <c r="M1" s="130" t="s">
        <v>14</v>
      </c>
      <c r="N1" s="130" t="s">
        <v>8</v>
      </c>
      <c r="O1" s="130" t="s">
        <v>15</v>
      </c>
      <c r="P1" s="111" t="s">
        <v>9</v>
      </c>
      <c r="Q1" s="129" t="s">
        <v>10</v>
      </c>
      <c r="R1" s="130" t="s">
        <v>1510</v>
      </c>
      <c r="S1" s="130" t="s">
        <v>1511</v>
      </c>
      <c r="T1" s="111" t="s">
        <v>1512</v>
      </c>
      <c r="U1" s="130" t="s">
        <v>1513</v>
      </c>
      <c r="V1" s="130" t="s">
        <v>1514</v>
      </c>
      <c r="W1" s="111" t="s">
        <v>1515</v>
      </c>
      <c r="X1" s="130" t="s">
        <v>1516</v>
      </c>
      <c r="Y1" s="196" t="s">
        <v>16</v>
      </c>
      <c r="Z1" s="111" t="s">
        <v>1517</v>
      </c>
      <c r="AA1" s="111" t="s">
        <v>1518</v>
      </c>
      <c r="AB1" s="332" t="s">
        <v>1519</v>
      </c>
      <c r="AC1" s="131" t="s">
        <v>1520</v>
      </c>
      <c r="AD1" s="131" t="s">
        <v>1521</v>
      </c>
      <c r="AE1" s="131" t="s">
        <v>17</v>
      </c>
      <c r="AF1" s="131" t="s">
        <v>1522</v>
      </c>
      <c r="AG1" s="131" t="s">
        <v>1523</v>
      </c>
      <c r="AH1" s="402" t="s">
        <v>1524</v>
      </c>
    </row>
    <row r="2" spans="1:34" s="108" customFormat="1" ht="24.95" customHeight="1" x14ac:dyDescent="0.15">
      <c r="A2" s="316" t="s">
        <v>245</v>
      </c>
      <c r="B2" s="120" t="s">
        <v>1525</v>
      </c>
      <c r="C2" s="316" t="s">
        <v>1526</v>
      </c>
      <c r="D2" s="100" t="s">
        <v>1527</v>
      </c>
      <c r="E2" s="316" t="s">
        <v>137</v>
      </c>
      <c r="F2" s="48">
        <v>43717</v>
      </c>
      <c r="G2" s="401">
        <v>43808</v>
      </c>
      <c r="H2" s="400" t="s">
        <v>1435</v>
      </c>
      <c r="I2" s="400" t="s">
        <v>38</v>
      </c>
      <c r="J2" s="316" t="s">
        <v>1528</v>
      </c>
      <c r="K2" s="105">
        <v>25</v>
      </c>
      <c r="L2" s="104"/>
      <c r="M2" s="104">
        <v>5797.25</v>
      </c>
      <c r="N2" s="104"/>
      <c r="O2" s="104">
        <v>0</v>
      </c>
      <c r="P2" s="104" t="s">
        <v>1433</v>
      </c>
      <c r="Q2" s="104" t="s">
        <v>1436</v>
      </c>
      <c r="R2" s="104"/>
      <c r="S2" s="104"/>
      <c r="T2" s="48">
        <v>43719</v>
      </c>
      <c r="U2" s="104">
        <v>5805.75</v>
      </c>
      <c r="V2" s="104"/>
      <c r="W2" s="104"/>
      <c r="X2" s="104">
        <v>1512.41</v>
      </c>
      <c r="Y2" s="198">
        <f>M2*K2</f>
        <v>144931.25</v>
      </c>
      <c r="Z2" s="400" t="s">
        <v>1529</v>
      </c>
      <c r="AA2" s="105" t="s">
        <v>21</v>
      </c>
      <c r="AB2" s="105">
        <v>103</v>
      </c>
      <c r="AE2" s="108" t="s">
        <v>1528</v>
      </c>
      <c r="AG2" s="108">
        <f>X2/((U2-M2)*K2)</f>
        <v>7.1172235294117652</v>
      </c>
      <c r="AH2" s="403">
        <f>Y2*AG2</f>
        <v>1031508.1026470589</v>
      </c>
    </row>
    <row r="3" spans="1:34" s="108" customFormat="1" ht="24.95" customHeight="1" x14ac:dyDescent="0.15">
      <c r="A3" s="316" t="s">
        <v>245</v>
      </c>
      <c r="B3" s="120" t="s">
        <v>1525</v>
      </c>
      <c r="C3" s="316" t="s">
        <v>1526</v>
      </c>
      <c r="D3" s="100" t="s">
        <v>1527</v>
      </c>
      <c r="E3" s="316" t="s">
        <v>137</v>
      </c>
      <c r="F3" s="48">
        <v>43717</v>
      </c>
      <c r="G3" s="401">
        <v>43808</v>
      </c>
      <c r="H3" s="400" t="s">
        <v>1435</v>
      </c>
      <c r="I3" s="400" t="s">
        <v>21</v>
      </c>
      <c r="J3" s="316" t="s">
        <v>1528</v>
      </c>
      <c r="K3" s="105">
        <v>25</v>
      </c>
      <c r="L3" s="104"/>
      <c r="M3" s="104">
        <v>5800.75</v>
      </c>
      <c r="N3" s="104"/>
      <c r="O3" s="104">
        <v>0</v>
      </c>
      <c r="P3" s="104" t="s">
        <v>1530</v>
      </c>
      <c r="Q3" s="104" t="s">
        <v>1437</v>
      </c>
      <c r="R3" s="104"/>
      <c r="S3" s="104"/>
      <c r="T3" s="48">
        <v>43719</v>
      </c>
      <c r="U3" s="104">
        <v>5800</v>
      </c>
      <c r="V3" s="104"/>
      <c r="W3" s="104"/>
      <c r="X3" s="104">
        <v>133.44</v>
      </c>
      <c r="Y3" s="198">
        <f>M3*K3</f>
        <v>145018.75</v>
      </c>
      <c r="Z3" s="400" t="s">
        <v>1529</v>
      </c>
      <c r="AA3" s="105" t="s">
        <v>38</v>
      </c>
      <c r="AB3" s="105">
        <v>104</v>
      </c>
      <c r="AE3" s="108" t="s">
        <v>1528</v>
      </c>
      <c r="AG3" s="108">
        <f>-X3/((U3-M3)*K3)</f>
        <v>7.1167999999999996</v>
      </c>
      <c r="AH3" s="403">
        <f>AG3*Y3</f>
        <v>1032069.44</v>
      </c>
    </row>
  </sheetData>
  <phoneticPr fontId="17" type="noConversion"/>
  <dataValidations count="1">
    <dataValidation type="list" allowBlank="1" showInputMessage="1" showErrorMessage="1" sqref="C1">
      <formula1>"存续，到期"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9" sqref="M39"/>
    </sheetView>
  </sheetViews>
  <sheetFormatPr defaultRowHeight="13.5" x14ac:dyDescent="0.15"/>
  <sheetData/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B129"/>
  <sheetViews>
    <sheetView workbookViewId="0">
      <pane ySplit="79" topLeftCell="A80" activePane="bottomLeft" state="frozen"/>
      <selection pane="bottomLeft" activeCell="I97" sqref="I97"/>
    </sheetView>
  </sheetViews>
  <sheetFormatPr defaultColWidth="9" defaultRowHeight="14.25" x14ac:dyDescent="0.15"/>
  <cols>
    <col min="1" max="1" width="9" style="1"/>
    <col min="2" max="2" width="30.5" style="3" customWidth="1"/>
    <col min="3" max="4" width="14.625" style="4" customWidth="1"/>
    <col min="5" max="5" width="13.75" style="3" customWidth="1"/>
    <col min="6" max="6" width="11.5" style="3" customWidth="1"/>
    <col min="7" max="7" width="21.875" style="3" customWidth="1"/>
    <col min="8" max="8" width="18.375" style="3" customWidth="1"/>
    <col min="9" max="9" width="20.25" style="3" customWidth="1"/>
    <col min="10" max="10" width="14" style="3" customWidth="1"/>
    <col min="11" max="11" width="19.25" style="3" customWidth="1"/>
    <col min="12" max="12" width="11.5" style="3" customWidth="1"/>
    <col min="13" max="13" width="14.375" style="3" customWidth="1"/>
    <col min="14" max="14" width="15" style="3" customWidth="1"/>
    <col min="15" max="15" width="15.75" style="3" customWidth="1"/>
    <col min="16" max="16" width="11.875" style="10" customWidth="1"/>
    <col min="17" max="17" width="16.125" style="11" customWidth="1"/>
    <col min="18" max="18" width="17.625" style="11" customWidth="1"/>
    <col min="19" max="19" width="14.625" style="3" customWidth="1"/>
    <col min="20" max="20" width="10.5" style="1" customWidth="1"/>
    <col min="21" max="21" width="9" style="1"/>
    <col min="22" max="22" width="10.5" style="1" customWidth="1"/>
    <col min="23" max="16384" width="9" style="1"/>
  </cols>
  <sheetData>
    <row r="1" spans="1:21" s="6" customFormat="1" ht="28.5" x14ac:dyDescent="0.15">
      <c r="A1" s="72" t="s">
        <v>251</v>
      </c>
      <c r="B1" s="73" t="s">
        <v>0</v>
      </c>
      <c r="C1" s="73" t="s">
        <v>1</v>
      </c>
      <c r="D1" s="73" t="s">
        <v>2</v>
      </c>
      <c r="E1" s="73" t="s">
        <v>3</v>
      </c>
      <c r="F1" s="73" t="s">
        <v>4</v>
      </c>
      <c r="G1" s="7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3" t="s">
        <v>13</v>
      </c>
      <c r="P1" s="74" t="s">
        <v>14</v>
      </c>
      <c r="Q1" s="75" t="s">
        <v>15</v>
      </c>
      <c r="R1" s="76" t="s">
        <v>16</v>
      </c>
      <c r="S1" s="73" t="s">
        <v>17</v>
      </c>
      <c r="T1" s="77" t="s">
        <v>18</v>
      </c>
      <c r="U1" s="72"/>
    </row>
    <row r="2" spans="1:21" s="7" customFormat="1" hidden="1" x14ac:dyDescent="0.15">
      <c r="B2" s="3" t="s">
        <v>19</v>
      </c>
      <c r="C2" s="4">
        <v>42962</v>
      </c>
      <c r="D2" s="4">
        <v>43063</v>
      </c>
      <c r="E2" s="3" t="s">
        <v>20</v>
      </c>
      <c r="F2" s="3" t="s">
        <v>21</v>
      </c>
      <c r="G2" s="3" t="s">
        <v>22</v>
      </c>
      <c r="H2" s="3">
        <v>2000</v>
      </c>
      <c r="I2" s="3">
        <v>6500</v>
      </c>
      <c r="J2" s="3">
        <v>68</v>
      </c>
      <c r="K2" s="3" t="s">
        <v>23</v>
      </c>
      <c r="L2" s="3" t="s">
        <v>24</v>
      </c>
      <c r="M2" s="3">
        <v>6409</v>
      </c>
      <c r="N2" s="3">
        <f t="shared" ref="N2:N8" si="0">(I2-M2)*H2</f>
        <v>182000</v>
      </c>
      <c r="O2" s="4">
        <f t="shared" ref="O2:O27" si="1">D2</f>
        <v>43063</v>
      </c>
      <c r="P2" s="10">
        <f>[1]!s_dq_settle(E2,C2)</f>
        <v>6285</v>
      </c>
      <c r="Q2" s="11">
        <v>136000</v>
      </c>
      <c r="R2" s="11">
        <f t="shared" ref="R2:R27" si="2">P2*H2</f>
        <v>12570000</v>
      </c>
    </row>
    <row r="3" spans="1:21" s="7" customFormat="1" hidden="1" x14ac:dyDescent="0.15">
      <c r="B3" s="3" t="s">
        <v>19</v>
      </c>
      <c r="C3" s="4">
        <v>42962</v>
      </c>
      <c r="D3" s="4">
        <v>43063</v>
      </c>
      <c r="E3" s="3" t="s">
        <v>20</v>
      </c>
      <c r="F3" s="3" t="s">
        <v>21</v>
      </c>
      <c r="G3" s="3" t="s">
        <v>25</v>
      </c>
      <c r="H3" s="3">
        <v>2000</v>
      </c>
      <c r="I3" s="3">
        <v>5800</v>
      </c>
      <c r="J3" s="3">
        <v>35</v>
      </c>
      <c r="K3" s="3" t="s">
        <v>23</v>
      </c>
      <c r="L3" s="3" t="s">
        <v>24</v>
      </c>
      <c r="M3" s="3">
        <v>6409</v>
      </c>
      <c r="N3" s="3">
        <f>(I3-M3)*H3*-1</f>
        <v>1218000</v>
      </c>
      <c r="O3" s="4">
        <f t="shared" si="1"/>
        <v>43063</v>
      </c>
      <c r="P3" s="10">
        <f>[1]!s_dq_settle(E3,C3)</f>
        <v>6285</v>
      </c>
      <c r="Q3" s="11">
        <v>70000</v>
      </c>
      <c r="R3" s="11">
        <f t="shared" si="2"/>
        <v>12570000</v>
      </c>
    </row>
    <row r="4" spans="1:21" s="7" customFormat="1" hidden="1" x14ac:dyDescent="0.15">
      <c r="B4" s="3" t="s">
        <v>19</v>
      </c>
      <c r="C4" s="4">
        <v>42965</v>
      </c>
      <c r="D4" s="4">
        <v>43063</v>
      </c>
      <c r="E4" s="3" t="s">
        <v>20</v>
      </c>
      <c r="F4" s="3" t="s">
        <v>21</v>
      </c>
      <c r="G4" s="3" t="s">
        <v>22</v>
      </c>
      <c r="H4" s="3">
        <v>2000</v>
      </c>
      <c r="I4" s="3">
        <v>6600</v>
      </c>
      <c r="J4" s="3">
        <v>45</v>
      </c>
      <c r="K4" s="3" t="s">
        <v>26</v>
      </c>
      <c r="L4" s="3" t="s">
        <v>27</v>
      </c>
      <c r="M4" s="3">
        <v>6409</v>
      </c>
      <c r="N4" s="3">
        <f t="shared" si="0"/>
        <v>382000</v>
      </c>
      <c r="O4" s="4">
        <f t="shared" si="1"/>
        <v>43063</v>
      </c>
      <c r="P4" s="10">
        <f>[1]!s_dq_settle(E4,C4)</f>
        <v>6341</v>
      </c>
      <c r="Q4" s="11">
        <v>90000</v>
      </c>
      <c r="R4" s="11">
        <f t="shared" si="2"/>
        <v>12682000</v>
      </c>
    </row>
    <row r="5" spans="1:21" s="7" customFormat="1" hidden="1" x14ac:dyDescent="0.15">
      <c r="B5" s="3" t="s">
        <v>19</v>
      </c>
      <c r="C5" s="4">
        <v>42965</v>
      </c>
      <c r="D5" s="4">
        <v>43063</v>
      </c>
      <c r="E5" s="3" t="s">
        <v>20</v>
      </c>
      <c r="F5" s="3" t="s">
        <v>21</v>
      </c>
      <c r="G5" s="3" t="s">
        <v>22</v>
      </c>
      <c r="H5" s="3">
        <v>2000</v>
      </c>
      <c r="I5" s="3">
        <v>6600</v>
      </c>
      <c r="J5" s="3">
        <v>52</v>
      </c>
      <c r="K5" s="3" t="s">
        <v>28</v>
      </c>
      <c r="L5" s="3" t="s">
        <v>29</v>
      </c>
      <c r="M5" s="3">
        <v>6409</v>
      </c>
      <c r="N5" s="3">
        <f t="shared" si="0"/>
        <v>382000</v>
      </c>
      <c r="O5" s="4">
        <f t="shared" si="1"/>
        <v>43063</v>
      </c>
      <c r="P5" s="10">
        <f>[1]!s_dq_settle(E5,C5)</f>
        <v>6341</v>
      </c>
      <c r="Q5" s="11">
        <v>104000</v>
      </c>
      <c r="R5" s="11">
        <f t="shared" si="2"/>
        <v>12682000</v>
      </c>
    </row>
    <row r="6" spans="1:21" s="7" customFormat="1" hidden="1" x14ac:dyDescent="0.15">
      <c r="B6" s="3" t="s">
        <v>19</v>
      </c>
      <c r="C6" s="4">
        <v>42970</v>
      </c>
      <c r="D6" s="4">
        <v>43063</v>
      </c>
      <c r="E6" s="3" t="s">
        <v>20</v>
      </c>
      <c r="F6" s="3" t="s">
        <v>21</v>
      </c>
      <c r="G6" s="3" t="s">
        <v>25</v>
      </c>
      <c r="H6" s="3">
        <v>2000</v>
      </c>
      <c r="I6" s="3">
        <v>6000</v>
      </c>
      <c r="J6" s="3">
        <v>35</v>
      </c>
      <c r="K6" s="3" t="s">
        <v>30</v>
      </c>
      <c r="L6" s="3" t="s">
        <v>31</v>
      </c>
      <c r="M6" s="3">
        <v>6409</v>
      </c>
      <c r="N6" s="3">
        <f>(I6-M6)*H6*-1</f>
        <v>818000</v>
      </c>
      <c r="O6" s="4">
        <f t="shared" si="1"/>
        <v>43063</v>
      </c>
      <c r="P6" s="10">
        <f>[1]!s_dq_settle(E6,C6)</f>
        <v>6328</v>
      </c>
      <c r="Q6" s="11">
        <v>70000</v>
      </c>
      <c r="R6" s="11">
        <f t="shared" si="2"/>
        <v>12656000</v>
      </c>
    </row>
    <row r="7" spans="1:21" s="7" customFormat="1" hidden="1" x14ac:dyDescent="0.15">
      <c r="B7" s="3" t="s">
        <v>19</v>
      </c>
      <c r="C7" s="4">
        <v>42972</v>
      </c>
      <c r="D7" s="4">
        <v>43063</v>
      </c>
      <c r="E7" s="3" t="s">
        <v>20</v>
      </c>
      <c r="F7" s="3" t="s">
        <v>21</v>
      </c>
      <c r="G7" s="3" t="s">
        <v>22</v>
      </c>
      <c r="H7" s="3">
        <v>1000</v>
      </c>
      <c r="I7" s="3">
        <v>6600</v>
      </c>
      <c r="J7" s="3">
        <v>53.5</v>
      </c>
      <c r="K7" s="3" t="s">
        <v>32</v>
      </c>
      <c r="L7" s="3" t="s">
        <v>33</v>
      </c>
      <c r="M7" s="3">
        <v>6409</v>
      </c>
      <c r="N7" s="3">
        <f t="shared" si="0"/>
        <v>191000</v>
      </c>
      <c r="O7" s="4">
        <f t="shared" si="1"/>
        <v>43063</v>
      </c>
      <c r="P7" s="10">
        <f>[1]!s_dq_settle(E7,C7)</f>
        <v>6399</v>
      </c>
      <c r="Q7" s="11">
        <v>53500</v>
      </c>
      <c r="R7" s="11">
        <f t="shared" si="2"/>
        <v>6399000</v>
      </c>
    </row>
    <row r="8" spans="1:21" s="7" customFormat="1" hidden="1" x14ac:dyDescent="0.15">
      <c r="B8" s="3" t="s">
        <v>19</v>
      </c>
      <c r="C8" s="4">
        <v>42977</v>
      </c>
      <c r="D8" s="4">
        <v>43063</v>
      </c>
      <c r="E8" s="3" t="s">
        <v>20</v>
      </c>
      <c r="F8" s="3" t="s">
        <v>21</v>
      </c>
      <c r="G8" s="3" t="s">
        <v>22</v>
      </c>
      <c r="H8" s="3">
        <v>2000</v>
      </c>
      <c r="I8" s="3">
        <v>6600</v>
      </c>
      <c r="J8" s="3">
        <v>55</v>
      </c>
      <c r="K8" s="3" t="s">
        <v>34</v>
      </c>
      <c r="L8" s="3" t="s">
        <v>35</v>
      </c>
      <c r="M8" s="3">
        <v>6409</v>
      </c>
      <c r="N8" s="3">
        <f t="shared" si="0"/>
        <v>382000</v>
      </c>
      <c r="O8" s="4">
        <f t="shared" si="1"/>
        <v>43063</v>
      </c>
      <c r="P8" s="10">
        <f>[1]!s_dq_settle(E8,C8)</f>
        <v>6414</v>
      </c>
      <c r="Q8" s="11">
        <v>110000</v>
      </c>
      <c r="R8" s="11">
        <f t="shared" si="2"/>
        <v>12828000</v>
      </c>
    </row>
    <row r="9" spans="1:21" hidden="1" x14ac:dyDescent="0.15">
      <c r="B9" s="3" t="s">
        <v>36</v>
      </c>
      <c r="C9" s="4">
        <v>42979</v>
      </c>
      <c r="D9" s="4">
        <v>43007</v>
      </c>
      <c r="E9" s="3" t="s">
        <v>37</v>
      </c>
      <c r="F9" s="3" t="s">
        <v>38</v>
      </c>
      <c r="G9" s="3" t="s">
        <v>39</v>
      </c>
      <c r="H9" s="3">
        <v>427</v>
      </c>
      <c r="I9" s="3">
        <v>15230</v>
      </c>
      <c r="J9" s="3">
        <v>678.69594847775204</v>
      </c>
      <c r="K9" s="3" t="s">
        <v>40</v>
      </c>
      <c r="L9" s="3" t="s">
        <v>41</v>
      </c>
      <c r="M9" s="3">
        <v>15498.33</v>
      </c>
      <c r="N9" s="3">
        <v>0</v>
      </c>
      <c r="O9" s="4">
        <f t="shared" si="1"/>
        <v>43007</v>
      </c>
      <c r="P9" s="16">
        <f>[1]!s_dq_settle(E9,C9)</f>
        <v>15315</v>
      </c>
      <c r="Q9" s="11">
        <v>289803.17</v>
      </c>
      <c r="R9" s="11">
        <f t="shared" si="2"/>
        <v>6539505</v>
      </c>
      <c r="S9" s="3">
        <f>SUM(R9:R41)</f>
        <v>1572744567.5</v>
      </c>
    </row>
    <row r="10" spans="1:21" hidden="1" x14ac:dyDescent="0.15">
      <c r="B10" s="3" t="s">
        <v>42</v>
      </c>
      <c r="C10" s="4">
        <v>42979</v>
      </c>
      <c r="D10" s="4">
        <v>43007</v>
      </c>
      <c r="E10" s="3" t="s">
        <v>43</v>
      </c>
      <c r="F10" s="3" t="s">
        <v>38</v>
      </c>
      <c r="G10" s="3" t="s">
        <v>39</v>
      </c>
      <c r="H10" s="3">
        <v>670</v>
      </c>
      <c r="I10" s="3">
        <v>16545</v>
      </c>
      <c r="J10" s="3">
        <v>790.8</v>
      </c>
      <c r="K10" s="3" t="s">
        <v>44</v>
      </c>
      <c r="L10" s="3" t="s">
        <v>45</v>
      </c>
      <c r="M10" s="3">
        <v>15741.43</v>
      </c>
      <c r="N10" s="3">
        <f>(I10-M10)*H10</f>
        <v>538391.89999999979</v>
      </c>
      <c r="O10" s="4">
        <f t="shared" si="1"/>
        <v>43007</v>
      </c>
      <c r="P10" s="16">
        <f>[1]!s_dq_settle(E10,C10)</f>
        <v>16615</v>
      </c>
      <c r="Q10" s="11">
        <v>529836</v>
      </c>
      <c r="R10" s="11">
        <f t="shared" si="2"/>
        <v>11132050</v>
      </c>
    </row>
    <row r="11" spans="1:21" hidden="1" x14ac:dyDescent="0.15">
      <c r="B11" s="3" t="s">
        <v>46</v>
      </c>
      <c r="C11" s="4">
        <v>42979</v>
      </c>
      <c r="D11" s="4">
        <v>43098</v>
      </c>
      <c r="E11" s="3" t="s">
        <v>47</v>
      </c>
      <c r="F11" s="3" t="s">
        <v>38</v>
      </c>
      <c r="G11" s="3" t="s">
        <v>39</v>
      </c>
      <c r="H11" s="3">
        <v>22500</v>
      </c>
      <c r="I11" s="3">
        <v>1687</v>
      </c>
      <c r="J11" s="3">
        <v>60</v>
      </c>
      <c r="K11" s="3" t="s">
        <v>48</v>
      </c>
      <c r="O11" s="4">
        <f t="shared" si="1"/>
        <v>43098</v>
      </c>
      <c r="P11" s="16">
        <f>[1]!s_dq_settle(E11,C11)</f>
        <v>1692</v>
      </c>
      <c r="Q11" s="11">
        <v>1350000</v>
      </c>
      <c r="R11" s="11">
        <f t="shared" si="2"/>
        <v>38070000</v>
      </c>
    </row>
    <row r="12" spans="1:21" hidden="1" x14ac:dyDescent="0.15">
      <c r="B12" s="3" t="s">
        <v>19</v>
      </c>
      <c r="C12" s="4">
        <v>42982</v>
      </c>
      <c r="D12" s="4">
        <v>43063</v>
      </c>
      <c r="E12" s="3" t="s">
        <v>20</v>
      </c>
      <c r="F12" s="3" t="s">
        <v>21</v>
      </c>
      <c r="G12" s="3" t="s">
        <v>25</v>
      </c>
      <c r="H12" s="3">
        <v>2000</v>
      </c>
      <c r="I12" s="3">
        <v>6100</v>
      </c>
      <c r="J12" s="3">
        <v>49</v>
      </c>
      <c r="K12" s="3" t="s">
        <v>49</v>
      </c>
      <c r="L12" s="3" t="s">
        <v>50</v>
      </c>
      <c r="M12" s="3">
        <v>6409</v>
      </c>
      <c r="N12" s="3">
        <f>(I12-M12)*H12*-1</f>
        <v>618000</v>
      </c>
      <c r="O12" s="4">
        <f t="shared" si="1"/>
        <v>43063</v>
      </c>
      <c r="P12" s="16">
        <f>[1]!s_dq_settle(E12,C12)</f>
        <v>6359</v>
      </c>
      <c r="Q12" s="11">
        <v>98000</v>
      </c>
      <c r="R12" s="11">
        <f t="shared" si="2"/>
        <v>12718000</v>
      </c>
    </row>
    <row r="13" spans="1:21" hidden="1" x14ac:dyDescent="0.15">
      <c r="B13" s="3" t="s">
        <v>19</v>
      </c>
      <c r="C13" s="4">
        <v>42985</v>
      </c>
      <c r="D13" s="4">
        <v>43063</v>
      </c>
      <c r="E13" s="3" t="s">
        <v>20</v>
      </c>
      <c r="F13" s="3" t="s">
        <v>21</v>
      </c>
      <c r="G13" s="3" t="s">
        <v>25</v>
      </c>
      <c r="H13" s="3">
        <v>2000</v>
      </c>
      <c r="I13" s="3">
        <v>6000</v>
      </c>
      <c r="J13" s="3">
        <v>56</v>
      </c>
      <c r="K13" s="3" t="s">
        <v>51</v>
      </c>
      <c r="L13" s="3" t="s">
        <v>52</v>
      </c>
      <c r="M13" s="3">
        <v>6409</v>
      </c>
      <c r="N13" s="3">
        <f>(I13-M13)*H13*-1</f>
        <v>818000</v>
      </c>
      <c r="O13" s="4">
        <f t="shared" si="1"/>
        <v>43063</v>
      </c>
      <c r="P13" s="16">
        <f>[1]!s_dq_settle(E13,C13)</f>
        <v>6264</v>
      </c>
      <c r="Q13" s="11">
        <v>112000</v>
      </c>
      <c r="R13" s="11">
        <f t="shared" si="2"/>
        <v>12528000</v>
      </c>
    </row>
    <row r="14" spans="1:21" hidden="1" x14ac:dyDescent="0.15">
      <c r="B14" s="3" t="s">
        <v>36</v>
      </c>
      <c r="C14" s="4">
        <v>42993</v>
      </c>
      <c r="D14" s="4">
        <v>43021</v>
      </c>
      <c r="E14" s="3" t="s">
        <v>20</v>
      </c>
      <c r="F14" s="3" t="s">
        <v>38</v>
      </c>
      <c r="G14" s="3" t="s">
        <v>39</v>
      </c>
      <c r="H14" s="3">
        <v>1462.5</v>
      </c>
      <c r="I14" s="3">
        <v>6392</v>
      </c>
      <c r="J14" s="3">
        <v>222.22</v>
      </c>
      <c r="K14" s="3" t="s">
        <v>53</v>
      </c>
      <c r="L14" s="3" t="s">
        <v>54</v>
      </c>
      <c r="M14" s="3">
        <v>6150.19</v>
      </c>
      <c r="N14" s="3">
        <f>(I14-M14)*H14*0.4</f>
        <v>141458.85000000024</v>
      </c>
      <c r="O14" s="4">
        <f t="shared" si="1"/>
        <v>43021</v>
      </c>
      <c r="P14" s="16">
        <f>[1]!s_dq_settle(E14,C14)</f>
        <v>6192</v>
      </c>
      <c r="Q14" s="11">
        <v>324996.75</v>
      </c>
      <c r="R14" s="11">
        <f t="shared" si="2"/>
        <v>9055800</v>
      </c>
    </row>
    <row r="15" spans="1:21" hidden="1" x14ac:dyDescent="0.15">
      <c r="B15" s="3" t="s">
        <v>55</v>
      </c>
      <c r="C15" s="4">
        <v>43004</v>
      </c>
      <c r="D15" s="4">
        <v>43034</v>
      </c>
      <c r="E15" s="3" t="s">
        <v>43</v>
      </c>
      <c r="F15" s="3" t="s">
        <v>21</v>
      </c>
      <c r="G15" s="3" t="s">
        <v>56</v>
      </c>
      <c r="H15" s="3">
        <v>200</v>
      </c>
      <c r="I15" s="3">
        <v>16500</v>
      </c>
      <c r="J15" s="3">
        <v>27</v>
      </c>
      <c r="K15" s="3" t="s">
        <v>57</v>
      </c>
      <c r="L15" s="3" t="s">
        <v>58</v>
      </c>
      <c r="M15" s="3">
        <v>13570</v>
      </c>
      <c r="N15" s="3">
        <f>J15*H15</f>
        <v>5400</v>
      </c>
      <c r="O15" s="4">
        <f t="shared" si="1"/>
        <v>43034</v>
      </c>
      <c r="P15" s="16">
        <f>[1]!s_dq_settle(E15,C15)</f>
        <v>14640</v>
      </c>
      <c r="Q15" s="11">
        <v>5400</v>
      </c>
      <c r="R15" s="11">
        <f t="shared" si="2"/>
        <v>2928000</v>
      </c>
    </row>
    <row r="16" spans="1:21" hidden="1" x14ac:dyDescent="0.15">
      <c r="B16" s="3" t="s">
        <v>55</v>
      </c>
      <c r="C16" s="4">
        <v>43004</v>
      </c>
      <c r="D16" s="4">
        <v>43034</v>
      </c>
      <c r="E16" s="3" t="s">
        <v>43</v>
      </c>
      <c r="F16" s="3" t="s">
        <v>21</v>
      </c>
      <c r="G16" s="3" t="s">
        <v>59</v>
      </c>
      <c r="H16" s="3">
        <v>200</v>
      </c>
      <c r="I16" s="3">
        <v>13250</v>
      </c>
      <c r="J16" s="3">
        <v>40</v>
      </c>
      <c r="K16" s="3" t="s">
        <v>57</v>
      </c>
      <c r="L16" s="3" t="s">
        <v>58</v>
      </c>
      <c r="M16" s="3">
        <v>13570</v>
      </c>
      <c r="N16" s="3">
        <f>J16*H16</f>
        <v>8000</v>
      </c>
      <c r="O16" s="4">
        <f t="shared" si="1"/>
        <v>43034</v>
      </c>
      <c r="P16" s="16">
        <f>[1]!s_dq_settle(E16,C16)</f>
        <v>14640</v>
      </c>
      <c r="Q16" s="11">
        <v>8000</v>
      </c>
      <c r="R16" s="11">
        <f t="shared" si="2"/>
        <v>2928000</v>
      </c>
    </row>
    <row r="17" spans="2:19" hidden="1" x14ac:dyDescent="0.15">
      <c r="B17" s="3" t="s">
        <v>36</v>
      </c>
      <c r="C17" s="4">
        <v>43017</v>
      </c>
      <c r="D17" s="4">
        <v>43039</v>
      </c>
      <c r="E17" s="3" t="s">
        <v>37</v>
      </c>
      <c r="F17" s="3" t="s">
        <v>38</v>
      </c>
      <c r="G17" s="3" t="s">
        <v>39</v>
      </c>
      <c r="H17" s="3">
        <v>427</v>
      </c>
      <c r="I17" s="3">
        <v>15100</v>
      </c>
      <c r="J17" s="3">
        <v>678.69594847775204</v>
      </c>
      <c r="K17" s="3" t="s">
        <v>40</v>
      </c>
      <c r="L17" s="3" t="s">
        <v>60</v>
      </c>
      <c r="M17" s="3">
        <v>15054.21</v>
      </c>
      <c r="N17" s="3">
        <f>(I17-M17)*H17</f>
        <v>19552.330000000373</v>
      </c>
      <c r="O17" s="4">
        <f t="shared" si="1"/>
        <v>43039</v>
      </c>
      <c r="P17" s="16">
        <f>[1]!s_dq_settle(E17,C17)</f>
        <v>15040</v>
      </c>
      <c r="Q17" s="11">
        <v>289803.17</v>
      </c>
      <c r="R17" s="11">
        <f t="shared" si="2"/>
        <v>6422080</v>
      </c>
    </row>
    <row r="18" spans="2:19" hidden="1" x14ac:dyDescent="0.15">
      <c r="B18" s="3" t="s">
        <v>42</v>
      </c>
      <c r="C18" s="4">
        <v>43017</v>
      </c>
      <c r="D18" s="4">
        <v>43039</v>
      </c>
      <c r="E18" s="3" t="s">
        <v>43</v>
      </c>
      <c r="F18" s="3" t="s">
        <v>38</v>
      </c>
      <c r="G18" s="3" t="s">
        <v>39</v>
      </c>
      <c r="H18" s="3">
        <v>670</v>
      </c>
      <c r="I18" s="3">
        <v>13495</v>
      </c>
      <c r="J18" s="3">
        <v>790.8</v>
      </c>
      <c r="K18" s="3" t="s">
        <v>44</v>
      </c>
      <c r="L18" s="3" t="s">
        <v>61</v>
      </c>
      <c r="M18" s="3">
        <v>13440.88</v>
      </c>
      <c r="N18" s="3">
        <f>(I18-M18)*H18</f>
        <v>36260.400000000533</v>
      </c>
      <c r="O18" s="4">
        <f t="shared" si="1"/>
        <v>43039</v>
      </c>
      <c r="P18" s="16">
        <f>[1]!s_dq_settle(E18,C18)</f>
        <v>13340</v>
      </c>
      <c r="Q18" s="11">
        <v>529836</v>
      </c>
      <c r="R18" s="11">
        <f t="shared" si="2"/>
        <v>8937800</v>
      </c>
    </row>
    <row r="19" spans="2:19" hidden="1" x14ac:dyDescent="0.15">
      <c r="B19" s="3" t="s">
        <v>36</v>
      </c>
      <c r="C19" s="4">
        <v>43024</v>
      </c>
      <c r="D19" s="4">
        <v>43053</v>
      </c>
      <c r="E19" s="3" t="s">
        <v>20</v>
      </c>
      <c r="F19" s="3" t="s">
        <v>38</v>
      </c>
      <c r="G19" s="3" t="s">
        <v>39</v>
      </c>
      <c r="H19" s="3">
        <v>1462.5</v>
      </c>
      <c r="I19" s="3">
        <v>6465</v>
      </c>
      <c r="J19" s="3">
        <v>222.22</v>
      </c>
      <c r="K19" s="3" t="s">
        <v>53</v>
      </c>
      <c r="L19" s="3" t="s">
        <v>62</v>
      </c>
      <c r="M19" s="3">
        <v>6360.27</v>
      </c>
      <c r="N19" s="3">
        <f>(I19-M19)*H19*0.4</f>
        <v>61267.049999999748</v>
      </c>
      <c r="O19" s="4">
        <f t="shared" si="1"/>
        <v>43053</v>
      </c>
      <c r="P19" s="16">
        <f>[1]!s_dq_settle(E19,C19)</f>
        <v>6247</v>
      </c>
      <c r="Q19" s="11">
        <f>J19*H19</f>
        <v>324996.75</v>
      </c>
      <c r="R19" s="11">
        <f t="shared" si="2"/>
        <v>9136237.5</v>
      </c>
    </row>
    <row r="20" spans="2:19" hidden="1" x14ac:dyDescent="0.15">
      <c r="B20" s="3" t="s">
        <v>63</v>
      </c>
      <c r="C20" s="4">
        <v>43035</v>
      </c>
      <c r="D20" s="4">
        <v>43126</v>
      </c>
      <c r="E20" s="3" t="s">
        <v>64</v>
      </c>
      <c r="F20" s="3" t="s">
        <v>38</v>
      </c>
      <c r="G20" s="3" t="s">
        <v>25</v>
      </c>
      <c r="H20" s="3">
        <v>4000</v>
      </c>
      <c r="I20" s="3">
        <v>3723</v>
      </c>
      <c r="J20" s="3">
        <v>100</v>
      </c>
      <c r="K20" s="3" t="s">
        <v>65</v>
      </c>
      <c r="L20" s="3" t="s">
        <v>66</v>
      </c>
      <c r="O20" s="4"/>
      <c r="P20" s="16">
        <f>[1]!s_dq_settle(E20,C20)</f>
        <v>3721</v>
      </c>
      <c r="Q20" s="11">
        <f>J20*H20</f>
        <v>400000</v>
      </c>
      <c r="R20" s="11">
        <f t="shared" si="2"/>
        <v>14884000</v>
      </c>
    </row>
    <row r="21" spans="2:19" hidden="1" x14ac:dyDescent="0.15">
      <c r="B21" s="3" t="s">
        <v>63</v>
      </c>
      <c r="C21" s="4">
        <v>43035</v>
      </c>
      <c r="D21" s="4">
        <v>43126</v>
      </c>
      <c r="E21" s="3" t="s">
        <v>64</v>
      </c>
      <c r="F21" s="3" t="s">
        <v>21</v>
      </c>
      <c r="G21" s="3" t="s">
        <v>25</v>
      </c>
      <c r="H21" s="3">
        <v>4000</v>
      </c>
      <c r="I21" s="3">
        <v>3350.7</v>
      </c>
      <c r="J21" s="3">
        <v>5</v>
      </c>
      <c r="K21" s="3" t="s">
        <v>65</v>
      </c>
      <c r="L21" s="3" t="s">
        <v>66</v>
      </c>
      <c r="O21" s="4"/>
      <c r="P21" s="16">
        <f>[1]!s_dq_settle(E21,C21)</f>
        <v>3721</v>
      </c>
      <c r="Q21" s="11">
        <f>J21*H21</f>
        <v>20000</v>
      </c>
      <c r="R21" s="11">
        <f t="shared" si="2"/>
        <v>14884000</v>
      </c>
      <c r="S21" s="1"/>
    </row>
    <row r="22" spans="2:19" hidden="1" x14ac:dyDescent="0.15">
      <c r="B22" s="3" t="s">
        <v>67</v>
      </c>
      <c r="C22" s="4">
        <v>43039</v>
      </c>
      <c r="D22" s="4">
        <v>43131</v>
      </c>
      <c r="E22" s="3" t="s">
        <v>68</v>
      </c>
      <c r="F22" s="3" t="s">
        <v>38</v>
      </c>
      <c r="G22" s="3" t="s">
        <v>59</v>
      </c>
      <c r="H22" s="3">
        <v>2000</v>
      </c>
      <c r="I22" s="3">
        <v>3781</v>
      </c>
      <c r="J22" s="3">
        <v>0</v>
      </c>
      <c r="K22" s="3" t="s">
        <v>69</v>
      </c>
      <c r="L22" s="3" t="s">
        <v>70</v>
      </c>
      <c r="M22" s="3">
        <v>3623</v>
      </c>
      <c r="N22" s="3">
        <v>58000</v>
      </c>
      <c r="O22" s="4">
        <f t="shared" si="1"/>
        <v>43131</v>
      </c>
      <c r="P22" s="16">
        <f>[1]!s_dq_settle(E22,C22)</f>
        <v>3781</v>
      </c>
      <c r="Q22" s="11">
        <v>0</v>
      </c>
      <c r="R22" s="11">
        <f t="shared" si="2"/>
        <v>7562000</v>
      </c>
      <c r="S22" s="614" t="s">
        <v>71</v>
      </c>
    </row>
    <row r="23" spans="2:19" hidden="1" x14ac:dyDescent="0.15">
      <c r="B23" s="3" t="s">
        <v>67</v>
      </c>
      <c r="C23" s="4">
        <v>43039</v>
      </c>
      <c r="D23" s="4">
        <v>43131</v>
      </c>
      <c r="E23" s="3" t="s">
        <v>68</v>
      </c>
      <c r="F23" s="3" t="s">
        <v>21</v>
      </c>
      <c r="G23" s="3" t="s">
        <v>59</v>
      </c>
      <c r="H23" s="3">
        <v>2000</v>
      </c>
      <c r="I23" s="3">
        <v>2981</v>
      </c>
      <c r="J23" s="3">
        <v>0</v>
      </c>
      <c r="K23" s="3" t="s">
        <v>69</v>
      </c>
      <c r="L23" s="3" t="s">
        <v>70</v>
      </c>
      <c r="M23" s="3">
        <v>3623</v>
      </c>
      <c r="N23" s="3">
        <v>0</v>
      </c>
      <c r="O23" s="4">
        <f t="shared" si="1"/>
        <v>43131</v>
      </c>
      <c r="P23" s="16">
        <f>[1]!s_dq_settle(E23,C23)</f>
        <v>3781</v>
      </c>
      <c r="Q23" s="11">
        <v>0</v>
      </c>
      <c r="R23" s="11">
        <f t="shared" si="2"/>
        <v>7562000</v>
      </c>
      <c r="S23" s="614"/>
    </row>
    <row r="24" spans="2:19" hidden="1" x14ac:dyDescent="0.15">
      <c r="B24" s="3" t="s">
        <v>42</v>
      </c>
      <c r="C24" s="4">
        <v>43040</v>
      </c>
      <c r="D24" s="4">
        <v>43069</v>
      </c>
      <c r="E24" s="3" t="s">
        <v>43</v>
      </c>
      <c r="F24" s="3" t="s">
        <v>38</v>
      </c>
      <c r="G24" s="3" t="s">
        <v>39</v>
      </c>
      <c r="H24" s="3">
        <v>670</v>
      </c>
      <c r="I24" s="3">
        <v>13260</v>
      </c>
      <c r="J24" s="3">
        <v>790.8</v>
      </c>
      <c r="K24" s="3" t="s">
        <v>44</v>
      </c>
      <c r="L24" s="3" t="s">
        <v>72</v>
      </c>
      <c r="M24" s="3">
        <v>13667.05</v>
      </c>
      <c r="N24" s="3">
        <v>0</v>
      </c>
      <c r="O24" s="4">
        <f t="shared" si="1"/>
        <v>43069</v>
      </c>
      <c r="P24" s="16">
        <f>[1]!s_dq_settle(E24,C24)</f>
        <v>13565</v>
      </c>
      <c r="Q24" s="11">
        <f>J24*H24</f>
        <v>529836</v>
      </c>
      <c r="R24" s="11">
        <f t="shared" si="2"/>
        <v>9088550</v>
      </c>
    </row>
    <row r="25" spans="2:19" hidden="1" x14ac:dyDescent="0.15">
      <c r="B25" s="3" t="s">
        <v>36</v>
      </c>
      <c r="C25" s="4">
        <v>43040</v>
      </c>
      <c r="D25" s="4">
        <v>43069</v>
      </c>
      <c r="E25" s="3" t="s">
        <v>37</v>
      </c>
      <c r="F25" s="3" t="s">
        <v>38</v>
      </c>
      <c r="G25" s="3" t="s">
        <v>39</v>
      </c>
      <c r="H25" s="3">
        <v>427</v>
      </c>
      <c r="I25" s="3">
        <v>14970</v>
      </c>
      <c r="J25" s="3">
        <v>678.69594847775204</v>
      </c>
      <c r="K25" s="3" t="s">
        <v>40</v>
      </c>
      <c r="L25" s="3" t="s">
        <v>73</v>
      </c>
      <c r="M25" s="3">
        <v>15060.91</v>
      </c>
      <c r="N25" s="3">
        <v>0</v>
      </c>
      <c r="O25" s="4">
        <f t="shared" si="1"/>
        <v>43069</v>
      </c>
      <c r="P25" s="16">
        <f>[1]!s_dq_settle(E25,C25)</f>
        <v>15010</v>
      </c>
      <c r="Q25" s="11">
        <f>J25*H25</f>
        <v>289803.1700000001</v>
      </c>
      <c r="R25" s="11">
        <f t="shared" si="2"/>
        <v>6409270</v>
      </c>
    </row>
    <row r="26" spans="2:19" hidden="1" x14ac:dyDescent="0.15">
      <c r="B26" s="3" t="s">
        <v>36</v>
      </c>
      <c r="C26" s="4">
        <v>43053</v>
      </c>
      <c r="D26" s="4">
        <v>43083</v>
      </c>
      <c r="E26" s="3" t="s">
        <v>20</v>
      </c>
      <c r="F26" s="3" t="s">
        <v>38</v>
      </c>
      <c r="G26" s="3" t="s">
        <v>39</v>
      </c>
      <c r="H26" s="3">
        <v>1575</v>
      </c>
      <c r="I26" s="3">
        <v>6694</v>
      </c>
      <c r="J26" s="3">
        <v>222.23</v>
      </c>
      <c r="K26" s="3" t="s">
        <v>53</v>
      </c>
      <c r="L26" s="3" t="s">
        <v>74</v>
      </c>
      <c r="M26" s="3">
        <v>6434.3</v>
      </c>
      <c r="N26" s="3">
        <v>-163611</v>
      </c>
      <c r="O26" s="4">
        <f t="shared" si="1"/>
        <v>43083</v>
      </c>
      <c r="P26" s="16">
        <f>[1]!s_dq_settle(E26,C26)</f>
        <v>6497</v>
      </c>
      <c r="Q26" s="11">
        <f t="shared" ref="Q26:Q58" si="3">J26*H26</f>
        <v>350012.25</v>
      </c>
      <c r="R26" s="11">
        <f t="shared" si="2"/>
        <v>10232775</v>
      </c>
    </row>
    <row r="27" spans="2:19" hidden="1" x14ac:dyDescent="0.15">
      <c r="B27" s="3" t="s">
        <v>75</v>
      </c>
      <c r="C27" s="4">
        <v>43068</v>
      </c>
      <c r="D27" s="4">
        <v>43084</v>
      </c>
      <c r="E27" s="3" t="s">
        <v>76</v>
      </c>
      <c r="F27" s="3" t="s">
        <v>21</v>
      </c>
      <c r="G27" s="3" t="s">
        <v>59</v>
      </c>
      <c r="H27" s="3">
        <v>5000</v>
      </c>
      <c r="I27" s="3">
        <v>3800</v>
      </c>
      <c r="J27" s="3">
        <v>61</v>
      </c>
      <c r="K27" s="3" t="s">
        <v>77</v>
      </c>
      <c r="L27" s="3" t="s">
        <v>78</v>
      </c>
      <c r="M27" s="3">
        <v>4205</v>
      </c>
      <c r="N27" s="3">
        <v>305000</v>
      </c>
      <c r="O27" s="4">
        <f t="shared" si="1"/>
        <v>43084</v>
      </c>
      <c r="P27" s="16">
        <f>[1]!s_dq_settle(E27,C27)</f>
        <v>3899</v>
      </c>
      <c r="Q27" s="11">
        <f t="shared" si="3"/>
        <v>305000</v>
      </c>
      <c r="R27" s="11">
        <f t="shared" si="2"/>
        <v>19495000</v>
      </c>
    </row>
    <row r="28" spans="2:19" hidden="1" x14ac:dyDescent="0.15">
      <c r="B28" s="3" t="s">
        <v>79</v>
      </c>
      <c r="C28" s="4">
        <v>43075</v>
      </c>
      <c r="D28" s="4">
        <v>43089</v>
      </c>
      <c r="E28" s="3" t="s">
        <v>80</v>
      </c>
      <c r="F28" s="3" t="s">
        <v>21</v>
      </c>
      <c r="G28" s="3" t="s">
        <v>22</v>
      </c>
      <c r="H28" s="3">
        <v>5000</v>
      </c>
      <c r="I28" s="3">
        <v>5502</v>
      </c>
      <c r="J28" s="3">
        <v>64.373000000000005</v>
      </c>
      <c r="K28" s="3" t="s">
        <v>81</v>
      </c>
      <c r="L28" s="3" t="s">
        <v>82</v>
      </c>
      <c r="M28" s="3">
        <v>139.97999999999999</v>
      </c>
      <c r="N28" s="3">
        <f>(M28-J28)*H28</f>
        <v>378034.99999999994</v>
      </c>
      <c r="O28" s="4">
        <v>43076</v>
      </c>
      <c r="P28" s="16">
        <f>[1]!s_dq_settle(E28,C28)</f>
        <v>5508</v>
      </c>
      <c r="Q28" s="11">
        <f t="shared" si="3"/>
        <v>321865</v>
      </c>
      <c r="R28" s="11">
        <f>P28*H28*2</f>
        <v>55080000</v>
      </c>
      <c r="S28" s="3" t="s">
        <v>83</v>
      </c>
    </row>
    <row r="29" spans="2:19" hidden="1" x14ac:dyDescent="0.15">
      <c r="B29" s="3" t="s">
        <v>79</v>
      </c>
      <c r="C29" s="4">
        <v>43075</v>
      </c>
      <c r="D29" s="4">
        <v>43089</v>
      </c>
      <c r="E29" s="3" t="s">
        <v>80</v>
      </c>
      <c r="F29" s="3" t="s">
        <v>21</v>
      </c>
      <c r="G29" s="3" t="s">
        <v>25</v>
      </c>
      <c r="H29" s="3">
        <v>5000</v>
      </c>
      <c r="I29" s="3">
        <v>5502</v>
      </c>
      <c r="J29" s="3">
        <v>64.373000000000005</v>
      </c>
      <c r="K29" s="3" t="s">
        <v>81</v>
      </c>
      <c r="L29" s="3" t="s">
        <v>82</v>
      </c>
      <c r="M29" s="3">
        <v>18.2</v>
      </c>
      <c r="N29" s="3">
        <f>(M29-J29)*H29</f>
        <v>-230865</v>
      </c>
      <c r="O29" s="4">
        <v>43076</v>
      </c>
      <c r="P29" s="16">
        <f>[1]!s_dq_settle(E29,C29)</f>
        <v>5508</v>
      </c>
      <c r="Q29" s="11">
        <f t="shared" si="3"/>
        <v>321865</v>
      </c>
      <c r="R29" s="11">
        <f>P29*H29*2</f>
        <v>55080000</v>
      </c>
      <c r="S29" s="3" t="s">
        <v>83</v>
      </c>
    </row>
    <row r="30" spans="2:19" hidden="1" x14ac:dyDescent="0.15">
      <c r="B30" s="3" t="s">
        <v>79</v>
      </c>
      <c r="C30" s="4">
        <v>43075</v>
      </c>
      <c r="D30" s="4">
        <v>43089</v>
      </c>
      <c r="E30" s="3" t="s">
        <v>84</v>
      </c>
      <c r="F30" s="3" t="s">
        <v>21</v>
      </c>
      <c r="G30" s="3" t="s">
        <v>22</v>
      </c>
      <c r="H30" s="3">
        <v>6000</v>
      </c>
      <c r="I30" s="3">
        <v>537</v>
      </c>
      <c r="J30" s="3">
        <v>14.848000000000001</v>
      </c>
      <c r="K30" s="3" t="s">
        <v>81</v>
      </c>
      <c r="L30" s="3" t="s">
        <v>85</v>
      </c>
      <c r="M30" s="3">
        <v>527</v>
      </c>
      <c r="O30" s="4">
        <f>D30</f>
        <v>43089</v>
      </c>
      <c r="P30" s="16">
        <f>[1]!s_dq_settle(E30,C30)</f>
        <v>534.5</v>
      </c>
      <c r="Q30" s="11">
        <f t="shared" si="3"/>
        <v>89088</v>
      </c>
      <c r="R30" s="11">
        <f t="shared" ref="R30:R38" si="4">P30*H30</f>
        <v>3207000</v>
      </c>
    </row>
    <row r="31" spans="2:19" hidden="1" x14ac:dyDescent="0.15">
      <c r="B31" s="3" t="s">
        <v>79</v>
      </c>
      <c r="C31" s="4">
        <v>43075</v>
      </c>
      <c r="D31" s="4">
        <v>43089</v>
      </c>
      <c r="E31" s="3" t="s">
        <v>84</v>
      </c>
      <c r="F31" s="3" t="s">
        <v>21</v>
      </c>
      <c r="G31" s="3" t="s">
        <v>25</v>
      </c>
      <c r="H31" s="3">
        <v>6000</v>
      </c>
      <c r="I31" s="3">
        <v>537</v>
      </c>
      <c r="J31" s="3">
        <v>14.848000000000001</v>
      </c>
      <c r="K31" s="3" t="s">
        <v>81</v>
      </c>
      <c r="L31" s="3" t="s">
        <v>86</v>
      </c>
      <c r="M31" s="3">
        <v>527</v>
      </c>
      <c r="O31" s="4">
        <f t="shared" ref="O31:O37" si="5">D31</f>
        <v>43089</v>
      </c>
      <c r="P31" s="16">
        <f>[1]!s_dq_settle(E31,C31)</f>
        <v>534.5</v>
      </c>
      <c r="Q31" s="11">
        <f t="shared" si="3"/>
        <v>89088</v>
      </c>
      <c r="R31" s="11">
        <f t="shared" si="4"/>
        <v>3207000</v>
      </c>
    </row>
    <row r="32" spans="2:19" hidden="1" x14ac:dyDescent="0.15">
      <c r="B32" s="3" t="s">
        <v>79</v>
      </c>
      <c r="C32" s="4">
        <v>43076</v>
      </c>
      <c r="D32" s="4">
        <v>43089</v>
      </c>
      <c r="E32" s="3" t="s">
        <v>76</v>
      </c>
      <c r="F32" s="3" t="s">
        <v>21</v>
      </c>
      <c r="G32" s="3" t="s">
        <v>22</v>
      </c>
      <c r="H32" s="3">
        <v>2500</v>
      </c>
      <c r="I32" s="3">
        <v>3895</v>
      </c>
      <c r="J32" s="3">
        <v>78.873699999999999</v>
      </c>
      <c r="K32" s="3" t="s">
        <v>87</v>
      </c>
      <c r="L32" s="3" t="s">
        <v>88</v>
      </c>
      <c r="M32" s="3">
        <v>3800</v>
      </c>
      <c r="O32" s="4">
        <f t="shared" si="5"/>
        <v>43089</v>
      </c>
      <c r="P32" s="16">
        <f>[1]!s_dq_settle(E32,C32)</f>
        <v>3877</v>
      </c>
      <c r="Q32" s="11">
        <f t="shared" si="3"/>
        <v>197184.25</v>
      </c>
      <c r="R32" s="11">
        <f t="shared" si="4"/>
        <v>9692500</v>
      </c>
    </row>
    <row r="33" spans="2:19" hidden="1" x14ac:dyDescent="0.15">
      <c r="B33" s="3" t="s">
        <v>79</v>
      </c>
      <c r="C33" s="4">
        <v>43076</v>
      </c>
      <c r="D33" s="4">
        <v>43089</v>
      </c>
      <c r="E33" s="3" t="s">
        <v>76</v>
      </c>
      <c r="F33" s="3" t="s">
        <v>21</v>
      </c>
      <c r="G33" s="3" t="s">
        <v>25</v>
      </c>
      <c r="H33" s="3">
        <v>2500</v>
      </c>
      <c r="I33" s="3">
        <v>3895</v>
      </c>
      <c r="J33" s="3">
        <v>78.873699999999999</v>
      </c>
      <c r="K33" s="3" t="s">
        <v>89</v>
      </c>
      <c r="L33" s="3" t="s">
        <v>90</v>
      </c>
      <c r="M33" s="3">
        <v>3800</v>
      </c>
      <c r="O33" s="4">
        <f t="shared" si="5"/>
        <v>43089</v>
      </c>
      <c r="P33" s="16">
        <f>[1]!s_dq_settle(E33,C33)</f>
        <v>3877</v>
      </c>
      <c r="Q33" s="11">
        <f t="shared" si="3"/>
        <v>197184.25</v>
      </c>
      <c r="R33" s="11">
        <f t="shared" si="4"/>
        <v>9692500</v>
      </c>
    </row>
    <row r="34" spans="2:19" hidden="1" x14ac:dyDescent="0.15">
      <c r="B34" s="3" t="s">
        <v>91</v>
      </c>
      <c r="C34" s="4">
        <v>43076</v>
      </c>
      <c r="D34" s="4">
        <v>43090</v>
      </c>
      <c r="E34" s="3" t="s">
        <v>84</v>
      </c>
      <c r="F34" s="3" t="s">
        <v>21</v>
      </c>
      <c r="G34" s="3" t="s">
        <v>22</v>
      </c>
      <c r="H34" s="3">
        <v>50000</v>
      </c>
      <c r="I34" s="3">
        <v>516.5</v>
      </c>
      <c r="J34" s="3">
        <v>14.39</v>
      </c>
      <c r="K34" s="3" t="s">
        <v>92</v>
      </c>
      <c r="L34" s="3" t="s">
        <v>93</v>
      </c>
      <c r="M34" s="3">
        <v>9.07</v>
      </c>
      <c r="N34" s="3">
        <f>(M34-J34)*H34</f>
        <v>-266000</v>
      </c>
      <c r="O34" s="4">
        <v>43077</v>
      </c>
      <c r="P34" s="16">
        <f>[1]!s_dq_settle(E34,C34)</f>
        <v>512.5</v>
      </c>
      <c r="Q34" s="11">
        <f t="shared" si="3"/>
        <v>719500</v>
      </c>
      <c r="R34" s="11">
        <f>P34*H34*2</f>
        <v>51250000</v>
      </c>
      <c r="S34" s="3" t="s">
        <v>83</v>
      </c>
    </row>
    <row r="35" spans="2:19" hidden="1" x14ac:dyDescent="0.15">
      <c r="B35" s="3" t="s">
        <v>91</v>
      </c>
      <c r="C35" s="4">
        <v>43076</v>
      </c>
      <c r="D35" s="4">
        <v>43090</v>
      </c>
      <c r="E35" s="3" t="s">
        <v>84</v>
      </c>
      <c r="F35" s="3" t="s">
        <v>21</v>
      </c>
      <c r="G35" s="3" t="s">
        <v>25</v>
      </c>
      <c r="H35" s="3">
        <v>50000</v>
      </c>
      <c r="I35" s="3">
        <v>516.5</v>
      </c>
      <c r="J35" s="3">
        <v>14.39</v>
      </c>
      <c r="K35" s="3" t="s">
        <v>92</v>
      </c>
      <c r="L35" s="3" t="s">
        <v>94</v>
      </c>
      <c r="N35" s="3">
        <f>(M35-J35)*H35</f>
        <v>-719500</v>
      </c>
      <c r="O35" s="4">
        <f t="shared" si="5"/>
        <v>43090</v>
      </c>
      <c r="P35" s="16">
        <f>[1]!s_dq_settle(E35,C35)</f>
        <v>512.5</v>
      </c>
      <c r="Q35" s="11">
        <f t="shared" si="3"/>
        <v>719500</v>
      </c>
      <c r="R35" s="11">
        <f t="shared" si="4"/>
        <v>25625000</v>
      </c>
    </row>
    <row r="36" spans="2:19" hidden="1" x14ac:dyDescent="0.15">
      <c r="B36" s="3" t="s">
        <v>91</v>
      </c>
      <c r="C36" s="4">
        <v>43076</v>
      </c>
      <c r="D36" s="4">
        <v>43090</v>
      </c>
      <c r="E36" s="3" t="s">
        <v>84</v>
      </c>
      <c r="F36" s="3" t="s">
        <v>21</v>
      </c>
      <c r="G36" s="3" t="s">
        <v>22</v>
      </c>
      <c r="H36" s="3">
        <v>25000</v>
      </c>
      <c r="I36" s="3">
        <v>494.5</v>
      </c>
      <c r="J36" s="3">
        <v>13.91</v>
      </c>
      <c r="K36" s="3" t="s">
        <v>95</v>
      </c>
      <c r="L36" s="3" t="s">
        <v>96</v>
      </c>
      <c r="M36" s="3">
        <v>19.649999999999999</v>
      </c>
      <c r="N36" s="3">
        <f>(M36-J36)*H36</f>
        <v>143499.99999999997</v>
      </c>
      <c r="O36" s="4">
        <v>43077</v>
      </c>
      <c r="P36" s="16">
        <f>[1]!s_dq_settle(E36,C36)</f>
        <v>512.5</v>
      </c>
      <c r="Q36" s="11">
        <f t="shared" si="3"/>
        <v>347750</v>
      </c>
      <c r="R36" s="11">
        <f>P36*H36*2</f>
        <v>25625000</v>
      </c>
      <c r="S36" s="3" t="s">
        <v>83</v>
      </c>
    </row>
    <row r="37" spans="2:19" hidden="1" x14ac:dyDescent="0.15">
      <c r="B37" s="3" t="s">
        <v>91</v>
      </c>
      <c r="C37" s="4">
        <v>43076</v>
      </c>
      <c r="D37" s="4">
        <v>43090</v>
      </c>
      <c r="E37" s="3" t="s">
        <v>84</v>
      </c>
      <c r="F37" s="3" t="s">
        <v>21</v>
      </c>
      <c r="G37" s="3" t="s">
        <v>25</v>
      </c>
      <c r="H37" s="3">
        <v>25000</v>
      </c>
      <c r="I37" s="3">
        <v>494.5</v>
      </c>
      <c r="J37" s="3">
        <v>13.91</v>
      </c>
      <c r="K37" s="3" t="s">
        <v>95</v>
      </c>
      <c r="L37" s="3" t="s">
        <v>97</v>
      </c>
      <c r="N37" s="3">
        <f>(M37-J37)*H37</f>
        <v>-347750</v>
      </c>
      <c r="O37" s="4">
        <f t="shared" si="5"/>
        <v>43090</v>
      </c>
      <c r="P37" s="16">
        <f>[1]!s_dq_settle(E37,C37)</f>
        <v>512.5</v>
      </c>
      <c r="Q37" s="11">
        <f t="shared" si="3"/>
        <v>347750</v>
      </c>
      <c r="R37" s="11">
        <f t="shared" si="4"/>
        <v>12812500</v>
      </c>
    </row>
    <row r="38" spans="2:19" hidden="1" x14ac:dyDescent="0.15">
      <c r="B38" s="3" t="s">
        <v>75</v>
      </c>
      <c r="C38" s="4">
        <v>43077</v>
      </c>
      <c r="D38" s="4">
        <v>43189</v>
      </c>
      <c r="E38" s="3" t="s">
        <v>98</v>
      </c>
      <c r="F38" s="3" t="s">
        <v>21</v>
      </c>
      <c r="G38" s="3" t="s">
        <v>25</v>
      </c>
      <c r="H38" s="3">
        <v>30000</v>
      </c>
      <c r="I38" s="3">
        <v>1200</v>
      </c>
      <c r="J38" s="3">
        <v>77.8</v>
      </c>
      <c r="K38" s="3" t="s">
        <v>99</v>
      </c>
      <c r="P38" s="16">
        <f>[1]!s_dq_settle(E38,C38)</f>
        <v>1244</v>
      </c>
      <c r="Q38" s="11">
        <f t="shared" si="3"/>
        <v>2334000</v>
      </c>
      <c r="R38" s="11">
        <f t="shared" si="4"/>
        <v>37320000</v>
      </c>
    </row>
    <row r="39" spans="2:19" hidden="1" x14ac:dyDescent="0.15">
      <c r="B39" s="3" t="s">
        <v>100</v>
      </c>
      <c r="C39" s="4">
        <v>43080</v>
      </c>
      <c r="D39" s="4">
        <v>43095</v>
      </c>
      <c r="E39" s="3" t="s">
        <v>76</v>
      </c>
      <c r="F39" s="3" t="s">
        <v>101</v>
      </c>
      <c r="G39" s="3" t="s">
        <v>22</v>
      </c>
      <c r="H39" s="3">
        <v>10000</v>
      </c>
      <c r="I39" s="3" t="s">
        <v>102</v>
      </c>
      <c r="J39" s="3">
        <v>0.1</v>
      </c>
      <c r="K39" s="3" t="s">
        <v>103</v>
      </c>
      <c r="L39" s="3" t="s">
        <v>104</v>
      </c>
      <c r="M39" s="3" t="s">
        <v>105</v>
      </c>
      <c r="N39" s="3">
        <v>200</v>
      </c>
      <c r="O39" s="4">
        <v>43082</v>
      </c>
      <c r="P39" s="16">
        <f>[1]!s_dq_settle(E39,C39)</f>
        <v>3917</v>
      </c>
      <c r="Q39" s="11">
        <f t="shared" si="3"/>
        <v>1000</v>
      </c>
      <c r="R39" s="11">
        <f>2*H39*3900*4</f>
        <v>312000000</v>
      </c>
      <c r="S39" s="3" t="s">
        <v>83</v>
      </c>
    </row>
    <row r="40" spans="2:19" hidden="1" x14ac:dyDescent="0.15">
      <c r="B40" s="3" t="s">
        <v>100</v>
      </c>
      <c r="C40" s="4">
        <v>43084</v>
      </c>
      <c r="D40" s="4">
        <v>43098</v>
      </c>
      <c r="E40" s="3" t="s">
        <v>76</v>
      </c>
      <c r="F40" s="3" t="s">
        <v>101</v>
      </c>
      <c r="G40" s="3" t="s">
        <v>22</v>
      </c>
      <c r="H40" s="3">
        <v>10000</v>
      </c>
      <c r="I40" s="3" t="s">
        <v>102</v>
      </c>
      <c r="J40" s="3">
        <v>0.03</v>
      </c>
      <c r="K40" s="3" t="s">
        <v>106</v>
      </c>
      <c r="L40" s="3" t="s">
        <v>107</v>
      </c>
      <c r="M40" s="3" t="s">
        <v>108</v>
      </c>
      <c r="N40" s="3">
        <v>8</v>
      </c>
      <c r="O40" s="4">
        <v>43090</v>
      </c>
      <c r="P40" s="16">
        <f>[1]!s_dq_settle(E40,C40)</f>
        <v>3806</v>
      </c>
      <c r="Q40" s="11">
        <f t="shared" si="3"/>
        <v>300</v>
      </c>
      <c r="R40" s="11">
        <f>H40*3804*4*2</f>
        <v>304320000</v>
      </c>
      <c r="S40" s="3" t="s">
        <v>83</v>
      </c>
    </row>
    <row r="41" spans="2:19" hidden="1" x14ac:dyDescent="0.15">
      <c r="B41" s="3" t="s">
        <v>100</v>
      </c>
      <c r="C41" s="4">
        <v>43089</v>
      </c>
      <c r="D41" s="4">
        <v>43105</v>
      </c>
      <c r="E41" s="3" t="s">
        <v>76</v>
      </c>
      <c r="F41" s="3" t="s">
        <v>101</v>
      </c>
      <c r="G41" s="3" t="s">
        <v>22</v>
      </c>
      <c r="H41" s="3">
        <v>15000</v>
      </c>
      <c r="I41" s="3" t="s">
        <v>102</v>
      </c>
      <c r="J41" s="3">
        <v>2.1999999999999999E-2</v>
      </c>
      <c r="K41" s="3" t="s">
        <v>109</v>
      </c>
      <c r="L41" s="3" t="s">
        <v>110</v>
      </c>
      <c r="M41" s="3">
        <v>3811</v>
      </c>
      <c r="N41" s="3">
        <v>300</v>
      </c>
      <c r="O41" s="4">
        <v>43098</v>
      </c>
      <c r="P41" s="16">
        <f>[1]!s_dq_settle(E41,C41)</f>
        <v>3801</v>
      </c>
      <c r="Q41" s="11">
        <f t="shared" si="3"/>
        <v>330</v>
      </c>
      <c r="R41" s="11">
        <f>H41*M41*4*2</f>
        <v>457320000</v>
      </c>
      <c r="S41" s="3" t="s">
        <v>83</v>
      </c>
    </row>
    <row r="42" spans="2:19" hidden="1" x14ac:dyDescent="0.15">
      <c r="B42" s="3" t="s">
        <v>79</v>
      </c>
      <c r="C42" s="4">
        <v>43119</v>
      </c>
      <c r="D42" s="4">
        <v>43154</v>
      </c>
      <c r="E42" s="3" t="s">
        <v>76</v>
      </c>
      <c r="F42" s="3" t="s">
        <v>21</v>
      </c>
      <c r="G42" s="3" t="s">
        <v>22</v>
      </c>
      <c r="H42" s="3">
        <v>5000</v>
      </c>
      <c r="J42" s="3">
        <v>66.3</v>
      </c>
      <c r="M42" s="3">
        <v>3933</v>
      </c>
      <c r="O42" s="4">
        <f>D42</f>
        <v>43154</v>
      </c>
      <c r="P42" s="16">
        <f>[1]!s_dq_settle(E42,C42)</f>
        <v>3883</v>
      </c>
      <c r="Q42" s="11">
        <f t="shared" si="3"/>
        <v>331500</v>
      </c>
      <c r="R42" s="11">
        <f>H42*M42</f>
        <v>19665000</v>
      </c>
    </row>
    <row r="43" spans="2:19" hidden="1" x14ac:dyDescent="0.15">
      <c r="B43" s="3" t="s">
        <v>111</v>
      </c>
      <c r="C43" s="4">
        <v>43167</v>
      </c>
      <c r="D43" s="4">
        <v>43194</v>
      </c>
      <c r="E43" s="3" t="s">
        <v>80</v>
      </c>
      <c r="F43" s="3" t="s">
        <v>21</v>
      </c>
      <c r="G43" s="3" t="s">
        <v>25</v>
      </c>
      <c r="H43" s="3">
        <v>5000</v>
      </c>
      <c r="I43" s="3">
        <v>5654</v>
      </c>
      <c r="J43" s="3">
        <v>72.37</v>
      </c>
      <c r="K43" s="3" t="s">
        <v>112</v>
      </c>
      <c r="O43" s="4">
        <f>D43</f>
        <v>43194</v>
      </c>
      <c r="P43" s="16">
        <f>[1]!s_dq_settle(E43,C43)</f>
        <v>5666</v>
      </c>
      <c r="Q43" s="11">
        <f t="shared" si="3"/>
        <v>361850</v>
      </c>
      <c r="R43" s="11">
        <f>H43*I43</f>
        <v>28270000</v>
      </c>
      <c r="S43" s="3">
        <f>R43</f>
        <v>28270000</v>
      </c>
    </row>
    <row r="44" spans="2:19" hidden="1" x14ac:dyDescent="0.15">
      <c r="B44" s="3" t="s">
        <v>113</v>
      </c>
      <c r="C44" s="4">
        <v>43167</v>
      </c>
      <c r="D44" s="4">
        <v>43198</v>
      </c>
      <c r="E44" s="3" t="s">
        <v>114</v>
      </c>
      <c r="F44" s="3" t="s">
        <v>38</v>
      </c>
      <c r="G44" s="3" t="s">
        <v>22</v>
      </c>
      <c r="H44" s="3">
        <v>500</v>
      </c>
      <c r="I44" s="3">
        <v>51420</v>
      </c>
      <c r="J44" s="3">
        <v>1040</v>
      </c>
      <c r="K44" s="3" t="s">
        <v>115</v>
      </c>
      <c r="L44" s="3" t="s">
        <v>116</v>
      </c>
      <c r="O44" s="4">
        <f>D44</f>
        <v>43198</v>
      </c>
      <c r="P44" s="16">
        <f>[1]!s_dq_settle(E44,C44)</f>
        <v>52220</v>
      </c>
      <c r="Q44" s="11">
        <f t="shared" si="3"/>
        <v>520000</v>
      </c>
      <c r="R44" s="11">
        <f>H44*I44</f>
        <v>25710000</v>
      </c>
    </row>
    <row r="45" spans="2:19" hidden="1" x14ac:dyDescent="0.15">
      <c r="B45" s="3" t="s">
        <v>19</v>
      </c>
      <c r="C45" s="4">
        <v>43168</v>
      </c>
      <c r="D45" s="4">
        <v>43210</v>
      </c>
      <c r="E45" s="3" t="s">
        <v>117</v>
      </c>
      <c r="F45" s="3" t="s">
        <v>21</v>
      </c>
      <c r="G45" s="3" t="s">
        <v>25</v>
      </c>
      <c r="H45" s="3">
        <v>500</v>
      </c>
      <c r="I45" s="3">
        <v>-50</v>
      </c>
      <c r="J45" s="3">
        <v>14.44</v>
      </c>
      <c r="K45" s="3" t="s">
        <v>118</v>
      </c>
      <c r="L45" s="3" t="s">
        <v>119</v>
      </c>
      <c r="O45" s="4">
        <f t="shared" ref="O45:O50" si="6">D45</f>
        <v>43210</v>
      </c>
      <c r="P45" s="16">
        <f>[1]!s_dq_settle("sr805.czc",C45)</f>
        <v>5637</v>
      </c>
      <c r="Q45" s="11">
        <f t="shared" si="3"/>
        <v>7220</v>
      </c>
      <c r="R45" s="11">
        <f>H45*P45*2</f>
        <v>5637000</v>
      </c>
      <c r="S45" s="3">
        <f>R45</f>
        <v>5637000</v>
      </c>
    </row>
    <row r="46" spans="2:19" hidden="1" x14ac:dyDescent="0.15">
      <c r="B46" s="3" t="s">
        <v>19</v>
      </c>
      <c r="C46" s="4">
        <v>43168</v>
      </c>
      <c r="D46" s="4">
        <v>43210</v>
      </c>
      <c r="E46" s="3" t="s">
        <v>117</v>
      </c>
      <c r="F46" s="3" t="s">
        <v>21</v>
      </c>
      <c r="G46" s="3" t="s">
        <v>25</v>
      </c>
      <c r="H46" s="3">
        <v>500</v>
      </c>
      <c r="I46" s="3">
        <v>-60</v>
      </c>
      <c r="J46" s="3">
        <v>12.2</v>
      </c>
      <c r="K46" s="3" t="s">
        <v>120</v>
      </c>
      <c r="L46" s="3" t="s">
        <v>121</v>
      </c>
      <c r="O46" s="4">
        <f t="shared" si="6"/>
        <v>43210</v>
      </c>
      <c r="P46" s="16">
        <f>[1]!s_dq_settle("sr805.czc",C46)</f>
        <v>5637</v>
      </c>
      <c r="Q46" s="11">
        <f t="shared" si="3"/>
        <v>6100</v>
      </c>
      <c r="R46" s="11">
        <f>H46*P46*2</f>
        <v>5637000</v>
      </c>
      <c r="S46" s="3">
        <f>R46</f>
        <v>5637000</v>
      </c>
    </row>
    <row r="47" spans="2:19" hidden="1" x14ac:dyDescent="0.15">
      <c r="B47" s="3" t="s">
        <v>19</v>
      </c>
      <c r="C47" s="4">
        <v>43168</v>
      </c>
      <c r="D47" s="4">
        <v>43210</v>
      </c>
      <c r="E47" s="3" t="s">
        <v>117</v>
      </c>
      <c r="F47" s="3" t="s">
        <v>21</v>
      </c>
      <c r="G47" s="3" t="s">
        <v>25</v>
      </c>
      <c r="H47" s="3">
        <v>500</v>
      </c>
      <c r="I47" s="3">
        <v>-70</v>
      </c>
      <c r="J47" s="3">
        <v>9.1999999999999993</v>
      </c>
      <c r="K47" s="3" t="s">
        <v>122</v>
      </c>
      <c r="L47" s="3" t="s">
        <v>123</v>
      </c>
      <c r="O47" s="4">
        <f t="shared" si="6"/>
        <v>43210</v>
      </c>
      <c r="P47" s="16">
        <f>[1]!s_dq_settle("sr805.czc",C47)</f>
        <v>5637</v>
      </c>
      <c r="Q47" s="11">
        <f t="shared" si="3"/>
        <v>4600</v>
      </c>
      <c r="R47" s="11">
        <f>H47*P47*2</f>
        <v>5637000</v>
      </c>
      <c r="S47" s="3">
        <f>R47</f>
        <v>5637000</v>
      </c>
    </row>
    <row r="48" spans="2:19" hidden="1" x14ac:dyDescent="0.15">
      <c r="B48" s="3" t="s">
        <v>19</v>
      </c>
      <c r="C48" s="4">
        <v>43207</v>
      </c>
      <c r="D48" s="4">
        <v>43220</v>
      </c>
      <c r="E48" s="3" t="s">
        <v>117</v>
      </c>
      <c r="F48" s="3" t="s">
        <v>21</v>
      </c>
      <c r="G48" s="3" t="s">
        <v>25</v>
      </c>
      <c r="H48" s="3">
        <v>300</v>
      </c>
      <c r="I48" s="3">
        <v>-80</v>
      </c>
      <c r="J48" s="3">
        <v>12</v>
      </c>
      <c r="K48" s="3" t="s">
        <v>124</v>
      </c>
      <c r="L48" s="3" t="s">
        <v>125</v>
      </c>
      <c r="O48" s="4">
        <f t="shared" si="6"/>
        <v>43220</v>
      </c>
      <c r="P48" s="16">
        <f>[1]!s_dq_settle("sr805.czc",C48)</f>
        <v>5383</v>
      </c>
      <c r="Q48" s="11">
        <f t="shared" si="3"/>
        <v>3600</v>
      </c>
      <c r="R48" s="11">
        <f>H48*P48*2</f>
        <v>3229800</v>
      </c>
      <c r="S48" s="3">
        <f>R48</f>
        <v>3229800</v>
      </c>
    </row>
    <row r="49" spans="2:20" hidden="1" x14ac:dyDescent="0.15">
      <c r="B49" s="3" t="s">
        <v>19</v>
      </c>
      <c r="C49" s="4">
        <v>43207</v>
      </c>
      <c r="D49" s="4">
        <v>43220</v>
      </c>
      <c r="E49" s="3" t="s">
        <v>117</v>
      </c>
      <c r="F49" s="3" t="s">
        <v>21</v>
      </c>
      <c r="G49" s="3" t="s">
        <v>25</v>
      </c>
      <c r="H49" s="3">
        <v>300</v>
      </c>
      <c r="I49" s="3">
        <v>-90</v>
      </c>
      <c r="J49" s="3">
        <v>12</v>
      </c>
      <c r="K49" s="3" t="s">
        <v>124</v>
      </c>
      <c r="L49" s="3" t="s">
        <v>125</v>
      </c>
      <c r="O49" s="4">
        <f t="shared" si="6"/>
        <v>43220</v>
      </c>
      <c r="P49" s="16">
        <f>[1]!s_dq_settle("sr805.czc",C49)</f>
        <v>5383</v>
      </c>
      <c r="Q49" s="11">
        <f t="shared" si="3"/>
        <v>3600</v>
      </c>
      <c r="R49" s="11">
        <f>H49*P49*2</f>
        <v>3229800</v>
      </c>
      <c r="S49" s="3">
        <f>R49</f>
        <v>3229800</v>
      </c>
    </row>
    <row r="50" spans="2:20" hidden="1" x14ac:dyDescent="0.15">
      <c r="B50" s="3" t="s">
        <v>42</v>
      </c>
      <c r="C50" s="4">
        <v>43241</v>
      </c>
      <c r="D50" s="4">
        <v>43302</v>
      </c>
      <c r="E50" s="3" t="s">
        <v>126</v>
      </c>
      <c r="F50" s="3" t="s">
        <v>38</v>
      </c>
      <c r="G50" s="3" t="s">
        <v>127</v>
      </c>
      <c r="H50" s="3">
        <v>5000</v>
      </c>
      <c r="I50" s="3">
        <v>12015</v>
      </c>
      <c r="J50" s="3">
        <v>391.3</v>
      </c>
      <c r="K50" s="3" t="s">
        <v>128</v>
      </c>
      <c r="O50" s="4">
        <f t="shared" si="6"/>
        <v>43302</v>
      </c>
      <c r="P50" s="16">
        <v>12015</v>
      </c>
      <c r="Q50" s="11">
        <f t="shared" si="3"/>
        <v>1956500</v>
      </c>
      <c r="R50" s="11">
        <f>H50*P50</f>
        <v>60075000</v>
      </c>
      <c r="S50" s="3" t="s">
        <v>129</v>
      </c>
    </row>
    <row r="51" spans="2:20" hidden="1" x14ac:dyDescent="0.15">
      <c r="B51" s="3" t="s">
        <v>46</v>
      </c>
      <c r="C51" s="4">
        <v>43297</v>
      </c>
      <c r="D51" s="4">
        <v>43357</v>
      </c>
      <c r="E51" s="3" t="s">
        <v>130</v>
      </c>
      <c r="F51" s="3" t="s">
        <v>38</v>
      </c>
      <c r="G51" s="3" t="s">
        <v>131</v>
      </c>
      <c r="H51" s="3">
        <v>30000</v>
      </c>
      <c r="I51" s="3">
        <v>1847</v>
      </c>
      <c r="J51" s="3">
        <v>28.3</v>
      </c>
      <c r="K51" s="3" t="s">
        <v>132</v>
      </c>
      <c r="O51" s="4"/>
      <c r="P51" s="10">
        <v>1847</v>
      </c>
      <c r="Q51" s="11">
        <f t="shared" si="3"/>
        <v>849000</v>
      </c>
      <c r="R51" s="11">
        <f>H51*P51</f>
        <v>55410000</v>
      </c>
      <c r="S51" s="3" t="s">
        <v>129</v>
      </c>
    </row>
    <row r="52" spans="2:20" hidden="1" x14ac:dyDescent="0.15">
      <c r="B52" s="3" t="s">
        <v>46</v>
      </c>
      <c r="C52" s="4">
        <v>43325</v>
      </c>
      <c r="D52" s="4">
        <v>43446</v>
      </c>
      <c r="E52" s="3" t="s">
        <v>133</v>
      </c>
      <c r="F52" s="3" t="s">
        <v>38</v>
      </c>
      <c r="G52" s="3" t="s">
        <v>131</v>
      </c>
      <c r="H52" s="3">
        <v>15000</v>
      </c>
      <c r="I52" s="3">
        <v>3813</v>
      </c>
      <c r="J52" s="3">
        <v>101.33</v>
      </c>
      <c r="K52" s="3" t="s">
        <v>134</v>
      </c>
      <c r="O52" s="4">
        <v>43357</v>
      </c>
      <c r="P52" s="10">
        <f>I52</f>
        <v>3813</v>
      </c>
      <c r="Q52" s="11">
        <f t="shared" si="3"/>
        <v>1519950</v>
      </c>
      <c r="R52" s="11">
        <f>H52*P52</f>
        <v>57195000</v>
      </c>
    </row>
    <row r="53" spans="2:20" hidden="1" x14ac:dyDescent="0.15">
      <c r="B53" s="3" t="s">
        <v>46</v>
      </c>
      <c r="C53" s="4">
        <v>43346</v>
      </c>
      <c r="D53" s="4">
        <v>43406</v>
      </c>
      <c r="E53" s="3" t="s">
        <v>130</v>
      </c>
      <c r="F53" s="3" t="s">
        <v>38</v>
      </c>
      <c r="G53" s="3" t="s">
        <v>131</v>
      </c>
      <c r="H53" s="3">
        <v>30000</v>
      </c>
      <c r="I53" s="3">
        <v>1902.5</v>
      </c>
      <c r="J53" s="3">
        <v>28.3</v>
      </c>
      <c r="K53" s="3" t="s">
        <v>135</v>
      </c>
      <c r="L53" s="3" t="s">
        <v>136</v>
      </c>
      <c r="O53" s="4">
        <v>43406</v>
      </c>
      <c r="P53" s="10">
        <f>I53</f>
        <v>1902.5</v>
      </c>
      <c r="Q53" s="11">
        <f t="shared" si="3"/>
        <v>849000</v>
      </c>
      <c r="R53" s="11">
        <f>H53*P53</f>
        <v>57075000</v>
      </c>
      <c r="T53" s="1" t="s">
        <v>137</v>
      </c>
    </row>
    <row r="54" spans="2:20" hidden="1" x14ac:dyDescent="0.15">
      <c r="B54" s="3" t="s">
        <v>46</v>
      </c>
      <c r="C54" s="4">
        <v>43294</v>
      </c>
      <c r="D54" s="4">
        <v>43416</v>
      </c>
      <c r="E54" s="3" t="s">
        <v>130</v>
      </c>
      <c r="F54" s="3" t="s">
        <v>38</v>
      </c>
      <c r="G54" s="3" t="s">
        <v>131</v>
      </c>
      <c r="H54" s="3">
        <v>20374</v>
      </c>
      <c r="I54" s="3">
        <v>1842.5</v>
      </c>
      <c r="J54" s="3">
        <v>59.83</v>
      </c>
      <c r="K54" s="3" t="s">
        <v>138</v>
      </c>
      <c r="L54" s="3" t="s">
        <v>139</v>
      </c>
      <c r="O54" s="4">
        <v>43416</v>
      </c>
      <c r="P54" s="10">
        <f>I54</f>
        <v>1842.5</v>
      </c>
      <c r="Q54" s="11">
        <f t="shared" si="3"/>
        <v>1218976.42</v>
      </c>
      <c r="R54" s="11">
        <f>H54*P54</f>
        <v>37539095</v>
      </c>
      <c r="T54" s="1" t="s">
        <v>140</v>
      </c>
    </row>
    <row r="55" spans="2:20" hidden="1" x14ac:dyDescent="0.15">
      <c r="B55" s="3" t="s">
        <v>42</v>
      </c>
      <c r="C55" s="4">
        <v>43342</v>
      </c>
      <c r="D55" s="4">
        <v>43370</v>
      </c>
      <c r="E55" s="3" t="s">
        <v>141</v>
      </c>
      <c r="F55" s="3" t="s">
        <v>38</v>
      </c>
      <c r="G55" s="3" t="s">
        <v>142</v>
      </c>
      <c r="H55" s="3">
        <v>1500</v>
      </c>
      <c r="I55" s="3">
        <v>3832</v>
      </c>
      <c r="J55" s="3">
        <v>164</v>
      </c>
      <c r="K55" s="3" t="s">
        <v>143</v>
      </c>
      <c r="L55" s="3" t="s">
        <v>144</v>
      </c>
      <c r="O55" s="4">
        <v>43357</v>
      </c>
      <c r="P55" s="10">
        <f>I55</f>
        <v>3832</v>
      </c>
      <c r="Q55" s="11">
        <f t="shared" si="3"/>
        <v>246000</v>
      </c>
      <c r="R55" s="11">
        <f>H55*P55*2</f>
        <v>11496000</v>
      </c>
    </row>
    <row r="56" spans="2:20" hidden="1" x14ac:dyDescent="0.15">
      <c r="B56" s="3" t="s">
        <v>42</v>
      </c>
      <c r="C56" s="4">
        <v>43371</v>
      </c>
      <c r="D56" s="4">
        <v>43399</v>
      </c>
      <c r="E56" s="3" t="s">
        <v>141</v>
      </c>
      <c r="F56" s="3" t="s">
        <v>38</v>
      </c>
      <c r="G56" s="3" t="s">
        <v>142</v>
      </c>
      <c r="H56" s="3">
        <v>1500</v>
      </c>
      <c r="I56" s="3">
        <v>3931</v>
      </c>
      <c r="J56" s="3">
        <v>164</v>
      </c>
      <c r="K56" s="3" t="s">
        <v>143</v>
      </c>
      <c r="L56" s="3" t="s">
        <v>145</v>
      </c>
      <c r="O56" s="4"/>
      <c r="P56" s="10">
        <f t="shared" ref="P56:P62" si="7">I56</f>
        <v>3931</v>
      </c>
      <c r="Q56" s="11">
        <f t="shared" si="3"/>
        <v>246000</v>
      </c>
      <c r="R56" s="11">
        <f>H56*P56*2</f>
        <v>11793000</v>
      </c>
    </row>
    <row r="57" spans="2:20" s="8" customFormat="1" hidden="1" x14ac:dyDescent="0.15">
      <c r="B57" s="12" t="s">
        <v>42</v>
      </c>
      <c r="C57" s="13">
        <v>43402</v>
      </c>
      <c r="D57" s="13">
        <v>43432</v>
      </c>
      <c r="E57" s="12" t="s">
        <v>141</v>
      </c>
      <c r="F57" s="12" t="s">
        <v>38</v>
      </c>
      <c r="G57" s="12" t="s">
        <v>142</v>
      </c>
      <c r="H57" s="12">
        <v>1500</v>
      </c>
      <c r="I57" s="12">
        <v>4342</v>
      </c>
      <c r="J57" s="12">
        <v>164</v>
      </c>
      <c r="K57" s="12" t="s">
        <v>143</v>
      </c>
      <c r="L57" s="12"/>
      <c r="M57" s="12"/>
      <c r="N57" s="12"/>
      <c r="O57" s="13"/>
      <c r="P57" s="17">
        <f t="shared" si="7"/>
        <v>4342</v>
      </c>
      <c r="Q57" s="18">
        <f t="shared" si="3"/>
        <v>246000</v>
      </c>
      <c r="R57" s="18">
        <f>H57*P57*2</f>
        <v>13026000</v>
      </c>
      <c r="S57" s="12"/>
      <c r="T57" s="8" t="s">
        <v>140</v>
      </c>
    </row>
    <row r="58" spans="2:20" s="9" customFormat="1" hidden="1" x14ac:dyDescent="0.15">
      <c r="B58" s="14" t="s">
        <v>42</v>
      </c>
      <c r="C58" s="15">
        <v>43433</v>
      </c>
      <c r="D58" s="15">
        <v>43462</v>
      </c>
      <c r="E58" s="14" t="s">
        <v>146</v>
      </c>
      <c r="F58" s="14" t="s">
        <v>38</v>
      </c>
      <c r="G58" s="14" t="s">
        <v>142</v>
      </c>
      <c r="H58" s="14">
        <v>1500</v>
      </c>
      <c r="I58" s="14">
        <v>4116</v>
      </c>
      <c r="J58" s="14">
        <v>164</v>
      </c>
      <c r="K58" s="14" t="s">
        <v>143</v>
      </c>
      <c r="L58" s="14"/>
      <c r="M58" s="14"/>
      <c r="N58" s="14"/>
      <c r="O58" s="15"/>
      <c r="P58" s="19">
        <v>3537</v>
      </c>
      <c r="Q58" s="20">
        <f t="shared" si="3"/>
        <v>246000</v>
      </c>
      <c r="R58" s="20">
        <f>H58*P58*2</f>
        <v>10611000</v>
      </c>
      <c r="S58" s="14"/>
    </row>
    <row r="59" spans="2:20" s="9" customFormat="1" hidden="1" x14ac:dyDescent="0.15">
      <c r="B59" s="14" t="s">
        <v>147</v>
      </c>
      <c r="C59" s="15">
        <v>43242</v>
      </c>
      <c r="D59" s="15">
        <v>43273</v>
      </c>
      <c r="E59" s="14" t="s">
        <v>148</v>
      </c>
      <c r="F59" s="14" t="s">
        <v>21</v>
      </c>
      <c r="G59" s="14" t="s">
        <v>149</v>
      </c>
      <c r="H59" s="14">
        <v>300</v>
      </c>
      <c r="I59" s="14">
        <v>9290</v>
      </c>
      <c r="J59" s="14">
        <v>320.7</v>
      </c>
      <c r="K59" s="14" t="s">
        <v>150</v>
      </c>
      <c r="L59" s="14"/>
      <c r="M59" s="14"/>
      <c r="N59" s="14"/>
      <c r="O59" s="15"/>
      <c r="P59" s="19">
        <f t="shared" si="7"/>
        <v>9290</v>
      </c>
      <c r="Q59" s="20">
        <v>96210</v>
      </c>
      <c r="R59" s="20">
        <f>H59*P59*2</f>
        <v>5574000</v>
      </c>
      <c r="S59" s="14"/>
    </row>
    <row r="60" spans="2:20" s="9" customFormat="1" hidden="1" x14ac:dyDescent="0.15">
      <c r="B60" s="14" t="s">
        <v>46</v>
      </c>
      <c r="C60" s="15">
        <v>43360</v>
      </c>
      <c r="D60" s="15">
        <v>43382</v>
      </c>
      <c r="E60" s="14" t="s">
        <v>133</v>
      </c>
      <c r="F60" s="14" t="s">
        <v>38</v>
      </c>
      <c r="G60" s="14" t="s">
        <v>131</v>
      </c>
      <c r="H60" s="14">
        <v>15000</v>
      </c>
      <c r="I60" s="14">
        <v>3665.1</v>
      </c>
      <c r="J60" s="14">
        <v>1</v>
      </c>
      <c r="K60" s="14" t="s">
        <v>151</v>
      </c>
      <c r="L60" s="14" t="s">
        <v>152</v>
      </c>
      <c r="M60" s="14"/>
      <c r="N60" s="14"/>
      <c r="O60" s="15"/>
      <c r="P60" s="19">
        <f t="shared" si="7"/>
        <v>3665.1</v>
      </c>
      <c r="Q60" s="20">
        <f t="shared" ref="Q60:Q79" si="8">J60*H60</f>
        <v>15000</v>
      </c>
      <c r="R60" s="20">
        <f>H60*P60</f>
        <v>54976500</v>
      </c>
      <c r="S60" s="14"/>
    </row>
    <row r="61" spans="2:20" s="9" customFormat="1" hidden="1" x14ac:dyDescent="0.15">
      <c r="B61" s="14" t="s">
        <v>36</v>
      </c>
      <c r="C61" s="15">
        <v>43399</v>
      </c>
      <c r="D61" s="15">
        <v>43429</v>
      </c>
      <c r="E61" s="14" t="s">
        <v>153</v>
      </c>
      <c r="F61" s="14" t="s">
        <v>38</v>
      </c>
      <c r="G61" s="14" t="s">
        <v>131</v>
      </c>
      <c r="H61" s="14">
        <v>1000</v>
      </c>
      <c r="I61" s="14">
        <v>10761.8</v>
      </c>
      <c r="J61" s="14">
        <v>465</v>
      </c>
      <c r="K61" s="14" t="s">
        <v>154</v>
      </c>
      <c r="L61" s="14"/>
      <c r="M61" s="14">
        <v>11534.19</v>
      </c>
      <c r="N61" s="14"/>
      <c r="O61" s="15">
        <v>43430</v>
      </c>
      <c r="P61" s="19">
        <f t="shared" si="7"/>
        <v>10761.8</v>
      </c>
      <c r="Q61" s="20">
        <f t="shared" si="8"/>
        <v>465000</v>
      </c>
      <c r="R61" s="20">
        <f t="shared" ref="R61:R79" si="9">H61*P61</f>
        <v>10761800</v>
      </c>
      <c r="S61" s="14"/>
      <c r="T61" s="9" t="s">
        <v>140</v>
      </c>
    </row>
    <row r="62" spans="2:20" s="9" customFormat="1" hidden="1" x14ac:dyDescent="0.15">
      <c r="B62" s="14" t="s">
        <v>36</v>
      </c>
      <c r="C62" s="15">
        <v>43399</v>
      </c>
      <c r="D62" s="15">
        <v>43444</v>
      </c>
      <c r="E62" s="14" t="s">
        <v>155</v>
      </c>
      <c r="F62" s="14" t="s">
        <v>38</v>
      </c>
      <c r="G62" s="14" t="s">
        <v>156</v>
      </c>
      <c r="H62" s="14">
        <v>3000</v>
      </c>
      <c r="I62" s="14">
        <v>5130.2</v>
      </c>
      <c r="J62" s="14">
        <v>150</v>
      </c>
      <c r="K62" s="14" t="s">
        <v>157</v>
      </c>
      <c r="L62" s="14"/>
      <c r="M62" s="14">
        <v>4994.1899999999996</v>
      </c>
      <c r="N62" s="14"/>
      <c r="O62" s="15">
        <v>43444</v>
      </c>
      <c r="P62" s="19">
        <f t="shared" si="7"/>
        <v>5130.2</v>
      </c>
      <c r="Q62" s="20">
        <f t="shared" si="8"/>
        <v>450000</v>
      </c>
      <c r="R62" s="20">
        <f t="shared" si="9"/>
        <v>15390600</v>
      </c>
      <c r="S62" s="14"/>
      <c r="T62" s="9" t="s">
        <v>137</v>
      </c>
    </row>
    <row r="63" spans="2:20" s="9" customFormat="1" hidden="1" x14ac:dyDescent="0.15">
      <c r="B63" s="14" t="s">
        <v>158</v>
      </c>
      <c r="C63" s="15">
        <v>43406</v>
      </c>
      <c r="D63" s="15">
        <v>43449</v>
      </c>
      <c r="E63" s="14" t="s">
        <v>130</v>
      </c>
      <c r="F63" s="14" t="s">
        <v>38</v>
      </c>
      <c r="G63" s="14" t="s">
        <v>159</v>
      </c>
      <c r="H63" s="14">
        <v>20000</v>
      </c>
      <c r="I63" s="14" t="s">
        <v>160</v>
      </c>
      <c r="J63" s="14">
        <f>48-4.09</f>
        <v>43.91</v>
      </c>
      <c r="K63" s="14"/>
      <c r="L63" s="14"/>
      <c r="M63" s="14"/>
      <c r="N63" s="14"/>
      <c r="O63" s="15">
        <v>43432</v>
      </c>
      <c r="P63" s="19">
        <v>1874</v>
      </c>
      <c r="Q63" s="20">
        <f t="shared" si="8"/>
        <v>878199.99999999988</v>
      </c>
      <c r="R63" s="20">
        <f t="shared" si="9"/>
        <v>37480000</v>
      </c>
      <c r="S63" s="14"/>
      <c r="T63" s="9" t="s">
        <v>140</v>
      </c>
    </row>
    <row r="64" spans="2:20" s="9" customFormat="1" hidden="1" x14ac:dyDescent="0.15">
      <c r="B64" s="14" t="s">
        <v>158</v>
      </c>
      <c r="C64" s="15">
        <v>43406</v>
      </c>
      <c r="D64" s="15">
        <v>43449</v>
      </c>
      <c r="E64" s="14" t="s">
        <v>130</v>
      </c>
      <c r="F64" s="14" t="s">
        <v>38</v>
      </c>
      <c r="G64" s="14" t="s">
        <v>159</v>
      </c>
      <c r="H64" s="14">
        <v>20000</v>
      </c>
      <c r="I64" s="14" t="s">
        <v>161</v>
      </c>
      <c r="J64" s="14">
        <f>48-4.09</f>
        <v>43.91</v>
      </c>
      <c r="K64" s="14"/>
      <c r="L64" s="14"/>
      <c r="M64" s="14"/>
      <c r="N64" s="14"/>
      <c r="O64" s="15">
        <v>43432</v>
      </c>
      <c r="P64" s="19">
        <v>1875</v>
      </c>
      <c r="Q64" s="20">
        <f t="shared" si="8"/>
        <v>878199.99999999988</v>
      </c>
      <c r="R64" s="20">
        <f t="shared" si="9"/>
        <v>37500000</v>
      </c>
      <c r="S64" s="14"/>
      <c r="T64" s="9" t="s">
        <v>140</v>
      </c>
    </row>
    <row r="65" spans="1:21" s="9" customFormat="1" hidden="1" x14ac:dyDescent="0.15">
      <c r="B65" s="14" t="s">
        <v>162</v>
      </c>
      <c r="C65" s="15">
        <v>43409</v>
      </c>
      <c r="D65" s="15">
        <v>43420</v>
      </c>
      <c r="E65" s="14" t="s">
        <v>163</v>
      </c>
      <c r="F65" s="14" t="s">
        <v>38</v>
      </c>
      <c r="G65" s="14" t="s">
        <v>164</v>
      </c>
      <c r="H65" s="14">
        <v>5000</v>
      </c>
      <c r="I65" s="14">
        <v>11300</v>
      </c>
      <c r="J65" s="14">
        <v>390.56</v>
      </c>
      <c r="K65" s="14"/>
      <c r="L65" s="14"/>
      <c r="M65" s="14">
        <v>11251.1</v>
      </c>
      <c r="N65" s="14"/>
      <c r="O65" s="15">
        <v>43420</v>
      </c>
      <c r="P65" s="19">
        <f>I65</f>
        <v>11300</v>
      </c>
      <c r="Q65" s="20">
        <f t="shared" si="8"/>
        <v>1952800</v>
      </c>
      <c r="R65" s="20">
        <f t="shared" si="9"/>
        <v>56500000</v>
      </c>
      <c r="S65" s="14"/>
      <c r="T65" s="9" t="s">
        <v>137</v>
      </c>
    </row>
    <row r="66" spans="1:21" s="9" customFormat="1" hidden="1" x14ac:dyDescent="0.15">
      <c r="B66" s="14" t="s">
        <v>158</v>
      </c>
      <c r="C66" s="15">
        <v>43410</v>
      </c>
      <c r="D66" s="15">
        <v>43449</v>
      </c>
      <c r="E66" s="14" t="s">
        <v>130</v>
      </c>
      <c r="F66" s="14" t="s">
        <v>38</v>
      </c>
      <c r="G66" s="14" t="s">
        <v>159</v>
      </c>
      <c r="H66" s="14">
        <v>10000</v>
      </c>
      <c r="I66" s="14" t="s">
        <v>165</v>
      </c>
      <c r="J66" s="14">
        <f>48-4.09</f>
        <v>43.91</v>
      </c>
      <c r="K66" s="14"/>
      <c r="L66" s="14"/>
      <c r="M66" s="14"/>
      <c r="N66" s="14"/>
      <c r="O66" s="15">
        <v>43432</v>
      </c>
      <c r="P66" s="19">
        <v>1886</v>
      </c>
      <c r="Q66" s="20">
        <f t="shared" si="8"/>
        <v>439099.99999999994</v>
      </c>
      <c r="R66" s="20">
        <f t="shared" si="9"/>
        <v>18860000</v>
      </c>
      <c r="S66" s="14"/>
      <c r="T66" s="9" t="s">
        <v>140</v>
      </c>
    </row>
    <row r="67" spans="1:21" s="9" customFormat="1" hidden="1" x14ac:dyDescent="0.15">
      <c r="B67" s="14" t="s">
        <v>158</v>
      </c>
      <c r="C67" s="15">
        <v>43412</v>
      </c>
      <c r="D67" s="15">
        <v>43449</v>
      </c>
      <c r="E67" s="14" t="s">
        <v>130</v>
      </c>
      <c r="F67" s="14" t="s">
        <v>38</v>
      </c>
      <c r="G67" s="14" t="s">
        <v>159</v>
      </c>
      <c r="H67" s="14">
        <v>10000</v>
      </c>
      <c r="I67" s="14" t="s">
        <v>166</v>
      </c>
      <c r="J67" s="14">
        <f>48-4.09</f>
        <v>43.91</v>
      </c>
      <c r="K67" s="14"/>
      <c r="L67" s="14"/>
      <c r="M67" s="14"/>
      <c r="N67" s="14"/>
      <c r="O67" s="15">
        <v>43432</v>
      </c>
      <c r="P67" s="19">
        <v>1892</v>
      </c>
      <c r="Q67" s="20">
        <f t="shared" si="8"/>
        <v>439099.99999999994</v>
      </c>
      <c r="R67" s="20">
        <f t="shared" si="9"/>
        <v>18920000</v>
      </c>
      <c r="S67" s="14"/>
      <c r="T67" s="9" t="s">
        <v>140</v>
      </c>
    </row>
    <row r="68" spans="1:21" s="9" customFormat="1" hidden="1" x14ac:dyDescent="0.15">
      <c r="B68" s="14" t="s">
        <v>158</v>
      </c>
      <c r="C68" s="15">
        <v>43412</v>
      </c>
      <c r="D68" s="15">
        <v>43449</v>
      </c>
      <c r="E68" s="14" t="s">
        <v>130</v>
      </c>
      <c r="F68" s="14" t="s">
        <v>38</v>
      </c>
      <c r="G68" s="14" t="s">
        <v>159</v>
      </c>
      <c r="H68" s="14">
        <v>20000</v>
      </c>
      <c r="I68" s="14" t="s">
        <v>166</v>
      </c>
      <c r="J68" s="14">
        <f>48-4.09</f>
        <v>43.91</v>
      </c>
      <c r="K68" s="14"/>
      <c r="L68" s="14"/>
      <c r="M68" s="14"/>
      <c r="N68" s="14"/>
      <c r="O68" s="15">
        <v>43432</v>
      </c>
      <c r="P68" s="19">
        <v>1892</v>
      </c>
      <c r="Q68" s="20">
        <f t="shared" si="8"/>
        <v>878199.99999999988</v>
      </c>
      <c r="R68" s="20">
        <f t="shared" si="9"/>
        <v>37840000</v>
      </c>
      <c r="S68" s="14"/>
      <c r="T68" s="9" t="s">
        <v>140</v>
      </c>
    </row>
    <row r="69" spans="1:21" s="9" customFormat="1" hidden="1" x14ac:dyDescent="0.15">
      <c r="B69" s="14" t="s">
        <v>167</v>
      </c>
      <c r="C69" s="15">
        <v>43413</v>
      </c>
      <c r="D69" s="15">
        <v>43441</v>
      </c>
      <c r="E69" s="14" t="s">
        <v>153</v>
      </c>
      <c r="F69" s="14" t="s">
        <v>21</v>
      </c>
      <c r="G69" s="14" t="s">
        <v>56</v>
      </c>
      <c r="H69" s="14">
        <v>1000</v>
      </c>
      <c r="I69" s="14">
        <v>11550</v>
      </c>
      <c r="J69" s="14">
        <f>I69*0.0308</f>
        <v>355.74</v>
      </c>
      <c r="K69" s="14" t="s">
        <v>168</v>
      </c>
      <c r="L69" s="14"/>
      <c r="M69" s="14">
        <v>11608</v>
      </c>
      <c r="N69" s="14"/>
      <c r="O69" s="15">
        <v>43441</v>
      </c>
      <c r="P69" s="19">
        <v>11550</v>
      </c>
      <c r="Q69" s="20">
        <f t="shared" si="8"/>
        <v>355740</v>
      </c>
      <c r="R69" s="20">
        <f t="shared" si="9"/>
        <v>11550000</v>
      </c>
      <c r="S69" s="14"/>
    </row>
    <row r="70" spans="1:21" s="9" customFormat="1" hidden="1" x14ac:dyDescent="0.15">
      <c r="B70" s="14" t="s">
        <v>167</v>
      </c>
      <c r="C70" s="15">
        <v>43413</v>
      </c>
      <c r="D70" s="15">
        <v>43441</v>
      </c>
      <c r="E70" s="14" t="s">
        <v>153</v>
      </c>
      <c r="F70" s="14" t="s">
        <v>21</v>
      </c>
      <c r="G70" s="14" t="s">
        <v>59</v>
      </c>
      <c r="H70" s="14">
        <v>1000</v>
      </c>
      <c r="I70" s="14">
        <v>11550</v>
      </c>
      <c r="J70" s="14">
        <f>I70*0.0308</f>
        <v>355.74</v>
      </c>
      <c r="K70" s="14" t="s">
        <v>169</v>
      </c>
      <c r="L70" s="14"/>
      <c r="M70" s="14">
        <v>11608</v>
      </c>
      <c r="N70" s="14"/>
      <c r="O70" s="15">
        <v>43441</v>
      </c>
      <c r="P70" s="19">
        <v>11550</v>
      </c>
      <c r="Q70" s="20">
        <f t="shared" si="8"/>
        <v>355740</v>
      </c>
      <c r="R70" s="20">
        <f t="shared" si="9"/>
        <v>11550000</v>
      </c>
      <c r="S70" s="14"/>
    </row>
    <row r="71" spans="1:21" s="9" customFormat="1" hidden="1" x14ac:dyDescent="0.15">
      <c r="B71" s="14" t="s">
        <v>170</v>
      </c>
      <c r="C71" s="15">
        <v>43426</v>
      </c>
      <c r="D71" s="15">
        <v>43454</v>
      </c>
      <c r="E71" s="14" t="s">
        <v>171</v>
      </c>
      <c r="F71" s="14" t="s">
        <v>38</v>
      </c>
      <c r="G71" s="14" t="s">
        <v>59</v>
      </c>
      <c r="H71" s="14">
        <v>5000</v>
      </c>
      <c r="I71" s="14">
        <v>3385</v>
      </c>
      <c r="J71" s="14">
        <v>341.4</v>
      </c>
      <c r="K71" s="14" t="s">
        <v>172</v>
      </c>
      <c r="L71" s="14"/>
      <c r="M71" s="14">
        <v>3765</v>
      </c>
      <c r="N71" s="14"/>
      <c r="O71" s="15">
        <v>43454</v>
      </c>
      <c r="P71" s="19">
        <f>I71</f>
        <v>3385</v>
      </c>
      <c r="Q71" s="20">
        <f t="shared" si="8"/>
        <v>1707000</v>
      </c>
      <c r="R71" s="20">
        <f t="shared" si="9"/>
        <v>16925000</v>
      </c>
      <c r="S71" s="14"/>
    </row>
    <row r="72" spans="1:21" s="9" customFormat="1" hidden="1" x14ac:dyDescent="0.15">
      <c r="B72" s="613" t="s">
        <v>173</v>
      </c>
      <c r="C72" s="615">
        <v>43427</v>
      </c>
      <c r="D72" s="615">
        <v>43458.625</v>
      </c>
      <c r="E72" s="613" t="s">
        <v>174</v>
      </c>
      <c r="F72" s="39" t="s">
        <v>38</v>
      </c>
      <c r="G72" s="39" t="s">
        <v>22</v>
      </c>
      <c r="H72" s="39">
        <v>2100</v>
      </c>
      <c r="I72" s="39">
        <v>2218.6999999999998</v>
      </c>
      <c r="J72" s="39">
        <v>91.9</v>
      </c>
      <c r="K72" s="616" t="s">
        <v>175</v>
      </c>
      <c r="L72" s="14"/>
      <c r="M72" s="14"/>
      <c r="N72" s="14">
        <v>166.2</v>
      </c>
      <c r="O72" s="15">
        <v>43458</v>
      </c>
      <c r="P72" s="19">
        <f t="shared" ref="P72:P77" si="10">I72</f>
        <v>2218.6999999999998</v>
      </c>
      <c r="Q72" s="20">
        <f t="shared" si="8"/>
        <v>192990</v>
      </c>
      <c r="R72" s="20">
        <f t="shared" si="9"/>
        <v>4659270</v>
      </c>
      <c r="S72" s="14"/>
    </row>
    <row r="73" spans="1:21" s="9" customFormat="1" hidden="1" x14ac:dyDescent="0.15">
      <c r="B73" s="613"/>
      <c r="C73" s="615"/>
      <c r="D73" s="615"/>
      <c r="E73" s="613"/>
      <c r="F73" s="39" t="s">
        <v>38</v>
      </c>
      <c r="G73" s="39" t="s">
        <v>22</v>
      </c>
      <c r="H73" s="39">
        <v>4200</v>
      </c>
      <c r="I73" s="39">
        <v>2268.6999999999998</v>
      </c>
      <c r="J73" s="39">
        <v>70.400000000000006</v>
      </c>
      <c r="K73" s="617"/>
      <c r="L73" s="14"/>
      <c r="M73" s="14"/>
      <c r="N73" s="14">
        <v>132</v>
      </c>
      <c r="O73" s="15">
        <v>43458</v>
      </c>
      <c r="P73" s="19">
        <f t="shared" si="10"/>
        <v>2268.6999999999998</v>
      </c>
      <c r="Q73" s="20">
        <f t="shared" si="8"/>
        <v>295680</v>
      </c>
      <c r="R73" s="20">
        <f t="shared" si="9"/>
        <v>9528540</v>
      </c>
      <c r="S73" s="14"/>
    </row>
    <row r="74" spans="1:21" s="9" customFormat="1" hidden="1" x14ac:dyDescent="0.15">
      <c r="B74" s="613" t="s">
        <v>79</v>
      </c>
      <c r="C74" s="615">
        <v>43432</v>
      </c>
      <c r="D74" s="615">
        <v>43455</v>
      </c>
      <c r="E74" s="613" t="s">
        <v>176</v>
      </c>
      <c r="F74" s="613" t="s">
        <v>38</v>
      </c>
      <c r="G74" s="39" t="s">
        <v>177</v>
      </c>
      <c r="H74" s="21">
        <v>25000</v>
      </c>
      <c r="I74" s="39">
        <v>424.4</v>
      </c>
      <c r="J74" s="39">
        <v>16.98</v>
      </c>
      <c r="K74" s="613" t="s">
        <v>178</v>
      </c>
      <c r="L74" s="14"/>
      <c r="M74" s="14"/>
      <c r="N74" s="14">
        <v>404.8</v>
      </c>
      <c r="O74" s="15">
        <v>43455</v>
      </c>
      <c r="P74" s="19">
        <f t="shared" si="10"/>
        <v>424.4</v>
      </c>
      <c r="Q74" s="20">
        <f t="shared" si="8"/>
        <v>424500</v>
      </c>
      <c r="R74" s="20">
        <f t="shared" si="9"/>
        <v>10610000</v>
      </c>
      <c r="S74" s="14"/>
    </row>
    <row r="75" spans="1:21" s="9" customFormat="1" hidden="1" x14ac:dyDescent="0.15">
      <c r="B75" s="613"/>
      <c r="C75" s="615"/>
      <c r="D75" s="615"/>
      <c r="E75" s="613"/>
      <c r="F75" s="613"/>
      <c r="G75" s="39" t="s">
        <v>25</v>
      </c>
      <c r="H75" s="21">
        <v>25000</v>
      </c>
      <c r="I75" s="39">
        <v>424.4</v>
      </c>
      <c r="J75" s="39">
        <v>16.98</v>
      </c>
      <c r="K75" s="613"/>
      <c r="L75" s="14"/>
      <c r="M75" s="14"/>
      <c r="N75" s="14">
        <v>404.8</v>
      </c>
      <c r="O75" s="15">
        <v>43455</v>
      </c>
      <c r="P75" s="19">
        <f t="shared" si="10"/>
        <v>424.4</v>
      </c>
      <c r="Q75" s="20">
        <f t="shared" si="8"/>
        <v>424500</v>
      </c>
      <c r="R75" s="20">
        <f t="shared" si="9"/>
        <v>10610000</v>
      </c>
      <c r="S75" s="14"/>
    </row>
    <row r="76" spans="1:21" s="9" customFormat="1" ht="27.75" hidden="1" customHeight="1" x14ac:dyDescent="0.15">
      <c r="B76" s="14" t="s">
        <v>179</v>
      </c>
      <c r="C76" s="15">
        <v>43432</v>
      </c>
      <c r="D76" s="15">
        <v>43446</v>
      </c>
      <c r="E76" s="14" t="s">
        <v>180</v>
      </c>
      <c r="F76" s="14" t="s">
        <v>38</v>
      </c>
      <c r="G76" s="14" t="s">
        <v>25</v>
      </c>
      <c r="H76" s="22">
        <v>2000</v>
      </c>
      <c r="I76" s="14">
        <v>3560</v>
      </c>
      <c r="J76" s="14">
        <v>76.900000000000006</v>
      </c>
      <c r="K76" s="14" t="s">
        <v>181</v>
      </c>
      <c r="L76" s="14"/>
      <c r="M76" s="14"/>
      <c r="N76" s="14">
        <v>0</v>
      </c>
      <c r="O76" s="15">
        <v>43446</v>
      </c>
      <c r="P76" s="19">
        <f t="shared" si="10"/>
        <v>3560</v>
      </c>
      <c r="Q76" s="20">
        <f t="shared" si="8"/>
        <v>153800</v>
      </c>
      <c r="R76" s="20">
        <f t="shared" si="9"/>
        <v>7120000</v>
      </c>
      <c r="S76" s="14"/>
    </row>
    <row r="77" spans="1:21" s="30" customFormat="1" ht="27.75" hidden="1" customHeight="1" x14ac:dyDescent="0.15">
      <c r="B77" s="25" t="s">
        <v>36</v>
      </c>
      <c r="C77" s="26">
        <v>43437</v>
      </c>
      <c r="D77" s="26">
        <v>43462</v>
      </c>
      <c r="E77" s="25" t="s">
        <v>182</v>
      </c>
      <c r="F77" s="25" t="s">
        <v>38</v>
      </c>
      <c r="G77" s="27" t="s">
        <v>131</v>
      </c>
      <c r="H77" s="25">
        <v>1000</v>
      </c>
      <c r="I77" s="25">
        <v>11505</v>
      </c>
      <c r="J77" s="25">
        <v>465</v>
      </c>
      <c r="K77" s="25" t="s">
        <v>183</v>
      </c>
      <c r="L77" s="25"/>
      <c r="M77" s="25"/>
      <c r="N77" s="25"/>
      <c r="O77" s="25"/>
      <c r="P77" s="28">
        <f t="shared" si="10"/>
        <v>11505</v>
      </c>
      <c r="Q77" s="29">
        <f t="shared" si="8"/>
        <v>465000</v>
      </c>
      <c r="R77" s="29">
        <f t="shared" si="9"/>
        <v>11505000</v>
      </c>
      <c r="S77" s="25"/>
      <c r="T77" s="30" t="s">
        <v>137</v>
      </c>
    </row>
    <row r="78" spans="1:21" ht="27.75" hidden="1" customHeight="1" thickBot="1" x14ac:dyDescent="0.2">
      <c r="B78" s="3" t="s">
        <v>36</v>
      </c>
      <c r="C78" s="4">
        <v>43467</v>
      </c>
      <c r="D78" s="4">
        <v>43496</v>
      </c>
      <c r="E78" s="3" t="s">
        <v>182</v>
      </c>
      <c r="F78" s="3" t="s">
        <v>38</v>
      </c>
      <c r="G78" s="23" t="s">
        <v>131</v>
      </c>
      <c r="H78" s="3">
        <v>1000</v>
      </c>
      <c r="I78" s="3" t="s">
        <v>184</v>
      </c>
      <c r="J78" s="3">
        <v>465</v>
      </c>
      <c r="K78" s="3" t="s">
        <v>185</v>
      </c>
      <c r="Q78" s="11">
        <f t="shared" si="8"/>
        <v>465000</v>
      </c>
      <c r="T78" s="1" t="s">
        <v>137</v>
      </c>
    </row>
    <row r="79" spans="1:21" s="30" customFormat="1" ht="27.75" hidden="1" customHeight="1" thickBot="1" x14ac:dyDescent="0.2">
      <c r="B79" s="25" t="s">
        <v>42</v>
      </c>
      <c r="C79" s="26">
        <v>43440</v>
      </c>
      <c r="D79" s="26">
        <v>43462</v>
      </c>
      <c r="E79" s="25" t="s">
        <v>186</v>
      </c>
      <c r="F79" s="25" t="s">
        <v>38</v>
      </c>
      <c r="G79" s="25" t="s">
        <v>187</v>
      </c>
      <c r="H79" s="25">
        <v>1000</v>
      </c>
      <c r="I79" s="25">
        <v>14635</v>
      </c>
      <c r="J79" s="25">
        <v>175.39</v>
      </c>
      <c r="K79" s="25" t="s">
        <v>188</v>
      </c>
      <c r="L79" s="25"/>
      <c r="M79" s="25"/>
      <c r="N79" s="25"/>
      <c r="O79" s="25"/>
      <c r="P79" s="28">
        <v>14616</v>
      </c>
      <c r="Q79" s="29">
        <f t="shared" si="8"/>
        <v>175390</v>
      </c>
      <c r="R79" s="29">
        <f t="shared" si="9"/>
        <v>14616000</v>
      </c>
      <c r="S79" s="25"/>
      <c r="T79" s="30" t="s">
        <v>137</v>
      </c>
    </row>
    <row r="80" spans="1:21" ht="27.75" customHeight="1" x14ac:dyDescent="0.15">
      <c r="A80" s="67"/>
      <c r="B80" s="68" t="s">
        <v>249</v>
      </c>
      <c r="C80" s="69">
        <v>43445</v>
      </c>
      <c r="D80" s="69">
        <v>43489</v>
      </c>
      <c r="E80" s="68" t="s">
        <v>204</v>
      </c>
      <c r="F80" s="68" t="s">
        <v>241</v>
      </c>
      <c r="G80" s="66" t="s">
        <v>156</v>
      </c>
      <c r="H80" s="3">
        <v>3000</v>
      </c>
      <c r="I80" s="3">
        <v>4507</v>
      </c>
      <c r="J80" s="3">
        <v>183.33</v>
      </c>
      <c r="K80" s="3" t="s">
        <v>209</v>
      </c>
      <c r="O80" s="68"/>
      <c r="P80" s="70">
        <v>4905</v>
      </c>
      <c r="Q80" s="71">
        <f t="shared" ref="Q80:Q86" si="11">J80*H80</f>
        <v>549990</v>
      </c>
      <c r="R80" s="71">
        <f t="shared" ref="R80:R86" si="12">H80*P80</f>
        <v>14715000</v>
      </c>
      <c r="S80" s="68"/>
      <c r="T80" s="67" t="s">
        <v>137</v>
      </c>
      <c r="U80" s="67"/>
    </row>
    <row r="81" spans="1:21" ht="15" customHeight="1" x14ac:dyDescent="0.15">
      <c r="A81" s="94"/>
      <c r="B81" s="94" t="s">
        <v>205</v>
      </c>
      <c r="C81" s="95">
        <v>43452</v>
      </c>
      <c r="D81" s="95">
        <v>43514</v>
      </c>
      <c r="E81" s="94" t="s">
        <v>202</v>
      </c>
      <c r="F81" s="94" t="s">
        <v>222</v>
      </c>
      <c r="G81" s="94" t="s">
        <v>257</v>
      </c>
      <c r="H81" s="94">
        <v>1000</v>
      </c>
      <c r="I81" s="94">
        <v>6365</v>
      </c>
      <c r="J81" s="94">
        <v>146.9</v>
      </c>
      <c r="K81" s="94" t="s">
        <v>210</v>
      </c>
      <c r="L81" s="94"/>
      <c r="M81" s="94"/>
      <c r="N81" s="94"/>
      <c r="O81" s="94"/>
      <c r="P81" s="70">
        <f t="shared" ref="P81:P86" si="13">I81</f>
        <v>6365</v>
      </c>
      <c r="Q81" s="71">
        <f t="shared" si="11"/>
        <v>146900</v>
      </c>
      <c r="R81" s="71">
        <f t="shared" si="12"/>
        <v>6365000</v>
      </c>
      <c r="S81" s="94"/>
      <c r="T81" s="94" t="s">
        <v>255</v>
      </c>
      <c r="U81" s="94"/>
    </row>
    <row r="82" spans="1:21" x14ac:dyDescent="0.15">
      <c r="A82" s="94"/>
      <c r="B82" s="94" t="s">
        <v>205</v>
      </c>
      <c r="C82" s="95">
        <v>43452</v>
      </c>
      <c r="D82" s="95">
        <v>43514</v>
      </c>
      <c r="E82" s="94" t="s">
        <v>202</v>
      </c>
      <c r="F82" s="94" t="s">
        <v>222</v>
      </c>
      <c r="G82" s="94" t="s">
        <v>25</v>
      </c>
      <c r="H82" s="94">
        <v>1000</v>
      </c>
      <c r="I82" s="94">
        <v>6365</v>
      </c>
      <c r="J82" s="94">
        <v>146.9</v>
      </c>
      <c r="K82" s="94"/>
      <c r="L82" s="94"/>
      <c r="M82" s="94"/>
      <c r="N82" s="94"/>
      <c r="O82" s="94"/>
      <c r="P82" s="10">
        <f t="shared" si="13"/>
        <v>6365</v>
      </c>
      <c r="Q82" s="11">
        <f t="shared" si="11"/>
        <v>146900</v>
      </c>
      <c r="R82" s="11">
        <f t="shared" si="12"/>
        <v>6365000</v>
      </c>
      <c r="S82" s="96"/>
      <c r="T82" s="96" t="s">
        <v>137</v>
      </c>
      <c r="U82" s="96"/>
    </row>
    <row r="83" spans="1:21" x14ac:dyDescent="0.15">
      <c r="A83" s="94"/>
      <c r="B83" s="94" t="s">
        <v>208</v>
      </c>
      <c r="C83" s="95">
        <v>43454</v>
      </c>
      <c r="D83" s="95">
        <v>43483</v>
      </c>
      <c r="E83" s="94" t="s">
        <v>207</v>
      </c>
      <c r="F83" s="94" t="s">
        <v>21</v>
      </c>
      <c r="G83" s="94" t="s">
        <v>177</v>
      </c>
      <c r="H83" s="94">
        <v>2000</v>
      </c>
      <c r="I83" s="94">
        <v>2332</v>
      </c>
      <c r="J83" s="94">
        <v>29.15</v>
      </c>
      <c r="K83" s="94" t="s">
        <v>211</v>
      </c>
      <c r="L83" s="94"/>
      <c r="M83" s="94"/>
      <c r="N83" s="94"/>
      <c r="O83" s="94"/>
      <c r="P83" s="70">
        <f t="shared" si="13"/>
        <v>2332</v>
      </c>
      <c r="Q83" s="71">
        <f t="shared" si="11"/>
        <v>58300</v>
      </c>
      <c r="R83" s="71">
        <f t="shared" si="12"/>
        <v>4664000</v>
      </c>
      <c r="S83" s="67"/>
      <c r="T83" s="67"/>
      <c r="U83" s="67"/>
    </row>
    <row r="84" spans="1:21" ht="14.25" hidden="1" customHeight="1" x14ac:dyDescent="0.15">
      <c r="A84" s="94"/>
      <c r="B84" s="94"/>
      <c r="C84" s="95"/>
      <c r="D84" s="95"/>
      <c r="E84" s="94"/>
      <c r="F84" s="94"/>
      <c r="G84" s="94" t="s">
        <v>25</v>
      </c>
      <c r="H84" s="94">
        <v>2000</v>
      </c>
      <c r="I84" s="94">
        <v>2332</v>
      </c>
      <c r="J84" s="94">
        <v>29.15</v>
      </c>
      <c r="K84" s="94"/>
      <c r="L84" s="94"/>
      <c r="M84" s="94"/>
      <c r="N84" s="94"/>
      <c r="O84" s="94"/>
      <c r="P84" s="10">
        <f t="shared" si="13"/>
        <v>2332</v>
      </c>
      <c r="Q84" s="11">
        <f t="shared" si="11"/>
        <v>58300</v>
      </c>
      <c r="R84" s="11">
        <f t="shared" si="12"/>
        <v>4664000</v>
      </c>
      <c r="S84" s="1"/>
    </row>
    <row r="85" spans="1:21" x14ac:dyDescent="0.15">
      <c r="A85" s="94"/>
      <c r="B85" s="94" t="s">
        <v>208</v>
      </c>
      <c r="C85" s="95">
        <v>43455</v>
      </c>
      <c r="D85" s="95">
        <v>43486</v>
      </c>
      <c r="E85" s="94" t="s">
        <v>231</v>
      </c>
      <c r="F85" s="94" t="s">
        <v>21</v>
      </c>
      <c r="G85" s="94" t="s">
        <v>177</v>
      </c>
      <c r="H85" s="94">
        <v>1500</v>
      </c>
      <c r="I85" s="94">
        <v>6030</v>
      </c>
      <c r="J85" s="94">
        <v>150.21</v>
      </c>
      <c r="K85" s="94" t="s">
        <v>212</v>
      </c>
      <c r="L85" s="94"/>
      <c r="M85" s="94"/>
      <c r="N85" s="94"/>
      <c r="O85" s="94"/>
      <c r="P85" s="70">
        <f t="shared" si="13"/>
        <v>6030</v>
      </c>
      <c r="Q85" s="71">
        <f t="shared" si="11"/>
        <v>225315</v>
      </c>
      <c r="R85" s="71">
        <f t="shared" si="12"/>
        <v>9045000</v>
      </c>
      <c r="S85" s="67"/>
      <c r="T85" s="67"/>
      <c r="U85" s="67"/>
    </row>
    <row r="86" spans="1:21" ht="14.25" hidden="1" customHeight="1" x14ac:dyDescent="0.15">
      <c r="A86" s="94"/>
      <c r="B86" s="94"/>
      <c r="C86" s="95"/>
      <c r="D86" s="95"/>
      <c r="E86" s="94"/>
      <c r="F86" s="94"/>
      <c r="G86" s="94" t="s">
        <v>25</v>
      </c>
      <c r="H86" s="94">
        <v>1500</v>
      </c>
      <c r="I86" s="94">
        <v>6030</v>
      </c>
      <c r="J86" s="94">
        <v>150.21</v>
      </c>
      <c r="K86" s="94"/>
      <c r="L86" s="94"/>
      <c r="M86" s="94"/>
      <c r="N86" s="94"/>
      <c r="O86" s="94"/>
      <c r="P86" s="10">
        <f t="shared" si="13"/>
        <v>6030</v>
      </c>
      <c r="Q86" s="11">
        <f t="shared" si="11"/>
        <v>225315</v>
      </c>
      <c r="R86" s="11">
        <f t="shared" si="12"/>
        <v>9045000</v>
      </c>
      <c r="S86" s="1"/>
    </row>
    <row r="87" spans="1:21" x14ac:dyDescent="0.15">
      <c r="A87" s="94"/>
      <c r="B87" s="94" t="s">
        <v>213</v>
      </c>
      <c r="C87" s="95">
        <v>43458</v>
      </c>
      <c r="D87" s="95">
        <v>43473</v>
      </c>
      <c r="E87" s="94" t="s">
        <v>233</v>
      </c>
      <c r="F87" s="94" t="s">
        <v>21</v>
      </c>
      <c r="G87" s="94" t="s">
        <v>190</v>
      </c>
      <c r="H87" s="94">
        <f>ROUND(R87/P87,0)</f>
        <v>350447</v>
      </c>
      <c r="I87" s="94">
        <v>328.15</v>
      </c>
      <c r="J87" s="98">
        <f>Q87/H87</f>
        <v>6.8483964765000127E-2</v>
      </c>
      <c r="K87" s="94" t="s">
        <v>214</v>
      </c>
      <c r="L87" s="94"/>
      <c r="M87" s="94"/>
      <c r="N87" s="94"/>
      <c r="O87" s="94"/>
      <c r="P87" s="71">
        <v>285.35000000000002</v>
      </c>
      <c r="Q87" s="71">
        <f>R87*0.00024</f>
        <v>24000</v>
      </c>
      <c r="R87" s="71">
        <v>100000000</v>
      </c>
      <c r="S87" s="67"/>
      <c r="T87" s="67"/>
      <c r="U87" s="67"/>
    </row>
    <row r="88" spans="1:21" x14ac:dyDescent="0.15">
      <c r="A88" s="94"/>
      <c r="B88" s="94" t="s">
        <v>170</v>
      </c>
      <c r="C88" s="95">
        <v>43458</v>
      </c>
      <c r="D88" s="95">
        <v>43473</v>
      </c>
      <c r="E88" s="94" t="s">
        <v>233</v>
      </c>
      <c r="F88" s="94" t="s">
        <v>38</v>
      </c>
      <c r="G88" s="94" t="s">
        <v>190</v>
      </c>
      <c r="H88" s="94">
        <f t="shared" ref="H88:H94" si="14">ROUND(R88/P88,0)</f>
        <v>350447</v>
      </c>
      <c r="I88" s="94">
        <v>331.01</v>
      </c>
      <c r="J88" s="98">
        <f t="shared" ref="J88:J94" si="15">Q88/H88</f>
        <v>1.1413994127500021E-2</v>
      </c>
      <c r="K88" s="94" t="s">
        <v>191</v>
      </c>
      <c r="L88" s="94"/>
      <c r="M88" s="94"/>
      <c r="N88" s="94"/>
      <c r="O88" s="94"/>
      <c r="P88" s="71">
        <v>285.35000000000002</v>
      </c>
      <c r="Q88" s="71">
        <v>4000</v>
      </c>
      <c r="R88" s="71">
        <v>100000000</v>
      </c>
      <c r="S88" s="67"/>
      <c r="T88" s="67"/>
      <c r="U88" s="67"/>
    </row>
    <row r="89" spans="1:21" x14ac:dyDescent="0.15">
      <c r="A89" s="94"/>
      <c r="B89" s="94" t="s">
        <v>170</v>
      </c>
      <c r="C89" s="95">
        <v>43458</v>
      </c>
      <c r="D89" s="95">
        <v>43473</v>
      </c>
      <c r="E89" s="94" t="s">
        <v>234</v>
      </c>
      <c r="F89" s="94" t="s">
        <v>38</v>
      </c>
      <c r="G89" s="94" t="s">
        <v>190</v>
      </c>
      <c r="H89" s="94">
        <f t="shared" si="14"/>
        <v>27855</v>
      </c>
      <c r="I89" s="94">
        <v>4128.5</v>
      </c>
      <c r="J89" s="98">
        <f t="shared" si="15"/>
        <v>0.86160473882606359</v>
      </c>
      <c r="K89" s="94" t="s">
        <v>215</v>
      </c>
      <c r="L89" s="94"/>
      <c r="M89" s="94"/>
      <c r="N89" s="94"/>
      <c r="O89" s="94"/>
      <c r="P89" s="71">
        <v>3590</v>
      </c>
      <c r="Q89" s="71">
        <f>R89*0.00024</f>
        <v>24000</v>
      </c>
      <c r="R89" s="71">
        <v>100000000</v>
      </c>
      <c r="S89" s="67"/>
      <c r="T89" s="67"/>
      <c r="U89" s="67"/>
    </row>
    <row r="90" spans="1:21" x14ac:dyDescent="0.15">
      <c r="A90" s="94"/>
      <c r="B90" s="94" t="s">
        <v>170</v>
      </c>
      <c r="C90" s="95">
        <v>43458</v>
      </c>
      <c r="D90" s="95">
        <v>43473</v>
      </c>
      <c r="E90" s="94" t="s">
        <v>234</v>
      </c>
      <c r="F90" s="94" t="s">
        <v>21</v>
      </c>
      <c r="G90" s="94" t="s">
        <v>190</v>
      </c>
      <c r="H90" s="94">
        <f t="shared" si="14"/>
        <v>27855</v>
      </c>
      <c r="I90" s="94">
        <v>4164.3999999999996</v>
      </c>
      <c r="J90" s="98">
        <f t="shared" si="15"/>
        <v>0.14360078980434393</v>
      </c>
      <c r="K90" s="94" t="s">
        <v>192</v>
      </c>
      <c r="L90" s="94"/>
      <c r="M90" s="94"/>
      <c r="N90" s="94"/>
      <c r="O90" s="94"/>
      <c r="P90" s="71">
        <v>3590</v>
      </c>
      <c r="Q90" s="71">
        <v>4000</v>
      </c>
      <c r="R90" s="71">
        <v>100000000</v>
      </c>
      <c r="S90" s="67"/>
      <c r="T90" s="67"/>
      <c r="U90" s="67"/>
    </row>
    <row r="91" spans="1:21" x14ac:dyDescent="0.15">
      <c r="A91" s="94"/>
      <c r="B91" s="94" t="s">
        <v>216</v>
      </c>
      <c r="C91" s="95">
        <v>43458</v>
      </c>
      <c r="D91" s="95">
        <v>43472</v>
      </c>
      <c r="E91" s="94" t="s">
        <v>233</v>
      </c>
      <c r="F91" s="94" t="s">
        <v>21</v>
      </c>
      <c r="G91" s="94" t="s">
        <v>190</v>
      </c>
      <c r="H91" s="94">
        <f t="shared" si="14"/>
        <v>350385</v>
      </c>
      <c r="I91" s="94">
        <v>328.21</v>
      </c>
      <c r="J91" s="98">
        <f t="shared" si="15"/>
        <v>5.7080069066883572E-2</v>
      </c>
      <c r="K91" s="94" t="s">
        <v>194</v>
      </c>
      <c r="L91" s="94"/>
      <c r="M91" s="94"/>
      <c r="N91" s="94"/>
      <c r="O91" s="94"/>
      <c r="P91" s="71">
        <v>285.39999999999998</v>
      </c>
      <c r="Q91" s="71">
        <v>20000</v>
      </c>
      <c r="R91" s="71">
        <v>100000000</v>
      </c>
      <c r="S91" s="67"/>
      <c r="T91" s="67"/>
      <c r="U91" s="67"/>
    </row>
    <row r="92" spans="1:21" x14ac:dyDescent="0.15">
      <c r="A92" s="94"/>
      <c r="B92" s="94" t="s">
        <v>193</v>
      </c>
      <c r="C92" s="95">
        <v>43458</v>
      </c>
      <c r="D92" s="95">
        <v>43472</v>
      </c>
      <c r="E92" s="94" t="s">
        <v>233</v>
      </c>
      <c r="F92" s="94" t="s">
        <v>38</v>
      </c>
      <c r="G92" s="94" t="s">
        <v>190</v>
      </c>
      <c r="H92" s="94">
        <f t="shared" si="14"/>
        <v>350385</v>
      </c>
      <c r="I92" s="94">
        <v>331.06400000000002</v>
      </c>
      <c r="J92" s="98">
        <f t="shared" si="15"/>
        <v>2.8540034533441786E-2</v>
      </c>
      <c r="K92" s="94" t="s">
        <v>194</v>
      </c>
      <c r="L92" s="94"/>
      <c r="M92" s="94"/>
      <c r="N92" s="94"/>
      <c r="O92" s="94"/>
      <c r="P92" s="71">
        <v>285.39999999999998</v>
      </c>
      <c r="Q92" s="71">
        <v>10000</v>
      </c>
      <c r="R92" s="71">
        <v>100000000</v>
      </c>
      <c r="S92" s="67"/>
      <c r="T92" s="67"/>
      <c r="U92" s="67"/>
    </row>
    <row r="93" spans="1:21" x14ac:dyDescent="0.15">
      <c r="A93" s="94"/>
      <c r="B93" s="94" t="s">
        <v>193</v>
      </c>
      <c r="C93" s="95">
        <v>43458</v>
      </c>
      <c r="D93" s="95">
        <v>43472</v>
      </c>
      <c r="E93" s="94" t="s">
        <v>234</v>
      </c>
      <c r="F93" s="94" t="s">
        <v>38</v>
      </c>
      <c r="G93" s="94" t="s">
        <v>190</v>
      </c>
      <c r="H93" s="94">
        <f t="shared" si="14"/>
        <v>27847</v>
      </c>
      <c r="I93" s="94">
        <v>4129.6499999999996</v>
      </c>
      <c r="J93" s="98">
        <f t="shared" si="15"/>
        <v>0.71821022013143243</v>
      </c>
      <c r="K93" s="94" t="s">
        <v>195</v>
      </c>
      <c r="L93" s="94"/>
      <c r="M93" s="94"/>
      <c r="N93" s="94"/>
      <c r="O93" s="94"/>
      <c r="P93" s="71">
        <v>3591</v>
      </c>
      <c r="Q93" s="71">
        <v>20000</v>
      </c>
      <c r="R93" s="71">
        <v>100000000</v>
      </c>
      <c r="S93" s="67"/>
      <c r="T93" s="67"/>
      <c r="U93" s="67"/>
    </row>
    <row r="94" spans="1:21" x14ac:dyDescent="0.15">
      <c r="A94" s="67"/>
      <c r="B94" s="68" t="s">
        <v>193</v>
      </c>
      <c r="C94" s="95">
        <v>43458</v>
      </c>
      <c r="D94" s="95">
        <v>43472</v>
      </c>
      <c r="E94" s="68" t="s">
        <v>234</v>
      </c>
      <c r="F94" s="68" t="s">
        <v>21</v>
      </c>
      <c r="G94" s="67" t="s">
        <v>190</v>
      </c>
      <c r="H94" s="94">
        <f t="shared" si="14"/>
        <v>27847</v>
      </c>
      <c r="I94" s="94">
        <v>4165.5600000000004</v>
      </c>
      <c r="J94" s="98">
        <f t="shared" si="15"/>
        <v>0.35910511006571622</v>
      </c>
      <c r="K94" s="94" t="s">
        <v>195</v>
      </c>
      <c r="L94" s="94"/>
      <c r="M94" s="94"/>
      <c r="N94" s="94"/>
      <c r="O94" s="67"/>
      <c r="P94" s="71">
        <v>3591</v>
      </c>
      <c r="Q94" s="71">
        <v>10000</v>
      </c>
      <c r="R94" s="71">
        <v>100000000</v>
      </c>
      <c r="S94" s="67"/>
      <c r="T94" s="67"/>
      <c r="U94" s="67"/>
    </row>
    <row r="95" spans="1:21" ht="15.75" customHeight="1" x14ac:dyDescent="0.15">
      <c r="A95" s="94"/>
      <c r="B95" s="94" t="s">
        <v>208</v>
      </c>
      <c r="C95" s="95">
        <v>43459</v>
      </c>
      <c r="D95" s="95">
        <v>43489</v>
      </c>
      <c r="E95" s="94" t="s">
        <v>256</v>
      </c>
      <c r="F95" s="94" t="s">
        <v>222</v>
      </c>
      <c r="G95" s="94" t="s">
        <v>257</v>
      </c>
      <c r="H95" s="94">
        <v>700</v>
      </c>
      <c r="I95" s="94">
        <v>14750</v>
      </c>
      <c r="J95" s="98">
        <v>250.75</v>
      </c>
      <c r="K95" s="94" t="s">
        <v>218</v>
      </c>
      <c r="L95" s="94"/>
      <c r="M95" s="94"/>
      <c r="N95" s="94"/>
      <c r="O95" s="94"/>
      <c r="P95" s="71">
        <f>I95</f>
        <v>14750</v>
      </c>
      <c r="Q95" s="71">
        <f>J95*H95</f>
        <v>175525</v>
      </c>
      <c r="R95" s="71">
        <f>H95*P95</f>
        <v>10325000</v>
      </c>
      <c r="S95" s="67"/>
      <c r="T95" s="67"/>
      <c r="U95" s="67"/>
    </row>
    <row r="96" spans="1:21" ht="15.75" customHeight="1" thickBot="1" x14ac:dyDescent="0.2">
      <c r="A96" s="94"/>
      <c r="B96" s="94" t="s">
        <v>208</v>
      </c>
      <c r="C96" s="95">
        <v>43459</v>
      </c>
      <c r="D96" s="95">
        <v>43489</v>
      </c>
      <c r="E96" s="94" t="s">
        <v>256</v>
      </c>
      <c r="F96" s="94" t="s">
        <v>222</v>
      </c>
      <c r="G96" s="94" t="s">
        <v>25</v>
      </c>
      <c r="H96" s="94">
        <v>700</v>
      </c>
      <c r="I96" s="94">
        <v>14750</v>
      </c>
      <c r="J96" s="98">
        <v>250.75</v>
      </c>
      <c r="K96" s="94"/>
      <c r="L96" s="94"/>
      <c r="M96" s="94"/>
      <c r="N96" s="94"/>
      <c r="O96" s="94"/>
      <c r="P96" s="71">
        <f>I96</f>
        <v>14750</v>
      </c>
      <c r="Q96" s="71">
        <f>J96*H96</f>
        <v>175525</v>
      </c>
      <c r="R96" s="71">
        <f>H96*P96</f>
        <v>10325000</v>
      </c>
      <c r="S96" s="1"/>
    </row>
    <row r="97" spans="1:28" s="34" customFormat="1" x14ac:dyDescent="0.15">
      <c r="A97" s="67"/>
      <c r="B97" s="68" t="s">
        <v>196</v>
      </c>
      <c r="C97" s="69">
        <v>43460</v>
      </c>
      <c r="D97" s="69">
        <v>43474</v>
      </c>
      <c r="E97" s="68" t="s">
        <v>233</v>
      </c>
      <c r="F97" s="68" t="s">
        <v>21</v>
      </c>
      <c r="G97" s="67" t="s">
        <v>190</v>
      </c>
      <c r="H97" s="94">
        <f>ROUND(R97/P97,0)</f>
        <v>695652</v>
      </c>
      <c r="I97" s="94">
        <v>330.625</v>
      </c>
      <c r="J97" s="98">
        <f t="shared" ref="J97:J104" si="16">Q97/H97</f>
        <v>8.6250021562505386E-2</v>
      </c>
      <c r="K97" s="94" t="s">
        <v>197</v>
      </c>
      <c r="L97" s="94"/>
      <c r="M97" s="94"/>
      <c r="N97" s="94"/>
      <c r="O97" s="67"/>
      <c r="P97" s="70">
        <v>287.5</v>
      </c>
      <c r="Q97" s="71">
        <v>60000</v>
      </c>
      <c r="R97" s="71">
        <v>200000000</v>
      </c>
      <c r="S97" s="67"/>
      <c r="T97" s="67"/>
      <c r="U97" s="67"/>
      <c r="V97" s="1"/>
      <c r="W97" s="1"/>
      <c r="X97" s="1"/>
      <c r="Y97" s="1"/>
      <c r="Z97" s="1"/>
      <c r="AA97" s="1"/>
      <c r="AB97" s="1"/>
    </row>
    <row r="98" spans="1:28" s="35" customFormat="1" x14ac:dyDescent="0.15">
      <c r="A98" s="67"/>
      <c r="B98" s="68" t="s">
        <v>196</v>
      </c>
      <c r="C98" s="69">
        <v>43460</v>
      </c>
      <c r="D98" s="69">
        <v>43474</v>
      </c>
      <c r="E98" s="68" t="s">
        <v>233</v>
      </c>
      <c r="F98" s="68" t="s">
        <v>38</v>
      </c>
      <c r="G98" s="67" t="s">
        <v>190</v>
      </c>
      <c r="H98" s="94">
        <f>ROUND(R98/P98,0)</f>
        <v>695652</v>
      </c>
      <c r="I98" s="94">
        <v>333.5</v>
      </c>
      <c r="J98" s="98">
        <f t="shared" si="16"/>
        <v>2.8750007187501796E-2</v>
      </c>
      <c r="K98" s="94" t="s">
        <v>197</v>
      </c>
      <c r="L98" s="94"/>
      <c r="M98" s="94"/>
      <c r="N98" s="94"/>
      <c r="O98" s="68"/>
      <c r="P98" s="70">
        <v>287.5</v>
      </c>
      <c r="Q98" s="71">
        <v>20000</v>
      </c>
      <c r="R98" s="71">
        <v>200000000</v>
      </c>
      <c r="S98" s="68"/>
      <c r="T98" s="67"/>
      <c r="U98" s="67"/>
      <c r="V98" s="1"/>
      <c r="W98" s="1"/>
      <c r="X98" s="1"/>
      <c r="Y98" s="1"/>
      <c r="Z98" s="1"/>
      <c r="AA98" s="1"/>
      <c r="AB98" s="1"/>
    </row>
    <row r="99" spans="1:28" s="35" customFormat="1" x14ac:dyDescent="0.15">
      <c r="A99" s="67"/>
      <c r="B99" s="68" t="s">
        <v>196</v>
      </c>
      <c r="C99" s="69">
        <v>43460</v>
      </c>
      <c r="D99" s="69">
        <v>43474</v>
      </c>
      <c r="E99" s="68" t="s">
        <v>234</v>
      </c>
      <c r="F99" s="68" t="s">
        <v>38</v>
      </c>
      <c r="G99" s="67" t="s">
        <v>190</v>
      </c>
      <c r="H99" s="94">
        <f>ROUND(R99/P99,0)</f>
        <v>55310</v>
      </c>
      <c r="I99" s="94">
        <v>4158.3999999999996</v>
      </c>
      <c r="J99" s="98">
        <f t="shared" si="16"/>
        <v>1.0847947929849937</v>
      </c>
      <c r="K99" s="94" t="s">
        <v>198</v>
      </c>
      <c r="L99" s="94"/>
      <c r="M99" s="94"/>
      <c r="N99" s="94"/>
      <c r="O99" s="68"/>
      <c r="P99" s="70">
        <v>3616</v>
      </c>
      <c r="Q99" s="71">
        <v>60000</v>
      </c>
      <c r="R99" s="71">
        <v>200000000</v>
      </c>
      <c r="S99" s="68"/>
      <c r="T99" s="67"/>
      <c r="U99" s="67"/>
      <c r="V99" s="1"/>
      <c r="W99" s="1"/>
      <c r="X99" s="1"/>
      <c r="Y99" s="1"/>
      <c r="Z99" s="1"/>
      <c r="AA99" s="1"/>
      <c r="AB99" s="1"/>
    </row>
    <row r="100" spans="1:28" s="35" customFormat="1" ht="15" thickBot="1" x14ac:dyDescent="0.2">
      <c r="A100" s="67"/>
      <c r="B100" s="68" t="s">
        <v>196</v>
      </c>
      <c r="C100" s="69">
        <v>43460</v>
      </c>
      <c r="D100" s="69">
        <v>43474</v>
      </c>
      <c r="E100" s="68" t="s">
        <v>234</v>
      </c>
      <c r="F100" s="68" t="s">
        <v>21</v>
      </c>
      <c r="G100" s="67" t="s">
        <v>190</v>
      </c>
      <c r="H100" s="94">
        <f>ROUND(R100/P100,0)</f>
        <v>55310</v>
      </c>
      <c r="I100" s="94">
        <v>4194.5600000000004</v>
      </c>
      <c r="J100" s="98">
        <f t="shared" si="16"/>
        <v>0.3615982643283312</v>
      </c>
      <c r="K100" s="94" t="s">
        <v>198</v>
      </c>
      <c r="L100" s="94"/>
      <c r="M100" s="94"/>
      <c r="N100" s="94"/>
      <c r="O100" s="68"/>
      <c r="P100" s="70">
        <v>3616</v>
      </c>
      <c r="Q100" s="71">
        <v>20000</v>
      </c>
      <c r="R100" s="71">
        <v>200000000</v>
      </c>
      <c r="S100" s="68"/>
      <c r="T100" s="67"/>
      <c r="U100" s="67"/>
      <c r="V100" s="1"/>
      <c r="W100" s="1"/>
      <c r="X100" s="1"/>
      <c r="Y100" s="1"/>
      <c r="Z100" s="1"/>
      <c r="AA100" s="1"/>
      <c r="AB100" s="1"/>
    </row>
    <row r="101" spans="1:28" s="34" customFormat="1" x14ac:dyDescent="0.15">
      <c r="A101" s="67"/>
      <c r="B101" s="68" t="s">
        <v>193</v>
      </c>
      <c r="C101" s="69">
        <v>43461</v>
      </c>
      <c r="D101" s="69">
        <v>43692</v>
      </c>
      <c r="E101" s="68" t="s">
        <v>199</v>
      </c>
      <c r="F101" s="68" t="s">
        <v>21</v>
      </c>
      <c r="G101" s="67" t="s">
        <v>190</v>
      </c>
      <c r="H101" s="94">
        <f>1930*5</f>
        <v>9650</v>
      </c>
      <c r="I101" s="94">
        <v>8260</v>
      </c>
      <c r="J101" s="98">
        <f t="shared" si="16"/>
        <v>478.95378238341971</v>
      </c>
      <c r="K101" s="94" t="s">
        <v>201</v>
      </c>
      <c r="L101" s="94"/>
      <c r="M101" s="94"/>
      <c r="N101" s="94"/>
      <c r="O101" s="67"/>
      <c r="P101" s="71">
        <v>8260</v>
      </c>
      <c r="Q101" s="71">
        <f>9243808/2</f>
        <v>4621904</v>
      </c>
      <c r="R101" s="71">
        <f>P101*H101</f>
        <v>79709000</v>
      </c>
      <c r="S101" s="67"/>
      <c r="T101" s="67"/>
      <c r="U101" s="67"/>
      <c r="V101" s="1"/>
      <c r="W101" s="1"/>
      <c r="X101" s="1"/>
      <c r="Y101" s="1"/>
      <c r="Z101" s="1"/>
      <c r="AA101" s="1"/>
      <c r="AB101" s="1"/>
    </row>
    <row r="102" spans="1:28" s="35" customFormat="1" x14ac:dyDescent="0.15">
      <c r="A102" s="67"/>
      <c r="B102" s="68" t="s">
        <v>193</v>
      </c>
      <c r="C102" s="69">
        <v>43461</v>
      </c>
      <c r="D102" s="69">
        <v>43692</v>
      </c>
      <c r="E102" s="68" t="s">
        <v>199</v>
      </c>
      <c r="F102" s="68" t="s">
        <v>21</v>
      </c>
      <c r="G102" s="67" t="s">
        <v>200</v>
      </c>
      <c r="H102" s="94">
        <f>2130*5</f>
        <v>10650</v>
      </c>
      <c r="I102" s="94">
        <v>8260</v>
      </c>
      <c r="J102" s="98">
        <f t="shared" si="16"/>
        <v>433.98159624413148</v>
      </c>
      <c r="K102" s="94" t="s">
        <v>201</v>
      </c>
      <c r="L102" s="94"/>
      <c r="M102" s="94"/>
      <c r="N102" s="94"/>
      <c r="O102" s="67"/>
      <c r="P102" s="71">
        <v>8260</v>
      </c>
      <c r="Q102" s="71">
        <f>9243808/2</f>
        <v>4621904</v>
      </c>
      <c r="R102" s="71">
        <f>P102*H102</f>
        <v>87969000</v>
      </c>
      <c r="S102" s="67"/>
      <c r="T102" s="67"/>
      <c r="U102" s="67"/>
      <c r="V102" s="1"/>
      <c r="W102" s="1"/>
      <c r="X102" s="1"/>
      <c r="Y102" s="1"/>
      <c r="Z102" s="1"/>
      <c r="AA102" s="1"/>
      <c r="AB102" s="1"/>
    </row>
    <row r="103" spans="1:28" s="35" customFormat="1" x14ac:dyDescent="0.15">
      <c r="A103" s="67"/>
      <c r="B103" s="68" t="s">
        <v>193</v>
      </c>
      <c r="C103" s="69">
        <v>43461</v>
      </c>
      <c r="D103" s="69">
        <v>43490</v>
      </c>
      <c r="E103" s="68" t="s">
        <v>199</v>
      </c>
      <c r="F103" s="68" t="s">
        <v>38</v>
      </c>
      <c r="G103" s="67" t="s">
        <v>190</v>
      </c>
      <c r="H103" s="94">
        <f>720*5</f>
        <v>3600</v>
      </c>
      <c r="I103" s="94">
        <v>8260</v>
      </c>
      <c r="J103" s="98">
        <f t="shared" si="16"/>
        <v>164.57</v>
      </c>
      <c r="K103" s="94" t="s">
        <v>201</v>
      </c>
      <c r="L103" s="94"/>
      <c r="M103" s="94"/>
      <c r="N103" s="94"/>
      <c r="O103" s="67"/>
      <c r="P103" s="71">
        <v>8260</v>
      </c>
      <c r="Q103" s="71">
        <f>1184904/2</f>
        <v>592452</v>
      </c>
      <c r="R103" s="71">
        <f>P103*H103</f>
        <v>29736000</v>
      </c>
      <c r="S103" s="67"/>
      <c r="T103" s="67"/>
      <c r="U103" s="67"/>
      <c r="V103" s="1"/>
      <c r="W103" s="1"/>
      <c r="X103" s="1"/>
      <c r="Y103" s="1"/>
      <c r="Z103" s="1"/>
      <c r="AA103" s="1"/>
      <c r="AB103" s="1"/>
    </row>
    <row r="104" spans="1:28" s="36" customFormat="1" ht="15" thickBot="1" x14ac:dyDescent="0.2">
      <c r="A104" s="67"/>
      <c r="B104" s="68" t="s">
        <v>193</v>
      </c>
      <c r="C104" s="69">
        <v>43461</v>
      </c>
      <c r="D104" s="69">
        <v>43490</v>
      </c>
      <c r="E104" s="68" t="s">
        <v>199</v>
      </c>
      <c r="F104" s="68" t="s">
        <v>38</v>
      </c>
      <c r="G104" s="67" t="s">
        <v>200</v>
      </c>
      <c r="H104" s="94">
        <f>720*5</f>
        <v>3600</v>
      </c>
      <c r="I104" s="94">
        <v>8260</v>
      </c>
      <c r="J104" s="98">
        <f t="shared" si="16"/>
        <v>164.57</v>
      </c>
      <c r="K104" s="94" t="s">
        <v>201</v>
      </c>
      <c r="L104" s="94"/>
      <c r="M104" s="94"/>
      <c r="N104" s="94"/>
      <c r="O104" s="67"/>
      <c r="P104" s="71">
        <v>8260</v>
      </c>
      <c r="Q104" s="71">
        <f>1184904/2</f>
        <v>592452</v>
      </c>
      <c r="R104" s="71">
        <f>P104*H104</f>
        <v>29736000</v>
      </c>
      <c r="S104" s="67"/>
      <c r="T104" s="67"/>
      <c r="U104" s="67"/>
      <c r="V104" s="1"/>
      <c r="W104" s="1"/>
      <c r="X104" s="1"/>
      <c r="Y104" s="1"/>
      <c r="Z104" s="1"/>
      <c r="AA104" s="1"/>
      <c r="AB104" s="1"/>
    </row>
    <row r="105" spans="1:28" s="35" customFormat="1" x14ac:dyDescent="0.15">
      <c r="A105" s="67"/>
      <c r="B105" s="94" t="s">
        <v>189</v>
      </c>
      <c r="C105" s="95">
        <v>43462</v>
      </c>
      <c r="D105" s="95">
        <v>43493</v>
      </c>
      <c r="E105" s="94" t="s">
        <v>258</v>
      </c>
      <c r="F105" s="67" t="s">
        <v>21</v>
      </c>
      <c r="G105" s="67" t="s">
        <v>25</v>
      </c>
      <c r="H105" s="94">
        <v>1000</v>
      </c>
      <c r="I105" s="94">
        <v>6445</v>
      </c>
      <c r="J105" s="98">
        <v>111.11</v>
      </c>
      <c r="K105" s="94" t="s">
        <v>259</v>
      </c>
      <c r="L105" s="94"/>
      <c r="M105" s="94"/>
      <c r="N105" s="94"/>
      <c r="O105" s="67"/>
      <c r="P105" s="71">
        <v>6445</v>
      </c>
      <c r="Q105" s="71">
        <v>111110</v>
      </c>
      <c r="R105" s="71">
        <v>6445000</v>
      </c>
      <c r="S105" s="67"/>
      <c r="T105" s="67"/>
      <c r="U105" s="67"/>
      <c r="V105" s="1"/>
      <c r="W105" s="1"/>
      <c r="X105" s="1"/>
      <c r="Y105" s="1"/>
      <c r="Z105" s="1"/>
      <c r="AA105" s="1"/>
      <c r="AB105" s="1"/>
    </row>
    <row r="106" spans="1:28" x14ac:dyDescent="0.15">
      <c r="A106" s="67"/>
      <c r="B106" s="94" t="s">
        <v>189</v>
      </c>
      <c r="C106" s="95">
        <v>43462</v>
      </c>
      <c r="D106" s="95">
        <v>43493</v>
      </c>
      <c r="E106" s="94" t="s">
        <v>202</v>
      </c>
      <c r="F106" s="67" t="s">
        <v>21</v>
      </c>
      <c r="G106" s="67" t="s">
        <v>177</v>
      </c>
      <c r="H106" s="94">
        <v>1000</v>
      </c>
      <c r="I106" s="94">
        <v>6445</v>
      </c>
      <c r="J106" s="98">
        <v>111.11</v>
      </c>
      <c r="K106" s="94" t="s">
        <v>203</v>
      </c>
      <c r="L106" s="94"/>
      <c r="M106" s="94"/>
      <c r="N106" s="94"/>
      <c r="O106" s="67"/>
      <c r="P106" s="71">
        <v>6445</v>
      </c>
      <c r="Q106" s="71">
        <v>111110</v>
      </c>
      <c r="R106" s="71">
        <v>6445000</v>
      </c>
      <c r="S106" s="67"/>
      <c r="T106" s="67"/>
      <c r="U106" s="67"/>
    </row>
    <row r="107" spans="1:28" ht="15" hidden="1" customHeight="1" thickBot="1" x14ac:dyDescent="0.2">
      <c r="A107" s="67"/>
      <c r="B107" s="67"/>
      <c r="C107" s="95"/>
      <c r="D107" s="95"/>
      <c r="E107" s="67"/>
      <c r="F107" s="67"/>
      <c r="G107" s="67" t="s">
        <v>25</v>
      </c>
      <c r="H107" s="67">
        <v>1000</v>
      </c>
      <c r="I107" s="94">
        <v>6445</v>
      </c>
      <c r="J107" s="94">
        <v>111.11</v>
      </c>
      <c r="K107" s="94"/>
      <c r="L107" s="94"/>
      <c r="M107" s="94"/>
      <c r="N107" s="94"/>
      <c r="O107" s="67"/>
      <c r="P107" s="67">
        <f>I107</f>
        <v>6445</v>
      </c>
      <c r="Q107" s="67">
        <f>J107*H107</f>
        <v>111110</v>
      </c>
      <c r="R107" s="67">
        <f>H107*P107</f>
        <v>6445000</v>
      </c>
      <c r="S107" s="67"/>
      <c r="T107" s="67"/>
      <c r="U107" s="67"/>
    </row>
    <row r="108" spans="1:28" ht="14.25" hidden="1" customHeight="1" x14ac:dyDescent="0.15">
      <c r="A108" s="67"/>
      <c r="B108" s="67" t="s">
        <v>189</v>
      </c>
      <c r="C108" s="95">
        <v>43467</v>
      </c>
      <c r="D108" s="95">
        <v>43497</v>
      </c>
      <c r="E108" s="67" t="s">
        <v>219</v>
      </c>
      <c r="F108" s="67" t="s">
        <v>21</v>
      </c>
      <c r="G108" s="67" t="s">
        <v>177</v>
      </c>
      <c r="H108" s="67">
        <v>30000</v>
      </c>
      <c r="I108" s="94">
        <v>372</v>
      </c>
      <c r="J108" s="94">
        <v>16</v>
      </c>
      <c r="K108" s="94" t="s">
        <v>236</v>
      </c>
      <c r="L108" s="94">
        <v>6445</v>
      </c>
      <c r="M108" s="94">
        <v>111110</v>
      </c>
      <c r="N108" s="94">
        <v>6445000</v>
      </c>
      <c r="O108" s="67"/>
      <c r="P108" s="67">
        <v>372</v>
      </c>
      <c r="Q108" s="67">
        <f>J108*H108</f>
        <v>480000</v>
      </c>
      <c r="R108" s="67">
        <f>H108*P108</f>
        <v>11160000</v>
      </c>
    </row>
    <row r="109" spans="1:28" ht="15" hidden="1" customHeight="1" thickBot="1" x14ac:dyDescent="0.2">
      <c r="A109" s="67"/>
      <c r="B109" s="67"/>
      <c r="C109" s="95"/>
      <c r="D109" s="95"/>
      <c r="E109" s="67"/>
      <c r="F109" s="67"/>
      <c r="G109" s="67" t="s">
        <v>25</v>
      </c>
      <c r="H109" s="67">
        <v>30000</v>
      </c>
      <c r="I109" s="94">
        <v>372</v>
      </c>
      <c r="J109" s="94">
        <v>16</v>
      </c>
      <c r="K109" s="94"/>
      <c r="L109" s="94">
        <v>6445</v>
      </c>
      <c r="M109" s="94">
        <v>111110</v>
      </c>
      <c r="N109" s="94">
        <v>6445000</v>
      </c>
      <c r="O109" s="67"/>
      <c r="P109" s="67">
        <v>372</v>
      </c>
      <c r="Q109" s="67">
        <f>J109*H109</f>
        <v>480000</v>
      </c>
      <c r="R109" s="67">
        <f>H109*P109</f>
        <v>11160000</v>
      </c>
    </row>
    <row r="110" spans="1:28" ht="14.25" hidden="1" customHeight="1" x14ac:dyDescent="0.15">
      <c r="A110" s="67"/>
      <c r="B110" s="67" t="s">
        <v>225</v>
      </c>
      <c r="C110" s="95">
        <v>43467</v>
      </c>
      <c r="D110" s="95">
        <v>43495</v>
      </c>
      <c r="E110" s="67" t="s">
        <v>230</v>
      </c>
      <c r="F110" s="67" t="s">
        <v>222</v>
      </c>
      <c r="G110" s="67" t="s">
        <v>223</v>
      </c>
      <c r="H110" s="67">
        <v>200</v>
      </c>
      <c r="I110" s="94">
        <v>50130</v>
      </c>
      <c r="J110" s="94">
        <v>397.36</v>
      </c>
      <c r="K110" s="94" t="s">
        <v>235</v>
      </c>
      <c r="L110" s="94"/>
      <c r="M110" s="94"/>
      <c r="N110" s="94"/>
      <c r="O110" s="67"/>
      <c r="P110" s="67">
        <v>47870</v>
      </c>
      <c r="Q110" s="67">
        <f>J110*H110</f>
        <v>79472</v>
      </c>
      <c r="R110" s="67">
        <f>P110*H110*2</f>
        <v>19148000</v>
      </c>
    </row>
    <row r="111" spans="1:28" ht="14.25" hidden="1" customHeight="1" x14ac:dyDescent="0.15">
      <c r="A111" s="67"/>
      <c r="B111" s="67"/>
      <c r="C111" s="95"/>
      <c r="D111" s="95"/>
      <c r="E111" s="67"/>
      <c r="F111" s="67"/>
      <c r="G111" s="67" t="s">
        <v>224</v>
      </c>
      <c r="H111" s="67">
        <v>200</v>
      </c>
      <c r="I111" s="94">
        <v>46300</v>
      </c>
      <c r="J111" s="94"/>
      <c r="K111" s="94"/>
      <c r="L111" s="94"/>
      <c r="M111" s="94"/>
      <c r="N111" s="94"/>
      <c r="O111" s="67"/>
      <c r="P111" s="67"/>
      <c r="Q111" s="67"/>
      <c r="R111" s="67"/>
    </row>
    <row r="112" spans="1:28" s="37" customFormat="1" ht="14.25" hidden="1" customHeight="1" x14ac:dyDescent="0.15">
      <c r="A112" s="67"/>
      <c r="B112" s="67" t="s">
        <v>226</v>
      </c>
      <c r="C112" s="95">
        <v>43467</v>
      </c>
      <c r="D112" s="95">
        <v>43495</v>
      </c>
      <c r="E112" s="67" t="s">
        <v>221</v>
      </c>
      <c r="F112" s="67" t="s">
        <v>222</v>
      </c>
      <c r="G112" s="67" t="s">
        <v>223</v>
      </c>
      <c r="H112" s="67">
        <v>200</v>
      </c>
      <c r="I112" s="94">
        <v>50130</v>
      </c>
      <c r="J112" s="94">
        <v>397.36</v>
      </c>
      <c r="K112" s="94" t="s">
        <v>237</v>
      </c>
      <c r="L112" s="94"/>
      <c r="M112" s="94"/>
      <c r="N112" s="94"/>
      <c r="O112" s="67"/>
      <c r="P112" s="67">
        <v>47870</v>
      </c>
      <c r="Q112" s="67">
        <f>J112*H112</f>
        <v>79472</v>
      </c>
      <c r="R112" s="67">
        <f>P112*H112*2</f>
        <v>19148000</v>
      </c>
      <c r="S112" s="5"/>
      <c r="V112" s="1"/>
      <c r="W112" s="1"/>
      <c r="X112" s="1"/>
      <c r="Y112" s="1"/>
      <c r="Z112" s="1"/>
      <c r="AA112" s="1"/>
      <c r="AB112" s="1"/>
    </row>
    <row r="113" spans="1:28" s="37" customFormat="1" ht="14.25" hidden="1" customHeight="1" x14ac:dyDescent="0.15">
      <c r="A113" s="67"/>
      <c r="B113" s="67"/>
      <c r="C113" s="95"/>
      <c r="D113" s="95"/>
      <c r="E113" s="67"/>
      <c r="F113" s="67"/>
      <c r="G113" s="67" t="s">
        <v>224</v>
      </c>
      <c r="H113" s="67">
        <v>200</v>
      </c>
      <c r="I113" s="94">
        <v>46300</v>
      </c>
      <c r="J113" s="94"/>
      <c r="K113" s="94"/>
      <c r="L113" s="94"/>
      <c r="M113" s="94"/>
      <c r="N113" s="94"/>
      <c r="O113" s="67"/>
      <c r="P113" s="67"/>
      <c r="Q113" s="67"/>
      <c r="R113" s="67"/>
      <c r="S113" s="5"/>
      <c r="V113" s="1"/>
      <c r="W113" s="1"/>
      <c r="X113" s="1"/>
      <c r="Y113" s="1"/>
      <c r="Z113" s="1"/>
      <c r="AA113" s="1"/>
      <c r="AB113" s="1"/>
    </row>
    <row r="114" spans="1:28" ht="14.25" hidden="1" customHeight="1" x14ac:dyDescent="0.15">
      <c r="A114" s="67"/>
      <c r="B114" s="67" t="s">
        <v>227</v>
      </c>
      <c r="C114" s="95">
        <v>43467</v>
      </c>
      <c r="D114" s="95">
        <v>43495</v>
      </c>
      <c r="E114" s="67" t="s">
        <v>221</v>
      </c>
      <c r="F114" s="67" t="s">
        <v>222</v>
      </c>
      <c r="G114" s="67" t="s">
        <v>223</v>
      </c>
      <c r="H114" s="67">
        <v>200</v>
      </c>
      <c r="I114" s="94">
        <v>50130</v>
      </c>
      <c r="J114" s="94">
        <v>397.36</v>
      </c>
      <c r="K114" s="94" t="s">
        <v>238</v>
      </c>
      <c r="L114" s="94"/>
      <c r="M114" s="94"/>
      <c r="N114" s="94"/>
      <c r="O114" s="67"/>
      <c r="P114" s="67">
        <v>47870</v>
      </c>
      <c r="Q114" s="67">
        <f>J114*H114</f>
        <v>79472</v>
      </c>
      <c r="R114" s="67">
        <f>P114*H114*2</f>
        <v>19148000</v>
      </c>
    </row>
    <row r="115" spans="1:28" ht="14.25" hidden="1" customHeight="1" x14ac:dyDescent="0.15">
      <c r="A115" s="67"/>
      <c r="B115" s="67"/>
      <c r="C115" s="95"/>
      <c r="D115" s="95"/>
      <c r="E115" s="67"/>
      <c r="F115" s="67"/>
      <c r="G115" s="67" t="s">
        <v>224</v>
      </c>
      <c r="H115" s="67">
        <v>200</v>
      </c>
      <c r="I115" s="94">
        <v>46300</v>
      </c>
      <c r="J115" s="94"/>
      <c r="K115" s="94"/>
      <c r="L115" s="94"/>
      <c r="M115" s="94"/>
      <c r="N115" s="94"/>
      <c r="O115" s="67"/>
      <c r="P115" s="67"/>
      <c r="Q115" s="67"/>
      <c r="R115" s="67"/>
    </row>
    <row r="116" spans="1:28" s="37" customFormat="1" ht="12" hidden="1" customHeight="1" x14ac:dyDescent="0.15">
      <c r="A116" s="67"/>
      <c r="B116" s="67" t="s">
        <v>228</v>
      </c>
      <c r="C116" s="95">
        <v>43467</v>
      </c>
      <c r="D116" s="95">
        <v>43495</v>
      </c>
      <c r="E116" s="67" t="s">
        <v>221</v>
      </c>
      <c r="F116" s="67" t="s">
        <v>222</v>
      </c>
      <c r="G116" s="67" t="s">
        <v>223</v>
      </c>
      <c r="H116" s="67">
        <v>200</v>
      </c>
      <c r="I116" s="94">
        <v>50130</v>
      </c>
      <c r="J116" s="94">
        <v>397.36</v>
      </c>
      <c r="K116" s="94" t="s">
        <v>239</v>
      </c>
      <c r="L116" s="94"/>
      <c r="M116" s="94"/>
      <c r="N116" s="94"/>
      <c r="O116" s="67"/>
      <c r="P116" s="67">
        <v>47870</v>
      </c>
      <c r="Q116" s="67">
        <f>J116*H116</f>
        <v>79472</v>
      </c>
      <c r="R116" s="67">
        <f>P116*H116*2</f>
        <v>19148000</v>
      </c>
      <c r="S116" s="5"/>
      <c r="V116" s="1"/>
      <c r="W116" s="1"/>
      <c r="X116" s="1"/>
      <c r="Y116" s="1"/>
      <c r="Z116" s="1"/>
      <c r="AA116" s="1"/>
      <c r="AB116" s="1"/>
    </row>
    <row r="117" spans="1:28" s="37" customFormat="1" hidden="1" x14ac:dyDescent="0.15">
      <c r="A117" s="67"/>
      <c r="B117" s="67"/>
      <c r="C117" s="95"/>
      <c r="D117" s="95"/>
      <c r="E117" s="67"/>
      <c r="F117" s="67"/>
      <c r="G117" s="67" t="s">
        <v>224</v>
      </c>
      <c r="H117" s="67">
        <v>200</v>
      </c>
      <c r="I117" s="94">
        <v>46300</v>
      </c>
      <c r="J117" s="94"/>
      <c r="K117" s="94"/>
      <c r="L117" s="94"/>
      <c r="M117" s="94"/>
      <c r="N117" s="94"/>
      <c r="O117" s="67"/>
      <c r="P117" s="67"/>
      <c r="Q117" s="67"/>
      <c r="R117" s="67"/>
      <c r="S117" s="5"/>
      <c r="V117" s="1"/>
      <c r="W117" s="1"/>
      <c r="X117" s="1"/>
      <c r="Y117" s="1"/>
      <c r="Z117" s="1"/>
      <c r="AA117" s="1"/>
      <c r="AB117" s="1"/>
    </row>
    <row r="118" spans="1:28" hidden="1" x14ac:dyDescent="0.15">
      <c r="A118" s="67"/>
      <c r="B118" s="67" t="s">
        <v>229</v>
      </c>
      <c r="C118" s="95">
        <v>43467</v>
      </c>
      <c r="D118" s="95">
        <v>43495</v>
      </c>
      <c r="E118" s="67" t="s">
        <v>221</v>
      </c>
      <c r="F118" s="67" t="s">
        <v>222</v>
      </c>
      <c r="G118" s="67" t="s">
        <v>223</v>
      </c>
      <c r="H118" s="67">
        <v>200</v>
      </c>
      <c r="I118" s="94">
        <v>50130</v>
      </c>
      <c r="J118" s="94">
        <v>397.36</v>
      </c>
      <c r="K118" s="94" t="s">
        <v>240</v>
      </c>
      <c r="L118" s="94"/>
      <c r="M118" s="94"/>
      <c r="N118" s="94"/>
      <c r="O118" s="67"/>
      <c r="P118" s="67">
        <v>47870</v>
      </c>
      <c r="Q118" s="67">
        <f>J118*H118</f>
        <v>79472</v>
      </c>
      <c r="R118" s="67">
        <f>P118*H118*2</f>
        <v>19148000</v>
      </c>
    </row>
    <row r="119" spans="1:28" ht="12.75" hidden="1" customHeight="1" x14ac:dyDescent="0.15">
      <c r="A119" s="67"/>
      <c r="B119" s="67"/>
      <c r="C119" s="95"/>
      <c r="D119" s="95"/>
      <c r="E119" s="67"/>
      <c r="F119" s="67"/>
      <c r="G119" s="67" t="s">
        <v>224</v>
      </c>
      <c r="H119" s="67">
        <v>200</v>
      </c>
      <c r="I119" s="94">
        <v>46300</v>
      </c>
      <c r="J119" s="94"/>
      <c r="K119" s="94"/>
      <c r="L119" s="94"/>
      <c r="M119" s="94"/>
      <c r="N119" s="94"/>
      <c r="O119" s="67"/>
      <c r="P119" s="67"/>
      <c r="Q119" s="67"/>
      <c r="R119" s="67"/>
    </row>
    <row r="120" spans="1:28" ht="21" hidden="1" customHeight="1" x14ac:dyDescent="0.15">
      <c r="A120" s="67"/>
      <c r="B120" s="67"/>
      <c r="C120" s="67"/>
      <c r="D120" s="67"/>
      <c r="E120" s="67"/>
      <c r="F120" s="67"/>
      <c r="G120" s="67"/>
      <c r="H120" s="67"/>
      <c r="I120" s="94"/>
      <c r="J120" s="94"/>
      <c r="K120" s="94"/>
      <c r="L120" s="94"/>
      <c r="M120" s="94"/>
      <c r="N120" s="94"/>
      <c r="O120" s="67"/>
      <c r="P120" s="67"/>
      <c r="Q120" s="67"/>
      <c r="R120" s="99"/>
    </row>
    <row r="121" spans="1:28" x14ac:dyDescent="0.1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</row>
    <row r="122" spans="1:28" x14ac:dyDescent="0.1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</row>
    <row r="123" spans="1:28" x14ac:dyDescent="0.1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</row>
    <row r="124" spans="1:28" x14ac:dyDescent="0.1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</row>
    <row r="125" spans="1:28" x14ac:dyDescent="0.1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</row>
    <row r="126" spans="1:28" x14ac:dyDescent="0.1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</row>
    <row r="127" spans="1:28" x14ac:dyDescent="0.1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</row>
    <row r="128" spans="1:28" x14ac:dyDescent="0.1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</row>
    <row r="129" spans="1:21" x14ac:dyDescent="0.1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</row>
  </sheetData>
  <autoFilter ref="B1:S120">
    <filterColumn colId="1">
      <customFilters>
        <customFilter operator="lessThan" val="43465"/>
      </customFilters>
    </filterColumn>
    <filterColumn colId="2">
      <customFilters>
        <customFilter operator="greaterThan" val="43465"/>
      </customFilters>
    </filterColumn>
  </autoFilter>
  <mergeCells count="12">
    <mergeCell ref="K74:K75"/>
    <mergeCell ref="S22:S23"/>
    <mergeCell ref="B72:B73"/>
    <mergeCell ref="C72:C73"/>
    <mergeCell ref="D72:D73"/>
    <mergeCell ref="E72:E73"/>
    <mergeCell ref="K72:K73"/>
    <mergeCell ref="B74:B75"/>
    <mergeCell ref="C74:C75"/>
    <mergeCell ref="D74:D75"/>
    <mergeCell ref="E74:E75"/>
    <mergeCell ref="F74:F75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CI121"/>
  <sheetViews>
    <sheetView topLeftCell="A86" workbookViewId="0">
      <selection activeCell="P105" sqref="P105:R119"/>
    </sheetView>
  </sheetViews>
  <sheetFormatPr defaultColWidth="9" defaultRowHeight="14.25" x14ac:dyDescent="0.15"/>
  <cols>
    <col min="1" max="1" width="7.375" style="1" customWidth="1"/>
    <col min="2" max="2" width="30.5" style="3" customWidth="1"/>
    <col min="3" max="4" width="14.625" style="4" customWidth="1"/>
    <col min="5" max="5" width="13.75" style="3" customWidth="1"/>
    <col min="6" max="6" width="11.5" style="3" customWidth="1"/>
    <col min="7" max="7" width="21.875" style="3" customWidth="1"/>
    <col min="8" max="8" width="18.375" style="3" customWidth="1"/>
    <col min="9" max="9" width="20.25" style="3" customWidth="1"/>
    <col min="10" max="10" width="14" style="3" customWidth="1"/>
    <col min="11" max="11" width="19.25" style="3" customWidth="1"/>
    <col min="12" max="12" width="11.5" style="3" customWidth="1"/>
    <col min="13" max="13" width="14.375" style="3" customWidth="1"/>
    <col min="14" max="14" width="15" style="3" customWidth="1"/>
    <col min="15" max="15" width="15.75" style="3" customWidth="1"/>
    <col min="16" max="16" width="11.875" style="10" customWidth="1"/>
    <col min="17" max="17" width="16.125" style="11" customWidth="1"/>
    <col min="18" max="18" width="17.625" style="11" customWidth="1"/>
    <col min="19" max="19" width="14.625" style="3" customWidth="1"/>
    <col min="20" max="20" width="10.5" style="1" customWidth="1"/>
    <col min="21" max="21" width="9" style="1"/>
    <col min="22" max="22" width="10.5" style="1" customWidth="1"/>
    <col min="23" max="16384" width="9" style="1"/>
  </cols>
  <sheetData>
    <row r="1" spans="1:21" s="6" customFormat="1" ht="29.25" thickBot="1" x14ac:dyDescent="0.2">
      <c r="A1" s="58" t="s">
        <v>220</v>
      </c>
      <c r="B1" s="59" t="s">
        <v>0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0" t="s">
        <v>14</v>
      </c>
      <c r="Q1" s="61" t="s">
        <v>15</v>
      </c>
      <c r="R1" s="62" t="s">
        <v>16</v>
      </c>
      <c r="S1" s="59" t="s">
        <v>17</v>
      </c>
      <c r="T1" s="63" t="s">
        <v>18</v>
      </c>
      <c r="U1" s="64"/>
    </row>
    <row r="2" spans="1:21" s="7" customFormat="1" hidden="1" x14ac:dyDescent="0.15">
      <c r="B2" s="3" t="s">
        <v>19</v>
      </c>
      <c r="C2" s="4">
        <v>42962</v>
      </c>
      <c r="D2" s="4">
        <v>43063</v>
      </c>
      <c r="E2" s="3" t="s">
        <v>20</v>
      </c>
      <c r="F2" s="3" t="s">
        <v>21</v>
      </c>
      <c r="G2" s="3" t="s">
        <v>22</v>
      </c>
      <c r="H2" s="3">
        <v>2000</v>
      </c>
      <c r="I2" s="3">
        <v>6500</v>
      </c>
      <c r="J2" s="3">
        <v>68</v>
      </c>
      <c r="K2" s="3" t="s">
        <v>23</v>
      </c>
      <c r="L2" s="3" t="s">
        <v>24</v>
      </c>
      <c r="M2" s="3">
        <v>6409</v>
      </c>
      <c r="N2" s="3">
        <f t="shared" ref="N2:N8" si="0">(I2-M2)*H2</f>
        <v>182000</v>
      </c>
      <c r="O2" s="4">
        <f t="shared" ref="O2:O27" si="1">D2</f>
        <v>43063</v>
      </c>
      <c r="P2" s="10">
        <f>[1]!s_dq_settle(E2,C2)</f>
        <v>6285</v>
      </c>
      <c r="Q2" s="11">
        <v>136000</v>
      </c>
      <c r="R2" s="11">
        <f t="shared" ref="R2:R27" si="2">P2*H2</f>
        <v>12570000</v>
      </c>
    </row>
    <row r="3" spans="1:21" s="7" customFormat="1" hidden="1" x14ac:dyDescent="0.15">
      <c r="B3" s="3" t="s">
        <v>19</v>
      </c>
      <c r="C3" s="4">
        <v>42962</v>
      </c>
      <c r="D3" s="4">
        <v>43063</v>
      </c>
      <c r="E3" s="3" t="s">
        <v>20</v>
      </c>
      <c r="F3" s="3" t="s">
        <v>21</v>
      </c>
      <c r="G3" s="3" t="s">
        <v>25</v>
      </c>
      <c r="H3" s="3">
        <v>2000</v>
      </c>
      <c r="I3" s="3">
        <v>5800</v>
      </c>
      <c r="J3" s="3">
        <v>35</v>
      </c>
      <c r="K3" s="3" t="s">
        <v>23</v>
      </c>
      <c r="L3" s="3" t="s">
        <v>24</v>
      </c>
      <c r="M3" s="3">
        <v>6409</v>
      </c>
      <c r="N3" s="3">
        <f>(I3-M3)*H3*-1</f>
        <v>1218000</v>
      </c>
      <c r="O3" s="4">
        <f t="shared" si="1"/>
        <v>43063</v>
      </c>
      <c r="P3" s="10">
        <f>[1]!s_dq_settle(E3,C3)</f>
        <v>6285</v>
      </c>
      <c r="Q3" s="11">
        <v>70000</v>
      </c>
      <c r="R3" s="11">
        <f t="shared" si="2"/>
        <v>12570000</v>
      </c>
    </row>
    <row r="4" spans="1:21" s="7" customFormat="1" hidden="1" x14ac:dyDescent="0.15">
      <c r="B4" s="3" t="s">
        <v>19</v>
      </c>
      <c r="C4" s="4">
        <v>42965</v>
      </c>
      <c r="D4" s="4">
        <v>43063</v>
      </c>
      <c r="E4" s="3" t="s">
        <v>20</v>
      </c>
      <c r="F4" s="3" t="s">
        <v>21</v>
      </c>
      <c r="G4" s="3" t="s">
        <v>22</v>
      </c>
      <c r="H4" s="3">
        <v>2000</v>
      </c>
      <c r="I4" s="3">
        <v>6600</v>
      </c>
      <c r="J4" s="3">
        <v>45</v>
      </c>
      <c r="K4" s="3" t="s">
        <v>26</v>
      </c>
      <c r="L4" s="3" t="s">
        <v>27</v>
      </c>
      <c r="M4" s="3">
        <v>6409</v>
      </c>
      <c r="N4" s="3">
        <f t="shared" si="0"/>
        <v>382000</v>
      </c>
      <c r="O4" s="4">
        <f t="shared" si="1"/>
        <v>43063</v>
      </c>
      <c r="P4" s="10">
        <f>[1]!s_dq_settle(E4,C4)</f>
        <v>6341</v>
      </c>
      <c r="Q4" s="11">
        <v>90000</v>
      </c>
      <c r="R4" s="11">
        <f t="shared" si="2"/>
        <v>12682000</v>
      </c>
    </row>
    <row r="5" spans="1:21" s="7" customFormat="1" hidden="1" x14ac:dyDescent="0.15">
      <c r="B5" s="3" t="s">
        <v>19</v>
      </c>
      <c r="C5" s="4">
        <v>42965</v>
      </c>
      <c r="D5" s="4">
        <v>43063</v>
      </c>
      <c r="E5" s="3" t="s">
        <v>20</v>
      </c>
      <c r="F5" s="3" t="s">
        <v>21</v>
      </c>
      <c r="G5" s="3" t="s">
        <v>22</v>
      </c>
      <c r="H5" s="3">
        <v>2000</v>
      </c>
      <c r="I5" s="3">
        <v>6600</v>
      </c>
      <c r="J5" s="3">
        <v>52</v>
      </c>
      <c r="K5" s="3" t="s">
        <v>28</v>
      </c>
      <c r="L5" s="3" t="s">
        <v>29</v>
      </c>
      <c r="M5" s="3">
        <v>6409</v>
      </c>
      <c r="N5" s="3">
        <f t="shared" si="0"/>
        <v>382000</v>
      </c>
      <c r="O5" s="4">
        <f t="shared" si="1"/>
        <v>43063</v>
      </c>
      <c r="P5" s="10">
        <f>[1]!s_dq_settle(E5,C5)</f>
        <v>6341</v>
      </c>
      <c r="Q5" s="11">
        <v>104000</v>
      </c>
      <c r="R5" s="11">
        <f t="shared" si="2"/>
        <v>12682000</v>
      </c>
    </row>
    <row r="6" spans="1:21" s="7" customFormat="1" hidden="1" x14ac:dyDescent="0.15">
      <c r="B6" s="3" t="s">
        <v>19</v>
      </c>
      <c r="C6" s="4">
        <v>42970</v>
      </c>
      <c r="D6" s="4">
        <v>43063</v>
      </c>
      <c r="E6" s="3" t="s">
        <v>20</v>
      </c>
      <c r="F6" s="3" t="s">
        <v>21</v>
      </c>
      <c r="G6" s="3" t="s">
        <v>25</v>
      </c>
      <c r="H6" s="3">
        <v>2000</v>
      </c>
      <c r="I6" s="3">
        <v>6000</v>
      </c>
      <c r="J6" s="3">
        <v>35</v>
      </c>
      <c r="K6" s="3" t="s">
        <v>30</v>
      </c>
      <c r="L6" s="3" t="s">
        <v>31</v>
      </c>
      <c r="M6" s="3">
        <v>6409</v>
      </c>
      <c r="N6" s="3">
        <f>(I6-M6)*H6*-1</f>
        <v>818000</v>
      </c>
      <c r="O6" s="4">
        <f t="shared" si="1"/>
        <v>43063</v>
      </c>
      <c r="P6" s="10">
        <f>[1]!s_dq_settle(E6,C6)</f>
        <v>6328</v>
      </c>
      <c r="Q6" s="11">
        <v>70000</v>
      </c>
      <c r="R6" s="11">
        <f t="shared" si="2"/>
        <v>12656000</v>
      </c>
    </row>
    <row r="7" spans="1:21" s="7" customFormat="1" hidden="1" x14ac:dyDescent="0.15">
      <c r="B7" s="3" t="s">
        <v>19</v>
      </c>
      <c r="C7" s="4">
        <v>42972</v>
      </c>
      <c r="D7" s="4">
        <v>43063</v>
      </c>
      <c r="E7" s="3" t="s">
        <v>20</v>
      </c>
      <c r="F7" s="3" t="s">
        <v>21</v>
      </c>
      <c r="G7" s="3" t="s">
        <v>22</v>
      </c>
      <c r="H7" s="3">
        <v>1000</v>
      </c>
      <c r="I7" s="3">
        <v>6600</v>
      </c>
      <c r="J7" s="3">
        <v>53.5</v>
      </c>
      <c r="K7" s="3" t="s">
        <v>32</v>
      </c>
      <c r="L7" s="3" t="s">
        <v>33</v>
      </c>
      <c r="M7" s="3">
        <v>6409</v>
      </c>
      <c r="N7" s="3">
        <f t="shared" si="0"/>
        <v>191000</v>
      </c>
      <c r="O7" s="4">
        <f t="shared" si="1"/>
        <v>43063</v>
      </c>
      <c r="P7" s="10">
        <f>[1]!s_dq_settle(E7,C7)</f>
        <v>6399</v>
      </c>
      <c r="Q7" s="11">
        <v>53500</v>
      </c>
      <c r="R7" s="11">
        <f t="shared" si="2"/>
        <v>6399000</v>
      </c>
    </row>
    <row r="8" spans="1:21" s="7" customFormat="1" hidden="1" x14ac:dyDescent="0.15">
      <c r="B8" s="3" t="s">
        <v>19</v>
      </c>
      <c r="C8" s="4">
        <v>42977</v>
      </c>
      <c r="D8" s="4">
        <v>43063</v>
      </c>
      <c r="E8" s="3" t="s">
        <v>20</v>
      </c>
      <c r="F8" s="3" t="s">
        <v>21</v>
      </c>
      <c r="G8" s="3" t="s">
        <v>22</v>
      </c>
      <c r="H8" s="3">
        <v>2000</v>
      </c>
      <c r="I8" s="3">
        <v>6600</v>
      </c>
      <c r="J8" s="3">
        <v>55</v>
      </c>
      <c r="K8" s="3" t="s">
        <v>34</v>
      </c>
      <c r="L8" s="3" t="s">
        <v>35</v>
      </c>
      <c r="M8" s="3">
        <v>6409</v>
      </c>
      <c r="N8" s="3">
        <f t="shared" si="0"/>
        <v>382000</v>
      </c>
      <c r="O8" s="4">
        <f t="shared" si="1"/>
        <v>43063</v>
      </c>
      <c r="P8" s="10">
        <f>[1]!s_dq_settle(E8,C8)</f>
        <v>6414</v>
      </c>
      <c r="Q8" s="11">
        <v>110000</v>
      </c>
      <c r="R8" s="11">
        <f t="shared" si="2"/>
        <v>12828000</v>
      </c>
    </row>
    <row r="9" spans="1:21" hidden="1" x14ac:dyDescent="0.15">
      <c r="B9" s="3" t="s">
        <v>36</v>
      </c>
      <c r="C9" s="4">
        <v>42979</v>
      </c>
      <c r="D9" s="4">
        <v>43007</v>
      </c>
      <c r="E9" s="3" t="s">
        <v>37</v>
      </c>
      <c r="F9" s="3" t="s">
        <v>38</v>
      </c>
      <c r="G9" s="3" t="s">
        <v>39</v>
      </c>
      <c r="H9" s="3">
        <v>427</v>
      </c>
      <c r="I9" s="3">
        <v>15230</v>
      </c>
      <c r="J9" s="3">
        <v>678.69594847775204</v>
      </c>
      <c r="K9" s="3" t="s">
        <v>40</v>
      </c>
      <c r="L9" s="3" t="s">
        <v>41</v>
      </c>
      <c r="M9" s="3">
        <v>15498.33</v>
      </c>
      <c r="N9" s="3">
        <v>0</v>
      </c>
      <c r="O9" s="4">
        <f t="shared" si="1"/>
        <v>43007</v>
      </c>
      <c r="P9" s="16">
        <f>[1]!s_dq_settle(E9,C9)</f>
        <v>15315</v>
      </c>
      <c r="Q9" s="11">
        <v>289803.17</v>
      </c>
      <c r="R9" s="11">
        <f t="shared" si="2"/>
        <v>6539505</v>
      </c>
      <c r="S9" s="3">
        <f>SUM(R9:R41)</f>
        <v>1572744567.5</v>
      </c>
    </row>
    <row r="10" spans="1:21" hidden="1" x14ac:dyDescent="0.15">
      <c r="B10" s="3" t="s">
        <v>42</v>
      </c>
      <c r="C10" s="4">
        <v>42979</v>
      </c>
      <c r="D10" s="4">
        <v>43007</v>
      </c>
      <c r="E10" s="3" t="s">
        <v>43</v>
      </c>
      <c r="F10" s="3" t="s">
        <v>38</v>
      </c>
      <c r="G10" s="3" t="s">
        <v>39</v>
      </c>
      <c r="H10" s="3">
        <v>670</v>
      </c>
      <c r="I10" s="3">
        <v>16545</v>
      </c>
      <c r="J10" s="3">
        <v>790.8</v>
      </c>
      <c r="K10" s="3" t="s">
        <v>44</v>
      </c>
      <c r="L10" s="3" t="s">
        <v>45</v>
      </c>
      <c r="M10" s="3">
        <v>15741.43</v>
      </c>
      <c r="N10" s="3">
        <f>(I10-M10)*H10</f>
        <v>538391.89999999979</v>
      </c>
      <c r="O10" s="4">
        <f t="shared" si="1"/>
        <v>43007</v>
      </c>
      <c r="P10" s="16">
        <f>[1]!s_dq_settle(E10,C10)</f>
        <v>16615</v>
      </c>
      <c r="Q10" s="11">
        <v>529836</v>
      </c>
      <c r="R10" s="11">
        <f t="shared" si="2"/>
        <v>11132050</v>
      </c>
    </row>
    <row r="11" spans="1:21" hidden="1" x14ac:dyDescent="0.15">
      <c r="B11" s="3" t="s">
        <v>46</v>
      </c>
      <c r="C11" s="4">
        <v>42979</v>
      </c>
      <c r="D11" s="4">
        <v>43098</v>
      </c>
      <c r="E11" s="3" t="s">
        <v>47</v>
      </c>
      <c r="F11" s="3" t="s">
        <v>38</v>
      </c>
      <c r="G11" s="3" t="s">
        <v>39</v>
      </c>
      <c r="H11" s="3">
        <v>22500</v>
      </c>
      <c r="I11" s="3">
        <v>1687</v>
      </c>
      <c r="J11" s="3">
        <v>60</v>
      </c>
      <c r="K11" s="3" t="s">
        <v>48</v>
      </c>
      <c r="O11" s="4">
        <f t="shared" si="1"/>
        <v>43098</v>
      </c>
      <c r="P11" s="16">
        <f>[1]!s_dq_settle(E11,C11)</f>
        <v>1692</v>
      </c>
      <c r="Q11" s="11">
        <v>1350000</v>
      </c>
      <c r="R11" s="11">
        <f t="shared" si="2"/>
        <v>38070000</v>
      </c>
    </row>
    <row r="12" spans="1:21" hidden="1" x14ac:dyDescent="0.15">
      <c r="B12" s="3" t="s">
        <v>19</v>
      </c>
      <c r="C12" s="4">
        <v>42982</v>
      </c>
      <c r="D12" s="4">
        <v>43063</v>
      </c>
      <c r="E12" s="3" t="s">
        <v>20</v>
      </c>
      <c r="F12" s="3" t="s">
        <v>21</v>
      </c>
      <c r="G12" s="3" t="s">
        <v>25</v>
      </c>
      <c r="H12" s="3">
        <v>2000</v>
      </c>
      <c r="I12" s="3">
        <v>6100</v>
      </c>
      <c r="J12" s="3">
        <v>49</v>
      </c>
      <c r="K12" s="3" t="s">
        <v>49</v>
      </c>
      <c r="L12" s="3" t="s">
        <v>50</v>
      </c>
      <c r="M12" s="3">
        <v>6409</v>
      </c>
      <c r="N12" s="3">
        <f>(I12-M12)*H12*-1</f>
        <v>618000</v>
      </c>
      <c r="O12" s="4">
        <f t="shared" si="1"/>
        <v>43063</v>
      </c>
      <c r="P12" s="16">
        <f>[1]!s_dq_settle(E12,C12)</f>
        <v>6359</v>
      </c>
      <c r="Q12" s="11">
        <v>98000</v>
      </c>
      <c r="R12" s="11">
        <f t="shared" si="2"/>
        <v>12718000</v>
      </c>
    </row>
    <row r="13" spans="1:21" hidden="1" x14ac:dyDescent="0.15">
      <c r="B13" s="3" t="s">
        <v>19</v>
      </c>
      <c r="C13" s="4">
        <v>42985</v>
      </c>
      <c r="D13" s="4">
        <v>43063</v>
      </c>
      <c r="E13" s="3" t="s">
        <v>20</v>
      </c>
      <c r="F13" s="3" t="s">
        <v>21</v>
      </c>
      <c r="G13" s="3" t="s">
        <v>25</v>
      </c>
      <c r="H13" s="3">
        <v>2000</v>
      </c>
      <c r="I13" s="3">
        <v>6000</v>
      </c>
      <c r="J13" s="3">
        <v>56</v>
      </c>
      <c r="K13" s="3" t="s">
        <v>51</v>
      </c>
      <c r="L13" s="3" t="s">
        <v>52</v>
      </c>
      <c r="M13" s="3">
        <v>6409</v>
      </c>
      <c r="N13" s="3">
        <f>(I13-M13)*H13*-1</f>
        <v>818000</v>
      </c>
      <c r="O13" s="4">
        <f t="shared" si="1"/>
        <v>43063</v>
      </c>
      <c r="P13" s="16">
        <f>[1]!s_dq_settle(E13,C13)</f>
        <v>6264</v>
      </c>
      <c r="Q13" s="11">
        <v>112000</v>
      </c>
      <c r="R13" s="11">
        <f t="shared" si="2"/>
        <v>12528000</v>
      </c>
    </row>
    <row r="14" spans="1:21" hidden="1" x14ac:dyDescent="0.15">
      <c r="B14" s="3" t="s">
        <v>36</v>
      </c>
      <c r="C14" s="4">
        <v>42993</v>
      </c>
      <c r="D14" s="4">
        <v>43021</v>
      </c>
      <c r="E14" s="3" t="s">
        <v>20</v>
      </c>
      <c r="F14" s="3" t="s">
        <v>38</v>
      </c>
      <c r="G14" s="3" t="s">
        <v>39</v>
      </c>
      <c r="H14" s="3">
        <v>1462.5</v>
      </c>
      <c r="I14" s="3">
        <v>6392</v>
      </c>
      <c r="J14" s="3">
        <v>222.22</v>
      </c>
      <c r="K14" s="3" t="s">
        <v>53</v>
      </c>
      <c r="L14" s="3" t="s">
        <v>54</v>
      </c>
      <c r="M14" s="3">
        <v>6150.19</v>
      </c>
      <c r="N14" s="3">
        <f>(I14-M14)*H14*0.4</f>
        <v>141458.85000000024</v>
      </c>
      <c r="O14" s="4">
        <f t="shared" si="1"/>
        <v>43021</v>
      </c>
      <c r="P14" s="16">
        <f>[1]!s_dq_settle(E14,C14)</f>
        <v>6192</v>
      </c>
      <c r="Q14" s="11">
        <v>324996.75</v>
      </c>
      <c r="R14" s="11">
        <f t="shared" si="2"/>
        <v>9055800</v>
      </c>
    </row>
    <row r="15" spans="1:21" hidden="1" x14ac:dyDescent="0.15">
      <c r="B15" s="3" t="s">
        <v>55</v>
      </c>
      <c r="C15" s="4">
        <v>43004</v>
      </c>
      <c r="D15" s="4">
        <v>43034</v>
      </c>
      <c r="E15" s="3" t="s">
        <v>43</v>
      </c>
      <c r="F15" s="3" t="s">
        <v>21</v>
      </c>
      <c r="G15" s="3" t="s">
        <v>56</v>
      </c>
      <c r="H15" s="3">
        <v>200</v>
      </c>
      <c r="I15" s="3">
        <v>16500</v>
      </c>
      <c r="J15" s="3">
        <v>27</v>
      </c>
      <c r="K15" s="3" t="s">
        <v>57</v>
      </c>
      <c r="L15" s="3" t="s">
        <v>58</v>
      </c>
      <c r="M15" s="3">
        <v>13570</v>
      </c>
      <c r="N15" s="3">
        <f>J15*H15</f>
        <v>5400</v>
      </c>
      <c r="O15" s="4">
        <f t="shared" si="1"/>
        <v>43034</v>
      </c>
      <c r="P15" s="16">
        <f>[1]!s_dq_settle(E15,C15)</f>
        <v>14640</v>
      </c>
      <c r="Q15" s="11">
        <v>5400</v>
      </c>
      <c r="R15" s="11">
        <f t="shared" si="2"/>
        <v>2928000</v>
      </c>
    </row>
    <row r="16" spans="1:21" hidden="1" x14ac:dyDescent="0.15">
      <c r="B16" s="3" t="s">
        <v>55</v>
      </c>
      <c r="C16" s="4">
        <v>43004</v>
      </c>
      <c r="D16" s="4">
        <v>43034</v>
      </c>
      <c r="E16" s="3" t="s">
        <v>43</v>
      </c>
      <c r="F16" s="3" t="s">
        <v>21</v>
      </c>
      <c r="G16" s="3" t="s">
        <v>59</v>
      </c>
      <c r="H16" s="3">
        <v>200</v>
      </c>
      <c r="I16" s="3">
        <v>13250</v>
      </c>
      <c r="J16" s="3">
        <v>40</v>
      </c>
      <c r="K16" s="3" t="s">
        <v>57</v>
      </c>
      <c r="L16" s="3" t="s">
        <v>58</v>
      </c>
      <c r="M16" s="3">
        <v>13570</v>
      </c>
      <c r="N16" s="3">
        <f>J16*H16</f>
        <v>8000</v>
      </c>
      <c r="O16" s="4">
        <f t="shared" si="1"/>
        <v>43034</v>
      </c>
      <c r="P16" s="16">
        <f>[1]!s_dq_settle(E16,C16)</f>
        <v>14640</v>
      </c>
      <c r="Q16" s="11">
        <v>8000</v>
      </c>
      <c r="R16" s="11">
        <f t="shared" si="2"/>
        <v>2928000</v>
      </c>
    </row>
    <row r="17" spans="2:19" hidden="1" x14ac:dyDescent="0.15">
      <c r="B17" s="3" t="s">
        <v>36</v>
      </c>
      <c r="C17" s="4">
        <v>43017</v>
      </c>
      <c r="D17" s="4">
        <v>43039</v>
      </c>
      <c r="E17" s="3" t="s">
        <v>37</v>
      </c>
      <c r="F17" s="3" t="s">
        <v>38</v>
      </c>
      <c r="G17" s="3" t="s">
        <v>39</v>
      </c>
      <c r="H17" s="3">
        <v>427</v>
      </c>
      <c r="I17" s="3">
        <v>15100</v>
      </c>
      <c r="J17" s="3">
        <v>678.69594847775204</v>
      </c>
      <c r="K17" s="3" t="s">
        <v>40</v>
      </c>
      <c r="L17" s="3" t="s">
        <v>60</v>
      </c>
      <c r="M17" s="3">
        <v>15054.21</v>
      </c>
      <c r="N17" s="3">
        <f>(I17-M17)*H17</f>
        <v>19552.330000000373</v>
      </c>
      <c r="O17" s="4">
        <f t="shared" si="1"/>
        <v>43039</v>
      </c>
      <c r="P17" s="16">
        <f>[1]!s_dq_settle(E17,C17)</f>
        <v>15040</v>
      </c>
      <c r="Q17" s="11">
        <v>289803.17</v>
      </c>
      <c r="R17" s="11">
        <f t="shared" si="2"/>
        <v>6422080</v>
      </c>
    </row>
    <row r="18" spans="2:19" hidden="1" x14ac:dyDescent="0.15">
      <c r="B18" s="3" t="s">
        <v>42</v>
      </c>
      <c r="C18" s="4">
        <v>43017</v>
      </c>
      <c r="D18" s="4">
        <v>43039</v>
      </c>
      <c r="E18" s="3" t="s">
        <v>43</v>
      </c>
      <c r="F18" s="3" t="s">
        <v>38</v>
      </c>
      <c r="G18" s="3" t="s">
        <v>39</v>
      </c>
      <c r="H18" s="3">
        <v>670</v>
      </c>
      <c r="I18" s="3">
        <v>13495</v>
      </c>
      <c r="J18" s="3">
        <v>790.8</v>
      </c>
      <c r="K18" s="3" t="s">
        <v>44</v>
      </c>
      <c r="L18" s="3" t="s">
        <v>61</v>
      </c>
      <c r="M18" s="3">
        <v>13440.88</v>
      </c>
      <c r="N18" s="3">
        <f>(I18-M18)*H18</f>
        <v>36260.400000000533</v>
      </c>
      <c r="O18" s="4">
        <f t="shared" si="1"/>
        <v>43039</v>
      </c>
      <c r="P18" s="16">
        <f>[1]!s_dq_settle(E18,C18)</f>
        <v>13340</v>
      </c>
      <c r="Q18" s="11">
        <v>529836</v>
      </c>
      <c r="R18" s="11">
        <f t="shared" si="2"/>
        <v>8937800</v>
      </c>
    </row>
    <row r="19" spans="2:19" hidden="1" x14ac:dyDescent="0.15">
      <c r="B19" s="3" t="s">
        <v>36</v>
      </c>
      <c r="C19" s="4">
        <v>43024</v>
      </c>
      <c r="D19" s="4">
        <v>43053</v>
      </c>
      <c r="E19" s="3" t="s">
        <v>20</v>
      </c>
      <c r="F19" s="3" t="s">
        <v>38</v>
      </c>
      <c r="G19" s="3" t="s">
        <v>39</v>
      </c>
      <c r="H19" s="3">
        <v>1462.5</v>
      </c>
      <c r="I19" s="3">
        <v>6465</v>
      </c>
      <c r="J19" s="3">
        <v>222.22</v>
      </c>
      <c r="K19" s="3" t="s">
        <v>53</v>
      </c>
      <c r="L19" s="3" t="s">
        <v>62</v>
      </c>
      <c r="M19" s="3">
        <v>6360.27</v>
      </c>
      <c r="N19" s="3">
        <f>(I19-M19)*H19*0.4</f>
        <v>61267.049999999748</v>
      </c>
      <c r="O19" s="4">
        <f t="shared" si="1"/>
        <v>43053</v>
      </c>
      <c r="P19" s="16">
        <f>[1]!s_dq_settle(E19,C19)</f>
        <v>6247</v>
      </c>
      <c r="Q19" s="11">
        <f>J19*H19</f>
        <v>324996.75</v>
      </c>
      <c r="R19" s="11">
        <f t="shared" si="2"/>
        <v>9136237.5</v>
      </c>
    </row>
    <row r="20" spans="2:19" hidden="1" x14ac:dyDescent="0.15">
      <c r="B20" s="3" t="s">
        <v>63</v>
      </c>
      <c r="C20" s="4">
        <v>43035</v>
      </c>
      <c r="D20" s="4">
        <v>43126</v>
      </c>
      <c r="E20" s="3" t="s">
        <v>64</v>
      </c>
      <c r="F20" s="3" t="s">
        <v>38</v>
      </c>
      <c r="G20" s="3" t="s">
        <v>25</v>
      </c>
      <c r="H20" s="3">
        <v>4000</v>
      </c>
      <c r="I20" s="3">
        <v>3723</v>
      </c>
      <c r="J20" s="3">
        <v>100</v>
      </c>
      <c r="K20" s="3" t="s">
        <v>65</v>
      </c>
      <c r="L20" s="3" t="s">
        <v>66</v>
      </c>
      <c r="O20" s="4"/>
      <c r="P20" s="16">
        <f>[1]!s_dq_settle(E20,C20)</f>
        <v>3721</v>
      </c>
      <c r="Q20" s="11">
        <f>J20*H20</f>
        <v>400000</v>
      </c>
      <c r="R20" s="11">
        <f t="shared" si="2"/>
        <v>14884000</v>
      </c>
    </row>
    <row r="21" spans="2:19" hidden="1" x14ac:dyDescent="0.15">
      <c r="B21" s="3" t="s">
        <v>63</v>
      </c>
      <c r="C21" s="4">
        <v>43035</v>
      </c>
      <c r="D21" s="4">
        <v>43126</v>
      </c>
      <c r="E21" s="3" t="s">
        <v>64</v>
      </c>
      <c r="F21" s="3" t="s">
        <v>21</v>
      </c>
      <c r="G21" s="3" t="s">
        <v>25</v>
      </c>
      <c r="H21" s="3">
        <v>4000</v>
      </c>
      <c r="I21" s="3">
        <v>3350.7</v>
      </c>
      <c r="J21" s="3">
        <v>5</v>
      </c>
      <c r="K21" s="3" t="s">
        <v>65</v>
      </c>
      <c r="L21" s="3" t="s">
        <v>66</v>
      </c>
      <c r="O21" s="4"/>
      <c r="P21" s="16">
        <f>[1]!s_dq_settle(E21,C21)</f>
        <v>3721</v>
      </c>
      <c r="Q21" s="11">
        <f>J21*H21</f>
        <v>20000</v>
      </c>
      <c r="R21" s="11">
        <f t="shared" si="2"/>
        <v>14884000</v>
      </c>
      <c r="S21" s="1"/>
    </row>
    <row r="22" spans="2:19" hidden="1" x14ac:dyDescent="0.15">
      <c r="B22" s="3" t="s">
        <v>67</v>
      </c>
      <c r="C22" s="4">
        <v>43039</v>
      </c>
      <c r="D22" s="4">
        <v>43131</v>
      </c>
      <c r="E22" s="3" t="s">
        <v>68</v>
      </c>
      <c r="F22" s="3" t="s">
        <v>38</v>
      </c>
      <c r="G22" s="3" t="s">
        <v>59</v>
      </c>
      <c r="H22" s="3">
        <v>2000</v>
      </c>
      <c r="I22" s="3">
        <v>3781</v>
      </c>
      <c r="J22" s="3">
        <v>0</v>
      </c>
      <c r="K22" s="3" t="s">
        <v>69</v>
      </c>
      <c r="L22" s="3" t="s">
        <v>70</v>
      </c>
      <c r="M22" s="3">
        <v>3623</v>
      </c>
      <c r="N22" s="3">
        <v>58000</v>
      </c>
      <c r="O22" s="4">
        <f t="shared" si="1"/>
        <v>43131</v>
      </c>
      <c r="P22" s="16">
        <f>[1]!s_dq_settle(E22,C22)</f>
        <v>3781</v>
      </c>
      <c r="Q22" s="11">
        <v>0</v>
      </c>
      <c r="R22" s="11">
        <f t="shared" si="2"/>
        <v>7562000</v>
      </c>
      <c r="S22" s="614" t="s">
        <v>71</v>
      </c>
    </row>
    <row r="23" spans="2:19" hidden="1" x14ac:dyDescent="0.15">
      <c r="B23" s="3" t="s">
        <v>67</v>
      </c>
      <c r="C23" s="4">
        <v>43039</v>
      </c>
      <c r="D23" s="4">
        <v>43131</v>
      </c>
      <c r="E23" s="3" t="s">
        <v>68</v>
      </c>
      <c r="F23" s="3" t="s">
        <v>21</v>
      </c>
      <c r="G23" s="3" t="s">
        <v>59</v>
      </c>
      <c r="H23" s="3">
        <v>2000</v>
      </c>
      <c r="I23" s="3">
        <v>2981</v>
      </c>
      <c r="J23" s="3">
        <v>0</v>
      </c>
      <c r="K23" s="3" t="s">
        <v>69</v>
      </c>
      <c r="L23" s="3" t="s">
        <v>70</v>
      </c>
      <c r="M23" s="3">
        <v>3623</v>
      </c>
      <c r="N23" s="3">
        <v>0</v>
      </c>
      <c r="O23" s="4">
        <f t="shared" si="1"/>
        <v>43131</v>
      </c>
      <c r="P23" s="16">
        <f>[1]!s_dq_settle(E23,C23)</f>
        <v>3781</v>
      </c>
      <c r="Q23" s="11">
        <v>0</v>
      </c>
      <c r="R23" s="11">
        <f t="shared" si="2"/>
        <v>7562000</v>
      </c>
      <c r="S23" s="614"/>
    </row>
    <row r="24" spans="2:19" hidden="1" x14ac:dyDescent="0.15">
      <c r="B24" s="3" t="s">
        <v>42</v>
      </c>
      <c r="C24" s="4">
        <v>43040</v>
      </c>
      <c r="D24" s="4">
        <v>43069</v>
      </c>
      <c r="E24" s="3" t="s">
        <v>43</v>
      </c>
      <c r="F24" s="3" t="s">
        <v>38</v>
      </c>
      <c r="G24" s="3" t="s">
        <v>39</v>
      </c>
      <c r="H24" s="3">
        <v>670</v>
      </c>
      <c r="I24" s="3">
        <v>13260</v>
      </c>
      <c r="J24" s="3">
        <v>790.8</v>
      </c>
      <c r="K24" s="3" t="s">
        <v>44</v>
      </c>
      <c r="L24" s="3" t="s">
        <v>72</v>
      </c>
      <c r="M24" s="3">
        <v>13667.05</v>
      </c>
      <c r="N24" s="3">
        <v>0</v>
      </c>
      <c r="O24" s="4">
        <f t="shared" si="1"/>
        <v>43069</v>
      </c>
      <c r="P24" s="16">
        <f>[1]!s_dq_settle(E24,C24)</f>
        <v>13565</v>
      </c>
      <c r="Q24" s="11">
        <f>J24*H24</f>
        <v>529836</v>
      </c>
      <c r="R24" s="11">
        <f t="shared" si="2"/>
        <v>9088550</v>
      </c>
    </row>
    <row r="25" spans="2:19" hidden="1" x14ac:dyDescent="0.15">
      <c r="B25" s="3" t="s">
        <v>36</v>
      </c>
      <c r="C25" s="4">
        <v>43040</v>
      </c>
      <c r="D25" s="4">
        <v>43069</v>
      </c>
      <c r="E25" s="3" t="s">
        <v>37</v>
      </c>
      <c r="F25" s="3" t="s">
        <v>38</v>
      </c>
      <c r="G25" s="3" t="s">
        <v>39</v>
      </c>
      <c r="H25" s="3">
        <v>427</v>
      </c>
      <c r="I25" s="3">
        <v>14970</v>
      </c>
      <c r="J25" s="3">
        <v>678.69594847775204</v>
      </c>
      <c r="K25" s="3" t="s">
        <v>40</v>
      </c>
      <c r="L25" s="3" t="s">
        <v>73</v>
      </c>
      <c r="M25" s="3">
        <v>15060.91</v>
      </c>
      <c r="N25" s="3">
        <v>0</v>
      </c>
      <c r="O25" s="4">
        <f t="shared" si="1"/>
        <v>43069</v>
      </c>
      <c r="P25" s="16">
        <f>[1]!s_dq_settle(E25,C25)</f>
        <v>15010</v>
      </c>
      <c r="Q25" s="11">
        <f>J25*H25</f>
        <v>289803.1700000001</v>
      </c>
      <c r="R25" s="11">
        <f t="shared" si="2"/>
        <v>6409270</v>
      </c>
    </row>
    <row r="26" spans="2:19" hidden="1" x14ac:dyDescent="0.15">
      <c r="B26" s="3" t="s">
        <v>36</v>
      </c>
      <c r="C26" s="4">
        <v>43053</v>
      </c>
      <c r="D26" s="4">
        <v>43083</v>
      </c>
      <c r="E26" s="3" t="s">
        <v>20</v>
      </c>
      <c r="F26" s="3" t="s">
        <v>38</v>
      </c>
      <c r="G26" s="3" t="s">
        <v>39</v>
      </c>
      <c r="H26" s="3">
        <v>1575</v>
      </c>
      <c r="I26" s="3">
        <v>6694</v>
      </c>
      <c r="J26" s="3">
        <v>222.23</v>
      </c>
      <c r="K26" s="3" t="s">
        <v>53</v>
      </c>
      <c r="L26" s="3" t="s">
        <v>74</v>
      </c>
      <c r="M26" s="3">
        <v>6434.3</v>
      </c>
      <c r="N26" s="3">
        <v>-163611</v>
      </c>
      <c r="O26" s="4">
        <f t="shared" si="1"/>
        <v>43083</v>
      </c>
      <c r="P26" s="16">
        <f>[1]!s_dq_settle(E26,C26)</f>
        <v>6497</v>
      </c>
      <c r="Q26" s="11">
        <f t="shared" ref="Q26:Q58" si="3">J26*H26</f>
        <v>350012.25</v>
      </c>
      <c r="R26" s="11">
        <f t="shared" si="2"/>
        <v>10232775</v>
      </c>
    </row>
    <row r="27" spans="2:19" hidden="1" x14ac:dyDescent="0.15">
      <c r="B27" s="3" t="s">
        <v>75</v>
      </c>
      <c r="C27" s="4">
        <v>43068</v>
      </c>
      <c r="D27" s="4">
        <v>43084</v>
      </c>
      <c r="E27" s="3" t="s">
        <v>76</v>
      </c>
      <c r="F27" s="3" t="s">
        <v>21</v>
      </c>
      <c r="G27" s="3" t="s">
        <v>59</v>
      </c>
      <c r="H27" s="3">
        <v>5000</v>
      </c>
      <c r="I27" s="3">
        <v>3800</v>
      </c>
      <c r="J27" s="3">
        <v>61</v>
      </c>
      <c r="K27" s="3" t="s">
        <v>77</v>
      </c>
      <c r="L27" s="3" t="s">
        <v>78</v>
      </c>
      <c r="M27" s="3">
        <v>4205</v>
      </c>
      <c r="N27" s="3">
        <v>305000</v>
      </c>
      <c r="O27" s="4">
        <f t="shared" si="1"/>
        <v>43084</v>
      </c>
      <c r="P27" s="16">
        <f>[1]!s_dq_settle(E27,C27)</f>
        <v>3899</v>
      </c>
      <c r="Q27" s="11">
        <f t="shared" si="3"/>
        <v>305000</v>
      </c>
      <c r="R27" s="11">
        <f t="shared" si="2"/>
        <v>19495000</v>
      </c>
    </row>
    <row r="28" spans="2:19" hidden="1" x14ac:dyDescent="0.15">
      <c r="B28" s="3" t="s">
        <v>79</v>
      </c>
      <c r="C28" s="4">
        <v>43075</v>
      </c>
      <c r="D28" s="4">
        <v>43089</v>
      </c>
      <c r="E28" s="3" t="s">
        <v>80</v>
      </c>
      <c r="F28" s="3" t="s">
        <v>21</v>
      </c>
      <c r="G28" s="3" t="s">
        <v>22</v>
      </c>
      <c r="H28" s="3">
        <v>5000</v>
      </c>
      <c r="I28" s="3">
        <v>5502</v>
      </c>
      <c r="J28" s="3">
        <v>64.373000000000005</v>
      </c>
      <c r="K28" s="3" t="s">
        <v>81</v>
      </c>
      <c r="L28" s="3" t="s">
        <v>82</v>
      </c>
      <c r="M28" s="3">
        <v>139.97999999999999</v>
      </c>
      <c r="N28" s="3">
        <f>(M28-J28)*H28</f>
        <v>378034.99999999994</v>
      </c>
      <c r="O28" s="4">
        <v>43076</v>
      </c>
      <c r="P28" s="16">
        <f>[1]!s_dq_settle(E28,C28)</f>
        <v>5508</v>
      </c>
      <c r="Q28" s="11">
        <f t="shared" si="3"/>
        <v>321865</v>
      </c>
      <c r="R28" s="11">
        <f>P28*H28*2</f>
        <v>55080000</v>
      </c>
      <c r="S28" s="3" t="s">
        <v>83</v>
      </c>
    </row>
    <row r="29" spans="2:19" hidden="1" x14ac:dyDescent="0.15">
      <c r="B29" s="3" t="s">
        <v>79</v>
      </c>
      <c r="C29" s="4">
        <v>43075</v>
      </c>
      <c r="D29" s="4">
        <v>43089</v>
      </c>
      <c r="E29" s="3" t="s">
        <v>80</v>
      </c>
      <c r="F29" s="3" t="s">
        <v>21</v>
      </c>
      <c r="G29" s="3" t="s">
        <v>25</v>
      </c>
      <c r="H29" s="3">
        <v>5000</v>
      </c>
      <c r="I29" s="3">
        <v>5502</v>
      </c>
      <c r="J29" s="3">
        <v>64.373000000000005</v>
      </c>
      <c r="K29" s="3" t="s">
        <v>81</v>
      </c>
      <c r="L29" s="3" t="s">
        <v>82</v>
      </c>
      <c r="M29" s="3">
        <v>18.2</v>
      </c>
      <c r="N29" s="3">
        <f>(M29-J29)*H29</f>
        <v>-230865</v>
      </c>
      <c r="O29" s="4">
        <v>43076</v>
      </c>
      <c r="P29" s="16">
        <f>[1]!s_dq_settle(E29,C29)</f>
        <v>5508</v>
      </c>
      <c r="Q29" s="11">
        <f t="shared" si="3"/>
        <v>321865</v>
      </c>
      <c r="R29" s="11">
        <f>P29*H29*2</f>
        <v>55080000</v>
      </c>
      <c r="S29" s="3" t="s">
        <v>83</v>
      </c>
    </row>
    <row r="30" spans="2:19" hidden="1" x14ac:dyDescent="0.15">
      <c r="B30" s="3" t="s">
        <v>79</v>
      </c>
      <c r="C30" s="4">
        <v>43075</v>
      </c>
      <c r="D30" s="4">
        <v>43089</v>
      </c>
      <c r="E30" s="3" t="s">
        <v>84</v>
      </c>
      <c r="F30" s="3" t="s">
        <v>21</v>
      </c>
      <c r="G30" s="3" t="s">
        <v>22</v>
      </c>
      <c r="H30" s="3">
        <v>6000</v>
      </c>
      <c r="I30" s="3">
        <v>537</v>
      </c>
      <c r="J30" s="3">
        <v>14.848000000000001</v>
      </c>
      <c r="K30" s="3" t="s">
        <v>81</v>
      </c>
      <c r="L30" s="3" t="s">
        <v>85</v>
      </c>
      <c r="M30" s="3">
        <v>527</v>
      </c>
      <c r="O30" s="4">
        <f>D30</f>
        <v>43089</v>
      </c>
      <c r="P30" s="16">
        <f>[1]!s_dq_settle(E30,C30)</f>
        <v>534.5</v>
      </c>
      <c r="Q30" s="11">
        <f t="shared" si="3"/>
        <v>89088</v>
      </c>
      <c r="R30" s="11">
        <f t="shared" ref="R30:R38" si="4">P30*H30</f>
        <v>3207000</v>
      </c>
    </row>
    <row r="31" spans="2:19" hidden="1" x14ac:dyDescent="0.15">
      <c r="B31" s="3" t="s">
        <v>79</v>
      </c>
      <c r="C31" s="4">
        <v>43075</v>
      </c>
      <c r="D31" s="4">
        <v>43089</v>
      </c>
      <c r="E31" s="3" t="s">
        <v>84</v>
      </c>
      <c r="F31" s="3" t="s">
        <v>21</v>
      </c>
      <c r="G31" s="3" t="s">
        <v>25</v>
      </c>
      <c r="H31" s="3">
        <v>6000</v>
      </c>
      <c r="I31" s="3">
        <v>537</v>
      </c>
      <c r="J31" s="3">
        <v>14.848000000000001</v>
      </c>
      <c r="K31" s="3" t="s">
        <v>81</v>
      </c>
      <c r="L31" s="3" t="s">
        <v>86</v>
      </c>
      <c r="M31" s="3">
        <v>527</v>
      </c>
      <c r="O31" s="4">
        <f t="shared" ref="O31:O37" si="5">D31</f>
        <v>43089</v>
      </c>
      <c r="P31" s="16">
        <f>[1]!s_dq_settle(E31,C31)</f>
        <v>534.5</v>
      </c>
      <c r="Q31" s="11">
        <f t="shared" si="3"/>
        <v>89088</v>
      </c>
      <c r="R31" s="11">
        <f t="shared" si="4"/>
        <v>3207000</v>
      </c>
    </row>
    <row r="32" spans="2:19" hidden="1" x14ac:dyDescent="0.15">
      <c r="B32" s="3" t="s">
        <v>79</v>
      </c>
      <c r="C32" s="4">
        <v>43076</v>
      </c>
      <c r="D32" s="4">
        <v>43089</v>
      </c>
      <c r="E32" s="3" t="s">
        <v>76</v>
      </c>
      <c r="F32" s="3" t="s">
        <v>21</v>
      </c>
      <c r="G32" s="3" t="s">
        <v>22</v>
      </c>
      <c r="H32" s="3">
        <v>2500</v>
      </c>
      <c r="I32" s="3">
        <v>3895</v>
      </c>
      <c r="J32" s="3">
        <v>78.873699999999999</v>
      </c>
      <c r="K32" s="3" t="s">
        <v>87</v>
      </c>
      <c r="L32" s="3" t="s">
        <v>88</v>
      </c>
      <c r="M32" s="3">
        <v>3800</v>
      </c>
      <c r="O32" s="4">
        <f t="shared" si="5"/>
        <v>43089</v>
      </c>
      <c r="P32" s="16">
        <f>[1]!s_dq_settle(E32,C32)</f>
        <v>3877</v>
      </c>
      <c r="Q32" s="11">
        <f t="shared" si="3"/>
        <v>197184.25</v>
      </c>
      <c r="R32" s="11">
        <f t="shared" si="4"/>
        <v>9692500</v>
      </c>
    </row>
    <row r="33" spans="2:19" hidden="1" x14ac:dyDescent="0.15">
      <c r="B33" s="3" t="s">
        <v>79</v>
      </c>
      <c r="C33" s="4">
        <v>43076</v>
      </c>
      <c r="D33" s="4">
        <v>43089</v>
      </c>
      <c r="E33" s="3" t="s">
        <v>76</v>
      </c>
      <c r="F33" s="3" t="s">
        <v>21</v>
      </c>
      <c r="G33" s="3" t="s">
        <v>25</v>
      </c>
      <c r="H33" s="3">
        <v>2500</v>
      </c>
      <c r="I33" s="3">
        <v>3895</v>
      </c>
      <c r="J33" s="3">
        <v>78.873699999999999</v>
      </c>
      <c r="K33" s="3" t="s">
        <v>89</v>
      </c>
      <c r="L33" s="3" t="s">
        <v>90</v>
      </c>
      <c r="M33" s="3">
        <v>3800</v>
      </c>
      <c r="O33" s="4">
        <f t="shared" si="5"/>
        <v>43089</v>
      </c>
      <c r="P33" s="16">
        <f>[1]!s_dq_settle(E33,C33)</f>
        <v>3877</v>
      </c>
      <c r="Q33" s="11">
        <f t="shared" si="3"/>
        <v>197184.25</v>
      </c>
      <c r="R33" s="11">
        <f t="shared" si="4"/>
        <v>9692500</v>
      </c>
    </row>
    <row r="34" spans="2:19" hidden="1" x14ac:dyDescent="0.15">
      <c r="B34" s="3" t="s">
        <v>91</v>
      </c>
      <c r="C34" s="4">
        <v>43076</v>
      </c>
      <c r="D34" s="4">
        <v>43090</v>
      </c>
      <c r="E34" s="3" t="s">
        <v>84</v>
      </c>
      <c r="F34" s="3" t="s">
        <v>21</v>
      </c>
      <c r="G34" s="3" t="s">
        <v>22</v>
      </c>
      <c r="H34" s="3">
        <v>50000</v>
      </c>
      <c r="I34" s="3">
        <v>516.5</v>
      </c>
      <c r="J34" s="3">
        <v>14.39</v>
      </c>
      <c r="K34" s="3" t="s">
        <v>92</v>
      </c>
      <c r="L34" s="3" t="s">
        <v>93</v>
      </c>
      <c r="M34" s="3">
        <v>9.07</v>
      </c>
      <c r="N34" s="3">
        <f>(M34-J34)*H34</f>
        <v>-266000</v>
      </c>
      <c r="O34" s="4">
        <v>43077</v>
      </c>
      <c r="P34" s="16">
        <f>[1]!s_dq_settle(E34,C34)</f>
        <v>512.5</v>
      </c>
      <c r="Q34" s="11">
        <f t="shared" si="3"/>
        <v>719500</v>
      </c>
      <c r="R34" s="11">
        <f>P34*H34*2</f>
        <v>51250000</v>
      </c>
      <c r="S34" s="3" t="s">
        <v>83</v>
      </c>
    </row>
    <row r="35" spans="2:19" hidden="1" x14ac:dyDescent="0.15">
      <c r="B35" s="3" t="s">
        <v>91</v>
      </c>
      <c r="C35" s="4">
        <v>43076</v>
      </c>
      <c r="D35" s="4">
        <v>43090</v>
      </c>
      <c r="E35" s="3" t="s">
        <v>84</v>
      </c>
      <c r="F35" s="3" t="s">
        <v>21</v>
      </c>
      <c r="G35" s="3" t="s">
        <v>25</v>
      </c>
      <c r="H35" s="3">
        <v>50000</v>
      </c>
      <c r="I35" s="3">
        <v>516.5</v>
      </c>
      <c r="J35" s="3">
        <v>14.39</v>
      </c>
      <c r="K35" s="3" t="s">
        <v>92</v>
      </c>
      <c r="L35" s="3" t="s">
        <v>94</v>
      </c>
      <c r="N35" s="3">
        <f>(M35-J35)*H35</f>
        <v>-719500</v>
      </c>
      <c r="O35" s="4">
        <f t="shared" si="5"/>
        <v>43090</v>
      </c>
      <c r="P35" s="16">
        <f>[1]!s_dq_settle(E35,C35)</f>
        <v>512.5</v>
      </c>
      <c r="Q35" s="11">
        <f t="shared" si="3"/>
        <v>719500</v>
      </c>
      <c r="R35" s="11">
        <f t="shared" si="4"/>
        <v>25625000</v>
      </c>
    </row>
    <row r="36" spans="2:19" hidden="1" x14ac:dyDescent="0.15">
      <c r="B36" s="3" t="s">
        <v>91</v>
      </c>
      <c r="C36" s="4">
        <v>43076</v>
      </c>
      <c r="D36" s="4">
        <v>43090</v>
      </c>
      <c r="E36" s="3" t="s">
        <v>84</v>
      </c>
      <c r="F36" s="3" t="s">
        <v>21</v>
      </c>
      <c r="G36" s="3" t="s">
        <v>22</v>
      </c>
      <c r="H36" s="3">
        <v>25000</v>
      </c>
      <c r="I36" s="3">
        <v>494.5</v>
      </c>
      <c r="J36" s="3">
        <v>13.91</v>
      </c>
      <c r="K36" s="3" t="s">
        <v>95</v>
      </c>
      <c r="L36" s="3" t="s">
        <v>96</v>
      </c>
      <c r="M36" s="3">
        <v>19.649999999999999</v>
      </c>
      <c r="N36" s="3">
        <f>(M36-J36)*H36</f>
        <v>143499.99999999997</v>
      </c>
      <c r="O36" s="4">
        <v>43077</v>
      </c>
      <c r="P36" s="16">
        <f>[1]!s_dq_settle(E36,C36)</f>
        <v>512.5</v>
      </c>
      <c r="Q36" s="11">
        <f t="shared" si="3"/>
        <v>347750</v>
      </c>
      <c r="R36" s="11">
        <f>P36*H36*2</f>
        <v>25625000</v>
      </c>
      <c r="S36" s="3" t="s">
        <v>83</v>
      </c>
    </row>
    <row r="37" spans="2:19" hidden="1" x14ac:dyDescent="0.15">
      <c r="B37" s="3" t="s">
        <v>91</v>
      </c>
      <c r="C37" s="4">
        <v>43076</v>
      </c>
      <c r="D37" s="4">
        <v>43090</v>
      </c>
      <c r="E37" s="3" t="s">
        <v>84</v>
      </c>
      <c r="F37" s="3" t="s">
        <v>21</v>
      </c>
      <c r="G37" s="3" t="s">
        <v>25</v>
      </c>
      <c r="H37" s="3">
        <v>25000</v>
      </c>
      <c r="I37" s="3">
        <v>494.5</v>
      </c>
      <c r="J37" s="3">
        <v>13.91</v>
      </c>
      <c r="K37" s="3" t="s">
        <v>95</v>
      </c>
      <c r="L37" s="3" t="s">
        <v>97</v>
      </c>
      <c r="N37" s="3">
        <f>(M37-J37)*H37</f>
        <v>-347750</v>
      </c>
      <c r="O37" s="4">
        <f t="shared" si="5"/>
        <v>43090</v>
      </c>
      <c r="P37" s="16">
        <f>[1]!s_dq_settle(E37,C37)</f>
        <v>512.5</v>
      </c>
      <c r="Q37" s="11">
        <f t="shared" si="3"/>
        <v>347750</v>
      </c>
      <c r="R37" s="11">
        <f t="shared" si="4"/>
        <v>12812500</v>
      </c>
    </row>
    <row r="38" spans="2:19" hidden="1" x14ac:dyDescent="0.15">
      <c r="B38" s="3" t="s">
        <v>75</v>
      </c>
      <c r="C38" s="4">
        <v>43077</v>
      </c>
      <c r="D38" s="4">
        <v>43189</v>
      </c>
      <c r="E38" s="3" t="s">
        <v>98</v>
      </c>
      <c r="F38" s="3" t="s">
        <v>21</v>
      </c>
      <c r="G38" s="3" t="s">
        <v>25</v>
      </c>
      <c r="H38" s="3">
        <v>30000</v>
      </c>
      <c r="I38" s="3">
        <v>1200</v>
      </c>
      <c r="J38" s="3">
        <v>77.8</v>
      </c>
      <c r="K38" s="3" t="s">
        <v>99</v>
      </c>
      <c r="P38" s="16">
        <f>[1]!s_dq_settle(E38,C38)</f>
        <v>1244</v>
      </c>
      <c r="Q38" s="11">
        <f t="shared" si="3"/>
        <v>2334000</v>
      </c>
      <c r="R38" s="11">
        <f t="shared" si="4"/>
        <v>37320000</v>
      </c>
    </row>
    <row r="39" spans="2:19" hidden="1" x14ac:dyDescent="0.15">
      <c r="B39" s="3" t="s">
        <v>100</v>
      </c>
      <c r="C39" s="4">
        <v>43080</v>
      </c>
      <c r="D39" s="4">
        <v>43095</v>
      </c>
      <c r="E39" s="3" t="s">
        <v>76</v>
      </c>
      <c r="F39" s="3" t="s">
        <v>101</v>
      </c>
      <c r="G39" s="3" t="s">
        <v>22</v>
      </c>
      <c r="H39" s="3">
        <v>10000</v>
      </c>
      <c r="I39" s="3" t="s">
        <v>102</v>
      </c>
      <c r="J39" s="3">
        <v>0.1</v>
      </c>
      <c r="K39" s="3" t="s">
        <v>103</v>
      </c>
      <c r="L39" s="3" t="s">
        <v>104</v>
      </c>
      <c r="M39" s="3" t="s">
        <v>105</v>
      </c>
      <c r="N39" s="3">
        <v>200</v>
      </c>
      <c r="O39" s="4">
        <v>43082</v>
      </c>
      <c r="P39" s="16">
        <f>[1]!s_dq_settle(E39,C39)</f>
        <v>3917</v>
      </c>
      <c r="Q39" s="11">
        <f t="shared" si="3"/>
        <v>1000</v>
      </c>
      <c r="R39" s="11">
        <f>2*H39*3900*4</f>
        <v>312000000</v>
      </c>
      <c r="S39" s="3" t="s">
        <v>83</v>
      </c>
    </row>
    <row r="40" spans="2:19" hidden="1" x14ac:dyDescent="0.15">
      <c r="B40" s="3" t="s">
        <v>100</v>
      </c>
      <c r="C40" s="4">
        <v>43084</v>
      </c>
      <c r="D40" s="4">
        <v>43098</v>
      </c>
      <c r="E40" s="3" t="s">
        <v>76</v>
      </c>
      <c r="F40" s="3" t="s">
        <v>101</v>
      </c>
      <c r="G40" s="3" t="s">
        <v>22</v>
      </c>
      <c r="H40" s="3">
        <v>10000</v>
      </c>
      <c r="I40" s="3" t="s">
        <v>102</v>
      </c>
      <c r="J40" s="3">
        <v>0.03</v>
      </c>
      <c r="K40" s="3" t="s">
        <v>106</v>
      </c>
      <c r="L40" s="3" t="s">
        <v>107</v>
      </c>
      <c r="M40" s="3" t="s">
        <v>108</v>
      </c>
      <c r="N40" s="3">
        <v>8</v>
      </c>
      <c r="O40" s="4">
        <v>43090</v>
      </c>
      <c r="P40" s="16">
        <f>[1]!s_dq_settle(E40,C40)</f>
        <v>3806</v>
      </c>
      <c r="Q40" s="11">
        <f t="shared" si="3"/>
        <v>300</v>
      </c>
      <c r="R40" s="11">
        <f>H40*3804*4*2</f>
        <v>304320000</v>
      </c>
      <c r="S40" s="3" t="s">
        <v>83</v>
      </c>
    </row>
    <row r="41" spans="2:19" hidden="1" x14ac:dyDescent="0.15">
      <c r="B41" s="3" t="s">
        <v>100</v>
      </c>
      <c r="C41" s="4">
        <v>43089</v>
      </c>
      <c r="D41" s="4">
        <v>43105</v>
      </c>
      <c r="E41" s="3" t="s">
        <v>76</v>
      </c>
      <c r="F41" s="3" t="s">
        <v>101</v>
      </c>
      <c r="G41" s="3" t="s">
        <v>22</v>
      </c>
      <c r="H41" s="3">
        <v>15000</v>
      </c>
      <c r="I41" s="3" t="s">
        <v>102</v>
      </c>
      <c r="J41" s="3">
        <v>2.1999999999999999E-2</v>
      </c>
      <c r="K41" s="3" t="s">
        <v>109</v>
      </c>
      <c r="L41" s="3" t="s">
        <v>110</v>
      </c>
      <c r="M41" s="3">
        <v>3811</v>
      </c>
      <c r="N41" s="3">
        <v>300</v>
      </c>
      <c r="O41" s="4">
        <v>43098</v>
      </c>
      <c r="P41" s="16">
        <f>[1]!s_dq_settle(E41,C41)</f>
        <v>3801</v>
      </c>
      <c r="Q41" s="11">
        <f t="shared" si="3"/>
        <v>330</v>
      </c>
      <c r="R41" s="11">
        <f>H41*M41*4*2</f>
        <v>457320000</v>
      </c>
      <c r="S41" s="3" t="s">
        <v>83</v>
      </c>
    </row>
    <row r="42" spans="2:19" hidden="1" x14ac:dyDescent="0.15">
      <c r="B42" s="3" t="s">
        <v>79</v>
      </c>
      <c r="C42" s="4">
        <v>43119</v>
      </c>
      <c r="D42" s="4">
        <v>43154</v>
      </c>
      <c r="E42" s="3" t="s">
        <v>76</v>
      </c>
      <c r="F42" s="3" t="s">
        <v>21</v>
      </c>
      <c r="G42" s="3" t="s">
        <v>22</v>
      </c>
      <c r="H42" s="3">
        <v>5000</v>
      </c>
      <c r="J42" s="3">
        <v>66.3</v>
      </c>
      <c r="M42" s="3">
        <v>3933</v>
      </c>
      <c r="O42" s="4">
        <f>D42</f>
        <v>43154</v>
      </c>
      <c r="P42" s="16">
        <f>[1]!s_dq_settle(E42,C42)</f>
        <v>3883</v>
      </c>
      <c r="Q42" s="11">
        <f t="shared" si="3"/>
        <v>331500</v>
      </c>
      <c r="R42" s="11">
        <f>H42*M42</f>
        <v>19665000</v>
      </c>
    </row>
    <row r="43" spans="2:19" hidden="1" x14ac:dyDescent="0.15">
      <c r="B43" s="3" t="s">
        <v>111</v>
      </c>
      <c r="C43" s="4">
        <v>43167</v>
      </c>
      <c r="D43" s="4">
        <v>43194</v>
      </c>
      <c r="E43" s="3" t="s">
        <v>80</v>
      </c>
      <c r="F43" s="3" t="s">
        <v>21</v>
      </c>
      <c r="G43" s="3" t="s">
        <v>25</v>
      </c>
      <c r="H43" s="3">
        <v>5000</v>
      </c>
      <c r="I43" s="3">
        <v>5654</v>
      </c>
      <c r="J43" s="3">
        <v>72.37</v>
      </c>
      <c r="K43" s="3" t="s">
        <v>112</v>
      </c>
      <c r="O43" s="4">
        <f>D43</f>
        <v>43194</v>
      </c>
      <c r="P43" s="16">
        <f>[1]!s_dq_settle(E43,C43)</f>
        <v>5666</v>
      </c>
      <c r="Q43" s="11">
        <f t="shared" si="3"/>
        <v>361850</v>
      </c>
      <c r="R43" s="11">
        <f>H43*I43</f>
        <v>28270000</v>
      </c>
      <c r="S43" s="3">
        <f>R43</f>
        <v>28270000</v>
      </c>
    </row>
    <row r="44" spans="2:19" hidden="1" x14ac:dyDescent="0.15">
      <c r="B44" s="3" t="s">
        <v>113</v>
      </c>
      <c r="C44" s="4">
        <v>43167</v>
      </c>
      <c r="D44" s="4">
        <v>43198</v>
      </c>
      <c r="E44" s="3" t="s">
        <v>114</v>
      </c>
      <c r="F44" s="3" t="s">
        <v>38</v>
      </c>
      <c r="G44" s="3" t="s">
        <v>22</v>
      </c>
      <c r="H44" s="3">
        <v>500</v>
      </c>
      <c r="I44" s="3">
        <v>51420</v>
      </c>
      <c r="J44" s="3">
        <v>1040</v>
      </c>
      <c r="K44" s="3" t="s">
        <v>115</v>
      </c>
      <c r="L44" s="3" t="s">
        <v>116</v>
      </c>
      <c r="O44" s="4">
        <f>D44</f>
        <v>43198</v>
      </c>
      <c r="P44" s="16">
        <f>[1]!s_dq_settle(E44,C44)</f>
        <v>52220</v>
      </c>
      <c r="Q44" s="11">
        <f t="shared" si="3"/>
        <v>520000</v>
      </c>
      <c r="R44" s="11">
        <f>H44*I44</f>
        <v>25710000</v>
      </c>
    </row>
    <row r="45" spans="2:19" hidden="1" x14ac:dyDescent="0.15">
      <c r="B45" s="3" t="s">
        <v>19</v>
      </c>
      <c r="C45" s="4">
        <v>43168</v>
      </c>
      <c r="D45" s="4">
        <v>43210</v>
      </c>
      <c r="E45" s="3" t="s">
        <v>117</v>
      </c>
      <c r="F45" s="3" t="s">
        <v>21</v>
      </c>
      <c r="G45" s="3" t="s">
        <v>25</v>
      </c>
      <c r="H45" s="3">
        <v>500</v>
      </c>
      <c r="I45" s="3">
        <v>-50</v>
      </c>
      <c r="J45" s="3">
        <v>14.44</v>
      </c>
      <c r="K45" s="3" t="s">
        <v>118</v>
      </c>
      <c r="L45" s="3" t="s">
        <v>119</v>
      </c>
      <c r="O45" s="4">
        <f t="shared" ref="O45:O50" si="6">D45</f>
        <v>43210</v>
      </c>
      <c r="P45" s="16">
        <f>[1]!s_dq_settle("sr805.czc",C45)</f>
        <v>5637</v>
      </c>
      <c r="Q45" s="11">
        <f t="shared" si="3"/>
        <v>7220</v>
      </c>
      <c r="R45" s="11">
        <f>H45*P45*2</f>
        <v>5637000</v>
      </c>
      <c r="S45" s="3">
        <f>R45</f>
        <v>5637000</v>
      </c>
    </row>
    <row r="46" spans="2:19" hidden="1" x14ac:dyDescent="0.15">
      <c r="B46" s="3" t="s">
        <v>19</v>
      </c>
      <c r="C46" s="4">
        <v>43168</v>
      </c>
      <c r="D46" s="4">
        <v>43210</v>
      </c>
      <c r="E46" s="3" t="s">
        <v>117</v>
      </c>
      <c r="F46" s="3" t="s">
        <v>21</v>
      </c>
      <c r="G46" s="3" t="s">
        <v>25</v>
      </c>
      <c r="H46" s="3">
        <v>500</v>
      </c>
      <c r="I46" s="3">
        <v>-60</v>
      </c>
      <c r="J46" s="3">
        <v>12.2</v>
      </c>
      <c r="K46" s="3" t="s">
        <v>120</v>
      </c>
      <c r="L46" s="3" t="s">
        <v>121</v>
      </c>
      <c r="O46" s="4">
        <f t="shared" si="6"/>
        <v>43210</v>
      </c>
      <c r="P46" s="16">
        <f>[1]!s_dq_settle("sr805.czc",C46)</f>
        <v>5637</v>
      </c>
      <c r="Q46" s="11">
        <f t="shared" si="3"/>
        <v>6100</v>
      </c>
      <c r="R46" s="11">
        <f>H46*P46*2</f>
        <v>5637000</v>
      </c>
      <c r="S46" s="3">
        <f>R46</f>
        <v>5637000</v>
      </c>
    </row>
    <row r="47" spans="2:19" hidden="1" x14ac:dyDescent="0.15">
      <c r="B47" s="3" t="s">
        <v>19</v>
      </c>
      <c r="C47" s="4">
        <v>43168</v>
      </c>
      <c r="D47" s="4">
        <v>43210</v>
      </c>
      <c r="E47" s="3" t="s">
        <v>117</v>
      </c>
      <c r="F47" s="3" t="s">
        <v>21</v>
      </c>
      <c r="G47" s="3" t="s">
        <v>25</v>
      </c>
      <c r="H47" s="3">
        <v>500</v>
      </c>
      <c r="I47" s="3">
        <v>-70</v>
      </c>
      <c r="J47" s="3">
        <v>9.1999999999999993</v>
      </c>
      <c r="K47" s="3" t="s">
        <v>122</v>
      </c>
      <c r="L47" s="3" t="s">
        <v>123</v>
      </c>
      <c r="O47" s="4">
        <f t="shared" si="6"/>
        <v>43210</v>
      </c>
      <c r="P47" s="16">
        <f>[1]!s_dq_settle("sr805.czc",C47)</f>
        <v>5637</v>
      </c>
      <c r="Q47" s="11">
        <f t="shared" si="3"/>
        <v>4600</v>
      </c>
      <c r="R47" s="11">
        <f>H47*P47*2</f>
        <v>5637000</v>
      </c>
      <c r="S47" s="3">
        <f>R47</f>
        <v>5637000</v>
      </c>
    </row>
    <row r="48" spans="2:19" hidden="1" x14ac:dyDescent="0.15">
      <c r="B48" s="3" t="s">
        <v>19</v>
      </c>
      <c r="C48" s="4">
        <v>43207</v>
      </c>
      <c r="D48" s="4">
        <v>43220</v>
      </c>
      <c r="E48" s="3" t="s">
        <v>117</v>
      </c>
      <c r="F48" s="3" t="s">
        <v>21</v>
      </c>
      <c r="G48" s="3" t="s">
        <v>25</v>
      </c>
      <c r="H48" s="3">
        <v>300</v>
      </c>
      <c r="I48" s="3">
        <v>-80</v>
      </c>
      <c r="J48" s="3">
        <v>12</v>
      </c>
      <c r="K48" s="3" t="s">
        <v>124</v>
      </c>
      <c r="L48" s="3" t="s">
        <v>125</v>
      </c>
      <c r="O48" s="4">
        <f t="shared" si="6"/>
        <v>43220</v>
      </c>
      <c r="P48" s="16">
        <f>[1]!s_dq_settle("sr805.czc",C48)</f>
        <v>5383</v>
      </c>
      <c r="Q48" s="11">
        <f t="shared" si="3"/>
        <v>3600</v>
      </c>
      <c r="R48" s="11">
        <f>H48*P48*2</f>
        <v>3229800</v>
      </c>
      <c r="S48" s="3">
        <f>R48</f>
        <v>3229800</v>
      </c>
    </row>
    <row r="49" spans="2:20" hidden="1" x14ac:dyDescent="0.15">
      <c r="B49" s="3" t="s">
        <v>19</v>
      </c>
      <c r="C49" s="4">
        <v>43207</v>
      </c>
      <c r="D49" s="4">
        <v>43220</v>
      </c>
      <c r="E49" s="3" t="s">
        <v>117</v>
      </c>
      <c r="F49" s="3" t="s">
        <v>21</v>
      </c>
      <c r="G49" s="3" t="s">
        <v>25</v>
      </c>
      <c r="H49" s="3">
        <v>300</v>
      </c>
      <c r="I49" s="3">
        <v>-90</v>
      </c>
      <c r="J49" s="3">
        <v>12</v>
      </c>
      <c r="K49" s="3" t="s">
        <v>124</v>
      </c>
      <c r="L49" s="3" t="s">
        <v>125</v>
      </c>
      <c r="O49" s="4">
        <f t="shared" si="6"/>
        <v>43220</v>
      </c>
      <c r="P49" s="16">
        <f>[1]!s_dq_settle("sr805.czc",C49)</f>
        <v>5383</v>
      </c>
      <c r="Q49" s="11">
        <f t="shared" si="3"/>
        <v>3600</v>
      </c>
      <c r="R49" s="11">
        <f>H49*P49*2</f>
        <v>3229800</v>
      </c>
      <c r="S49" s="3">
        <f>R49</f>
        <v>3229800</v>
      </c>
    </row>
    <row r="50" spans="2:20" hidden="1" x14ac:dyDescent="0.15">
      <c r="B50" s="3" t="s">
        <v>42</v>
      </c>
      <c r="C50" s="4">
        <v>43241</v>
      </c>
      <c r="D50" s="4">
        <v>43302</v>
      </c>
      <c r="E50" s="3" t="s">
        <v>126</v>
      </c>
      <c r="F50" s="3" t="s">
        <v>38</v>
      </c>
      <c r="G50" s="3" t="s">
        <v>127</v>
      </c>
      <c r="H50" s="3">
        <v>5000</v>
      </c>
      <c r="I50" s="3">
        <v>12015</v>
      </c>
      <c r="J50" s="3">
        <v>391.3</v>
      </c>
      <c r="K50" s="3" t="s">
        <v>128</v>
      </c>
      <c r="O50" s="4">
        <f t="shared" si="6"/>
        <v>43302</v>
      </c>
      <c r="P50" s="16">
        <v>12015</v>
      </c>
      <c r="Q50" s="11">
        <f t="shared" si="3"/>
        <v>1956500</v>
      </c>
      <c r="R50" s="11">
        <f>H50*P50</f>
        <v>60075000</v>
      </c>
      <c r="S50" s="3" t="s">
        <v>129</v>
      </c>
    </row>
    <row r="51" spans="2:20" hidden="1" x14ac:dyDescent="0.15">
      <c r="B51" s="3" t="s">
        <v>46</v>
      </c>
      <c r="C51" s="4">
        <v>43297</v>
      </c>
      <c r="D51" s="4">
        <v>43357</v>
      </c>
      <c r="E51" s="3" t="s">
        <v>130</v>
      </c>
      <c r="F51" s="3" t="s">
        <v>38</v>
      </c>
      <c r="G51" s="3" t="s">
        <v>131</v>
      </c>
      <c r="H51" s="3">
        <v>30000</v>
      </c>
      <c r="I51" s="3">
        <v>1847</v>
      </c>
      <c r="J51" s="3">
        <v>28.3</v>
      </c>
      <c r="K51" s="3" t="s">
        <v>132</v>
      </c>
      <c r="O51" s="4"/>
      <c r="P51" s="10">
        <v>1847</v>
      </c>
      <c r="Q51" s="11">
        <f t="shared" si="3"/>
        <v>849000</v>
      </c>
      <c r="R51" s="11">
        <f>H51*P51</f>
        <v>55410000</v>
      </c>
      <c r="S51" s="3" t="s">
        <v>129</v>
      </c>
    </row>
    <row r="52" spans="2:20" hidden="1" x14ac:dyDescent="0.15">
      <c r="B52" s="3" t="s">
        <v>46</v>
      </c>
      <c r="C52" s="4">
        <v>43325</v>
      </c>
      <c r="D52" s="4">
        <v>43446</v>
      </c>
      <c r="E52" s="3" t="s">
        <v>133</v>
      </c>
      <c r="F52" s="3" t="s">
        <v>38</v>
      </c>
      <c r="G52" s="3" t="s">
        <v>131</v>
      </c>
      <c r="H52" s="3">
        <v>15000</v>
      </c>
      <c r="I52" s="3">
        <v>3813</v>
      </c>
      <c r="J52" s="3">
        <v>101.33</v>
      </c>
      <c r="K52" s="3" t="s">
        <v>134</v>
      </c>
      <c r="O52" s="4">
        <v>43357</v>
      </c>
      <c r="P52" s="10">
        <f>I52</f>
        <v>3813</v>
      </c>
      <c r="Q52" s="11">
        <f t="shared" si="3"/>
        <v>1519950</v>
      </c>
      <c r="R52" s="11">
        <f>H52*P52</f>
        <v>57195000</v>
      </c>
    </row>
    <row r="53" spans="2:20" hidden="1" x14ac:dyDescent="0.15">
      <c r="B53" s="3" t="s">
        <v>46</v>
      </c>
      <c r="C53" s="4">
        <v>43346</v>
      </c>
      <c r="D53" s="4">
        <v>43406</v>
      </c>
      <c r="E53" s="3" t="s">
        <v>130</v>
      </c>
      <c r="F53" s="3" t="s">
        <v>38</v>
      </c>
      <c r="G53" s="3" t="s">
        <v>131</v>
      </c>
      <c r="H53" s="3">
        <v>30000</v>
      </c>
      <c r="I53" s="3">
        <v>1902.5</v>
      </c>
      <c r="J53" s="3">
        <v>28.3</v>
      </c>
      <c r="K53" s="3" t="s">
        <v>135</v>
      </c>
      <c r="L53" s="3" t="s">
        <v>136</v>
      </c>
      <c r="O53" s="4">
        <v>43406</v>
      </c>
      <c r="P53" s="10">
        <f>I53</f>
        <v>1902.5</v>
      </c>
      <c r="Q53" s="11">
        <f t="shared" si="3"/>
        <v>849000</v>
      </c>
      <c r="R53" s="11">
        <f>H53*P53</f>
        <v>57075000</v>
      </c>
      <c r="T53" s="1" t="s">
        <v>137</v>
      </c>
    </row>
    <row r="54" spans="2:20" hidden="1" x14ac:dyDescent="0.15">
      <c r="B54" s="3" t="s">
        <v>46</v>
      </c>
      <c r="C54" s="4">
        <v>43294</v>
      </c>
      <c r="D54" s="4">
        <v>43416</v>
      </c>
      <c r="E54" s="3" t="s">
        <v>130</v>
      </c>
      <c r="F54" s="3" t="s">
        <v>38</v>
      </c>
      <c r="G54" s="3" t="s">
        <v>131</v>
      </c>
      <c r="H54" s="3">
        <v>20374</v>
      </c>
      <c r="I54" s="3">
        <v>1842.5</v>
      </c>
      <c r="J54" s="3">
        <v>59.83</v>
      </c>
      <c r="K54" s="3" t="s">
        <v>138</v>
      </c>
      <c r="L54" s="3" t="s">
        <v>139</v>
      </c>
      <c r="O54" s="4">
        <v>43416</v>
      </c>
      <c r="P54" s="10">
        <f>I54</f>
        <v>1842.5</v>
      </c>
      <c r="Q54" s="11">
        <f t="shared" si="3"/>
        <v>1218976.42</v>
      </c>
      <c r="R54" s="11">
        <f>H54*P54</f>
        <v>37539095</v>
      </c>
      <c r="T54" s="1" t="s">
        <v>140</v>
      </c>
    </row>
    <row r="55" spans="2:20" hidden="1" x14ac:dyDescent="0.15">
      <c r="B55" s="3" t="s">
        <v>42</v>
      </c>
      <c r="C55" s="4">
        <v>43342</v>
      </c>
      <c r="D55" s="4">
        <v>43370</v>
      </c>
      <c r="E55" s="3" t="s">
        <v>141</v>
      </c>
      <c r="F55" s="3" t="s">
        <v>38</v>
      </c>
      <c r="G55" s="3" t="s">
        <v>142</v>
      </c>
      <c r="H55" s="3">
        <v>1500</v>
      </c>
      <c r="I55" s="3">
        <v>3832</v>
      </c>
      <c r="J55" s="3">
        <v>164</v>
      </c>
      <c r="K55" s="3" t="s">
        <v>143</v>
      </c>
      <c r="L55" s="3" t="s">
        <v>144</v>
      </c>
      <c r="O55" s="4">
        <v>43357</v>
      </c>
      <c r="P55" s="10">
        <f>I55</f>
        <v>3832</v>
      </c>
      <c r="Q55" s="11">
        <f t="shared" si="3"/>
        <v>246000</v>
      </c>
      <c r="R55" s="11">
        <f>H55*P55*2</f>
        <v>11496000</v>
      </c>
    </row>
    <row r="56" spans="2:20" hidden="1" x14ac:dyDescent="0.15">
      <c r="B56" s="3" t="s">
        <v>42</v>
      </c>
      <c r="C56" s="4">
        <v>43371</v>
      </c>
      <c r="D56" s="4">
        <v>43399</v>
      </c>
      <c r="E56" s="3" t="s">
        <v>141</v>
      </c>
      <c r="F56" s="3" t="s">
        <v>38</v>
      </c>
      <c r="G56" s="3" t="s">
        <v>142</v>
      </c>
      <c r="H56" s="3">
        <v>1500</v>
      </c>
      <c r="I56" s="3">
        <v>3931</v>
      </c>
      <c r="J56" s="3">
        <v>164</v>
      </c>
      <c r="K56" s="3" t="s">
        <v>143</v>
      </c>
      <c r="L56" s="3" t="s">
        <v>145</v>
      </c>
      <c r="O56" s="4"/>
      <c r="P56" s="10">
        <f t="shared" ref="P56:P62" si="7">I56</f>
        <v>3931</v>
      </c>
      <c r="Q56" s="11">
        <f t="shared" si="3"/>
        <v>246000</v>
      </c>
      <c r="R56" s="11">
        <f>H56*P56*2</f>
        <v>11793000</v>
      </c>
    </row>
    <row r="57" spans="2:20" s="8" customFormat="1" hidden="1" x14ac:dyDescent="0.15">
      <c r="B57" s="12" t="s">
        <v>42</v>
      </c>
      <c r="C57" s="13">
        <v>43402</v>
      </c>
      <c r="D57" s="13">
        <v>43432</v>
      </c>
      <c r="E57" s="12" t="s">
        <v>141</v>
      </c>
      <c r="F57" s="12" t="s">
        <v>38</v>
      </c>
      <c r="G57" s="12" t="s">
        <v>142</v>
      </c>
      <c r="H57" s="12">
        <v>1500</v>
      </c>
      <c r="I57" s="12">
        <v>4342</v>
      </c>
      <c r="J57" s="12">
        <v>164</v>
      </c>
      <c r="K57" s="12" t="s">
        <v>143</v>
      </c>
      <c r="L57" s="12"/>
      <c r="M57" s="12"/>
      <c r="N57" s="12"/>
      <c r="O57" s="13"/>
      <c r="P57" s="17">
        <f t="shared" si="7"/>
        <v>4342</v>
      </c>
      <c r="Q57" s="18">
        <f t="shared" si="3"/>
        <v>246000</v>
      </c>
      <c r="R57" s="18">
        <f>H57*P57*2</f>
        <v>13026000</v>
      </c>
      <c r="S57" s="12"/>
      <c r="T57" s="8" t="s">
        <v>140</v>
      </c>
    </row>
    <row r="58" spans="2:20" s="9" customFormat="1" hidden="1" x14ac:dyDescent="0.15">
      <c r="B58" s="14" t="s">
        <v>42</v>
      </c>
      <c r="C58" s="15">
        <v>43433</v>
      </c>
      <c r="D58" s="15">
        <v>43462</v>
      </c>
      <c r="E58" s="14" t="s">
        <v>146</v>
      </c>
      <c r="F58" s="14" t="s">
        <v>38</v>
      </c>
      <c r="G58" s="14" t="s">
        <v>142</v>
      </c>
      <c r="H58" s="14">
        <v>1500</v>
      </c>
      <c r="I58" s="14">
        <v>4116</v>
      </c>
      <c r="J58" s="14">
        <v>164</v>
      </c>
      <c r="K58" s="14" t="s">
        <v>143</v>
      </c>
      <c r="L58" s="14"/>
      <c r="M58" s="14"/>
      <c r="N58" s="14"/>
      <c r="O58" s="15"/>
      <c r="P58" s="19">
        <v>3537</v>
      </c>
      <c r="Q58" s="20">
        <f t="shared" si="3"/>
        <v>246000</v>
      </c>
      <c r="R58" s="20">
        <f>H58*P58*2</f>
        <v>10611000</v>
      </c>
      <c r="S58" s="14"/>
    </row>
    <row r="59" spans="2:20" s="9" customFormat="1" hidden="1" x14ac:dyDescent="0.15">
      <c r="B59" s="14" t="s">
        <v>147</v>
      </c>
      <c r="C59" s="15">
        <v>43242</v>
      </c>
      <c r="D59" s="15">
        <v>43273</v>
      </c>
      <c r="E59" s="14" t="s">
        <v>148</v>
      </c>
      <c r="F59" s="14" t="s">
        <v>21</v>
      </c>
      <c r="G59" s="14" t="s">
        <v>149</v>
      </c>
      <c r="H59" s="14">
        <v>300</v>
      </c>
      <c r="I59" s="14">
        <v>9290</v>
      </c>
      <c r="J59" s="14">
        <v>320.7</v>
      </c>
      <c r="K59" s="14" t="s">
        <v>150</v>
      </c>
      <c r="L59" s="14"/>
      <c r="M59" s="14"/>
      <c r="N59" s="14"/>
      <c r="O59" s="15"/>
      <c r="P59" s="19">
        <f t="shared" si="7"/>
        <v>9290</v>
      </c>
      <c r="Q59" s="20">
        <v>96210</v>
      </c>
      <c r="R59" s="20">
        <f>H59*P59*2</f>
        <v>5574000</v>
      </c>
      <c r="S59" s="14"/>
    </row>
    <row r="60" spans="2:20" s="9" customFormat="1" hidden="1" x14ac:dyDescent="0.15">
      <c r="B60" s="14" t="s">
        <v>46</v>
      </c>
      <c r="C60" s="15">
        <v>43360</v>
      </c>
      <c r="D60" s="15">
        <v>43382</v>
      </c>
      <c r="E60" s="14" t="s">
        <v>133</v>
      </c>
      <c r="F60" s="14" t="s">
        <v>38</v>
      </c>
      <c r="G60" s="14" t="s">
        <v>131</v>
      </c>
      <c r="H60" s="14">
        <v>15000</v>
      </c>
      <c r="I60" s="14">
        <v>3665.1</v>
      </c>
      <c r="J60" s="14">
        <v>1</v>
      </c>
      <c r="K60" s="14" t="s">
        <v>151</v>
      </c>
      <c r="L60" s="14" t="s">
        <v>152</v>
      </c>
      <c r="M60" s="14"/>
      <c r="N60" s="14"/>
      <c r="O60" s="15"/>
      <c r="P60" s="19">
        <f t="shared" si="7"/>
        <v>3665.1</v>
      </c>
      <c r="Q60" s="20">
        <f t="shared" ref="Q60:Q78" si="8">J60*H60</f>
        <v>15000</v>
      </c>
      <c r="R60" s="20">
        <f>H60*P60</f>
        <v>54976500</v>
      </c>
      <c r="S60" s="14"/>
    </row>
    <row r="61" spans="2:20" s="9" customFormat="1" hidden="1" x14ac:dyDescent="0.15">
      <c r="B61" s="14" t="s">
        <v>36</v>
      </c>
      <c r="C61" s="15">
        <v>43399</v>
      </c>
      <c r="D61" s="15">
        <v>43429</v>
      </c>
      <c r="E61" s="14" t="s">
        <v>153</v>
      </c>
      <c r="F61" s="14" t="s">
        <v>38</v>
      </c>
      <c r="G61" s="14" t="s">
        <v>131</v>
      </c>
      <c r="H61" s="14">
        <v>1000</v>
      </c>
      <c r="I61" s="14">
        <v>10761.8</v>
      </c>
      <c r="J61" s="14">
        <v>465</v>
      </c>
      <c r="K61" s="14" t="s">
        <v>154</v>
      </c>
      <c r="L61" s="14"/>
      <c r="M61" s="14">
        <v>11534.19</v>
      </c>
      <c r="N61" s="14"/>
      <c r="O61" s="15">
        <v>43430</v>
      </c>
      <c r="P61" s="19">
        <f t="shared" si="7"/>
        <v>10761.8</v>
      </c>
      <c r="Q61" s="20">
        <f t="shared" si="8"/>
        <v>465000</v>
      </c>
      <c r="R61" s="20">
        <f t="shared" ref="R61:R78" si="9">H61*P61</f>
        <v>10761800</v>
      </c>
      <c r="S61" s="14"/>
      <c r="T61" s="9" t="s">
        <v>140</v>
      </c>
    </row>
    <row r="62" spans="2:20" s="9" customFormat="1" hidden="1" x14ac:dyDescent="0.15">
      <c r="B62" s="14" t="s">
        <v>36</v>
      </c>
      <c r="C62" s="15">
        <v>43399</v>
      </c>
      <c r="D62" s="15">
        <v>43444</v>
      </c>
      <c r="E62" s="14" t="s">
        <v>155</v>
      </c>
      <c r="F62" s="14" t="s">
        <v>38</v>
      </c>
      <c r="G62" s="14" t="s">
        <v>156</v>
      </c>
      <c r="H62" s="14">
        <v>3000</v>
      </c>
      <c r="I62" s="14">
        <v>5130.2</v>
      </c>
      <c r="J62" s="14">
        <v>150</v>
      </c>
      <c r="K62" s="14" t="s">
        <v>157</v>
      </c>
      <c r="L62" s="14"/>
      <c r="M62" s="14">
        <v>4994.1899999999996</v>
      </c>
      <c r="N62" s="14"/>
      <c r="O62" s="15">
        <v>43444</v>
      </c>
      <c r="P62" s="19">
        <f t="shared" si="7"/>
        <v>5130.2</v>
      </c>
      <c r="Q62" s="20">
        <f t="shared" si="8"/>
        <v>450000</v>
      </c>
      <c r="R62" s="20">
        <f t="shared" si="9"/>
        <v>15390600</v>
      </c>
      <c r="S62" s="14"/>
      <c r="T62" s="9" t="s">
        <v>137</v>
      </c>
    </row>
    <row r="63" spans="2:20" s="9" customFormat="1" hidden="1" x14ac:dyDescent="0.15">
      <c r="B63" s="14" t="s">
        <v>158</v>
      </c>
      <c r="C63" s="15">
        <v>43406</v>
      </c>
      <c r="D63" s="15">
        <v>43449</v>
      </c>
      <c r="E63" s="14" t="s">
        <v>130</v>
      </c>
      <c r="F63" s="14" t="s">
        <v>38</v>
      </c>
      <c r="G63" s="14" t="s">
        <v>159</v>
      </c>
      <c r="H63" s="14">
        <v>20000</v>
      </c>
      <c r="I63" s="14" t="s">
        <v>160</v>
      </c>
      <c r="J63" s="14">
        <f>48-4.09</f>
        <v>43.91</v>
      </c>
      <c r="K63" s="14"/>
      <c r="L63" s="14"/>
      <c r="M63" s="14"/>
      <c r="N63" s="14"/>
      <c r="O63" s="15">
        <v>43432</v>
      </c>
      <c r="P63" s="19">
        <v>1874</v>
      </c>
      <c r="Q63" s="20">
        <f t="shared" si="8"/>
        <v>878199.99999999988</v>
      </c>
      <c r="R63" s="20">
        <f t="shared" si="9"/>
        <v>37480000</v>
      </c>
      <c r="S63" s="14"/>
      <c r="T63" s="9" t="s">
        <v>140</v>
      </c>
    </row>
    <row r="64" spans="2:20" s="9" customFormat="1" hidden="1" x14ac:dyDescent="0.15">
      <c r="B64" s="14" t="s">
        <v>158</v>
      </c>
      <c r="C64" s="15">
        <v>43406</v>
      </c>
      <c r="D64" s="15">
        <v>43449</v>
      </c>
      <c r="E64" s="14" t="s">
        <v>130</v>
      </c>
      <c r="F64" s="14" t="s">
        <v>38</v>
      </c>
      <c r="G64" s="14" t="s">
        <v>159</v>
      </c>
      <c r="H64" s="14">
        <v>20000</v>
      </c>
      <c r="I64" s="14" t="s">
        <v>161</v>
      </c>
      <c r="J64" s="14">
        <f>48-4.09</f>
        <v>43.91</v>
      </c>
      <c r="K64" s="14"/>
      <c r="L64" s="14"/>
      <c r="M64" s="14"/>
      <c r="N64" s="14"/>
      <c r="O64" s="15">
        <v>43432</v>
      </c>
      <c r="P64" s="19">
        <v>1875</v>
      </c>
      <c r="Q64" s="20">
        <f t="shared" si="8"/>
        <v>878199.99999999988</v>
      </c>
      <c r="R64" s="20">
        <f t="shared" si="9"/>
        <v>37500000</v>
      </c>
      <c r="S64" s="14"/>
      <c r="T64" s="9" t="s">
        <v>140</v>
      </c>
    </row>
    <row r="65" spans="1:87" s="9" customFormat="1" hidden="1" x14ac:dyDescent="0.15">
      <c r="B65" s="14" t="s">
        <v>162</v>
      </c>
      <c r="C65" s="15">
        <v>43409</v>
      </c>
      <c r="D65" s="15">
        <v>43420</v>
      </c>
      <c r="E65" s="14" t="s">
        <v>163</v>
      </c>
      <c r="F65" s="14" t="s">
        <v>38</v>
      </c>
      <c r="G65" s="14" t="s">
        <v>164</v>
      </c>
      <c r="H65" s="14">
        <v>5000</v>
      </c>
      <c r="I65" s="14">
        <v>11300</v>
      </c>
      <c r="J65" s="14">
        <v>390.56</v>
      </c>
      <c r="K65" s="14"/>
      <c r="L65" s="14"/>
      <c r="M65" s="14">
        <v>11251.1</v>
      </c>
      <c r="N65" s="14"/>
      <c r="O65" s="15">
        <v>43420</v>
      </c>
      <c r="P65" s="19">
        <f>I65</f>
        <v>11300</v>
      </c>
      <c r="Q65" s="20">
        <f t="shared" si="8"/>
        <v>1952800</v>
      </c>
      <c r="R65" s="20">
        <f t="shared" si="9"/>
        <v>56500000</v>
      </c>
      <c r="S65" s="14"/>
      <c r="T65" s="9" t="s">
        <v>137</v>
      </c>
    </row>
    <row r="66" spans="1:87" s="9" customFormat="1" hidden="1" x14ac:dyDescent="0.15">
      <c r="B66" s="14" t="s">
        <v>158</v>
      </c>
      <c r="C66" s="15">
        <v>43410</v>
      </c>
      <c r="D66" s="15">
        <v>43449</v>
      </c>
      <c r="E66" s="14" t="s">
        <v>130</v>
      </c>
      <c r="F66" s="14" t="s">
        <v>38</v>
      </c>
      <c r="G66" s="14" t="s">
        <v>159</v>
      </c>
      <c r="H66" s="14">
        <v>10000</v>
      </c>
      <c r="I66" s="14" t="s">
        <v>165</v>
      </c>
      <c r="J66" s="14">
        <f>48-4.09</f>
        <v>43.91</v>
      </c>
      <c r="K66" s="14"/>
      <c r="L66" s="14"/>
      <c r="M66" s="14"/>
      <c r="N66" s="14"/>
      <c r="O66" s="15">
        <v>43432</v>
      </c>
      <c r="P66" s="19">
        <v>1886</v>
      </c>
      <c r="Q66" s="20">
        <f t="shared" si="8"/>
        <v>439099.99999999994</v>
      </c>
      <c r="R66" s="20">
        <f t="shared" si="9"/>
        <v>18860000</v>
      </c>
      <c r="S66" s="14"/>
      <c r="T66" s="9" t="s">
        <v>140</v>
      </c>
    </row>
    <row r="67" spans="1:87" s="9" customFormat="1" hidden="1" x14ac:dyDescent="0.15">
      <c r="B67" s="14" t="s">
        <v>158</v>
      </c>
      <c r="C67" s="15">
        <v>43412</v>
      </c>
      <c r="D67" s="15">
        <v>43449</v>
      </c>
      <c r="E67" s="14" t="s">
        <v>130</v>
      </c>
      <c r="F67" s="14" t="s">
        <v>38</v>
      </c>
      <c r="G67" s="14" t="s">
        <v>159</v>
      </c>
      <c r="H67" s="14">
        <v>10000</v>
      </c>
      <c r="I67" s="14" t="s">
        <v>166</v>
      </c>
      <c r="J67" s="14">
        <f>48-4.09</f>
        <v>43.91</v>
      </c>
      <c r="K67" s="14"/>
      <c r="L67" s="14"/>
      <c r="M67" s="14"/>
      <c r="N67" s="14"/>
      <c r="O67" s="15">
        <v>43432</v>
      </c>
      <c r="P67" s="19">
        <v>1892</v>
      </c>
      <c r="Q67" s="20">
        <f t="shared" si="8"/>
        <v>439099.99999999994</v>
      </c>
      <c r="R67" s="20">
        <f t="shared" si="9"/>
        <v>18920000</v>
      </c>
      <c r="S67" s="14"/>
      <c r="T67" s="9" t="s">
        <v>140</v>
      </c>
    </row>
    <row r="68" spans="1:87" s="9" customFormat="1" hidden="1" x14ac:dyDescent="0.15">
      <c r="B68" s="14" t="s">
        <v>158</v>
      </c>
      <c r="C68" s="15">
        <v>43412</v>
      </c>
      <c r="D68" s="15">
        <v>43449</v>
      </c>
      <c r="E68" s="14" t="s">
        <v>130</v>
      </c>
      <c r="F68" s="14" t="s">
        <v>38</v>
      </c>
      <c r="G68" s="14" t="s">
        <v>159</v>
      </c>
      <c r="H68" s="14">
        <v>20000</v>
      </c>
      <c r="I68" s="14" t="s">
        <v>166</v>
      </c>
      <c r="J68" s="14">
        <f>48-4.09</f>
        <v>43.91</v>
      </c>
      <c r="K68" s="14"/>
      <c r="L68" s="14"/>
      <c r="M68" s="14"/>
      <c r="N68" s="14"/>
      <c r="O68" s="15">
        <v>43432</v>
      </c>
      <c r="P68" s="19">
        <v>1892</v>
      </c>
      <c r="Q68" s="20">
        <f t="shared" si="8"/>
        <v>878199.99999999988</v>
      </c>
      <c r="R68" s="20">
        <f t="shared" si="9"/>
        <v>37840000</v>
      </c>
      <c r="S68" s="14"/>
      <c r="T68" s="9" t="s">
        <v>140</v>
      </c>
    </row>
    <row r="69" spans="1:87" s="9" customFormat="1" hidden="1" x14ac:dyDescent="0.15">
      <c r="B69" s="14" t="s">
        <v>167</v>
      </c>
      <c r="C69" s="15">
        <v>43413</v>
      </c>
      <c r="D69" s="15">
        <v>43441</v>
      </c>
      <c r="E69" s="14" t="s">
        <v>153</v>
      </c>
      <c r="F69" s="14" t="s">
        <v>21</v>
      </c>
      <c r="G69" s="14" t="s">
        <v>56</v>
      </c>
      <c r="H69" s="14">
        <v>1000</v>
      </c>
      <c r="I69" s="14">
        <v>11550</v>
      </c>
      <c r="J69" s="14">
        <f>I69*0.0308</f>
        <v>355.74</v>
      </c>
      <c r="K69" s="14" t="s">
        <v>168</v>
      </c>
      <c r="L69" s="14"/>
      <c r="M69" s="14">
        <v>11608</v>
      </c>
      <c r="N69" s="14"/>
      <c r="O69" s="15">
        <v>43441</v>
      </c>
      <c r="P69" s="19">
        <v>11550</v>
      </c>
      <c r="Q69" s="20">
        <f t="shared" si="8"/>
        <v>355740</v>
      </c>
      <c r="R69" s="20">
        <f t="shared" si="9"/>
        <v>11550000</v>
      </c>
      <c r="S69" s="14"/>
    </row>
    <row r="70" spans="1:87" s="9" customFormat="1" hidden="1" x14ac:dyDescent="0.15">
      <c r="B70" s="14" t="s">
        <v>167</v>
      </c>
      <c r="C70" s="15">
        <v>43413</v>
      </c>
      <c r="D70" s="15">
        <v>43441</v>
      </c>
      <c r="E70" s="14" t="s">
        <v>153</v>
      </c>
      <c r="F70" s="14" t="s">
        <v>21</v>
      </c>
      <c r="G70" s="14" t="s">
        <v>59</v>
      </c>
      <c r="H70" s="14">
        <v>1000</v>
      </c>
      <c r="I70" s="14">
        <v>11550</v>
      </c>
      <c r="J70" s="14">
        <f>I70*0.0308</f>
        <v>355.74</v>
      </c>
      <c r="K70" s="14" t="s">
        <v>169</v>
      </c>
      <c r="L70" s="14"/>
      <c r="M70" s="14">
        <v>11608</v>
      </c>
      <c r="N70" s="14"/>
      <c r="O70" s="15">
        <v>43441</v>
      </c>
      <c r="P70" s="19">
        <v>11550</v>
      </c>
      <c r="Q70" s="20">
        <f t="shared" si="8"/>
        <v>355740</v>
      </c>
      <c r="R70" s="20">
        <f t="shared" si="9"/>
        <v>11550000</v>
      </c>
      <c r="S70" s="14"/>
    </row>
    <row r="71" spans="1:87" s="9" customFormat="1" hidden="1" x14ac:dyDescent="0.15">
      <c r="B71" s="14" t="s">
        <v>170</v>
      </c>
      <c r="C71" s="15">
        <v>43426</v>
      </c>
      <c r="D71" s="15">
        <v>43454</v>
      </c>
      <c r="E71" s="14" t="s">
        <v>171</v>
      </c>
      <c r="F71" s="14" t="s">
        <v>38</v>
      </c>
      <c r="G71" s="14" t="s">
        <v>59</v>
      </c>
      <c r="H71" s="14">
        <v>5000</v>
      </c>
      <c r="I71" s="14">
        <v>3385</v>
      </c>
      <c r="J71" s="14">
        <v>341.4</v>
      </c>
      <c r="K71" s="14" t="s">
        <v>172</v>
      </c>
      <c r="L71" s="14"/>
      <c r="M71" s="14">
        <v>3765</v>
      </c>
      <c r="N71" s="14"/>
      <c r="O71" s="15">
        <v>43454</v>
      </c>
      <c r="P71" s="19">
        <f>I71</f>
        <v>3385</v>
      </c>
      <c r="Q71" s="20">
        <f t="shared" si="8"/>
        <v>1707000</v>
      </c>
      <c r="R71" s="20">
        <f t="shared" si="9"/>
        <v>16925000</v>
      </c>
      <c r="S71" s="14"/>
    </row>
    <row r="72" spans="1:87" s="9" customFormat="1" hidden="1" x14ac:dyDescent="0.15">
      <c r="B72" s="613" t="s">
        <v>173</v>
      </c>
      <c r="C72" s="615">
        <v>43427</v>
      </c>
      <c r="D72" s="615">
        <v>43458.625</v>
      </c>
      <c r="E72" s="613" t="s">
        <v>174</v>
      </c>
      <c r="F72" s="39" t="s">
        <v>38</v>
      </c>
      <c r="G72" s="39" t="s">
        <v>22</v>
      </c>
      <c r="H72" s="39">
        <v>2100</v>
      </c>
      <c r="I72" s="39">
        <v>2218.6999999999998</v>
      </c>
      <c r="J72" s="39">
        <v>91.9</v>
      </c>
      <c r="K72" s="616" t="s">
        <v>175</v>
      </c>
      <c r="L72" s="14"/>
      <c r="M72" s="14"/>
      <c r="N72" s="14">
        <v>166.2</v>
      </c>
      <c r="O72" s="15">
        <v>43458</v>
      </c>
      <c r="P72" s="19">
        <f t="shared" ref="P72:P77" si="10">I72</f>
        <v>2218.6999999999998</v>
      </c>
      <c r="Q72" s="20">
        <f t="shared" si="8"/>
        <v>192990</v>
      </c>
      <c r="R72" s="20">
        <f t="shared" si="9"/>
        <v>4659270</v>
      </c>
      <c r="S72" s="14"/>
    </row>
    <row r="73" spans="1:87" s="9" customFormat="1" hidden="1" x14ac:dyDescent="0.15">
      <c r="B73" s="613"/>
      <c r="C73" s="615"/>
      <c r="D73" s="615"/>
      <c r="E73" s="613"/>
      <c r="F73" s="39" t="s">
        <v>38</v>
      </c>
      <c r="G73" s="39" t="s">
        <v>22</v>
      </c>
      <c r="H73" s="39">
        <v>4200</v>
      </c>
      <c r="I73" s="39">
        <v>2268.6999999999998</v>
      </c>
      <c r="J73" s="39">
        <v>70.400000000000006</v>
      </c>
      <c r="K73" s="617"/>
      <c r="L73" s="14"/>
      <c r="M73" s="14"/>
      <c r="N73" s="14">
        <v>132</v>
      </c>
      <c r="O73" s="15">
        <v>43458</v>
      </c>
      <c r="P73" s="19">
        <f t="shared" si="10"/>
        <v>2268.6999999999998</v>
      </c>
      <c r="Q73" s="20">
        <f t="shared" si="8"/>
        <v>295680</v>
      </c>
      <c r="R73" s="20">
        <f t="shared" si="9"/>
        <v>9528540</v>
      </c>
      <c r="S73" s="14"/>
    </row>
    <row r="74" spans="1:87" s="9" customFormat="1" hidden="1" x14ac:dyDescent="0.15">
      <c r="B74" s="613" t="s">
        <v>79</v>
      </c>
      <c r="C74" s="615">
        <v>43432</v>
      </c>
      <c r="D74" s="615">
        <v>43455</v>
      </c>
      <c r="E74" s="613" t="s">
        <v>176</v>
      </c>
      <c r="F74" s="613" t="s">
        <v>38</v>
      </c>
      <c r="G74" s="39" t="s">
        <v>177</v>
      </c>
      <c r="H74" s="21">
        <v>25000</v>
      </c>
      <c r="I74" s="39">
        <v>424.4</v>
      </c>
      <c r="J74" s="39">
        <v>16.98</v>
      </c>
      <c r="K74" s="613" t="s">
        <v>178</v>
      </c>
      <c r="L74" s="14"/>
      <c r="M74" s="14"/>
      <c r="N74" s="14">
        <v>404.8</v>
      </c>
      <c r="O74" s="15">
        <v>43455</v>
      </c>
      <c r="P74" s="19">
        <f t="shared" si="10"/>
        <v>424.4</v>
      </c>
      <c r="Q74" s="20">
        <f t="shared" si="8"/>
        <v>424500</v>
      </c>
      <c r="R74" s="20">
        <f t="shared" si="9"/>
        <v>10610000</v>
      </c>
      <c r="S74" s="14"/>
    </row>
    <row r="75" spans="1:87" s="9" customFormat="1" hidden="1" x14ac:dyDescent="0.15">
      <c r="B75" s="613"/>
      <c r="C75" s="615"/>
      <c r="D75" s="615"/>
      <c r="E75" s="613"/>
      <c r="F75" s="613"/>
      <c r="G75" s="39" t="s">
        <v>25</v>
      </c>
      <c r="H75" s="21">
        <v>25000</v>
      </c>
      <c r="I75" s="39">
        <v>424.4</v>
      </c>
      <c r="J75" s="39">
        <v>16.98</v>
      </c>
      <c r="K75" s="613"/>
      <c r="L75" s="14"/>
      <c r="M75" s="14"/>
      <c r="N75" s="14">
        <v>404.8</v>
      </c>
      <c r="O75" s="15">
        <v>43455</v>
      </c>
      <c r="P75" s="19">
        <f t="shared" si="10"/>
        <v>424.4</v>
      </c>
      <c r="Q75" s="20">
        <f t="shared" si="8"/>
        <v>424500</v>
      </c>
      <c r="R75" s="20">
        <f t="shared" si="9"/>
        <v>10610000</v>
      </c>
      <c r="S75" s="14"/>
    </row>
    <row r="76" spans="1:87" s="9" customFormat="1" ht="27.75" hidden="1" customHeight="1" x14ac:dyDescent="0.15">
      <c r="B76" s="14" t="s">
        <v>179</v>
      </c>
      <c r="C76" s="15">
        <v>43432</v>
      </c>
      <c r="D76" s="15">
        <v>43446</v>
      </c>
      <c r="E76" s="14" t="s">
        <v>180</v>
      </c>
      <c r="F76" s="14" t="s">
        <v>38</v>
      </c>
      <c r="G76" s="14" t="s">
        <v>25</v>
      </c>
      <c r="H76" s="22">
        <v>2000</v>
      </c>
      <c r="I76" s="14">
        <v>3560</v>
      </c>
      <c r="J76" s="14">
        <v>76.900000000000006</v>
      </c>
      <c r="K76" s="14" t="s">
        <v>181</v>
      </c>
      <c r="L76" s="14"/>
      <c r="M76" s="14"/>
      <c r="N76" s="14">
        <v>0</v>
      </c>
      <c r="O76" s="15">
        <v>43446</v>
      </c>
      <c r="P76" s="19">
        <f t="shared" si="10"/>
        <v>3560</v>
      </c>
      <c r="Q76" s="20">
        <f t="shared" si="8"/>
        <v>153800</v>
      </c>
      <c r="R76" s="20">
        <f t="shared" si="9"/>
        <v>7120000</v>
      </c>
      <c r="S76" s="14"/>
    </row>
    <row r="77" spans="1:87" s="30" customFormat="1" ht="30" customHeight="1" x14ac:dyDescent="0.15">
      <c r="A77" s="53"/>
      <c r="B77" s="47" t="s">
        <v>36</v>
      </c>
      <c r="C77" s="54">
        <v>43437</v>
      </c>
      <c r="D77" s="54">
        <v>43462</v>
      </c>
      <c r="E77" s="47" t="s">
        <v>182</v>
      </c>
      <c r="F77" s="92" t="s">
        <v>38</v>
      </c>
      <c r="G77" s="46" t="s">
        <v>131</v>
      </c>
      <c r="H77" s="47">
        <v>1000</v>
      </c>
      <c r="I77" s="47">
        <v>11505</v>
      </c>
      <c r="J77" s="47">
        <v>465</v>
      </c>
      <c r="K77" s="47" t="s">
        <v>183</v>
      </c>
      <c r="L77" s="97"/>
      <c r="M77" s="97"/>
      <c r="N77" s="97"/>
      <c r="O77" s="97"/>
      <c r="P77" s="55">
        <f t="shared" si="10"/>
        <v>11505</v>
      </c>
      <c r="Q77" s="56">
        <f t="shared" si="8"/>
        <v>465000</v>
      </c>
      <c r="R77" s="56">
        <f t="shared" si="9"/>
        <v>11505000</v>
      </c>
      <c r="S77" s="56"/>
      <c r="T77" s="52" t="s">
        <v>137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52"/>
      <c r="CC77" s="52"/>
      <c r="CD77" s="52"/>
      <c r="CE77" s="52"/>
      <c r="CF77" s="52"/>
      <c r="CG77" s="52"/>
      <c r="CH77" s="52"/>
      <c r="CI77" s="52"/>
    </row>
    <row r="78" spans="1:87" s="30" customFormat="1" ht="20.25" customHeight="1" x14ac:dyDescent="0.15">
      <c r="A78" s="53"/>
      <c r="B78" s="47" t="s">
        <v>42</v>
      </c>
      <c r="C78" s="54">
        <v>43440</v>
      </c>
      <c r="D78" s="54">
        <v>43462</v>
      </c>
      <c r="E78" s="47" t="s">
        <v>186</v>
      </c>
      <c r="F78" s="92" t="s">
        <v>38</v>
      </c>
      <c r="G78" s="47" t="s">
        <v>187</v>
      </c>
      <c r="H78" s="47">
        <v>1000</v>
      </c>
      <c r="I78" s="47">
        <v>14635</v>
      </c>
      <c r="J78" s="47">
        <v>175.39</v>
      </c>
      <c r="K78" s="47" t="s">
        <v>188</v>
      </c>
      <c r="L78" s="97"/>
      <c r="M78" s="97"/>
      <c r="N78" s="97"/>
      <c r="O78" s="97"/>
      <c r="P78" s="55">
        <v>14616</v>
      </c>
      <c r="Q78" s="56">
        <f t="shared" si="8"/>
        <v>175390</v>
      </c>
      <c r="R78" s="56">
        <f t="shared" si="9"/>
        <v>14616000</v>
      </c>
      <c r="S78" s="56"/>
      <c r="T78" s="52" t="s">
        <v>137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52"/>
      <c r="CC78" s="52"/>
      <c r="CD78" s="52"/>
      <c r="CE78" s="52"/>
      <c r="CF78" s="52"/>
      <c r="CG78" s="52"/>
      <c r="CH78" s="52"/>
      <c r="CI78" s="52"/>
    </row>
    <row r="79" spans="1:87" ht="20.25" customHeight="1" x14ac:dyDescent="0.15">
      <c r="A79" s="53"/>
      <c r="B79" s="47" t="s">
        <v>249</v>
      </c>
      <c r="C79" s="54">
        <v>43445</v>
      </c>
      <c r="D79" s="54">
        <v>43489</v>
      </c>
      <c r="E79" s="47" t="s">
        <v>204</v>
      </c>
      <c r="F79" s="92" t="s">
        <v>241</v>
      </c>
      <c r="G79" s="46" t="s">
        <v>156</v>
      </c>
      <c r="H79" s="47">
        <v>3000</v>
      </c>
      <c r="I79" s="47">
        <v>4507</v>
      </c>
      <c r="J79" s="47">
        <v>183.33</v>
      </c>
      <c r="K79" s="97" t="s">
        <v>209</v>
      </c>
      <c r="L79" s="97"/>
      <c r="M79" s="97"/>
      <c r="N79" s="97"/>
      <c r="O79" s="97"/>
      <c r="P79" s="55">
        <v>4905</v>
      </c>
      <c r="Q79" s="56">
        <f t="shared" ref="Q79:Q85" si="11">J79*H79</f>
        <v>549990</v>
      </c>
      <c r="R79" s="56">
        <f t="shared" ref="R79:R85" si="12">H79*P79</f>
        <v>14715000</v>
      </c>
      <c r="S79" s="56"/>
      <c r="T79" s="52" t="s">
        <v>137</v>
      </c>
      <c r="CB79" s="52"/>
      <c r="CC79" s="52"/>
      <c r="CD79" s="52"/>
      <c r="CE79" s="52"/>
      <c r="CF79" s="52"/>
      <c r="CG79" s="52"/>
      <c r="CH79" s="52"/>
      <c r="CI79" s="52"/>
    </row>
    <row r="80" spans="1:87" ht="20.25" customHeight="1" x14ac:dyDescent="0.15">
      <c r="A80" s="92"/>
      <c r="B80" s="92" t="s">
        <v>253</v>
      </c>
      <c r="C80" s="93">
        <v>43452</v>
      </c>
      <c r="D80" s="93">
        <v>43514</v>
      </c>
      <c r="E80" s="92" t="s">
        <v>202</v>
      </c>
      <c r="F80" s="92" t="s">
        <v>21</v>
      </c>
      <c r="G80" s="47" t="s">
        <v>177</v>
      </c>
      <c r="H80" s="57">
        <v>1000</v>
      </c>
      <c r="I80" s="47">
        <v>6365</v>
      </c>
      <c r="J80" s="47">
        <v>146.9</v>
      </c>
      <c r="K80" s="92" t="s">
        <v>210</v>
      </c>
      <c r="L80" s="97"/>
      <c r="M80" s="97"/>
      <c r="N80" s="97"/>
      <c r="O80" s="97"/>
      <c r="P80" s="55">
        <f t="shared" ref="P80:P85" si="13">I80</f>
        <v>6365</v>
      </c>
      <c r="Q80" s="56">
        <f t="shared" si="11"/>
        <v>146900</v>
      </c>
      <c r="R80" s="56">
        <f t="shared" si="12"/>
        <v>6365000</v>
      </c>
      <c r="S80" s="56"/>
      <c r="T80" s="52" t="s">
        <v>137</v>
      </c>
    </row>
    <row r="81" spans="1:20" ht="20.25" customHeight="1" x14ac:dyDescent="0.15">
      <c r="A81" s="92"/>
      <c r="B81" s="92" t="s">
        <v>253</v>
      </c>
      <c r="C81" s="93">
        <v>43452</v>
      </c>
      <c r="D81" s="93">
        <v>43514</v>
      </c>
      <c r="E81" s="92" t="s">
        <v>202</v>
      </c>
      <c r="F81" s="92" t="s">
        <v>21</v>
      </c>
      <c r="G81" s="92" t="s">
        <v>25</v>
      </c>
      <c r="H81" s="92">
        <v>1000</v>
      </c>
      <c r="I81" s="92">
        <v>6365</v>
      </c>
      <c r="J81" s="56">
        <v>146.9</v>
      </c>
      <c r="K81" s="56" t="s">
        <v>254</v>
      </c>
      <c r="L81" s="97"/>
      <c r="M81" s="97"/>
      <c r="N81" s="97"/>
      <c r="O81" s="97"/>
      <c r="P81" s="56">
        <f t="shared" si="13"/>
        <v>6365</v>
      </c>
      <c r="Q81" s="56">
        <f t="shared" si="11"/>
        <v>146900</v>
      </c>
      <c r="R81" s="56">
        <f t="shared" si="12"/>
        <v>6365000</v>
      </c>
      <c r="S81" s="92"/>
      <c r="T81" s="92" t="s">
        <v>255</v>
      </c>
    </row>
    <row r="82" spans="1:20" ht="20.25" customHeight="1" x14ac:dyDescent="0.15">
      <c r="A82" s="53"/>
      <c r="B82" s="631" t="s">
        <v>208</v>
      </c>
      <c r="C82" s="633">
        <v>43454</v>
      </c>
      <c r="D82" s="633">
        <v>43483</v>
      </c>
      <c r="E82" s="631" t="s">
        <v>207</v>
      </c>
      <c r="F82" s="631" t="s">
        <v>21</v>
      </c>
      <c r="G82" s="47" t="s">
        <v>177</v>
      </c>
      <c r="H82" s="47">
        <v>2000</v>
      </c>
      <c r="I82" s="47">
        <v>2332</v>
      </c>
      <c r="J82" s="47">
        <v>29.15</v>
      </c>
      <c r="K82" s="631" t="s">
        <v>250</v>
      </c>
      <c r="L82" s="97"/>
      <c r="M82" s="97"/>
      <c r="N82" s="97"/>
      <c r="O82" s="97"/>
      <c r="P82" s="55">
        <f t="shared" si="13"/>
        <v>2332</v>
      </c>
      <c r="Q82" s="56">
        <f t="shared" si="11"/>
        <v>58300</v>
      </c>
      <c r="R82" s="56">
        <f t="shared" si="12"/>
        <v>4664000</v>
      </c>
      <c r="S82" s="56"/>
      <c r="T82" s="52"/>
    </row>
    <row r="83" spans="1:20" ht="14.25" hidden="1" customHeight="1" x14ac:dyDescent="0.15">
      <c r="A83" s="31"/>
      <c r="B83" s="641"/>
      <c r="C83" s="642"/>
      <c r="D83" s="642"/>
      <c r="E83" s="640"/>
      <c r="F83" s="640"/>
      <c r="G83" s="50" t="s">
        <v>25</v>
      </c>
      <c r="H83" s="51">
        <v>2000</v>
      </c>
      <c r="I83" s="51">
        <v>2332</v>
      </c>
      <c r="J83" s="50">
        <v>29.15</v>
      </c>
      <c r="K83" s="640"/>
      <c r="L83" s="97"/>
      <c r="M83" s="97"/>
      <c r="N83" s="97"/>
      <c r="O83" s="97"/>
      <c r="P83" s="10">
        <f t="shared" si="13"/>
        <v>2332</v>
      </c>
      <c r="Q83" s="11">
        <f t="shared" si="11"/>
        <v>58300</v>
      </c>
      <c r="R83" s="11">
        <f t="shared" si="12"/>
        <v>4664000</v>
      </c>
      <c r="S83" s="56"/>
    </row>
    <row r="84" spans="1:20" ht="20.25" customHeight="1" x14ac:dyDescent="0.15">
      <c r="A84" s="53"/>
      <c r="B84" s="631" t="s">
        <v>208</v>
      </c>
      <c r="C84" s="633">
        <v>43455</v>
      </c>
      <c r="D84" s="633">
        <v>43486</v>
      </c>
      <c r="E84" s="631" t="s">
        <v>231</v>
      </c>
      <c r="F84" s="631" t="s">
        <v>21</v>
      </c>
      <c r="G84" s="47" t="s">
        <v>177</v>
      </c>
      <c r="H84" s="47">
        <v>1500</v>
      </c>
      <c r="I84" s="47">
        <v>6030</v>
      </c>
      <c r="J84" s="47">
        <v>150.21</v>
      </c>
      <c r="K84" s="631" t="s">
        <v>212</v>
      </c>
      <c r="L84" s="97"/>
      <c r="M84" s="97"/>
      <c r="N84" s="97"/>
      <c r="O84" s="97"/>
      <c r="P84" s="55">
        <f t="shared" si="13"/>
        <v>6030</v>
      </c>
      <c r="Q84" s="56">
        <f t="shared" si="11"/>
        <v>225315</v>
      </c>
      <c r="R84" s="56">
        <f t="shared" si="12"/>
        <v>9045000</v>
      </c>
      <c r="S84" s="56"/>
      <c r="T84" s="52"/>
    </row>
    <row r="85" spans="1:20" ht="14.25" hidden="1" customHeight="1" x14ac:dyDescent="0.15">
      <c r="A85" s="31"/>
      <c r="B85" s="641"/>
      <c r="C85" s="642"/>
      <c r="D85" s="642"/>
      <c r="E85" s="640"/>
      <c r="F85" s="640"/>
      <c r="G85" s="50" t="s">
        <v>25</v>
      </c>
      <c r="H85" s="51">
        <v>1500</v>
      </c>
      <c r="I85" s="51">
        <v>6030</v>
      </c>
      <c r="J85" s="50">
        <v>150.21</v>
      </c>
      <c r="K85" s="640"/>
      <c r="L85" s="97"/>
      <c r="M85" s="97"/>
      <c r="N85" s="97"/>
      <c r="O85" s="97"/>
      <c r="P85" s="10">
        <f t="shared" si="13"/>
        <v>6030</v>
      </c>
      <c r="Q85" s="11">
        <f t="shared" si="11"/>
        <v>225315</v>
      </c>
      <c r="R85" s="11">
        <f t="shared" si="12"/>
        <v>9045000</v>
      </c>
      <c r="S85" s="56"/>
    </row>
    <row r="86" spans="1:20" ht="20.25" customHeight="1" x14ac:dyDescent="0.15">
      <c r="A86" s="53"/>
      <c r="B86" s="47" t="s">
        <v>213</v>
      </c>
      <c r="C86" s="54">
        <v>43458</v>
      </c>
      <c r="D86" s="54">
        <v>43473</v>
      </c>
      <c r="E86" s="47" t="s">
        <v>233</v>
      </c>
      <c r="F86" s="47" t="s">
        <v>21</v>
      </c>
      <c r="G86" s="47" t="s">
        <v>190</v>
      </c>
      <c r="H86" s="47">
        <f>ROUND(R86/P86,0)</f>
        <v>350447</v>
      </c>
      <c r="I86" s="47">
        <v>328.15</v>
      </c>
      <c r="J86" s="46">
        <f>Q86/H86</f>
        <v>6.8483964765000127E-2</v>
      </c>
      <c r="K86" s="47" t="s">
        <v>242</v>
      </c>
      <c r="L86" s="97"/>
      <c r="M86" s="97"/>
      <c r="N86" s="97"/>
      <c r="O86" s="97"/>
      <c r="P86" s="56">
        <v>285.35000000000002</v>
      </c>
      <c r="Q86" s="56">
        <f>R86*0.00024</f>
        <v>24000</v>
      </c>
      <c r="R86" s="56">
        <v>100000000</v>
      </c>
      <c r="S86" s="56"/>
      <c r="T86" s="52"/>
    </row>
    <row r="87" spans="1:20" ht="20.25" customHeight="1" x14ac:dyDescent="0.15">
      <c r="A87" s="53"/>
      <c r="B87" s="47" t="s">
        <v>170</v>
      </c>
      <c r="C87" s="54">
        <v>43458</v>
      </c>
      <c r="D87" s="54">
        <v>43473</v>
      </c>
      <c r="E87" s="47" t="s">
        <v>233</v>
      </c>
      <c r="F87" s="47" t="s">
        <v>38</v>
      </c>
      <c r="G87" s="47" t="s">
        <v>190</v>
      </c>
      <c r="H87" s="47">
        <f t="shared" ref="H87:H93" si="14">ROUND(R87/P87,0)</f>
        <v>350447</v>
      </c>
      <c r="I87" s="47">
        <v>331.01</v>
      </c>
      <c r="J87" s="46">
        <f t="shared" ref="J87:J93" si="15">Q87/H87</f>
        <v>1.1413994127500021E-2</v>
      </c>
      <c r="K87" s="47" t="s">
        <v>191</v>
      </c>
      <c r="L87" s="97"/>
      <c r="M87" s="97"/>
      <c r="N87" s="97"/>
      <c r="O87" s="97"/>
      <c r="P87" s="56">
        <v>285.35000000000002</v>
      </c>
      <c r="Q87" s="56">
        <v>4000</v>
      </c>
      <c r="R87" s="56">
        <v>100000000</v>
      </c>
      <c r="S87" s="56"/>
      <c r="T87" s="52"/>
    </row>
    <row r="88" spans="1:20" ht="20.25" customHeight="1" x14ac:dyDescent="0.15">
      <c r="A88" s="53"/>
      <c r="B88" s="47" t="s">
        <v>170</v>
      </c>
      <c r="C88" s="54">
        <v>43458</v>
      </c>
      <c r="D88" s="54">
        <v>43473</v>
      </c>
      <c r="E88" s="47" t="s">
        <v>234</v>
      </c>
      <c r="F88" s="47" t="s">
        <v>38</v>
      </c>
      <c r="G88" s="47" t="s">
        <v>190</v>
      </c>
      <c r="H88" s="47">
        <f t="shared" si="14"/>
        <v>27855</v>
      </c>
      <c r="I88" s="47">
        <v>4128.5</v>
      </c>
      <c r="J88" s="46">
        <f t="shared" si="15"/>
        <v>0.86160473882606359</v>
      </c>
      <c r="K88" s="47" t="s">
        <v>215</v>
      </c>
      <c r="L88" s="97"/>
      <c r="M88" s="97"/>
      <c r="N88" s="97"/>
      <c r="O88" s="97"/>
      <c r="P88" s="56">
        <v>3590</v>
      </c>
      <c r="Q88" s="56">
        <f>R88*0.00024</f>
        <v>24000</v>
      </c>
      <c r="R88" s="56">
        <v>100000000</v>
      </c>
      <c r="S88" s="56"/>
      <c r="T88" s="52"/>
    </row>
    <row r="89" spans="1:20" ht="20.25" customHeight="1" x14ac:dyDescent="0.15">
      <c r="A89" s="53"/>
      <c r="B89" s="47" t="s">
        <v>170</v>
      </c>
      <c r="C89" s="54">
        <v>43458</v>
      </c>
      <c r="D89" s="54">
        <v>43473</v>
      </c>
      <c r="E89" s="47" t="s">
        <v>234</v>
      </c>
      <c r="F89" s="47" t="s">
        <v>21</v>
      </c>
      <c r="G89" s="47" t="s">
        <v>190</v>
      </c>
      <c r="H89" s="47">
        <f t="shared" si="14"/>
        <v>27855</v>
      </c>
      <c r="I89" s="47">
        <v>4164.3999999999996</v>
      </c>
      <c r="J89" s="46">
        <f t="shared" si="15"/>
        <v>0.14360078980434393</v>
      </c>
      <c r="K89" s="47" t="s">
        <v>192</v>
      </c>
      <c r="L89" s="97"/>
      <c r="M89" s="97"/>
      <c r="N89" s="97"/>
      <c r="O89" s="97"/>
      <c r="P89" s="56">
        <v>3590</v>
      </c>
      <c r="Q89" s="56">
        <v>4000</v>
      </c>
      <c r="R89" s="56">
        <v>100000000</v>
      </c>
      <c r="S89" s="56"/>
      <c r="T89" s="52"/>
    </row>
    <row r="90" spans="1:20" ht="20.25" customHeight="1" x14ac:dyDescent="0.15">
      <c r="A90" s="53"/>
      <c r="B90" s="47" t="s">
        <v>216</v>
      </c>
      <c r="C90" s="54">
        <v>43458</v>
      </c>
      <c r="D90" s="54">
        <v>43472</v>
      </c>
      <c r="E90" s="47" t="s">
        <v>233</v>
      </c>
      <c r="F90" s="47" t="s">
        <v>21</v>
      </c>
      <c r="G90" s="47" t="s">
        <v>190</v>
      </c>
      <c r="H90" s="47">
        <f t="shared" si="14"/>
        <v>350385</v>
      </c>
      <c r="I90" s="47">
        <v>328.21</v>
      </c>
      <c r="J90" s="46">
        <f t="shared" si="15"/>
        <v>5.7080069066883572E-2</v>
      </c>
      <c r="K90" s="47" t="s">
        <v>194</v>
      </c>
      <c r="L90" s="97"/>
      <c r="M90" s="97"/>
      <c r="N90" s="97"/>
      <c r="O90" s="97"/>
      <c r="P90" s="56">
        <v>285.39999999999998</v>
      </c>
      <c r="Q90" s="56">
        <v>20000</v>
      </c>
      <c r="R90" s="56">
        <v>100000000</v>
      </c>
      <c r="S90" s="56"/>
      <c r="T90" s="52"/>
    </row>
    <row r="91" spans="1:20" ht="20.25" customHeight="1" x14ac:dyDescent="0.15">
      <c r="A91" s="53"/>
      <c r="B91" s="47" t="s">
        <v>193</v>
      </c>
      <c r="C91" s="54">
        <v>43458</v>
      </c>
      <c r="D91" s="54">
        <v>43472</v>
      </c>
      <c r="E91" s="47" t="s">
        <v>233</v>
      </c>
      <c r="F91" s="47" t="s">
        <v>38</v>
      </c>
      <c r="G91" s="47" t="s">
        <v>190</v>
      </c>
      <c r="H91" s="47">
        <f t="shared" si="14"/>
        <v>350385</v>
      </c>
      <c r="I91" s="47">
        <v>331.06400000000002</v>
      </c>
      <c r="J91" s="46">
        <f t="shared" si="15"/>
        <v>2.8540034533441786E-2</v>
      </c>
      <c r="K91" s="47" t="s">
        <v>194</v>
      </c>
      <c r="L91" s="97"/>
      <c r="M91" s="97"/>
      <c r="N91" s="97"/>
      <c r="O91" s="97"/>
      <c r="P91" s="56">
        <v>285.39999999999998</v>
      </c>
      <c r="Q91" s="56">
        <v>10000</v>
      </c>
      <c r="R91" s="56">
        <v>100000000</v>
      </c>
      <c r="S91" s="56"/>
      <c r="T91" s="52"/>
    </row>
    <row r="92" spans="1:20" ht="20.25" customHeight="1" x14ac:dyDescent="0.15">
      <c r="A92" s="53"/>
      <c r="B92" s="47" t="s">
        <v>193</v>
      </c>
      <c r="C92" s="54">
        <v>43458</v>
      </c>
      <c r="D92" s="54">
        <v>43472</v>
      </c>
      <c r="E92" s="47" t="s">
        <v>234</v>
      </c>
      <c r="F92" s="47" t="s">
        <v>38</v>
      </c>
      <c r="G92" s="47" t="s">
        <v>190</v>
      </c>
      <c r="H92" s="47">
        <f t="shared" si="14"/>
        <v>27847</v>
      </c>
      <c r="I92" s="47">
        <v>4129.6499999999996</v>
      </c>
      <c r="J92" s="46">
        <f t="shared" si="15"/>
        <v>0.71821022013143243</v>
      </c>
      <c r="K92" s="47" t="s">
        <v>195</v>
      </c>
      <c r="L92" s="97"/>
      <c r="M92" s="97"/>
      <c r="N92" s="97"/>
      <c r="O92" s="97"/>
      <c r="P92" s="56">
        <v>3591</v>
      </c>
      <c r="Q92" s="56">
        <v>20000</v>
      </c>
      <c r="R92" s="56">
        <v>100000000</v>
      </c>
      <c r="S92" s="56"/>
      <c r="T92" s="52"/>
    </row>
    <row r="93" spans="1:20" ht="20.25" customHeight="1" x14ac:dyDescent="0.15">
      <c r="A93" s="53"/>
      <c r="B93" s="47" t="s">
        <v>193</v>
      </c>
      <c r="C93" s="54">
        <v>43458</v>
      </c>
      <c r="D93" s="54">
        <v>43472</v>
      </c>
      <c r="E93" s="47" t="s">
        <v>234</v>
      </c>
      <c r="F93" s="47" t="s">
        <v>21</v>
      </c>
      <c r="G93" s="47" t="s">
        <v>190</v>
      </c>
      <c r="H93" s="47">
        <f t="shared" si="14"/>
        <v>27847</v>
      </c>
      <c r="I93" s="47">
        <v>4165.5600000000004</v>
      </c>
      <c r="J93" s="46">
        <f t="shared" si="15"/>
        <v>0.35910511006571622</v>
      </c>
      <c r="K93" s="47" t="s">
        <v>195</v>
      </c>
      <c r="L93" s="97"/>
      <c r="M93" s="97"/>
      <c r="N93" s="97"/>
      <c r="O93" s="97"/>
      <c r="P93" s="56">
        <v>3591</v>
      </c>
      <c r="Q93" s="56">
        <v>10000</v>
      </c>
      <c r="R93" s="56">
        <v>100000000</v>
      </c>
      <c r="S93" s="56"/>
      <c r="T93" s="52"/>
    </row>
    <row r="94" spans="1:20" ht="20.25" customHeight="1" x14ac:dyDescent="0.15">
      <c r="A94" s="53"/>
      <c r="B94" s="90" t="s">
        <v>217</v>
      </c>
      <c r="C94" s="48">
        <v>43459</v>
      </c>
      <c r="D94" s="48">
        <v>43489</v>
      </c>
      <c r="E94" s="48" t="s">
        <v>232</v>
      </c>
      <c r="F94" s="48" t="s">
        <v>21</v>
      </c>
      <c r="G94" s="90" t="s">
        <v>25</v>
      </c>
      <c r="H94" s="90">
        <v>700</v>
      </c>
      <c r="I94" s="90">
        <v>14750</v>
      </c>
      <c r="J94" s="90">
        <v>250.75</v>
      </c>
      <c r="K94" s="90" t="s">
        <v>243</v>
      </c>
      <c r="L94" s="97"/>
      <c r="M94" s="97"/>
      <c r="N94" s="97"/>
      <c r="O94" s="97"/>
      <c r="P94" s="91">
        <f>I94</f>
        <v>14750</v>
      </c>
      <c r="Q94" s="89">
        <f>J94*H94</f>
        <v>175525</v>
      </c>
      <c r="R94" s="89">
        <f>H94*P94</f>
        <v>10325000</v>
      </c>
      <c r="S94" s="90"/>
      <c r="T94" s="45"/>
    </row>
    <row r="95" spans="1:20" ht="20.25" customHeight="1" thickBot="1" x14ac:dyDescent="0.2">
      <c r="A95" s="53"/>
      <c r="B95" s="631" t="s">
        <v>208</v>
      </c>
      <c r="C95" s="633">
        <v>43459</v>
      </c>
      <c r="D95" s="633">
        <v>43489</v>
      </c>
      <c r="E95" s="631" t="s">
        <v>232</v>
      </c>
      <c r="F95" s="631" t="s">
        <v>21</v>
      </c>
      <c r="G95" s="47" t="s">
        <v>177</v>
      </c>
      <c r="H95" s="47">
        <v>700</v>
      </c>
      <c r="I95" s="47">
        <v>14750</v>
      </c>
      <c r="J95" s="47">
        <v>250.75</v>
      </c>
      <c r="K95" s="631" t="s">
        <v>243</v>
      </c>
      <c r="L95" s="97"/>
      <c r="M95" s="97"/>
      <c r="N95" s="97"/>
      <c r="O95" s="97"/>
      <c r="P95" s="55">
        <f>I95</f>
        <v>14750</v>
      </c>
      <c r="Q95" s="56">
        <f>J95*H95</f>
        <v>175525</v>
      </c>
      <c r="R95" s="56">
        <f>H95*P95</f>
        <v>10325000</v>
      </c>
      <c r="S95" s="56"/>
      <c r="T95" s="52"/>
    </row>
    <row r="96" spans="1:20" ht="15" hidden="1" customHeight="1" thickBot="1" x14ac:dyDescent="0.2">
      <c r="A96" s="31"/>
      <c r="B96" s="641"/>
      <c r="C96" s="642"/>
      <c r="D96" s="642"/>
      <c r="E96" s="640"/>
      <c r="F96" s="640"/>
      <c r="G96" s="50" t="s">
        <v>25</v>
      </c>
      <c r="H96" s="51">
        <v>700</v>
      </c>
      <c r="I96" s="51">
        <v>14750</v>
      </c>
      <c r="J96" s="50">
        <v>250.75</v>
      </c>
      <c r="K96" s="640"/>
      <c r="L96" s="97"/>
      <c r="M96" s="97"/>
      <c r="N96" s="97"/>
      <c r="O96" s="97"/>
      <c r="P96" s="10">
        <f>I96</f>
        <v>14750</v>
      </c>
      <c r="Q96" s="11">
        <f>J96*H96</f>
        <v>175525</v>
      </c>
      <c r="R96" s="11">
        <f>H96*P96</f>
        <v>10325000</v>
      </c>
      <c r="S96" s="56"/>
    </row>
    <row r="97" spans="1:20" s="34" customFormat="1" ht="20.25" customHeight="1" x14ac:dyDescent="0.15">
      <c r="A97" s="53"/>
      <c r="B97" s="47" t="s">
        <v>196</v>
      </c>
      <c r="C97" s="54">
        <v>43460</v>
      </c>
      <c r="D97" s="54">
        <v>43474</v>
      </c>
      <c r="E97" s="47" t="s">
        <v>233</v>
      </c>
      <c r="F97" s="47" t="s">
        <v>21</v>
      </c>
      <c r="G97" s="47" t="s">
        <v>190</v>
      </c>
      <c r="H97" s="47">
        <f>ROUND(R97/P97,0)</f>
        <v>695652</v>
      </c>
      <c r="I97" s="65">
        <v>330.625</v>
      </c>
      <c r="J97" s="46">
        <f t="shared" ref="J97:J104" si="16">Q97/H97</f>
        <v>8.6250021562505386E-2</v>
      </c>
      <c r="K97" s="47" t="s">
        <v>197</v>
      </c>
      <c r="L97" s="97"/>
      <c r="M97" s="97"/>
      <c r="N97" s="97"/>
      <c r="O97" s="97"/>
      <c r="P97" s="55">
        <v>287.5</v>
      </c>
      <c r="Q97" s="56">
        <v>60000</v>
      </c>
      <c r="R97" s="56">
        <v>200000000</v>
      </c>
      <c r="S97" s="56"/>
      <c r="T97" s="52"/>
    </row>
    <row r="98" spans="1:20" s="35" customFormat="1" ht="20.25" customHeight="1" x14ac:dyDescent="0.15">
      <c r="A98" s="53"/>
      <c r="B98" s="47" t="s">
        <v>196</v>
      </c>
      <c r="C98" s="54">
        <v>43460</v>
      </c>
      <c r="D98" s="54">
        <v>43474</v>
      </c>
      <c r="E98" s="47" t="s">
        <v>233</v>
      </c>
      <c r="F98" s="47" t="s">
        <v>38</v>
      </c>
      <c r="G98" s="47" t="s">
        <v>190</v>
      </c>
      <c r="H98" s="47">
        <f>ROUND(R98/P98,0)</f>
        <v>695652</v>
      </c>
      <c r="I98" s="65">
        <v>333.5</v>
      </c>
      <c r="J98" s="46">
        <f t="shared" si="16"/>
        <v>2.8750007187501796E-2</v>
      </c>
      <c r="K98" s="47" t="s">
        <v>197</v>
      </c>
      <c r="L98" s="97"/>
      <c r="M98" s="97"/>
      <c r="N98" s="97"/>
      <c r="O98" s="97"/>
      <c r="P98" s="55">
        <v>287.5</v>
      </c>
      <c r="Q98" s="56">
        <v>20000</v>
      </c>
      <c r="R98" s="56">
        <v>200000000</v>
      </c>
      <c r="S98" s="56"/>
      <c r="T98" s="52"/>
    </row>
    <row r="99" spans="1:20" s="35" customFormat="1" ht="20.25" customHeight="1" x14ac:dyDescent="0.15">
      <c r="A99" s="53"/>
      <c r="B99" s="47" t="s">
        <v>196</v>
      </c>
      <c r="C99" s="54">
        <v>43460</v>
      </c>
      <c r="D99" s="54">
        <v>43474</v>
      </c>
      <c r="E99" s="47" t="s">
        <v>234</v>
      </c>
      <c r="F99" s="47" t="s">
        <v>38</v>
      </c>
      <c r="G99" s="47" t="s">
        <v>190</v>
      </c>
      <c r="H99" s="47">
        <f>ROUND(R99/P99,0)</f>
        <v>55310</v>
      </c>
      <c r="I99" s="65">
        <v>4158.3999999999996</v>
      </c>
      <c r="J99" s="46">
        <f t="shared" si="16"/>
        <v>1.0847947929849937</v>
      </c>
      <c r="K99" s="47" t="s">
        <v>198</v>
      </c>
      <c r="L99" s="97"/>
      <c r="M99" s="97"/>
      <c r="N99" s="97"/>
      <c r="O99" s="97"/>
      <c r="P99" s="55">
        <v>3616</v>
      </c>
      <c r="Q99" s="56">
        <v>60000</v>
      </c>
      <c r="R99" s="56">
        <v>200000000</v>
      </c>
      <c r="S99" s="56"/>
      <c r="T99" s="52"/>
    </row>
    <row r="100" spans="1:20" s="35" customFormat="1" ht="20.25" customHeight="1" thickBot="1" x14ac:dyDescent="0.2">
      <c r="A100" s="53"/>
      <c r="B100" s="47" t="s">
        <v>196</v>
      </c>
      <c r="C100" s="54">
        <v>43460</v>
      </c>
      <c r="D100" s="54">
        <v>43474</v>
      </c>
      <c r="E100" s="47" t="s">
        <v>234</v>
      </c>
      <c r="F100" s="47" t="s">
        <v>21</v>
      </c>
      <c r="G100" s="47" t="s">
        <v>190</v>
      </c>
      <c r="H100" s="47">
        <f>ROUND(R100/P100,0)</f>
        <v>55310</v>
      </c>
      <c r="I100" s="65">
        <v>4194.5600000000004</v>
      </c>
      <c r="J100" s="46">
        <f t="shared" si="16"/>
        <v>0.3615982643283312</v>
      </c>
      <c r="K100" s="47" t="s">
        <v>198</v>
      </c>
      <c r="L100" s="97"/>
      <c r="M100" s="97"/>
      <c r="N100" s="97"/>
      <c r="O100" s="97"/>
      <c r="P100" s="55">
        <v>3616</v>
      </c>
      <c r="Q100" s="56">
        <v>20000</v>
      </c>
      <c r="R100" s="56">
        <v>200000000</v>
      </c>
      <c r="S100" s="56"/>
      <c r="T100" s="52"/>
    </row>
    <row r="101" spans="1:20" s="34" customFormat="1" ht="20.25" customHeight="1" x14ac:dyDescent="0.15">
      <c r="A101" s="53"/>
      <c r="B101" s="47" t="s">
        <v>193</v>
      </c>
      <c r="C101" s="54">
        <v>43461</v>
      </c>
      <c r="D101" s="54">
        <v>43692</v>
      </c>
      <c r="E101" s="47" t="s">
        <v>199</v>
      </c>
      <c r="F101" s="47" t="s">
        <v>21</v>
      </c>
      <c r="G101" s="47" t="s">
        <v>190</v>
      </c>
      <c r="H101" s="47">
        <f>1930*5</f>
        <v>9650</v>
      </c>
      <c r="I101" s="47">
        <v>8260</v>
      </c>
      <c r="J101" s="65">
        <f t="shared" si="16"/>
        <v>478.95378238341971</v>
      </c>
      <c r="K101" s="47" t="s">
        <v>201</v>
      </c>
      <c r="L101" s="97"/>
      <c r="M101" s="97"/>
      <c r="N101" s="97"/>
      <c r="O101" s="97"/>
      <c r="P101" s="56">
        <v>8260</v>
      </c>
      <c r="Q101" s="56">
        <f>9243808/2</f>
        <v>4621904</v>
      </c>
      <c r="R101" s="56">
        <f>P101*H101</f>
        <v>79709000</v>
      </c>
      <c r="S101" s="56"/>
      <c r="T101" s="52"/>
    </row>
    <row r="102" spans="1:20" s="35" customFormat="1" ht="20.25" customHeight="1" x14ac:dyDescent="0.15">
      <c r="A102" s="53"/>
      <c r="B102" s="47" t="s">
        <v>193</v>
      </c>
      <c r="C102" s="54">
        <v>43461</v>
      </c>
      <c r="D102" s="54">
        <v>43692</v>
      </c>
      <c r="E102" s="47" t="s">
        <v>199</v>
      </c>
      <c r="F102" s="47" t="s">
        <v>21</v>
      </c>
      <c r="G102" s="47" t="s">
        <v>200</v>
      </c>
      <c r="H102" s="47">
        <f>2130*5</f>
        <v>10650</v>
      </c>
      <c r="I102" s="47">
        <v>8260</v>
      </c>
      <c r="J102" s="65">
        <f t="shared" si="16"/>
        <v>433.98159624413148</v>
      </c>
      <c r="K102" s="47" t="s">
        <v>201</v>
      </c>
      <c r="L102" s="97"/>
      <c r="M102" s="97"/>
      <c r="N102" s="97"/>
      <c r="O102" s="97"/>
      <c r="P102" s="56">
        <v>8260</v>
      </c>
      <c r="Q102" s="56">
        <f>9243808/2</f>
        <v>4621904</v>
      </c>
      <c r="R102" s="56">
        <f>P102*H102</f>
        <v>87969000</v>
      </c>
      <c r="S102" s="56"/>
      <c r="T102" s="52"/>
    </row>
    <row r="103" spans="1:20" s="35" customFormat="1" ht="20.25" customHeight="1" x14ac:dyDescent="0.15">
      <c r="A103" s="53"/>
      <c r="B103" s="47" t="s">
        <v>193</v>
      </c>
      <c r="C103" s="54">
        <v>43461</v>
      </c>
      <c r="D103" s="54">
        <v>43490</v>
      </c>
      <c r="E103" s="47" t="s">
        <v>199</v>
      </c>
      <c r="F103" s="47" t="s">
        <v>38</v>
      </c>
      <c r="G103" s="47" t="s">
        <v>190</v>
      </c>
      <c r="H103" s="47">
        <f>720*5</f>
        <v>3600</v>
      </c>
      <c r="I103" s="47">
        <v>8260</v>
      </c>
      <c r="J103" s="65">
        <f t="shared" si="16"/>
        <v>164.57</v>
      </c>
      <c r="K103" s="47" t="s">
        <v>201</v>
      </c>
      <c r="L103" s="97"/>
      <c r="M103" s="97"/>
      <c r="N103" s="97"/>
      <c r="O103" s="97"/>
      <c r="P103" s="56">
        <v>8260</v>
      </c>
      <c r="Q103" s="56">
        <f>1184904/2</f>
        <v>592452</v>
      </c>
      <c r="R103" s="56">
        <f>P103*H103</f>
        <v>29736000</v>
      </c>
      <c r="S103" s="56"/>
      <c r="T103" s="52"/>
    </row>
    <row r="104" spans="1:20" s="36" customFormat="1" ht="20.25" customHeight="1" thickBot="1" x14ac:dyDescent="0.2">
      <c r="A104" s="53"/>
      <c r="B104" s="47" t="s">
        <v>193</v>
      </c>
      <c r="C104" s="54">
        <v>43461</v>
      </c>
      <c r="D104" s="54">
        <v>43490</v>
      </c>
      <c r="E104" s="47" t="s">
        <v>199</v>
      </c>
      <c r="F104" s="47" t="s">
        <v>38</v>
      </c>
      <c r="G104" s="47" t="s">
        <v>200</v>
      </c>
      <c r="H104" s="47">
        <f>720*5</f>
        <v>3600</v>
      </c>
      <c r="I104" s="47">
        <v>8260</v>
      </c>
      <c r="J104" s="65">
        <f t="shared" si="16"/>
        <v>164.57</v>
      </c>
      <c r="K104" s="47" t="s">
        <v>201</v>
      </c>
      <c r="L104" s="97"/>
      <c r="M104" s="97"/>
      <c r="N104" s="97"/>
      <c r="O104" s="97"/>
      <c r="P104" s="56">
        <v>8260</v>
      </c>
      <c r="Q104" s="56">
        <f>1184904/2</f>
        <v>592452</v>
      </c>
      <c r="R104" s="56">
        <f>P104*H104</f>
        <v>29736000</v>
      </c>
      <c r="S104" s="56"/>
      <c r="T104" s="52"/>
    </row>
    <row r="105" spans="1:20" ht="18.75" customHeight="1" x14ac:dyDescent="0.15">
      <c r="A105" s="53"/>
      <c r="B105" s="631" t="s">
        <v>189</v>
      </c>
      <c r="C105" s="633">
        <v>43462</v>
      </c>
      <c r="D105" s="633">
        <v>43493</v>
      </c>
      <c r="E105" s="631" t="s">
        <v>202</v>
      </c>
      <c r="F105" s="631" t="s">
        <v>21</v>
      </c>
      <c r="G105" s="47" t="s">
        <v>177</v>
      </c>
      <c r="H105" s="47">
        <v>1000</v>
      </c>
      <c r="I105" s="47">
        <v>6445</v>
      </c>
      <c r="J105" s="47">
        <v>111.11</v>
      </c>
      <c r="K105" s="631" t="s">
        <v>203</v>
      </c>
      <c r="L105" s="97"/>
      <c r="M105" s="97"/>
      <c r="N105" s="97"/>
      <c r="O105" s="97"/>
      <c r="P105" s="55">
        <f>I105</f>
        <v>6445</v>
      </c>
      <c r="Q105" s="56">
        <f>J105*H105</f>
        <v>111110</v>
      </c>
      <c r="R105" s="56">
        <f>H105*P105</f>
        <v>6445000</v>
      </c>
      <c r="S105" s="56"/>
      <c r="T105" s="52"/>
    </row>
    <row r="106" spans="1:20" ht="15" hidden="1" customHeight="1" thickBot="1" x14ac:dyDescent="0.2">
      <c r="A106" s="32"/>
      <c r="B106" s="632"/>
      <c r="C106" s="634"/>
      <c r="D106" s="635"/>
      <c r="E106" s="636"/>
      <c r="F106" s="636"/>
      <c r="G106" s="43" t="s">
        <v>25</v>
      </c>
      <c r="H106" s="33">
        <v>1000</v>
      </c>
      <c r="I106" s="33">
        <v>6445</v>
      </c>
      <c r="J106" s="43">
        <v>111.11</v>
      </c>
      <c r="K106" s="636"/>
      <c r="L106" s="97"/>
      <c r="M106" s="97"/>
      <c r="N106" s="97"/>
      <c r="O106" s="97"/>
      <c r="P106" s="10">
        <f>I106</f>
        <v>6445</v>
      </c>
      <c r="Q106" s="11">
        <f>J106*H106</f>
        <v>111110</v>
      </c>
      <c r="R106" s="11">
        <f>H106*P106</f>
        <v>6445000</v>
      </c>
      <c r="S106" s="56"/>
    </row>
    <row r="107" spans="1:20" ht="14.25" hidden="1" customHeight="1" x14ac:dyDescent="0.15">
      <c r="A107" s="31"/>
      <c r="B107" s="637" t="s">
        <v>189</v>
      </c>
      <c r="C107" s="639">
        <v>43467</v>
      </c>
      <c r="D107" s="639">
        <v>43497</v>
      </c>
      <c r="E107" s="630" t="s">
        <v>219</v>
      </c>
      <c r="F107" s="630" t="s">
        <v>21</v>
      </c>
      <c r="G107" s="38" t="s">
        <v>177</v>
      </c>
      <c r="H107" s="24">
        <v>30000</v>
      </c>
      <c r="I107" s="24">
        <v>372</v>
      </c>
      <c r="J107" s="38">
        <v>16</v>
      </c>
      <c r="K107" s="630" t="s">
        <v>236</v>
      </c>
      <c r="L107" s="97">
        <v>6445</v>
      </c>
      <c r="M107" s="97">
        <v>111110</v>
      </c>
      <c r="N107" s="97">
        <v>6445000</v>
      </c>
      <c r="O107" s="97"/>
      <c r="P107" s="10">
        <v>372</v>
      </c>
      <c r="Q107" s="11">
        <f>J107*H107</f>
        <v>480000</v>
      </c>
      <c r="R107" s="11">
        <f>H107*P107</f>
        <v>11160000</v>
      </c>
      <c r="S107" s="56"/>
    </row>
    <row r="108" spans="1:20" ht="15" hidden="1" customHeight="1" thickBot="1" x14ac:dyDescent="0.2">
      <c r="A108" s="32"/>
      <c r="B108" s="638"/>
      <c r="C108" s="639"/>
      <c r="D108" s="639"/>
      <c r="E108" s="630"/>
      <c r="F108" s="630"/>
      <c r="G108" s="38" t="s">
        <v>25</v>
      </c>
      <c r="H108" s="24">
        <v>30000</v>
      </c>
      <c r="I108" s="24">
        <v>372</v>
      </c>
      <c r="J108" s="38">
        <v>16</v>
      </c>
      <c r="K108" s="630"/>
      <c r="L108" s="97">
        <v>6445</v>
      </c>
      <c r="M108" s="97">
        <v>111110</v>
      </c>
      <c r="N108" s="97">
        <v>6445000</v>
      </c>
      <c r="O108" s="97"/>
      <c r="P108" s="10">
        <v>372</v>
      </c>
      <c r="Q108" s="11">
        <f>J108*H108</f>
        <v>480000</v>
      </c>
      <c r="R108" s="11">
        <f>H108*P108</f>
        <v>11160000</v>
      </c>
      <c r="S108" s="56"/>
    </row>
    <row r="109" spans="1:20" ht="14.25" hidden="1" customHeight="1" x14ac:dyDescent="0.15">
      <c r="B109" s="619" t="s">
        <v>225</v>
      </c>
      <c r="C109" s="621">
        <v>43467</v>
      </c>
      <c r="D109" s="621">
        <v>43495</v>
      </c>
      <c r="E109" s="619" t="s">
        <v>230</v>
      </c>
      <c r="F109" s="619" t="s">
        <v>222</v>
      </c>
      <c r="G109" s="41" t="s">
        <v>223</v>
      </c>
      <c r="H109" s="41">
        <v>200</v>
      </c>
      <c r="I109" s="41">
        <v>50130</v>
      </c>
      <c r="J109" s="619">
        <v>397.36</v>
      </c>
      <c r="K109" s="619" t="s">
        <v>235</v>
      </c>
      <c r="L109" s="97"/>
      <c r="M109" s="97"/>
      <c r="N109" s="97"/>
      <c r="O109" s="97"/>
      <c r="P109" s="627">
        <v>47870</v>
      </c>
      <c r="Q109" s="625">
        <f>J109*H109</f>
        <v>79472</v>
      </c>
      <c r="R109" s="625">
        <f>P109*H109*2</f>
        <v>19148000</v>
      </c>
      <c r="S109" s="56"/>
    </row>
    <row r="110" spans="1:20" ht="14.25" hidden="1" customHeight="1" x14ac:dyDescent="0.15">
      <c r="B110" s="619"/>
      <c r="C110" s="621"/>
      <c r="D110" s="621"/>
      <c r="E110" s="619"/>
      <c r="F110" s="619"/>
      <c r="G110" s="41" t="s">
        <v>224</v>
      </c>
      <c r="H110" s="41">
        <v>200</v>
      </c>
      <c r="I110" s="41">
        <v>46300</v>
      </c>
      <c r="J110" s="619"/>
      <c r="K110" s="619"/>
      <c r="L110" s="97"/>
      <c r="M110" s="97"/>
      <c r="N110" s="97"/>
      <c r="O110" s="97"/>
      <c r="P110" s="627"/>
      <c r="Q110" s="625"/>
      <c r="R110" s="625"/>
      <c r="S110" s="56"/>
    </row>
    <row r="111" spans="1:20" s="37" customFormat="1" ht="14.25" hidden="1" customHeight="1" x14ac:dyDescent="0.15">
      <c r="B111" s="623" t="s">
        <v>226</v>
      </c>
      <c r="C111" s="624">
        <v>43467</v>
      </c>
      <c r="D111" s="624">
        <v>43495</v>
      </c>
      <c r="E111" s="623" t="s">
        <v>221</v>
      </c>
      <c r="F111" s="623" t="s">
        <v>222</v>
      </c>
      <c r="G111" s="40" t="s">
        <v>223</v>
      </c>
      <c r="H111" s="40">
        <v>200</v>
      </c>
      <c r="I111" s="40">
        <v>50130</v>
      </c>
      <c r="J111" s="623">
        <v>397.36</v>
      </c>
      <c r="K111" s="619" t="s">
        <v>237</v>
      </c>
      <c r="L111" s="97"/>
      <c r="M111" s="97"/>
      <c r="N111" s="97"/>
      <c r="O111" s="97"/>
      <c r="P111" s="626">
        <v>47870</v>
      </c>
      <c r="Q111" s="618">
        <f>J111*H111</f>
        <v>79472</v>
      </c>
      <c r="R111" s="618">
        <f>P111*H111*2</f>
        <v>19148000</v>
      </c>
      <c r="S111" s="56"/>
    </row>
    <row r="112" spans="1:20" s="37" customFormat="1" ht="14.25" hidden="1" customHeight="1" x14ac:dyDescent="0.15">
      <c r="B112" s="623"/>
      <c r="C112" s="624"/>
      <c r="D112" s="624"/>
      <c r="E112" s="623"/>
      <c r="F112" s="623"/>
      <c r="G112" s="40" t="s">
        <v>224</v>
      </c>
      <c r="H112" s="40">
        <v>200</v>
      </c>
      <c r="I112" s="40">
        <v>46300</v>
      </c>
      <c r="J112" s="623"/>
      <c r="K112" s="619"/>
      <c r="L112" s="97"/>
      <c r="M112" s="97"/>
      <c r="N112" s="97"/>
      <c r="O112" s="97"/>
      <c r="P112" s="626"/>
      <c r="Q112" s="618"/>
      <c r="R112" s="618"/>
      <c r="S112" s="56"/>
    </row>
    <row r="113" spans="1:20" ht="14.25" hidden="1" customHeight="1" x14ac:dyDescent="0.15">
      <c r="B113" s="619" t="s">
        <v>227</v>
      </c>
      <c r="C113" s="621">
        <v>43467</v>
      </c>
      <c r="D113" s="621">
        <v>43495</v>
      </c>
      <c r="E113" s="619" t="s">
        <v>221</v>
      </c>
      <c r="F113" s="619" t="s">
        <v>222</v>
      </c>
      <c r="G113" s="41" t="s">
        <v>223</v>
      </c>
      <c r="H113" s="41">
        <v>200</v>
      </c>
      <c r="I113" s="41">
        <v>50130</v>
      </c>
      <c r="J113" s="619">
        <v>397.36</v>
      </c>
      <c r="K113" s="619" t="s">
        <v>238</v>
      </c>
      <c r="L113" s="97"/>
      <c r="M113" s="97"/>
      <c r="N113" s="97"/>
      <c r="O113" s="97"/>
      <c r="P113" s="627">
        <v>47870</v>
      </c>
      <c r="Q113" s="625">
        <f>J113*H113</f>
        <v>79472</v>
      </c>
      <c r="R113" s="625">
        <f>P113*H113*2</f>
        <v>19148000</v>
      </c>
      <c r="S113" s="56"/>
    </row>
    <row r="114" spans="1:20" ht="14.25" hidden="1" customHeight="1" x14ac:dyDescent="0.15">
      <c r="B114" s="619"/>
      <c r="C114" s="621"/>
      <c r="D114" s="621"/>
      <c r="E114" s="619"/>
      <c r="F114" s="619"/>
      <c r="G114" s="41" t="s">
        <v>224</v>
      </c>
      <c r="H114" s="41">
        <v>200</v>
      </c>
      <c r="I114" s="41">
        <v>46300</v>
      </c>
      <c r="J114" s="619"/>
      <c r="K114" s="619"/>
      <c r="L114" s="97"/>
      <c r="M114" s="97"/>
      <c r="N114" s="97"/>
      <c r="O114" s="97"/>
      <c r="P114" s="627"/>
      <c r="Q114" s="625"/>
      <c r="R114" s="625"/>
      <c r="S114" s="56"/>
    </row>
    <row r="115" spans="1:20" s="37" customFormat="1" ht="14.25" hidden="1" customHeight="1" x14ac:dyDescent="0.15">
      <c r="B115" s="623" t="s">
        <v>228</v>
      </c>
      <c r="C115" s="624">
        <v>43467</v>
      </c>
      <c r="D115" s="624">
        <v>43495</v>
      </c>
      <c r="E115" s="623" t="s">
        <v>221</v>
      </c>
      <c r="F115" s="623" t="s">
        <v>222</v>
      </c>
      <c r="G115" s="40" t="s">
        <v>223</v>
      </c>
      <c r="H115" s="40">
        <v>200</v>
      </c>
      <c r="I115" s="40">
        <v>50130</v>
      </c>
      <c r="J115" s="623">
        <v>397.36</v>
      </c>
      <c r="K115" s="619" t="s">
        <v>239</v>
      </c>
      <c r="L115" s="97"/>
      <c r="M115" s="97"/>
      <c r="N115" s="97"/>
      <c r="O115" s="97"/>
      <c r="P115" s="626">
        <v>47870</v>
      </c>
      <c r="Q115" s="618">
        <f>J115*H115</f>
        <v>79472</v>
      </c>
      <c r="R115" s="618">
        <f>P115*H115*2</f>
        <v>19148000</v>
      </c>
      <c r="S115" s="56"/>
    </row>
    <row r="116" spans="1:20" s="37" customFormat="1" ht="18" hidden="1" customHeight="1" x14ac:dyDescent="0.15">
      <c r="B116" s="623"/>
      <c r="C116" s="624"/>
      <c r="D116" s="624"/>
      <c r="E116" s="623"/>
      <c r="F116" s="623"/>
      <c r="G116" s="40" t="s">
        <v>224</v>
      </c>
      <c r="H116" s="40">
        <v>200</v>
      </c>
      <c r="I116" s="40">
        <v>46300</v>
      </c>
      <c r="J116" s="623"/>
      <c r="K116" s="619"/>
      <c r="L116" s="97"/>
      <c r="M116" s="97"/>
      <c r="N116" s="97"/>
      <c r="O116" s="97"/>
      <c r="P116" s="626"/>
      <c r="Q116" s="618"/>
      <c r="R116" s="618"/>
      <c r="S116" s="56"/>
    </row>
    <row r="117" spans="1:20" ht="17.25" hidden="1" customHeight="1" x14ac:dyDescent="0.15">
      <c r="B117" s="619" t="s">
        <v>229</v>
      </c>
      <c r="C117" s="621">
        <v>43467</v>
      </c>
      <c r="D117" s="621">
        <v>43495</v>
      </c>
      <c r="E117" s="619" t="s">
        <v>221</v>
      </c>
      <c r="F117" s="619" t="s">
        <v>222</v>
      </c>
      <c r="G117" s="41" t="s">
        <v>223</v>
      </c>
      <c r="H117" s="41">
        <v>200</v>
      </c>
      <c r="I117" s="41">
        <v>50130</v>
      </c>
      <c r="J117" s="619">
        <v>397.36</v>
      </c>
      <c r="K117" s="619" t="s">
        <v>240</v>
      </c>
      <c r="L117" s="97"/>
      <c r="M117" s="97"/>
      <c r="N117" s="97"/>
      <c r="O117" s="97"/>
      <c r="P117" s="627">
        <v>47870</v>
      </c>
      <c r="Q117" s="625">
        <f>J117*H117</f>
        <v>79472</v>
      </c>
      <c r="R117" s="625">
        <f>P117*H117*2</f>
        <v>19148000</v>
      </c>
      <c r="S117" s="56"/>
    </row>
    <row r="118" spans="1:20" ht="39" hidden="1" customHeight="1" x14ac:dyDescent="0.15">
      <c r="B118" s="620"/>
      <c r="C118" s="622"/>
      <c r="D118" s="622"/>
      <c r="E118" s="620"/>
      <c r="F118" s="620"/>
      <c r="G118" s="49" t="s">
        <v>224</v>
      </c>
      <c r="H118" s="49">
        <v>200</v>
      </c>
      <c r="I118" s="49">
        <v>46300</v>
      </c>
      <c r="J118" s="620"/>
      <c r="K118" s="620"/>
      <c r="L118" s="97"/>
      <c r="M118" s="97"/>
      <c r="N118" s="97"/>
      <c r="O118" s="97"/>
      <c r="P118" s="628"/>
      <c r="Q118" s="629"/>
      <c r="R118" s="629"/>
      <c r="S118" s="56"/>
    </row>
    <row r="119" spans="1:20" ht="20.25" customHeight="1" x14ac:dyDescent="0.15">
      <c r="A119" s="53"/>
      <c r="B119" s="90" t="s">
        <v>189</v>
      </c>
      <c r="C119" s="48">
        <v>43462</v>
      </c>
      <c r="D119" s="48">
        <v>43493</v>
      </c>
      <c r="E119" s="48" t="s">
        <v>206</v>
      </c>
      <c r="F119" s="48" t="s">
        <v>21</v>
      </c>
      <c r="G119" s="90" t="s">
        <v>25</v>
      </c>
      <c r="H119" s="90">
        <v>1000</v>
      </c>
      <c r="I119" s="90">
        <v>6445</v>
      </c>
      <c r="J119" s="90">
        <v>111.11</v>
      </c>
      <c r="K119" s="90" t="s">
        <v>252</v>
      </c>
      <c r="L119" s="97"/>
      <c r="M119" s="97"/>
      <c r="N119" s="97"/>
      <c r="O119" s="97"/>
      <c r="P119" s="91">
        <f>I119</f>
        <v>6445</v>
      </c>
      <c r="Q119" s="89">
        <f>J119*H119</f>
        <v>111110</v>
      </c>
      <c r="R119" s="89">
        <f>H119*P119</f>
        <v>6445000</v>
      </c>
      <c r="S119" s="56"/>
      <c r="T119" s="52"/>
    </row>
    <row r="120" spans="1:20" hidden="1" x14ac:dyDescent="0.15">
      <c r="P120" s="28"/>
      <c r="Q120" s="29">
        <f>SUM(Q77,Q78,Q79,Q87,Q88,Q91,Q92,Q98,Q99,Q103,Q104)</f>
        <v>2513284</v>
      </c>
    </row>
    <row r="121" spans="1:20" hidden="1" x14ac:dyDescent="0.15">
      <c r="Q121" s="11">
        <f>SUM(Q80,Q81,Q82,Q84,Q86,Q89,Q90,Q93,Q94,Q95,Q97,Q100,Q101,Q102,Q105,Q119)</f>
        <v>10532493</v>
      </c>
    </row>
  </sheetData>
  <autoFilter ref="B1:S121">
    <filterColumn colId="1">
      <filters>
        <dateGroupItem year="2018" month="12" dateTimeGrouping="month"/>
      </filters>
    </filterColumn>
    <filterColumn colId="13">
      <filters blank="1">
        <dateGroupItem year="2018" dateTimeGrouping="year"/>
      </filters>
    </filterColumn>
  </autoFilter>
  <mergeCells count="92">
    <mergeCell ref="C74:C75"/>
    <mergeCell ref="D74:D75"/>
    <mergeCell ref="S22:S23"/>
    <mergeCell ref="B72:B73"/>
    <mergeCell ref="C72:C73"/>
    <mergeCell ref="D72:D73"/>
    <mergeCell ref="E72:E73"/>
    <mergeCell ref="K72:K73"/>
    <mergeCell ref="E74:E75"/>
    <mergeCell ref="F74:F75"/>
    <mergeCell ref="K74:K75"/>
    <mergeCell ref="B74:B75"/>
    <mergeCell ref="K82:K83"/>
    <mergeCell ref="B82:B83"/>
    <mergeCell ref="C82:C83"/>
    <mergeCell ref="D82:D83"/>
    <mergeCell ref="E82:E83"/>
    <mergeCell ref="F82:F83"/>
    <mergeCell ref="K95:K96"/>
    <mergeCell ref="B84:B85"/>
    <mergeCell ref="C84:C85"/>
    <mergeCell ref="D84:D85"/>
    <mergeCell ref="E84:E85"/>
    <mergeCell ref="F84:F85"/>
    <mergeCell ref="K84:K85"/>
    <mergeCell ref="B95:B96"/>
    <mergeCell ref="C95:C96"/>
    <mergeCell ref="D95:D96"/>
    <mergeCell ref="E95:E96"/>
    <mergeCell ref="F95:F96"/>
    <mergeCell ref="F109:F110"/>
    <mergeCell ref="J109:J110"/>
    <mergeCell ref="K107:K108"/>
    <mergeCell ref="B105:B106"/>
    <mergeCell ref="C105:C106"/>
    <mergeCell ref="D105:D106"/>
    <mergeCell ref="E105:E106"/>
    <mergeCell ref="F105:F106"/>
    <mergeCell ref="K105:K106"/>
    <mergeCell ref="B107:B108"/>
    <mergeCell ref="C107:C108"/>
    <mergeCell ref="D107:D108"/>
    <mergeCell ref="E107:E108"/>
    <mergeCell ref="F107:F108"/>
    <mergeCell ref="Q109:Q110"/>
    <mergeCell ref="R109:R110"/>
    <mergeCell ref="B111:B112"/>
    <mergeCell ref="C111:C112"/>
    <mergeCell ref="D111:D112"/>
    <mergeCell ref="E111:E112"/>
    <mergeCell ref="F111:F112"/>
    <mergeCell ref="J111:J112"/>
    <mergeCell ref="B109:B110"/>
    <mergeCell ref="C109:C110"/>
    <mergeCell ref="Q111:Q112"/>
    <mergeCell ref="R111:R112"/>
    <mergeCell ref="K109:K110"/>
    <mergeCell ref="P109:P110"/>
    <mergeCell ref="D109:D110"/>
    <mergeCell ref="E109:E110"/>
    <mergeCell ref="B113:B114"/>
    <mergeCell ref="C113:C114"/>
    <mergeCell ref="D113:D114"/>
    <mergeCell ref="E113:E114"/>
    <mergeCell ref="F113:F114"/>
    <mergeCell ref="J113:J114"/>
    <mergeCell ref="Q113:Q114"/>
    <mergeCell ref="R113:R114"/>
    <mergeCell ref="J117:J118"/>
    <mergeCell ref="K111:K112"/>
    <mergeCell ref="P111:P112"/>
    <mergeCell ref="K113:K114"/>
    <mergeCell ref="P113:P114"/>
    <mergeCell ref="J115:J116"/>
    <mergeCell ref="K117:K118"/>
    <mergeCell ref="P117:P118"/>
    <mergeCell ref="Q117:Q118"/>
    <mergeCell ref="R117:R118"/>
    <mergeCell ref="K115:K116"/>
    <mergeCell ref="P115:P116"/>
    <mergeCell ref="Q115:Q116"/>
    <mergeCell ref="R115:R116"/>
    <mergeCell ref="B117:B118"/>
    <mergeCell ref="C117:C118"/>
    <mergeCell ref="D117:D118"/>
    <mergeCell ref="E117:E118"/>
    <mergeCell ref="F117:F118"/>
    <mergeCell ref="B115:B116"/>
    <mergeCell ref="C115:C116"/>
    <mergeCell ref="D115:D116"/>
    <mergeCell ref="E115:E116"/>
    <mergeCell ref="F115:F116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S117"/>
  <sheetViews>
    <sheetView workbookViewId="0">
      <selection activeCell="J84" sqref="J84"/>
    </sheetView>
  </sheetViews>
  <sheetFormatPr defaultColWidth="9" defaultRowHeight="14.25" x14ac:dyDescent="0.15"/>
  <cols>
    <col min="1" max="1" width="26.125" style="85" customWidth="1"/>
    <col min="2" max="3" width="14.625" style="86" customWidth="1"/>
    <col min="4" max="4" width="13.75" style="85" customWidth="1"/>
    <col min="5" max="5" width="9.375" style="85" customWidth="1"/>
    <col min="6" max="6" width="21.875" style="3" hidden="1" customWidth="1"/>
    <col min="7" max="7" width="18.375" style="3" hidden="1" customWidth="1"/>
    <col min="8" max="8" width="20.25" style="3" hidden="1" customWidth="1"/>
    <col min="9" max="9" width="14" style="3" hidden="1" customWidth="1"/>
    <col min="10" max="10" width="13.625" style="85" customWidth="1"/>
    <col min="11" max="11" width="11.5" style="85" customWidth="1"/>
    <col min="12" max="12" width="14.375" style="85" customWidth="1"/>
    <col min="13" max="13" width="15" style="85" customWidth="1"/>
    <col min="14" max="14" width="15.75" style="85" customWidth="1"/>
    <col min="15" max="15" width="11.875" style="87" customWidth="1"/>
    <col min="16" max="16" width="16.125" style="88" customWidth="1"/>
    <col min="17" max="17" width="17.625" style="88" customWidth="1"/>
    <col min="18" max="18" width="14.625" style="85" customWidth="1"/>
    <col min="19" max="19" width="10.5" style="85" customWidth="1"/>
    <col min="20" max="20" width="9" style="1"/>
    <col min="21" max="21" width="10.5" style="1" customWidth="1"/>
    <col min="22" max="16384" width="9" style="1"/>
  </cols>
  <sheetData>
    <row r="1" spans="1:19" s="6" customFormat="1" ht="27" x14ac:dyDescent="0.15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80" t="s">
        <v>14</v>
      </c>
      <c r="P1" s="81" t="s">
        <v>15</v>
      </c>
      <c r="Q1" s="82" t="s">
        <v>16</v>
      </c>
      <c r="R1" s="79" t="s">
        <v>17</v>
      </c>
      <c r="S1" s="83" t="s">
        <v>18</v>
      </c>
    </row>
    <row r="2" spans="1:19" s="7" customFormat="1" hidden="1" x14ac:dyDescent="0.15">
      <c r="A2" s="3" t="s">
        <v>19</v>
      </c>
      <c r="B2" s="4">
        <v>42962</v>
      </c>
      <c r="C2" s="4">
        <v>43063</v>
      </c>
      <c r="D2" s="3" t="s">
        <v>20</v>
      </c>
      <c r="E2" s="3" t="s">
        <v>21</v>
      </c>
      <c r="F2" s="3" t="s">
        <v>22</v>
      </c>
      <c r="G2" s="3">
        <v>2000</v>
      </c>
      <c r="H2" s="3">
        <v>6500</v>
      </c>
      <c r="I2" s="3">
        <v>68</v>
      </c>
      <c r="J2" s="3" t="s">
        <v>23</v>
      </c>
      <c r="K2" s="3" t="s">
        <v>24</v>
      </c>
      <c r="L2" s="3">
        <v>6409</v>
      </c>
      <c r="M2" s="3">
        <f t="shared" ref="M2:M8" si="0">(H2-L2)*G2</f>
        <v>182000</v>
      </c>
      <c r="N2" s="4">
        <f t="shared" ref="N2:N27" si="1">C2</f>
        <v>43063</v>
      </c>
      <c r="O2" s="10">
        <f>[1]!s_dq_settle(D2,B2)</f>
        <v>6285</v>
      </c>
      <c r="P2" s="11">
        <v>136000</v>
      </c>
      <c r="Q2" s="11">
        <f t="shared" ref="Q2:Q27" si="2">O2*G2</f>
        <v>12570000</v>
      </c>
    </row>
    <row r="3" spans="1:19" s="7" customFormat="1" hidden="1" x14ac:dyDescent="0.15">
      <c r="A3" s="3" t="s">
        <v>19</v>
      </c>
      <c r="B3" s="4">
        <v>42962</v>
      </c>
      <c r="C3" s="4">
        <v>43063</v>
      </c>
      <c r="D3" s="3" t="s">
        <v>20</v>
      </c>
      <c r="E3" s="3" t="s">
        <v>21</v>
      </c>
      <c r="F3" s="3" t="s">
        <v>25</v>
      </c>
      <c r="G3" s="3">
        <v>2000</v>
      </c>
      <c r="H3" s="3">
        <v>5800</v>
      </c>
      <c r="I3" s="3">
        <v>35</v>
      </c>
      <c r="J3" s="3" t="s">
        <v>23</v>
      </c>
      <c r="K3" s="3" t="s">
        <v>24</v>
      </c>
      <c r="L3" s="3">
        <v>6409</v>
      </c>
      <c r="M3" s="3">
        <f>(H3-L3)*G3*-1</f>
        <v>1218000</v>
      </c>
      <c r="N3" s="4">
        <f t="shared" si="1"/>
        <v>43063</v>
      </c>
      <c r="O3" s="10">
        <f>[1]!s_dq_settle(D3,B3)</f>
        <v>6285</v>
      </c>
      <c r="P3" s="11">
        <v>70000</v>
      </c>
      <c r="Q3" s="11">
        <f t="shared" si="2"/>
        <v>12570000</v>
      </c>
    </row>
    <row r="4" spans="1:19" s="7" customFormat="1" hidden="1" x14ac:dyDescent="0.15">
      <c r="A4" s="3" t="s">
        <v>19</v>
      </c>
      <c r="B4" s="4">
        <v>42965</v>
      </c>
      <c r="C4" s="4">
        <v>43063</v>
      </c>
      <c r="D4" s="3" t="s">
        <v>20</v>
      </c>
      <c r="E4" s="3" t="s">
        <v>21</v>
      </c>
      <c r="F4" s="3" t="s">
        <v>22</v>
      </c>
      <c r="G4" s="3">
        <v>2000</v>
      </c>
      <c r="H4" s="3">
        <v>6600</v>
      </c>
      <c r="I4" s="3">
        <v>45</v>
      </c>
      <c r="J4" s="3" t="s">
        <v>26</v>
      </c>
      <c r="K4" s="3" t="s">
        <v>27</v>
      </c>
      <c r="L4" s="3">
        <v>6409</v>
      </c>
      <c r="M4" s="3">
        <f t="shared" si="0"/>
        <v>382000</v>
      </c>
      <c r="N4" s="4">
        <f t="shared" si="1"/>
        <v>43063</v>
      </c>
      <c r="O4" s="10">
        <f>[1]!s_dq_settle(D4,B4)</f>
        <v>6341</v>
      </c>
      <c r="P4" s="11">
        <v>90000</v>
      </c>
      <c r="Q4" s="11">
        <f t="shared" si="2"/>
        <v>12682000</v>
      </c>
    </row>
    <row r="5" spans="1:19" s="7" customFormat="1" hidden="1" x14ac:dyDescent="0.15">
      <c r="A5" s="3" t="s">
        <v>19</v>
      </c>
      <c r="B5" s="4">
        <v>42965</v>
      </c>
      <c r="C5" s="4">
        <v>43063</v>
      </c>
      <c r="D5" s="3" t="s">
        <v>20</v>
      </c>
      <c r="E5" s="3" t="s">
        <v>21</v>
      </c>
      <c r="F5" s="3" t="s">
        <v>22</v>
      </c>
      <c r="G5" s="3">
        <v>2000</v>
      </c>
      <c r="H5" s="3">
        <v>6600</v>
      </c>
      <c r="I5" s="3">
        <v>52</v>
      </c>
      <c r="J5" s="3" t="s">
        <v>28</v>
      </c>
      <c r="K5" s="3" t="s">
        <v>29</v>
      </c>
      <c r="L5" s="3">
        <v>6409</v>
      </c>
      <c r="M5" s="3">
        <f t="shared" si="0"/>
        <v>382000</v>
      </c>
      <c r="N5" s="4">
        <f t="shared" si="1"/>
        <v>43063</v>
      </c>
      <c r="O5" s="10">
        <f>[1]!s_dq_settle(D5,B5)</f>
        <v>6341</v>
      </c>
      <c r="P5" s="11">
        <v>104000</v>
      </c>
      <c r="Q5" s="11">
        <f t="shared" si="2"/>
        <v>12682000</v>
      </c>
    </row>
    <row r="6" spans="1:19" s="7" customFormat="1" hidden="1" x14ac:dyDescent="0.15">
      <c r="A6" s="3" t="s">
        <v>19</v>
      </c>
      <c r="B6" s="4">
        <v>42970</v>
      </c>
      <c r="C6" s="4">
        <v>43063</v>
      </c>
      <c r="D6" s="3" t="s">
        <v>20</v>
      </c>
      <c r="E6" s="3" t="s">
        <v>21</v>
      </c>
      <c r="F6" s="3" t="s">
        <v>25</v>
      </c>
      <c r="G6" s="3">
        <v>2000</v>
      </c>
      <c r="H6" s="3">
        <v>6000</v>
      </c>
      <c r="I6" s="3">
        <v>35</v>
      </c>
      <c r="J6" s="3" t="s">
        <v>30</v>
      </c>
      <c r="K6" s="3" t="s">
        <v>31</v>
      </c>
      <c r="L6" s="3">
        <v>6409</v>
      </c>
      <c r="M6" s="3">
        <f>(H6-L6)*G6*-1</f>
        <v>818000</v>
      </c>
      <c r="N6" s="4">
        <f t="shared" si="1"/>
        <v>43063</v>
      </c>
      <c r="O6" s="10">
        <f>[1]!s_dq_settle(D6,B6)</f>
        <v>6328</v>
      </c>
      <c r="P6" s="11">
        <v>70000</v>
      </c>
      <c r="Q6" s="11">
        <f t="shared" si="2"/>
        <v>12656000</v>
      </c>
    </row>
    <row r="7" spans="1:19" s="7" customFormat="1" hidden="1" x14ac:dyDescent="0.15">
      <c r="A7" s="3" t="s">
        <v>19</v>
      </c>
      <c r="B7" s="4">
        <v>42972</v>
      </c>
      <c r="C7" s="4">
        <v>43063</v>
      </c>
      <c r="D7" s="3" t="s">
        <v>20</v>
      </c>
      <c r="E7" s="3" t="s">
        <v>21</v>
      </c>
      <c r="F7" s="3" t="s">
        <v>22</v>
      </c>
      <c r="G7" s="3">
        <v>1000</v>
      </c>
      <c r="H7" s="3">
        <v>6600</v>
      </c>
      <c r="I7" s="3">
        <v>53.5</v>
      </c>
      <c r="J7" s="3" t="s">
        <v>32</v>
      </c>
      <c r="K7" s="3" t="s">
        <v>33</v>
      </c>
      <c r="L7" s="3">
        <v>6409</v>
      </c>
      <c r="M7" s="3">
        <f t="shared" si="0"/>
        <v>191000</v>
      </c>
      <c r="N7" s="4">
        <f t="shared" si="1"/>
        <v>43063</v>
      </c>
      <c r="O7" s="10">
        <f>[1]!s_dq_settle(D7,B7)</f>
        <v>6399</v>
      </c>
      <c r="P7" s="11">
        <v>53500</v>
      </c>
      <c r="Q7" s="11">
        <f t="shared" si="2"/>
        <v>6399000</v>
      </c>
    </row>
    <row r="8" spans="1:19" s="7" customFormat="1" hidden="1" x14ac:dyDescent="0.15">
      <c r="A8" s="3" t="s">
        <v>19</v>
      </c>
      <c r="B8" s="4">
        <v>42977</v>
      </c>
      <c r="C8" s="4">
        <v>43063</v>
      </c>
      <c r="D8" s="3" t="s">
        <v>20</v>
      </c>
      <c r="E8" s="3" t="s">
        <v>21</v>
      </c>
      <c r="F8" s="3" t="s">
        <v>22</v>
      </c>
      <c r="G8" s="3">
        <v>2000</v>
      </c>
      <c r="H8" s="3">
        <v>6600</v>
      </c>
      <c r="I8" s="3">
        <v>55</v>
      </c>
      <c r="J8" s="3" t="s">
        <v>34</v>
      </c>
      <c r="K8" s="3" t="s">
        <v>35</v>
      </c>
      <c r="L8" s="3">
        <v>6409</v>
      </c>
      <c r="M8" s="3">
        <f t="shared" si="0"/>
        <v>382000</v>
      </c>
      <c r="N8" s="4">
        <f t="shared" si="1"/>
        <v>43063</v>
      </c>
      <c r="O8" s="10">
        <f>[1]!s_dq_settle(D8,B8)</f>
        <v>6414</v>
      </c>
      <c r="P8" s="11">
        <v>110000</v>
      </c>
      <c r="Q8" s="11">
        <f t="shared" si="2"/>
        <v>12828000</v>
      </c>
    </row>
    <row r="9" spans="1:19" hidden="1" x14ac:dyDescent="0.15">
      <c r="A9" s="3" t="s">
        <v>36</v>
      </c>
      <c r="B9" s="4">
        <v>42979</v>
      </c>
      <c r="C9" s="4">
        <v>43007</v>
      </c>
      <c r="D9" s="3" t="s">
        <v>37</v>
      </c>
      <c r="E9" s="3" t="s">
        <v>38</v>
      </c>
      <c r="F9" s="3" t="s">
        <v>39</v>
      </c>
      <c r="G9" s="3">
        <v>427</v>
      </c>
      <c r="H9" s="3">
        <v>15230</v>
      </c>
      <c r="I9" s="3">
        <v>678.69594847775204</v>
      </c>
      <c r="J9" s="3" t="s">
        <v>40</v>
      </c>
      <c r="K9" s="3" t="s">
        <v>41</v>
      </c>
      <c r="L9" s="3">
        <v>15498.33</v>
      </c>
      <c r="M9" s="3">
        <v>0</v>
      </c>
      <c r="N9" s="4">
        <f t="shared" si="1"/>
        <v>43007</v>
      </c>
      <c r="O9" s="16">
        <f>[1]!s_dq_settle(D9,B9)</f>
        <v>15315</v>
      </c>
      <c r="P9" s="11">
        <v>289803.17</v>
      </c>
      <c r="Q9" s="11">
        <f t="shared" si="2"/>
        <v>6539505</v>
      </c>
      <c r="R9" s="3">
        <f>SUM(Q9:Q41)</f>
        <v>1572744567.5</v>
      </c>
      <c r="S9" s="1"/>
    </row>
    <row r="10" spans="1:19" hidden="1" x14ac:dyDescent="0.15">
      <c r="A10" s="3" t="s">
        <v>42</v>
      </c>
      <c r="B10" s="4">
        <v>42979</v>
      </c>
      <c r="C10" s="4">
        <v>43007</v>
      </c>
      <c r="D10" s="3" t="s">
        <v>43</v>
      </c>
      <c r="E10" s="3" t="s">
        <v>38</v>
      </c>
      <c r="F10" s="3" t="s">
        <v>39</v>
      </c>
      <c r="G10" s="3">
        <v>670</v>
      </c>
      <c r="H10" s="3">
        <v>16545</v>
      </c>
      <c r="I10" s="3">
        <v>790.8</v>
      </c>
      <c r="J10" s="3" t="s">
        <v>44</v>
      </c>
      <c r="K10" s="3" t="s">
        <v>45</v>
      </c>
      <c r="L10" s="3">
        <v>15741.43</v>
      </c>
      <c r="M10" s="3">
        <f>(H10-L10)*G10</f>
        <v>538391.89999999979</v>
      </c>
      <c r="N10" s="4">
        <f t="shared" si="1"/>
        <v>43007</v>
      </c>
      <c r="O10" s="16">
        <f>[1]!s_dq_settle(D10,B10)</f>
        <v>16615</v>
      </c>
      <c r="P10" s="11">
        <v>529836</v>
      </c>
      <c r="Q10" s="11">
        <f t="shared" si="2"/>
        <v>11132050</v>
      </c>
      <c r="R10" s="3"/>
      <c r="S10" s="1"/>
    </row>
    <row r="11" spans="1:19" hidden="1" x14ac:dyDescent="0.15">
      <c r="A11" s="3" t="s">
        <v>46</v>
      </c>
      <c r="B11" s="4">
        <v>42979</v>
      </c>
      <c r="C11" s="4">
        <v>43098</v>
      </c>
      <c r="D11" s="3" t="s">
        <v>47</v>
      </c>
      <c r="E11" s="3" t="s">
        <v>38</v>
      </c>
      <c r="F11" s="3" t="s">
        <v>39</v>
      </c>
      <c r="G11" s="3">
        <v>22500</v>
      </c>
      <c r="H11" s="3">
        <v>1687</v>
      </c>
      <c r="I11" s="3">
        <v>60</v>
      </c>
      <c r="J11" s="3" t="s">
        <v>48</v>
      </c>
      <c r="K11" s="3"/>
      <c r="L11" s="3"/>
      <c r="M11" s="3"/>
      <c r="N11" s="4">
        <f t="shared" si="1"/>
        <v>43098</v>
      </c>
      <c r="O11" s="16">
        <f>[1]!s_dq_settle(D11,B11)</f>
        <v>1692</v>
      </c>
      <c r="P11" s="11">
        <v>1350000</v>
      </c>
      <c r="Q11" s="11">
        <f t="shared" si="2"/>
        <v>38070000</v>
      </c>
      <c r="R11" s="3"/>
      <c r="S11" s="1"/>
    </row>
    <row r="12" spans="1:19" hidden="1" x14ac:dyDescent="0.15">
      <c r="A12" s="3" t="s">
        <v>19</v>
      </c>
      <c r="B12" s="4">
        <v>42982</v>
      </c>
      <c r="C12" s="4">
        <v>43063</v>
      </c>
      <c r="D12" s="3" t="s">
        <v>20</v>
      </c>
      <c r="E12" s="3" t="s">
        <v>21</v>
      </c>
      <c r="F12" s="3" t="s">
        <v>25</v>
      </c>
      <c r="G12" s="3">
        <v>2000</v>
      </c>
      <c r="H12" s="3">
        <v>6100</v>
      </c>
      <c r="I12" s="3">
        <v>49</v>
      </c>
      <c r="J12" s="3" t="s">
        <v>49</v>
      </c>
      <c r="K12" s="3" t="s">
        <v>50</v>
      </c>
      <c r="L12" s="3">
        <v>6409</v>
      </c>
      <c r="M12" s="3">
        <f>(H12-L12)*G12*-1</f>
        <v>618000</v>
      </c>
      <c r="N12" s="4">
        <f t="shared" si="1"/>
        <v>43063</v>
      </c>
      <c r="O12" s="16">
        <f>[1]!s_dq_settle(D12,B12)</f>
        <v>6359</v>
      </c>
      <c r="P12" s="11">
        <v>98000</v>
      </c>
      <c r="Q12" s="11">
        <f t="shared" si="2"/>
        <v>12718000</v>
      </c>
      <c r="R12" s="3"/>
      <c r="S12" s="1"/>
    </row>
    <row r="13" spans="1:19" hidden="1" x14ac:dyDescent="0.15">
      <c r="A13" s="3" t="s">
        <v>19</v>
      </c>
      <c r="B13" s="4">
        <v>42985</v>
      </c>
      <c r="C13" s="4">
        <v>43063</v>
      </c>
      <c r="D13" s="3" t="s">
        <v>20</v>
      </c>
      <c r="E13" s="3" t="s">
        <v>21</v>
      </c>
      <c r="F13" s="3" t="s">
        <v>25</v>
      </c>
      <c r="G13" s="3">
        <v>2000</v>
      </c>
      <c r="H13" s="3">
        <v>6000</v>
      </c>
      <c r="I13" s="3">
        <v>56</v>
      </c>
      <c r="J13" s="3" t="s">
        <v>51</v>
      </c>
      <c r="K13" s="3" t="s">
        <v>52</v>
      </c>
      <c r="L13" s="3">
        <v>6409</v>
      </c>
      <c r="M13" s="3">
        <f>(H13-L13)*G13*-1</f>
        <v>818000</v>
      </c>
      <c r="N13" s="4">
        <f t="shared" si="1"/>
        <v>43063</v>
      </c>
      <c r="O13" s="16">
        <f>[1]!s_dq_settle(D13,B13)</f>
        <v>6264</v>
      </c>
      <c r="P13" s="11">
        <v>112000</v>
      </c>
      <c r="Q13" s="11">
        <f t="shared" si="2"/>
        <v>12528000</v>
      </c>
      <c r="R13" s="3"/>
      <c r="S13" s="1"/>
    </row>
    <row r="14" spans="1:19" hidden="1" x14ac:dyDescent="0.15">
      <c r="A14" s="3" t="s">
        <v>36</v>
      </c>
      <c r="B14" s="4">
        <v>42993</v>
      </c>
      <c r="C14" s="4">
        <v>43021</v>
      </c>
      <c r="D14" s="3" t="s">
        <v>20</v>
      </c>
      <c r="E14" s="3" t="s">
        <v>38</v>
      </c>
      <c r="F14" s="3" t="s">
        <v>39</v>
      </c>
      <c r="G14" s="3">
        <v>1462.5</v>
      </c>
      <c r="H14" s="3">
        <v>6392</v>
      </c>
      <c r="I14" s="3">
        <v>222.22</v>
      </c>
      <c r="J14" s="3" t="s">
        <v>53</v>
      </c>
      <c r="K14" s="3" t="s">
        <v>54</v>
      </c>
      <c r="L14" s="3">
        <v>6150.19</v>
      </c>
      <c r="M14" s="3">
        <f>(H14-L14)*G14*0.4</f>
        <v>141458.85000000024</v>
      </c>
      <c r="N14" s="4">
        <f t="shared" si="1"/>
        <v>43021</v>
      </c>
      <c r="O14" s="16">
        <f>[1]!s_dq_settle(D14,B14)</f>
        <v>6192</v>
      </c>
      <c r="P14" s="11">
        <v>324996.75</v>
      </c>
      <c r="Q14" s="11">
        <f t="shared" si="2"/>
        <v>9055800</v>
      </c>
      <c r="R14" s="3"/>
      <c r="S14" s="1"/>
    </row>
    <row r="15" spans="1:19" hidden="1" x14ac:dyDescent="0.15">
      <c r="A15" s="3" t="s">
        <v>55</v>
      </c>
      <c r="B15" s="4">
        <v>43004</v>
      </c>
      <c r="C15" s="4">
        <v>43034</v>
      </c>
      <c r="D15" s="3" t="s">
        <v>43</v>
      </c>
      <c r="E15" s="3" t="s">
        <v>21</v>
      </c>
      <c r="F15" s="3" t="s">
        <v>56</v>
      </c>
      <c r="G15" s="3">
        <v>200</v>
      </c>
      <c r="H15" s="3">
        <v>16500</v>
      </c>
      <c r="I15" s="3">
        <v>27</v>
      </c>
      <c r="J15" s="3" t="s">
        <v>57</v>
      </c>
      <c r="K15" s="3" t="s">
        <v>58</v>
      </c>
      <c r="L15" s="3">
        <v>13570</v>
      </c>
      <c r="M15" s="3">
        <f>I15*G15</f>
        <v>5400</v>
      </c>
      <c r="N15" s="4">
        <f t="shared" si="1"/>
        <v>43034</v>
      </c>
      <c r="O15" s="16">
        <f>[1]!s_dq_settle(D15,B15)</f>
        <v>14640</v>
      </c>
      <c r="P15" s="11">
        <v>5400</v>
      </c>
      <c r="Q15" s="11">
        <f t="shared" si="2"/>
        <v>2928000</v>
      </c>
      <c r="R15" s="3"/>
      <c r="S15" s="1"/>
    </row>
    <row r="16" spans="1:19" hidden="1" x14ac:dyDescent="0.15">
      <c r="A16" s="3" t="s">
        <v>55</v>
      </c>
      <c r="B16" s="4">
        <v>43004</v>
      </c>
      <c r="C16" s="4">
        <v>43034</v>
      </c>
      <c r="D16" s="3" t="s">
        <v>43</v>
      </c>
      <c r="E16" s="3" t="s">
        <v>21</v>
      </c>
      <c r="F16" s="3" t="s">
        <v>59</v>
      </c>
      <c r="G16" s="3">
        <v>200</v>
      </c>
      <c r="H16" s="3">
        <v>13250</v>
      </c>
      <c r="I16" s="3">
        <v>40</v>
      </c>
      <c r="J16" s="3" t="s">
        <v>57</v>
      </c>
      <c r="K16" s="3" t="s">
        <v>58</v>
      </c>
      <c r="L16" s="3">
        <v>13570</v>
      </c>
      <c r="M16" s="3">
        <f>I16*G16</f>
        <v>8000</v>
      </c>
      <c r="N16" s="4">
        <f t="shared" si="1"/>
        <v>43034</v>
      </c>
      <c r="O16" s="16">
        <f>[1]!s_dq_settle(D16,B16)</f>
        <v>14640</v>
      </c>
      <c r="P16" s="11">
        <v>8000</v>
      </c>
      <c r="Q16" s="11">
        <f t="shared" si="2"/>
        <v>2928000</v>
      </c>
      <c r="R16" s="3"/>
      <c r="S16" s="1"/>
    </row>
    <row r="17" spans="1:19" hidden="1" x14ac:dyDescent="0.15">
      <c r="A17" s="3" t="s">
        <v>36</v>
      </c>
      <c r="B17" s="4">
        <v>43017</v>
      </c>
      <c r="C17" s="4">
        <v>43039</v>
      </c>
      <c r="D17" s="3" t="s">
        <v>37</v>
      </c>
      <c r="E17" s="3" t="s">
        <v>38</v>
      </c>
      <c r="F17" s="3" t="s">
        <v>39</v>
      </c>
      <c r="G17" s="3">
        <v>427</v>
      </c>
      <c r="H17" s="3">
        <v>15100</v>
      </c>
      <c r="I17" s="3">
        <v>678.69594847775204</v>
      </c>
      <c r="J17" s="3" t="s">
        <v>40</v>
      </c>
      <c r="K17" s="3" t="s">
        <v>60</v>
      </c>
      <c r="L17" s="3">
        <v>15054.21</v>
      </c>
      <c r="M17" s="3">
        <f>(H17-L17)*G17</f>
        <v>19552.330000000373</v>
      </c>
      <c r="N17" s="4">
        <f t="shared" si="1"/>
        <v>43039</v>
      </c>
      <c r="O17" s="16">
        <f>[1]!s_dq_settle(D17,B17)</f>
        <v>15040</v>
      </c>
      <c r="P17" s="11">
        <v>289803.17</v>
      </c>
      <c r="Q17" s="11">
        <f t="shared" si="2"/>
        <v>6422080</v>
      </c>
      <c r="R17" s="3"/>
      <c r="S17" s="1"/>
    </row>
    <row r="18" spans="1:19" hidden="1" x14ac:dyDescent="0.15">
      <c r="A18" s="3" t="s">
        <v>42</v>
      </c>
      <c r="B18" s="4">
        <v>43017</v>
      </c>
      <c r="C18" s="4">
        <v>43039</v>
      </c>
      <c r="D18" s="3" t="s">
        <v>43</v>
      </c>
      <c r="E18" s="3" t="s">
        <v>38</v>
      </c>
      <c r="F18" s="3" t="s">
        <v>39</v>
      </c>
      <c r="G18" s="3">
        <v>670</v>
      </c>
      <c r="H18" s="3">
        <v>13495</v>
      </c>
      <c r="I18" s="3">
        <v>790.8</v>
      </c>
      <c r="J18" s="3" t="s">
        <v>44</v>
      </c>
      <c r="K18" s="3" t="s">
        <v>61</v>
      </c>
      <c r="L18" s="3">
        <v>13440.88</v>
      </c>
      <c r="M18" s="3">
        <f>(H18-L18)*G18</f>
        <v>36260.400000000533</v>
      </c>
      <c r="N18" s="4">
        <f t="shared" si="1"/>
        <v>43039</v>
      </c>
      <c r="O18" s="16">
        <f>[1]!s_dq_settle(D18,B18)</f>
        <v>13340</v>
      </c>
      <c r="P18" s="11">
        <v>529836</v>
      </c>
      <c r="Q18" s="11">
        <f t="shared" si="2"/>
        <v>8937800</v>
      </c>
      <c r="R18" s="3"/>
      <c r="S18" s="1"/>
    </row>
    <row r="19" spans="1:19" hidden="1" x14ac:dyDescent="0.15">
      <c r="A19" s="3" t="s">
        <v>36</v>
      </c>
      <c r="B19" s="4">
        <v>43024</v>
      </c>
      <c r="C19" s="4">
        <v>43053</v>
      </c>
      <c r="D19" s="3" t="s">
        <v>20</v>
      </c>
      <c r="E19" s="3" t="s">
        <v>38</v>
      </c>
      <c r="F19" s="3" t="s">
        <v>39</v>
      </c>
      <c r="G19" s="3">
        <v>1462.5</v>
      </c>
      <c r="H19" s="3">
        <v>6465</v>
      </c>
      <c r="I19" s="3">
        <v>222.22</v>
      </c>
      <c r="J19" s="3" t="s">
        <v>53</v>
      </c>
      <c r="K19" s="3" t="s">
        <v>62</v>
      </c>
      <c r="L19" s="3">
        <v>6360.27</v>
      </c>
      <c r="M19" s="3">
        <f>(H19-L19)*G19*0.4</f>
        <v>61267.049999999748</v>
      </c>
      <c r="N19" s="4">
        <f t="shared" si="1"/>
        <v>43053</v>
      </c>
      <c r="O19" s="16">
        <f>[1]!s_dq_settle(D19,B19)</f>
        <v>6247</v>
      </c>
      <c r="P19" s="11">
        <f>I19*G19</f>
        <v>324996.75</v>
      </c>
      <c r="Q19" s="11">
        <f t="shared" si="2"/>
        <v>9136237.5</v>
      </c>
      <c r="R19" s="3"/>
      <c r="S19" s="1"/>
    </row>
    <row r="20" spans="1:19" hidden="1" x14ac:dyDescent="0.15">
      <c r="A20" s="47" t="s">
        <v>63</v>
      </c>
      <c r="B20" s="54">
        <v>43035</v>
      </c>
      <c r="C20" s="54">
        <v>43126</v>
      </c>
      <c r="D20" s="47" t="s">
        <v>64</v>
      </c>
      <c r="E20" s="47" t="s">
        <v>38</v>
      </c>
      <c r="F20" s="3" t="s">
        <v>25</v>
      </c>
      <c r="G20" s="3">
        <v>4000</v>
      </c>
      <c r="H20" s="3">
        <v>3723</v>
      </c>
      <c r="I20" s="3">
        <v>100</v>
      </c>
      <c r="J20" s="47" t="s">
        <v>65</v>
      </c>
      <c r="K20" s="47" t="s">
        <v>66</v>
      </c>
      <c r="L20" s="47"/>
      <c r="M20" s="47"/>
      <c r="N20" s="54"/>
      <c r="O20" s="84">
        <f>[1]!s_dq_settle(D20,B20)</f>
        <v>3721</v>
      </c>
      <c r="P20" s="56">
        <f>I20*G20</f>
        <v>400000</v>
      </c>
      <c r="Q20" s="56">
        <f t="shared" si="2"/>
        <v>14884000</v>
      </c>
      <c r="R20" s="47"/>
      <c r="S20" s="47"/>
    </row>
    <row r="21" spans="1:19" hidden="1" x14ac:dyDescent="0.15">
      <c r="A21" s="47" t="s">
        <v>63</v>
      </c>
      <c r="B21" s="54">
        <v>43035</v>
      </c>
      <c r="C21" s="54">
        <v>43126</v>
      </c>
      <c r="D21" s="47" t="s">
        <v>64</v>
      </c>
      <c r="E21" s="47" t="s">
        <v>21</v>
      </c>
      <c r="F21" s="3" t="s">
        <v>25</v>
      </c>
      <c r="G21" s="3">
        <v>4000</v>
      </c>
      <c r="H21" s="3">
        <v>3350.7</v>
      </c>
      <c r="I21" s="3">
        <v>5</v>
      </c>
      <c r="J21" s="47" t="s">
        <v>65</v>
      </c>
      <c r="K21" s="47" t="s">
        <v>66</v>
      </c>
      <c r="L21" s="47"/>
      <c r="M21" s="47"/>
      <c r="N21" s="54"/>
      <c r="O21" s="84">
        <f>[1]!s_dq_settle(D21,B21)</f>
        <v>3721</v>
      </c>
      <c r="P21" s="56">
        <f>I21*G21</f>
        <v>20000</v>
      </c>
      <c r="Q21" s="56">
        <f t="shared" si="2"/>
        <v>14884000</v>
      </c>
      <c r="R21" s="47"/>
      <c r="S21" s="47"/>
    </row>
    <row r="22" spans="1:19" hidden="1" x14ac:dyDescent="0.15">
      <c r="A22" s="47" t="s">
        <v>67</v>
      </c>
      <c r="B22" s="54">
        <v>43039</v>
      </c>
      <c r="C22" s="54">
        <v>43131</v>
      </c>
      <c r="D22" s="47" t="s">
        <v>68</v>
      </c>
      <c r="E22" s="47" t="s">
        <v>38</v>
      </c>
      <c r="F22" s="3" t="s">
        <v>59</v>
      </c>
      <c r="G22" s="3">
        <v>2000</v>
      </c>
      <c r="H22" s="3">
        <v>3781</v>
      </c>
      <c r="I22" s="3">
        <v>0</v>
      </c>
      <c r="J22" s="47" t="s">
        <v>69</v>
      </c>
      <c r="K22" s="47" t="s">
        <v>70</v>
      </c>
      <c r="L22" s="47">
        <v>3623</v>
      </c>
      <c r="M22" s="47">
        <v>58000</v>
      </c>
      <c r="N22" s="54">
        <f t="shared" si="1"/>
        <v>43131</v>
      </c>
      <c r="O22" s="84">
        <f>[1]!s_dq_settle(D22,B22)</f>
        <v>3781</v>
      </c>
      <c r="P22" s="56">
        <v>0</v>
      </c>
      <c r="Q22" s="56">
        <f t="shared" si="2"/>
        <v>7562000</v>
      </c>
      <c r="R22" s="644" t="s">
        <v>71</v>
      </c>
      <c r="S22" s="47"/>
    </row>
    <row r="23" spans="1:19" hidden="1" x14ac:dyDescent="0.15">
      <c r="A23" s="47" t="s">
        <v>67</v>
      </c>
      <c r="B23" s="54">
        <v>43039</v>
      </c>
      <c r="C23" s="54">
        <v>43131</v>
      </c>
      <c r="D23" s="47" t="s">
        <v>68</v>
      </c>
      <c r="E23" s="47" t="s">
        <v>21</v>
      </c>
      <c r="F23" s="3" t="s">
        <v>59</v>
      </c>
      <c r="G23" s="3">
        <v>2000</v>
      </c>
      <c r="H23" s="3">
        <v>2981</v>
      </c>
      <c r="I23" s="3">
        <v>0</v>
      </c>
      <c r="J23" s="47" t="s">
        <v>69</v>
      </c>
      <c r="K23" s="47" t="s">
        <v>70</v>
      </c>
      <c r="L23" s="47">
        <v>3623</v>
      </c>
      <c r="M23" s="47">
        <v>0</v>
      </c>
      <c r="N23" s="54">
        <f t="shared" si="1"/>
        <v>43131</v>
      </c>
      <c r="O23" s="84">
        <f>[1]!s_dq_settle(D23,B23)</f>
        <v>3781</v>
      </c>
      <c r="P23" s="56">
        <v>0</v>
      </c>
      <c r="Q23" s="56">
        <f t="shared" si="2"/>
        <v>7562000</v>
      </c>
      <c r="R23" s="644"/>
      <c r="S23" s="47"/>
    </row>
    <row r="24" spans="1:19" hidden="1" x14ac:dyDescent="0.15">
      <c r="A24" s="3" t="s">
        <v>42</v>
      </c>
      <c r="B24" s="4">
        <v>43040</v>
      </c>
      <c r="C24" s="4">
        <v>43069</v>
      </c>
      <c r="D24" s="3" t="s">
        <v>43</v>
      </c>
      <c r="E24" s="3" t="s">
        <v>38</v>
      </c>
      <c r="F24" s="3" t="s">
        <v>39</v>
      </c>
      <c r="G24" s="3">
        <v>670</v>
      </c>
      <c r="H24" s="3">
        <v>13260</v>
      </c>
      <c r="I24" s="3">
        <v>790.8</v>
      </c>
      <c r="J24" s="3" t="s">
        <v>44</v>
      </c>
      <c r="K24" s="3" t="s">
        <v>72</v>
      </c>
      <c r="L24" s="3">
        <v>13667.05</v>
      </c>
      <c r="M24" s="3">
        <v>0</v>
      </c>
      <c r="N24" s="4">
        <f t="shared" si="1"/>
        <v>43069</v>
      </c>
      <c r="O24" s="16">
        <f>[1]!s_dq_settle(D24,B24)</f>
        <v>13565</v>
      </c>
      <c r="P24" s="11">
        <f>I24*G24</f>
        <v>529836</v>
      </c>
      <c r="Q24" s="11">
        <f t="shared" si="2"/>
        <v>9088550</v>
      </c>
      <c r="R24" s="3"/>
      <c r="S24" s="1"/>
    </row>
    <row r="25" spans="1:19" hidden="1" x14ac:dyDescent="0.15">
      <c r="A25" s="3" t="s">
        <v>36</v>
      </c>
      <c r="B25" s="4">
        <v>43040</v>
      </c>
      <c r="C25" s="4">
        <v>43069</v>
      </c>
      <c r="D25" s="3" t="s">
        <v>37</v>
      </c>
      <c r="E25" s="3" t="s">
        <v>38</v>
      </c>
      <c r="F25" s="3" t="s">
        <v>39</v>
      </c>
      <c r="G25" s="3">
        <v>427</v>
      </c>
      <c r="H25" s="3">
        <v>14970</v>
      </c>
      <c r="I25" s="3">
        <v>678.69594847775204</v>
      </c>
      <c r="J25" s="3" t="s">
        <v>40</v>
      </c>
      <c r="K25" s="3" t="s">
        <v>73</v>
      </c>
      <c r="L25" s="3">
        <v>15060.91</v>
      </c>
      <c r="M25" s="3">
        <v>0</v>
      </c>
      <c r="N25" s="4">
        <f t="shared" si="1"/>
        <v>43069</v>
      </c>
      <c r="O25" s="16">
        <f>[1]!s_dq_settle(D25,B25)</f>
        <v>15010</v>
      </c>
      <c r="P25" s="11">
        <f>I25*G25</f>
        <v>289803.1700000001</v>
      </c>
      <c r="Q25" s="11">
        <f t="shared" si="2"/>
        <v>6409270</v>
      </c>
      <c r="R25" s="3"/>
      <c r="S25" s="1"/>
    </row>
    <row r="26" spans="1:19" hidden="1" x14ac:dyDescent="0.15">
      <c r="A26" s="3" t="s">
        <v>36</v>
      </c>
      <c r="B26" s="4">
        <v>43053</v>
      </c>
      <c r="C26" s="4">
        <v>43083</v>
      </c>
      <c r="D26" s="3" t="s">
        <v>20</v>
      </c>
      <c r="E26" s="3" t="s">
        <v>38</v>
      </c>
      <c r="F26" s="3" t="s">
        <v>39</v>
      </c>
      <c r="G26" s="3">
        <v>1575</v>
      </c>
      <c r="H26" s="3">
        <v>6694</v>
      </c>
      <c r="I26" s="3">
        <v>222.23</v>
      </c>
      <c r="J26" s="3" t="s">
        <v>53</v>
      </c>
      <c r="K26" s="3" t="s">
        <v>74</v>
      </c>
      <c r="L26" s="3">
        <v>6434.3</v>
      </c>
      <c r="M26" s="3">
        <v>-163611</v>
      </c>
      <c r="N26" s="4">
        <f t="shared" si="1"/>
        <v>43083</v>
      </c>
      <c r="O26" s="16">
        <f>[1]!s_dq_settle(D26,B26)</f>
        <v>6497</v>
      </c>
      <c r="P26" s="11">
        <f t="shared" ref="P26:P58" si="3">I26*G26</f>
        <v>350012.25</v>
      </c>
      <c r="Q26" s="11">
        <f t="shared" si="2"/>
        <v>10232775</v>
      </c>
      <c r="R26" s="3"/>
      <c r="S26" s="1"/>
    </row>
    <row r="27" spans="1:19" hidden="1" x14ac:dyDescent="0.15">
      <c r="A27" s="3" t="s">
        <v>75</v>
      </c>
      <c r="B27" s="4">
        <v>43068</v>
      </c>
      <c r="C27" s="4">
        <v>43084</v>
      </c>
      <c r="D27" s="3" t="s">
        <v>76</v>
      </c>
      <c r="E27" s="3" t="s">
        <v>21</v>
      </c>
      <c r="F27" s="3" t="s">
        <v>59</v>
      </c>
      <c r="G27" s="3">
        <v>5000</v>
      </c>
      <c r="H27" s="3">
        <v>3800</v>
      </c>
      <c r="I27" s="3">
        <v>61</v>
      </c>
      <c r="J27" s="3" t="s">
        <v>77</v>
      </c>
      <c r="K27" s="3" t="s">
        <v>78</v>
      </c>
      <c r="L27" s="3">
        <v>4205</v>
      </c>
      <c r="M27" s="3">
        <v>305000</v>
      </c>
      <c r="N27" s="4">
        <f t="shared" si="1"/>
        <v>43084</v>
      </c>
      <c r="O27" s="16">
        <f>[1]!s_dq_settle(D27,B27)</f>
        <v>3899</v>
      </c>
      <c r="P27" s="11">
        <f t="shared" si="3"/>
        <v>305000</v>
      </c>
      <c r="Q27" s="11">
        <f t="shared" si="2"/>
        <v>19495000</v>
      </c>
      <c r="R27" s="3"/>
      <c r="S27" s="1"/>
    </row>
    <row r="28" spans="1:19" hidden="1" x14ac:dyDescent="0.15">
      <c r="A28" s="3" t="s">
        <v>79</v>
      </c>
      <c r="B28" s="4">
        <v>43075</v>
      </c>
      <c r="C28" s="4">
        <v>43089</v>
      </c>
      <c r="D28" s="3" t="s">
        <v>80</v>
      </c>
      <c r="E28" s="3" t="s">
        <v>21</v>
      </c>
      <c r="F28" s="3" t="s">
        <v>22</v>
      </c>
      <c r="G28" s="3">
        <v>5000</v>
      </c>
      <c r="H28" s="3">
        <v>5502</v>
      </c>
      <c r="I28" s="3">
        <v>64.373000000000005</v>
      </c>
      <c r="J28" s="3" t="s">
        <v>81</v>
      </c>
      <c r="K28" s="3" t="s">
        <v>82</v>
      </c>
      <c r="L28" s="3">
        <v>139.97999999999999</v>
      </c>
      <c r="M28" s="3">
        <f>(L28-I28)*G28</f>
        <v>378034.99999999994</v>
      </c>
      <c r="N28" s="4">
        <v>43076</v>
      </c>
      <c r="O28" s="16">
        <f>[1]!s_dq_settle(D28,B28)</f>
        <v>5508</v>
      </c>
      <c r="P28" s="11">
        <f t="shared" si="3"/>
        <v>321865</v>
      </c>
      <c r="Q28" s="11">
        <f>O28*G28*2</f>
        <v>55080000</v>
      </c>
      <c r="R28" s="3" t="s">
        <v>83</v>
      </c>
      <c r="S28" s="1"/>
    </row>
    <row r="29" spans="1:19" hidden="1" x14ac:dyDescent="0.15">
      <c r="A29" s="3" t="s">
        <v>79</v>
      </c>
      <c r="B29" s="4">
        <v>43075</v>
      </c>
      <c r="C29" s="4">
        <v>43089</v>
      </c>
      <c r="D29" s="3" t="s">
        <v>80</v>
      </c>
      <c r="E29" s="3" t="s">
        <v>21</v>
      </c>
      <c r="F29" s="3" t="s">
        <v>25</v>
      </c>
      <c r="G29" s="3">
        <v>5000</v>
      </c>
      <c r="H29" s="3">
        <v>5502</v>
      </c>
      <c r="I29" s="3">
        <v>64.373000000000005</v>
      </c>
      <c r="J29" s="3" t="s">
        <v>81</v>
      </c>
      <c r="K29" s="3" t="s">
        <v>82</v>
      </c>
      <c r="L29" s="3">
        <v>18.2</v>
      </c>
      <c r="M29" s="3">
        <f>(L29-I29)*G29</f>
        <v>-230865</v>
      </c>
      <c r="N29" s="4">
        <v>43076</v>
      </c>
      <c r="O29" s="16">
        <f>[1]!s_dq_settle(D29,B29)</f>
        <v>5508</v>
      </c>
      <c r="P29" s="11">
        <f t="shared" si="3"/>
        <v>321865</v>
      </c>
      <c r="Q29" s="11">
        <f>O29*G29*2</f>
        <v>55080000</v>
      </c>
      <c r="R29" s="3" t="s">
        <v>83</v>
      </c>
      <c r="S29" s="1"/>
    </row>
    <row r="30" spans="1:19" hidden="1" x14ac:dyDescent="0.15">
      <c r="A30" s="3" t="s">
        <v>79</v>
      </c>
      <c r="B30" s="4">
        <v>43075</v>
      </c>
      <c r="C30" s="4">
        <v>43089</v>
      </c>
      <c r="D30" s="3" t="s">
        <v>84</v>
      </c>
      <c r="E30" s="3" t="s">
        <v>21</v>
      </c>
      <c r="F30" s="3" t="s">
        <v>22</v>
      </c>
      <c r="G30" s="3">
        <v>6000</v>
      </c>
      <c r="H30" s="3">
        <v>537</v>
      </c>
      <c r="I30" s="3">
        <v>14.848000000000001</v>
      </c>
      <c r="J30" s="3" t="s">
        <v>81</v>
      </c>
      <c r="K30" s="3" t="s">
        <v>85</v>
      </c>
      <c r="L30" s="3">
        <v>527</v>
      </c>
      <c r="M30" s="3"/>
      <c r="N30" s="4">
        <f>C30</f>
        <v>43089</v>
      </c>
      <c r="O30" s="16">
        <f>[1]!s_dq_settle(D30,B30)</f>
        <v>534.5</v>
      </c>
      <c r="P30" s="11">
        <f t="shared" si="3"/>
        <v>89088</v>
      </c>
      <c r="Q30" s="11">
        <f t="shared" ref="Q30:Q38" si="4">O30*G30</f>
        <v>3207000</v>
      </c>
      <c r="R30" s="3"/>
      <c r="S30" s="1"/>
    </row>
    <row r="31" spans="1:19" hidden="1" x14ac:dyDescent="0.15">
      <c r="A31" s="3" t="s">
        <v>79</v>
      </c>
      <c r="B31" s="4">
        <v>43075</v>
      </c>
      <c r="C31" s="4">
        <v>43089</v>
      </c>
      <c r="D31" s="3" t="s">
        <v>84</v>
      </c>
      <c r="E31" s="3" t="s">
        <v>21</v>
      </c>
      <c r="F31" s="3" t="s">
        <v>25</v>
      </c>
      <c r="G31" s="3">
        <v>6000</v>
      </c>
      <c r="H31" s="3">
        <v>537</v>
      </c>
      <c r="I31" s="3">
        <v>14.848000000000001</v>
      </c>
      <c r="J31" s="3" t="s">
        <v>81</v>
      </c>
      <c r="K31" s="3" t="s">
        <v>86</v>
      </c>
      <c r="L31" s="3">
        <v>527</v>
      </c>
      <c r="M31" s="3"/>
      <c r="N31" s="4">
        <f t="shared" ref="N31:N37" si="5">C31</f>
        <v>43089</v>
      </c>
      <c r="O31" s="16">
        <f>[1]!s_dq_settle(D31,B31)</f>
        <v>534.5</v>
      </c>
      <c r="P31" s="11">
        <f t="shared" si="3"/>
        <v>89088</v>
      </c>
      <c r="Q31" s="11">
        <f t="shared" si="4"/>
        <v>3207000</v>
      </c>
      <c r="R31" s="3"/>
      <c r="S31" s="1"/>
    </row>
    <row r="32" spans="1:19" hidden="1" x14ac:dyDescent="0.15">
      <c r="A32" s="3" t="s">
        <v>79</v>
      </c>
      <c r="B32" s="4">
        <v>43076</v>
      </c>
      <c r="C32" s="4">
        <v>43089</v>
      </c>
      <c r="D32" s="3" t="s">
        <v>76</v>
      </c>
      <c r="E32" s="3" t="s">
        <v>21</v>
      </c>
      <c r="F32" s="3" t="s">
        <v>22</v>
      </c>
      <c r="G32" s="3">
        <v>2500</v>
      </c>
      <c r="H32" s="3">
        <v>3895</v>
      </c>
      <c r="I32" s="3">
        <v>78.873699999999999</v>
      </c>
      <c r="J32" s="3" t="s">
        <v>87</v>
      </c>
      <c r="K32" s="3" t="s">
        <v>88</v>
      </c>
      <c r="L32" s="3">
        <v>3800</v>
      </c>
      <c r="M32" s="3"/>
      <c r="N32" s="4">
        <f t="shared" si="5"/>
        <v>43089</v>
      </c>
      <c r="O32" s="16">
        <f>[1]!s_dq_settle(D32,B32)</f>
        <v>3877</v>
      </c>
      <c r="P32" s="11">
        <f t="shared" si="3"/>
        <v>197184.25</v>
      </c>
      <c r="Q32" s="11">
        <f t="shared" si="4"/>
        <v>9692500</v>
      </c>
      <c r="R32" s="3"/>
      <c r="S32" s="1"/>
    </row>
    <row r="33" spans="1:19" hidden="1" x14ac:dyDescent="0.15">
      <c r="A33" s="3" t="s">
        <v>79</v>
      </c>
      <c r="B33" s="4">
        <v>43076</v>
      </c>
      <c r="C33" s="4">
        <v>43089</v>
      </c>
      <c r="D33" s="3" t="s">
        <v>76</v>
      </c>
      <c r="E33" s="3" t="s">
        <v>21</v>
      </c>
      <c r="F33" s="3" t="s">
        <v>25</v>
      </c>
      <c r="G33" s="3">
        <v>2500</v>
      </c>
      <c r="H33" s="3">
        <v>3895</v>
      </c>
      <c r="I33" s="3">
        <v>78.873699999999999</v>
      </c>
      <c r="J33" s="3" t="s">
        <v>89</v>
      </c>
      <c r="K33" s="3" t="s">
        <v>90</v>
      </c>
      <c r="L33" s="3">
        <v>3800</v>
      </c>
      <c r="M33" s="3"/>
      <c r="N33" s="4">
        <f t="shared" si="5"/>
        <v>43089</v>
      </c>
      <c r="O33" s="16">
        <f>[1]!s_dq_settle(D33,B33)</f>
        <v>3877</v>
      </c>
      <c r="P33" s="11">
        <f t="shared" si="3"/>
        <v>197184.25</v>
      </c>
      <c r="Q33" s="11">
        <f t="shared" si="4"/>
        <v>9692500</v>
      </c>
      <c r="R33" s="3"/>
      <c r="S33" s="1"/>
    </row>
    <row r="34" spans="1:19" hidden="1" x14ac:dyDescent="0.15">
      <c r="A34" s="3" t="s">
        <v>91</v>
      </c>
      <c r="B34" s="4">
        <v>43076</v>
      </c>
      <c r="C34" s="4">
        <v>43090</v>
      </c>
      <c r="D34" s="3" t="s">
        <v>84</v>
      </c>
      <c r="E34" s="3" t="s">
        <v>21</v>
      </c>
      <c r="F34" s="3" t="s">
        <v>22</v>
      </c>
      <c r="G34" s="3">
        <v>50000</v>
      </c>
      <c r="H34" s="3">
        <v>516.5</v>
      </c>
      <c r="I34" s="3">
        <v>14.39</v>
      </c>
      <c r="J34" s="3" t="s">
        <v>92</v>
      </c>
      <c r="K34" s="3" t="s">
        <v>93</v>
      </c>
      <c r="L34" s="3">
        <v>9.07</v>
      </c>
      <c r="M34" s="3">
        <f>(L34-I34)*G34</f>
        <v>-266000</v>
      </c>
      <c r="N34" s="4">
        <v>43077</v>
      </c>
      <c r="O34" s="16">
        <f>[1]!s_dq_settle(D34,B34)</f>
        <v>512.5</v>
      </c>
      <c r="P34" s="11">
        <f t="shared" si="3"/>
        <v>719500</v>
      </c>
      <c r="Q34" s="11">
        <f>O34*G34*2</f>
        <v>51250000</v>
      </c>
      <c r="R34" s="3" t="s">
        <v>83</v>
      </c>
      <c r="S34" s="1"/>
    </row>
    <row r="35" spans="1:19" hidden="1" x14ac:dyDescent="0.15">
      <c r="A35" s="3" t="s">
        <v>91</v>
      </c>
      <c r="B35" s="4">
        <v>43076</v>
      </c>
      <c r="C35" s="4">
        <v>43090</v>
      </c>
      <c r="D35" s="3" t="s">
        <v>84</v>
      </c>
      <c r="E35" s="3" t="s">
        <v>21</v>
      </c>
      <c r="F35" s="3" t="s">
        <v>25</v>
      </c>
      <c r="G35" s="3">
        <v>50000</v>
      </c>
      <c r="H35" s="3">
        <v>516.5</v>
      </c>
      <c r="I35" s="3">
        <v>14.39</v>
      </c>
      <c r="J35" s="3" t="s">
        <v>92</v>
      </c>
      <c r="K35" s="3" t="s">
        <v>94</v>
      </c>
      <c r="L35" s="3"/>
      <c r="M35" s="3">
        <f>(L35-I35)*G35</f>
        <v>-719500</v>
      </c>
      <c r="N35" s="4">
        <f t="shared" si="5"/>
        <v>43090</v>
      </c>
      <c r="O35" s="16">
        <f>[1]!s_dq_settle(D35,B35)</f>
        <v>512.5</v>
      </c>
      <c r="P35" s="11">
        <f t="shared" si="3"/>
        <v>719500</v>
      </c>
      <c r="Q35" s="11">
        <f t="shared" si="4"/>
        <v>25625000</v>
      </c>
      <c r="R35" s="3"/>
      <c r="S35" s="1"/>
    </row>
    <row r="36" spans="1:19" hidden="1" x14ac:dyDescent="0.15">
      <c r="A36" s="3" t="s">
        <v>91</v>
      </c>
      <c r="B36" s="4">
        <v>43076</v>
      </c>
      <c r="C36" s="4">
        <v>43090</v>
      </c>
      <c r="D36" s="3" t="s">
        <v>84</v>
      </c>
      <c r="E36" s="3" t="s">
        <v>21</v>
      </c>
      <c r="F36" s="3" t="s">
        <v>22</v>
      </c>
      <c r="G36" s="3">
        <v>25000</v>
      </c>
      <c r="H36" s="3">
        <v>494.5</v>
      </c>
      <c r="I36" s="3">
        <v>13.91</v>
      </c>
      <c r="J36" s="3" t="s">
        <v>95</v>
      </c>
      <c r="K36" s="3" t="s">
        <v>96</v>
      </c>
      <c r="L36" s="3">
        <v>19.649999999999999</v>
      </c>
      <c r="M36" s="3">
        <f>(L36-I36)*G36</f>
        <v>143499.99999999997</v>
      </c>
      <c r="N36" s="4">
        <v>43077</v>
      </c>
      <c r="O36" s="16">
        <f>[1]!s_dq_settle(D36,B36)</f>
        <v>512.5</v>
      </c>
      <c r="P36" s="11">
        <f t="shared" si="3"/>
        <v>347750</v>
      </c>
      <c r="Q36" s="11">
        <f>O36*G36*2</f>
        <v>25625000</v>
      </c>
      <c r="R36" s="3" t="s">
        <v>83</v>
      </c>
      <c r="S36" s="1"/>
    </row>
    <row r="37" spans="1:19" hidden="1" x14ac:dyDescent="0.15">
      <c r="A37" s="3" t="s">
        <v>91</v>
      </c>
      <c r="B37" s="4">
        <v>43076</v>
      </c>
      <c r="C37" s="4">
        <v>43090</v>
      </c>
      <c r="D37" s="3" t="s">
        <v>84</v>
      </c>
      <c r="E37" s="3" t="s">
        <v>21</v>
      </c>
      <c r="F37" s="3" t="s">
        <v>25</v>
      </c>
      <c r="G37" s="3">
        <v>25000</v>
      </c>
      <c r="H37" s="3">
        <v>494.5</v>
      </c>
      <c r="I37" s="3">
        <v>13.91</v>
      </c>
      <c r="J37" s="3" t="s">
        <v>95</v>
      </c>
      <c r="K37" s="3" t="s">
        <v>97</v>
      </c>
      <c r="L37" s="3"/>
      <c r="M37" s="3">
        <f>(L37-I37)*G37</f>
        <v>-347750</v>
      </c>
      <c r="N37" s="4">
        <f t="shared" si="5"/>
        <v>43090</v>
      </c>
      <c r="O37" s="16">
        <f>[1]!s_dq_settle(D37,B37)</f>
        <v>512.5</v>
      </c>
      <c r="P37" s="11">
        <f t="shared" si="3"/>
        <v>347750</v>
      </c>
      <c r="Q37" s="11">
        <f t="shared" si="4"/>
        <v>12812500</v>
      </c>
      <c r="R37" s="3"/>
      <c r="S37" s="1"/>
    </row>
    <row r="38" spans="1:19" hidden="1" x14ac:dyDescent="0.15">
      <c r="A38" s="47" t="s">
        <v>75</v>
      </c>
      <c r="B38" s="54">
        <v>43077</v>
      </c>
      <c r="C38" s="54">
        <v>43189</v>
      </c>
      <c r="D38" s="47" t="s">
        <v>98</v>
      </c>
      <c r="E38" s="47" t="s">
        <v>21</v>
      </c>
      <c r="F38" s="3" t="s">
        <v>25</v>
      </c>
      <c r="G38" s="3">
        <v>30000</v>
      </c>
      <c r="H38" s="3">
        <v>1200</v>
      </c>
      <c r="I38" s="3">
        <v>77.8</v>
      </c>
      <c r="J38" s="47" t="s">
        <v>99</v>
      </c>
      <c r="K38" s="47"/>
      <c r="L38" s="47"/>
      <c r="M38" s="47"/>
      <c r="N38" s="47"/>
      <c r="O38" s="84">
        <f>[1]!s_dq_settle(D38,B38)</f>
        <v>1244</v>
      </c>
      <c r="P38" s="56">
        <f t="shared" si="3"/>
        <v>2334000</v>
      </c>
      <c r="Q38" s="56">
        <f t="shared" si="4"/>
        <v>37320000</v>
      </c>
      <c r="R38" s="47"/>
      <c r="S38" s="47"/>
    </row>
    <row r="39" spans="1:19" hidden="1" x14ac:dyDescent="0.15">
      <c r="A39" s="3" t="s">
        <v>100</v>
      </c>
      <c r="B39" s="4">
        <v>43080</v>
      </c>
      <c r="C39" s="4">
        <v>43095</v>
      </c>
      <c r="D39" s="3" t="s">
        <v>76</v>
      </c>
      <c r="E39" s="3" t="s">
        <v>101</v>
      </c>
      <c r="F39" s="3" t="s">
        <v>22</v>
      </c>
      <c r="G39" s="3">
        <v>10000</v>
      </c>
      <c r="H39" s="3" t="s">
        <v>102</v>
      </c>
      <c r="I39" s="3">
        <v>0.1</v>
      </c>
      <c r="J39" s="3" t="s">
        <v>103</v>
      </c>
      <c r="K39" s="3" t="s">
        <v>104</v>
      </c>
      <c r="L39" s="3" t="s">
        <v>105</v>
      </c>
      <c r="M39" s="3">
        <v>200</v>
      </c>
      <c r="N39" s="4">
        <v>43082</v>
      </c>
      <c r="O39" s="16">
        <f>[1]!s_dq_settle(D39,B39)</f>
        <v>3917</v>
      </c>
      <c r="P39" s="11">
        <f t="shared" si="3"/>
        <v>1000</v>
      </c>
      <c r="Q39" s="11">
        <f>2*G39*3900*4</f>
        <v>312000000</v>
      </c>
      <c r="R39" s="3" t="s">
        <v>83</v>
      </c>
      <c r="S39" s="1"/>
    </row>
    <row r="40" spans="1:19" hidden="1" x14ac:dyDescent="0.15">
      <c r="A40" s="3" t="s">
        <v>100</v>
      </c>
      <c r="B40" s="4">
        <v>43084</v>
      </c>
      <c r="C40" s="4">
        <v>43098</v>
      </c>
      <c r="D40" s="3" t="s">
        <v>76</v>
      </c>
      <c r="E40" s="3" t="s">
        <v>101</v>
      </c>
      <c r="F40" s="3" t="s">
        <v>22</v>
      </c>
      <c r="G40" s="3">
        <v>10000</v>
      </c>
      <c r="H40" s="3" t="s">
        <v>102</v>
      </c>
      <c r="I40" s="3">
        <v>0.03</v>
      </c>
      <c r="J40" s="3" t="s">
        <v>106</v>
      </c>
      <c r="K40" s="3" t="s">
        <v>107</v>
      </c>
      <c r="L40" s="3" t="s">
        <v>108</v>
      </c>
      <c r="M40" s="3">
        <v>8</v>
      </c>
      <c r="N40" s="4">
        <v>43090</v>
      </c>
      <c r="O40" s="16">
        <f>[1]!s_dq_settle(D40,B40)</f>
        <v>3806</v>
      </c>
      <c r="P40" s="11">
        <f t="shared" si="3"/>
        <v>300</v>
      </c>
      <c r="Q40" s="11">
        <f>G40*3804*4*2</f>
        <v>304320000</v>
      </c>
      <c r="R40" s="3" t="s">
        <v>83</v>
      </c>
      <c r="S40" s="1"/>
    </row>
    <row r="41" spans="1:19" hidden="1" x14ac:dyDescent="0.15">
      <c r="A41" s="3" t="s">
        <v>100</v>
      </c>
      <c r="B41" s="4">
        <v>43089</v>
      </c>
      <c r="C41" s="4">
        <v>43105</v>
      </c>
      <c r="D41" s="3" t="s">
        <v>76</v>
      </c>
      <c r="E41" s="3" t="s">
        <v>101</v>
      </c>
      <c r="F41" s="3" t="s">
        <v>22</v>
      </c>
      <c r="G41" s="3">
        <v>15000</v>
      </c>
      <c r="H41" s="3" t="s">
        <v>102</v>
      </c>
      <c r="I41" s="3">
        <v>2.1999999999999999E-2</v>
      </c>
      <c r="J41" s="3" t="s">
        <v>109</v>
      </c>
      <c r="K41" s="3" t="s">
        <v>110</v>
      </c>
      <c r="L41" s="3">
        <v>3811</v>
      </c>
      <c r="M41" s="3">
        <v>300</v>
      </c>
      <c r="N41" s="4">
        <v>43098</v>
      </c>
      <c r="O41" s="16">
        <f>[1]!s_dq_settle(D41,B41)</f>
        <v>3801</v>
      </c>
      <c r="P41" s="11">
        <f t="shared" si="3"/>
        <v>330</v>
      </c>
      <c r="Q41" s="11">
        <f>G41*L41*4*2</f>
        <v>457320000</v>
      </c>
      <c r="R41" s="3" t="s">
        <v>83</v>
      </c>
      <c r="S41" s="1"/>
    </row>
    <row r="42" spans="1:19" hidden="1" x14ac:dyDescent="0.15">
      <c r="A42" s="47" t="s">
        <v>79</v>
      </c>
      <c r="B42" s="54">
        <v>43119</v>
      </c>
      <c r="C42" s="54">
        <v>43154</v>
      </c>
      <c r="D42" s="47" t="s">
        <v>76</v>
      </c>
      <c r="E42" s="47" t="s">
        <v>21</v>
      </c>
      <c r="F42" s="3" t="s">
        <v>22</v>
      </c>
      <c r="G42" s="3">
        <v>5000</v>
      </c>
      <c r="I42" s="3">
        <v>66.3</v>
      </c>
      <c r="J42" s="47"/>
      <c r="K42" s="47"/>
      <c r="L42" s="47">
        <v>3933</v>
      </c>
      <c r="M42" s="47"/>
      <c r="N42" s="54">
        <f>C42</f>
        <v>43154</v>
      </c>
      <c r="O42" s="84">
        <f>[1]!s_dq_settle(D42,B42)</f>
        <v>3883</v>
      </c>
      <c r="P42" s="56">
        <f t="shared" si="3"/>
        <v>331500</v>
      </c>
      <c r="Q42" s="56">
        <f>G42*L42</f>
        <v>19665000</v>
      </c>
      <c r="R42" s="47"/>
      <c r="S42" s="47"/>
    </row>
    <row r="43" spans="1:19" hidden="1" x14ac:dyDescent="0.15">
      <c r="A43" s="47" t="s">
        <v>111</v>
      </c>
      <c r="B43" s="54">
        <v>43167</v>
      </c>
      <c r="C43" s="54">
        <v>43194</v>
      </c>
      <c r="D43" s="47" t="s">
        <v>80</v>
      </c>
      <c r="E43" s="47" t="s">
        <v>21</v>
      </c>
      <c r="F43" s="3" t="s">
        <v>25</v>
      </c>
      <c r="G43" s="3">
        <v>5000</v>
      </c>
      <c r="H43" s="3">
        <v>5654</v>
      </c>
      <c r="I43" s="3">
        <v>72.37</v>
      </c>
      <c r="J43" s="47" t="s">
        <v>112</v>
      </c>
      <c r="K43" s="47"/>
      <c r="L43" s="47"/>
      <c r="M43" s="47"/>
      <c r="N43" s="54">
        <f>C43</f>
        <v>43194</v>
      </c>
      <c r="O43" s="84">
        <f>[1]!s_dq_settle(D43,B43)</f>
        <v>5666</v>
      </c>
      <c r="P43" s="56">
        <f t="shared" si="3"/>
        <v>361850</v>
      </c>
      <c r="Q43" s="56">
        <f>G43*H43</f>
        <v>28270000</v>
      </c>
      <c r="R43" s="47">
        <f>Q43</f>
        <v>28270000</v>
      </c>
      <c r="S43" s="47"/>
    </row>
    <row r="44" spans="1:19" hidden="1" x14ac:dyDescent="0.15">
      <c r="A44" s="47" t="s">
        <v>113</v>
      </c>
      <c r="B44" s="54">
        <v>43167</v>
      </c>
      <c r="C44" s="54">
        <v>43198</v>
      </c>
      <c r="D44" s="47" t="s">
        <v>114</v>
      </c>
      <c r="E44" s="47" t="s">
        <v>38</v>
      </c>
      <c r="F44" s="3" t="s">
        <v>22</v>
      </c>
      <c r="G44" s="3">
        <v>500</v>
      </c>
      <c r="H44" s="3">
        <v>51420</v>
      </c>
      <c r="I44" s="3">
        <v>1040</v>
      </c>
      <c r="J44" s="47" t="s">
        <v>115</v>
      </c>
      <c r="K44" s="47" t="s">
        <v>116</v>
      </c>
      <c r="L44" s="47"/>
      <c r="M44" s="47"/>
      <c r="N44" s="54">
        <f>C44</f>
        <v>43198</v>
      </c>
      <c r="O44" s="84">
        <f>[1]!s_dq_settle(D44,B44)</f>
        <v>52220</v>
      </c>
      <c r="P44" s="56">
        <f t="shared" si="3"/>
        <v>520000</v>
      </c>
      <c r="Q44" s="56">
        <f>G44*H44</f>
        <v>25710000</v>
      </c>
      <c r="R44" s="47"/>
      <c r="S44" s="47"/>
    </row>
    <row r="45" spans="1:19" hidden="1" x14ac:dyDescent="0.15">
      <c r="A45" s="47" t="s">
        <v>19</v>
      </c>
      <c r="B45" s="54">
        <v>43168</v>
      </c>
      <c r="C45" s="54">
        <v>43210</v>
      </c>
      <c r="D45" s="47" t="s">
        <v>117</v>
      </c>
      <c r="E45" s="47" t="s">
        <v>21</v>
      </c>
      <c r="F45" s="3" t="s">
        <v>25</v>
      </c>
      <c r="G45" s="3">
        <v>500</v>
      </c>
      <c r="H45" s="3">
        <v>-50</v>
      </c>
      <c r="I45" s="3">
        <v>14.44</v>
      </c>
      <c r="J45" s="47" t="s">
        <v>118</v>
      </c>
      <c r="K45" s="47" t="s">
        <v>119</v>
      </c>
      <c r="L45" s="47"/>
      <c r="M45" s="47"/>
      <c r="N45" s="54">
        <f t="shared" ref="N45:N50" si="6">C45</f>
        <v>43210</v>
      </c>
      <c r="O45" s="84">
        <f>[1]!s_dq_settle("sr805.czc",B45)</f>
        <v>5637</v>
      </c>
      <c r="P45" s="56">
        <f t="shared" si="3"/>
        <v>7220</v>
      </c>
      <c r="Q45" s="56">
        <f>G45*O45*2</f>
        <v>5637000</v>
      </c>
      <c r="R45" s="47">
        <f>Q45</f>
        <v>5637000</v>
      </c>
      <c r="S45" s="47"/>
    </row>
    <row r="46" spans="1:19" hidden="1" x14ac:dyDescent="0.15">
      <c r="A46" s="47" t="s">
        <v>19</v>
      </c>
      <c r="B46" s="54">
        <v>43168</v>
      </c>
      <c r="C46" s="54">
        <v>43210</v>
      </c>
      <c r="D46" s="47" t="s">
        <v>117</v>
      </c>
      <c r="E46" s="47" t="s">
        <v>21</v>
      </c>
      <c r="F46" s="3" t="s">
        <v>25</v>
      </c>
      <c r="G46" s="3">
        <v>500</v>
      </c>
      <c r="H46" s="3">
        <v>-60</v>
      </c>
      <c r="I46" s="3">
        <v>12.2</v>
      </c>
      <c r="J46" s="47" t="s">
        <v>120</v>
      </c>
      <c r="K46" s="47" t="s">
        <v>121</v>
      </c>
      <c r="L46" s="47"/>
      <c r="M46" s="47"/>
      <c r="N46" s="54">
        <f t="shared" si="6"/>
        <v>43210</v>
      </c>
      <c r="O46" s="84">
        <f>[1]!s_dq_settle("sr805.czc",B46)</f>
        <v>5637</v>
      </c>
      <c r="P46" s="56">
        <f t="shared" si="3"/>
        <v>6100</v>
      </c>
      <c r="Q46" s="56">
        <f>G46*O46*2</f>
        <v>5637000</v>
      </c>
      <c r="R46" s="47">
        <f>Q46</f>
        <v>5637000</v>
      </c>
      <c r="S46" s="47"/>
    </row>
    <row r="47" spans="1:19" hidden="1" x14ac:dyDescent="0.15">
      <c r="A47" s="47" t="s">
        <v>19</v>
      </c>
      <c r="B47" s="54">
        <v>43168</v>
      </c>
      <c r="C47" s="54">
        <v>43210</v>
      </c>
      <c r="D47" s="47" t="s">
        <v>117</v>
      </c>
      <c r="E47" s="47" t="s">
        <v>21</v>
      </c>
      <c r="F47" s="3" t="s">
        <v>25</v>
      </c>
      <c r="G47" s="3">
        <v>500</v>
      </c>
      <c r="H47" s="3">
        <v>-70</v>
      </c>
      <c r="I47" s="3">
        <v>9.1999999999999993</v>
      </c>
      <c r="J47" s="47" t="s">
        <v>122</v>
      </c>
      <c r="K47" s="47" t="s">
        <v>123</v>
      </c>
      <c r="L47" s="47"/>
      <c r="M47" s="47"/>
      <c r="N47" s="54">
        <f t="shared" si="6"/>
        <v>43210</v>
      </c>
      <c r="O47" s="84">
        <f>[1]!s_dq_settle("sr805.czc",B47)</f>
        <v>5637</v>
      </c>
      <c r="P47" s="56">
        <f t="shared" si="3"/>
        <v>4600</v>
      </c>
      <c r="Q47" s="56">
        <f>G47*O47*2</f>
        <v>5637000</v>
      </c>
      <c r="R47" s="47">
        <f>Q47</f>
        <v>5637000</v>
      </c>
      <c r="S47" s="47"/>
    </row>
    <row r="48" spans="1:19" hidden="1" x14ac:dyDescent="0.15">
      <c r="A48" s="47" t="s">
        <v>19</v>
      </c>
      <c r="B48" s="54">
        <v>43207</v>
      </c>
      <c r="C48" s="54">
        <v>43220</v>
      </c>
      <c r="D48" s="47" t="s">
        <v>117</v>
      </c>
      <c r="E48" s="47" t="s">
        <v>21</v>
      </c>
      <c r="F48" s="3" t="s">
        <v>25</v>
      </c>
      <c r="G48" s="3">
        <v>300</v>
      </c>
      <c r="H48" s="3">
        <v>-80</v>
      </c>
      <c r="I48" s="3">
        <v>12</v>
      </c>
      <c r="J48" s="47" t="s">
        <v>124</v>
      </c>
      <c r="K48" s="47" t="s">
        <v>125</v>
      </c>
      <c r="L48" s="47"/>
      <c r="M48" s="47"/>
      <c r="N48" s="54">
        <f t="shared" si="6"/>
        <v>43220</v>
      </c>
      <c r="O48" s="84">
        <f>[1]!s_dq_settle("sr805.czc",B48)</f>
        <v>5383</v>
      </c>
      <c r="P48" s="56">
        <f t="shared" si="3"/>
        <v>3600</v>
      </c>
      <c r="Q48" s="56">
        <f>G48*O48*2</f>
        <v>3229800</v>
      </c>
      <c r="R48" s="47">
        <f>Q48</f>
        <v>3229800</v>
      </c>
      <c r="S48" s="47"/>
    </row>
    <row r="49" spans="1:19" hidden="1" x14ac:dyDescent="0.15">
      <c r="A49" s="47" t="s">
        <v>19</v>
      </c>
      <c r="B49" s="54">
        <v>43207</v>
      </c>
      <c r="C49" s="54">
        <v>43220</v>
      </c>
      <c r="D49" s="47" t="s">
        <v>117</v>
      </c>
      <c r="E49" s="47" t="s">
        <v>21</v>
      </c>
      <c r="F49" s="3" t="s">
        <v>25</v>
      </c>
      <c r="G49" s="3">
        <v>300</v>
      </c>
      <c r="H49" s="3">
        <v>-90</v>
      </c>
      <c r="I49" s="3">
        <v>12</v>
      </c>
      <c r="J49" s="47" t="s">
        <v>124</v>
      </c>
      <c r="K49" s="47" t="s">
        <v>125</v>
      </c>
      <c r="L49" s="47"/>
      <c r="M49" s="47"/>
      <c r="N49" s="54">
        <f t="shared" si="6"/>
        <v>43220</v>
      </c>
      <c r="O49" s="84">
        <f>[1]!s_dq_settle("sr805.czc",B49)</f>
        <v>5383</v>
      </c>
      <c r="P49" s="56">
        <f t="shared" si="3"/>
        <v>3600</v>
      </c>
      <c r="Q49" s="56">
        <f>G49*O49*2</f>
        <v>3229800</v>
      </c>
      <c r="R49" s="47">
        <f>Q49</f>
        <v>3229800</v>
      </c>
      <c r="S49" s="47"/>
    </row>
    <row r="50" spans="1:19" hidden="1" x14ac:dyDescent="0.15">
      <c r="A50" s="47" t="s">
        <v>42</v>
      </c>
      <c r="B50" s="54">
        <v>43241</v>
      </c>
      <c r="C50" s="54">
        <v>43302</v>
      </c>
      <c r="D50" s="47" t="s">
        <v>126</v>
      </c>
      <c r="E50" s="47" t="s">
        <v>38</v>
      </c>
      <c r="F50" s="3" t="s">
        <v>127</v>
      </c>
      <c r="G50" s="3">
        <v>5000</v>
      </c>
      <c r="H50" s="3">
        <v>12015</v>
      </c>
      <c r="I50" s="3">
        <v>391.3</v>
      </c>
      <c r="J50" s="47" t="s">
        <v>128</v>
      </c>
      <c r="K50" s="47"/>
      <c r="L50" s="47"/>
      <c r="M50" s="47"/>
      <c r="N50" s="54">
        <f t="shared" si="6"/>
        <v>43302</v>
      </c>
      <c r="O50" s="84">
        <v>12015</v>
      </c>
      <c r="P50" s="56">
        <f t="shared" si="3"/>
        <v>1956500</v>
      </c>
      <c r="Q50" s="56">
        <f>G50*O50</f>
        <v>60075000</v>
      </c>
      <c r="R50" s="47" t="s">
        <v>129</v>
      </c>
      <c r="S50" s="47"/>
    </row>
    <row r="51" spans="1:19" hidden="1" x14ac:dyDescent="0.15">
      <c r="A51" s="47" t="s">
        <v>46</v>
      </c>
      <c r="B51" s="54">
        <v>43297</v>
      </c>
      <c r="C51" s="54">
        <v>43357</v>
      </c>
      <c r="D51" s="47" t="s">
        <v>130</v>
      </c>
      <c r="E51" s="47" t="s">
        <v>38</v>
      </c>
      <c r="F51" s="3" t="s">
        <v>131</v>
      </c>
      <c r="G51" s="3">
        <v>30000</v>
      </c>
      <c r="H51" s="3">
        <v>1847</v>
      </c>
      <c r="I51" s="3">
        <v>28.3</v>
      </c>
      <c r="J51" s="47" t="s">
        <v>132</v>
      </c>
      <c r="K51" s="47"/>
      <c r="L51" s="47"/>
      <c r="M51" s="47"/>
      <c r="N51" s="54"/>
      <c r="O51" s="55">
        <v>1847</v>
      </c>
      <c r="P51" s="56">
        <f t="shared" si="3"/>
        <v>849000</v>
      </c>
      <c r="Q51" s="56">
        <f>G51*O51</f>
        <v>55410000</v>
      </c>
      <c r="R51" s="47" t="s">
        <v>129</v>
      </c>
      <c r="S51" s="47"/>
    </row>
    <row r="52" spans="1:19" hidden="1" x14ac:dyDescent="0.15">
      <c r="A52" s="47" t="s">
        <v>46</v>
      </c>
      <c r="B52" s="54">
        <v>43325</v>
      </c>
      <c r="C52" s="54">
        <v>43446</v>
      </c>
      <c r="D52" s="47" t="s">
        <v>133</v>
      </c>
      <c r="E52" s="47" t="s">
        <v>38</v>
      </c>
      <c r="F52" s="3" t="s">
        <v>131</v>
      </c>
      <c r="G52" s="3">
        <v>15000</v>
      </c>
      <c r="H52" s="3">
        <v>3813</v>
      </c>
      <c r="I52" s="3">
        <v>101.33</v>
      </c>
      <c r="J52" s="47" t="s">
        <v>134</v>
      </c>
      <c r="K52" s="47"/>
      <c r="L52" s="47"/>
      <c r="M52" s="47"/>
      <c r="N52" s="54">
        <v>43357</v>
      </c>
      <c r="O52" s="55">
        <f>H52</f>
        <v>3813</v>
      </c>
      <c r="P52" s="56">
        <f t="shared" si="3"/>
        <v>1519950</v>
      </c>
      <c r="Q52" s="56">
        <f>G52*O52</f>
        <v>57195000</v>
      </c>
      <c r="R52" s="47"/>
      <c r="S52" s="47"/>
    </row>
    <row r="53" spans="1:19" hidden="1" x14ac:dyDescent="0.15">
      <c r="A53" s="47" t="s">
        <v>46</v>
      </c>
      <c r="B53" s="54">
        <v>43346</v>
      </c>
      <c r="C53" s="54">
        <v>43406</v>
      </c>
      <c r="D53" s="47" t="s">
        <v>130</v>
      </c>
      <c r="E53" s="47" t="s">
        <v>38</v>
      </c>
      <c r="F53" s="3" t="s">
        <v>131</v>
      </c>
      <c r="G53" s="3">
        <v>30000</v>
      </c>
      <c r="H53" s="3">
        <v>1902.5</v>
      </c>
      <c r="I53" s="3">
        <v>28.3</v>
      </c>
      <c r="J53" s="47" t="s">
        <v>135</v>
      </c>
      <c r="K53" s="47" t="s">
        <v>136</v>
      </c>
      <c r="L53" s="47"/>
      <c r="M53" s="47"/>
      <c r="N53" s="54">
        <v>43406</v>
      </c>
      <c r="O53" s="55">
        <f>H53</f>
        <v>1902.5</v>
      </c>
      <c r="P53" s="56">
        <f t="shared" si="3"/>
        <v>849000</v>
      </c>
      <c r="Q53" s="56">
        <f>G53*O53</f>
        <v>57075000</v>
      </c>
      <c r="R53" s="47"/>
      <c r="S53" s="47" t="s">
        <v>137</v>
      </c>
    </row>
    <row r="54" spans="1:19" hidden="1" x14ac:dyDescent="0.15">
      <c r="A54" s="47" t="s">
        <v>46</v>
      </c>
      <c r="B54" s="54">
        <v>43294</v>
      </c>
      <c r="C54" s="54">
        <v>43416</v>
      </c>
      <c r="D54" s="47" t="s">
        <v>130</v>
      </c>
      <c r="E54" s="47" t="s">
        <v>38</v>
      </c>
      <c r="F54" s="3" t="s">
        <v>131</v>
      </c>
      <c r="G54" s="3">
        <v>20374</v>
      </c>
      <c r="H54" s="3">
        <v>1842.5</v>
      </c>
      <c r="I54" s="3">
        <v>59.83</v>
      </c>
      <c r="J54" s="47" t="s">
        <v>138</v>
      </c>
      <c r="K54" s="47" t="s">
        <v>139</v>
      </c>
      <c r="L54" s="47"/>
      <c r="M54" s="47"/>
      <c r="N54" s="54">
        <v>43416</v>
      </c>
      <c r="O54" s="55">
        <f>H54</f>
        <v>1842.5</v>
      </c>
      <c r="P54" s="56">
        <f t="shared" si="3"/>
        <v>1218976.42</v>
      </c>
      <c r="Q54" s="56">
        <f>G54*O54</f>
        <v>37539095</v>
      </c>
      <c r="R54" s="47"/>
      <c r="S54" s="47" t="s">
        <v>140</v>
      </c>
    </row>
    <row r="55" spans="1:19" hidden="1" x14ac:dyDescent="0.15">
      <c r="A55" s="47" t="s">
        <v>42</v>
      </c>
      <c r="B55" s="54">
        <v>43342</v>
      </c>
      <c r="C55" s="54">
        <v>43370</v>
      </c>
      <c r="D55" s="47" t="s">
        <v>141</v>
      </c>
      <c r="E55" s="47" t="s">
        <v>38</v>
      </c>
      <c r="F55" s="3" t="s">
        <v>142</v>
      </c>
      <c r="G55" s="3">
        <v>1500</v>
      </c>
      <c r="H55" s="3">
        <v>3832</v>
      </c>
      <c r="I55" s="3">
        <v>164</v>
      </c>
      <c r="J55" s="47" t="s">
        <v>143</v>
      </c>
      <c r="K55" s="47" t="s">
        <v>144</v>
      </c>
      <c r="L55" s="47"/>
      <c r="M55" s="47"/>
      <c r="N55" s="54">
        <v>43357</v>
      </c>
      <c r="O55" s="55">
        <f>H55</f>
        <v>3832</v>
      </c>
      <c r="P55" s="56">
        <f t="shared" si="3"/>
        <v>246000</v>
      </c>
      <c r="Q55" s="56">
        <f>G55*O55*2</f>
        <v>11496000</v>
      </c>
      <c r="R55" s="47"/>
      <c r="S55" s="47"/>
    </row>
    <row r="56" spans="1:19" hidden="1" x14ac:dyDescent="0.15">
      <c r="A56" s="47" t="s">
        <v>42</v>
      </c>
      <c r="B56" s="54">
        <v>43371</v>
      </c>
      <c r="C56" s="54">
        <v>43399</v>
      </c>
      <c r="D56" s="47" t="s">
        <v>141</v>
      </c>
      <c r="E56" s="47" t="s">
        <v>38</v>
      </c>
      <c r="F56" s="3" t="s">
        <v>142</v>
      </c>
      <c r="G56" s="3">
        <v>1500</v>
      </c>
      <c r="H56" s="3">
        <v>3931</v>
      </c>
      <c r="I56" s="3">
        <v>164</v>
      </c>
      <c r="J56" s="47" t="s">
        <v>143</v>
      </c>
      <c r="K56" s="47" t="s">
        <v>145</v>
      </c>
      <c r="L56" s="47"/>
      <c r="M56" s="47"/>
      <c r="N56" s="54"/>
      <c r="O56" s="55">
        <f t="shared" ref="O56:O62" si="7">H56</f>
        <v>3931</v>
      </c>
      <c r="P56" s="56">
        <f t="shared" si="3"/>
        <v>246000</v>
      </c>
      <c r="Q56" s="56">
        <f>G56*O56*2</f>
        <v>11793000</v>
      </c>
      <c r="R56" s="47"/>
      <c r="S56" s="47"/>
    </row>
    <row r="57" spans="1:19" s="8" customFormat="1" hidden="1" x14ac:dyDescent="0.15">
      <c r="A57" s="47" t="s">
        <v>42</v>
      </c>
      <c r="B57" s="54">
        <v>43402</v>
      </c>
      <c r="C57" s="54">
        <v>43432</v>
      </c>
      <c r="D57" s="47" t="s">
        <v>141</v>
      </c>
      <c r="E57" s="47" t="s">
        <v>38</v>
      </c>
      <c r="F57" s="12" t="s">
        <v>142</v>
      </c>
      <c r="G57" s="12">
        <v>1500</v>
      </c>
      <c r="H57" s="12">
        <v>4342</v>
      </c>
      <c r="I57" s="12">
        <v>164</v>
      </c>
      <c r="J57" s="47" t="s">
        <v>143</v>
      </c>
      <c r="K57" s="47"/>
      <c r="L57" s="47"/>
      <c r="M57" s="47"/>
      <c r="N57" s="54"/>
      <c r="O57" s="55">
        <f t="shared" si="7"/>
        <v>4342</v>
      </c>
      <c r="P57" s="56">
        <f t="shared" si="3"/>
        <v>246000</v>
      </c>
      <c r="Q57" s="56">
        <f>G57*O57*2</f>
        <v>13026000</v>
      </c>
      <c r="R57" s="47"/>
      <c r="S57" s="47" t="s">
        <v>140</v>
      </c>
    </row>
    <row r="58" spans="1:19" s="37" customFormat="1" x14ac:dyDescent="0.15">
      <c r="A58" s="47" t="s">
        <v>42</v>
      </c>
      <c r="B58" s="54">
        <v>43433</v>
      </c>
      <c r="C58" s="54">
        <v>43462</v>
      </c>
      <c r="D58" s="47" t="s">
        <v>146</v>
      </c>
      <c r="E58" s="47" t="s">
        <v>38</v>
      </c>
      <c r="F58" s="14" t="s">
        <v>142</v>
      </c>
      <c r="G58" s="14">
        <v>1500</v>
      </c>
      <c r="H58" s="14">
        <v>4116</v>
      </c>
      <c r="I58" s="14">
        <v>164</v>
      </c>
      <c r="J58" s="47" t="s">
        <v>143</v>
      </c>
      <c r="K58" s="47"/>
      <c r="L58" s="47"/>
      <c r="M58" s="47"/>
      <c r="N58" s="54">
        <v>43462</v>
      </c>
      <c r="O58" s="55">
        <v>3537</v>
      </c>
      <c r="P58" s="56">
        <f t="shared" si="3"/>
        <v>246000</v>
      </c>
      <c r="Q58" s="56">
        <f>G58*O58*2</f>
        <v>10611000</v>
      </c>
      <c r="R58" s="47"/>
      <c r="S58" s="47"/>
    </row>
    <row r="59" spans="1:19" s="9" customFormat="1" hidden="1" x14ac:dyDescent="0.15">
      <c r="A59" s="47" t="s">
        <v>147</v>
      </c>
      <c r="B59" s="54">
        <v>43242</v>
      </c>
      <c r="C59" s="54">
        <v>43273</v>
      </c>
      <c r="D59" s="47" t="s">
        <v>148</v>
      </c>
      <c r="E59" s="47" t="s">
        <v>21</v>
      </c>
      <c r="F59" s="14" t="s">
        <v>149</v>
      </c>
      <c r="G59" s="14">
        <v>300</v>
      </c>
      <c r="H59" s="14">
        <v>9290</v>
      </c>
      <c r="I59" s="14">
        <v>320.7</v>
      </c>
      <c r="J59" s="47" t="s">
        <v>150</v>
      </c>
      <c r="K59" s="47"/>
      <c r="L59" s="47"/>
      <c r="M59" s="47"/>
      <c r="N59" s="54"/>
      <c r="O59" s="55">
        <f t="shared" si="7"/>
        <v>9290</v>
      </c>
      <c r="P59" s="56">
        <v>96210</v>
      </c>
      <c r="Q59" s="56">
        <f>G59*O59*2</f>
        <v>5574000</v>
      </c>
      <c r="R59" s="47"/>
      <c r="S59" s="47"/>
    </row>
    <row r="60" spans="1:19" s="9" customFormat="1" hidden="1" x14ac:dyDescent="0.15">
      <c r="A60" s="47" t="s">
        <v>46</v>
      </c>
      <c r="B60" s="54">
        <v>43360</v>
      </c>
      <c r="C60" s="54">
        <v>43382</v>
      </c>
      <c r="D60" s="47" t="s">
        <v>133</v>
      </c>
      <c r="E60" s="47" t="s">
        <v>38</v>
      </c>
      <c r="F60" s="14" t="s">
        <v>131</v>
      </c>
      <c r="G60" s="14">
        <v>15000</v>
      </c>
      <c r="H60" s="14">
        <v>3665.1</v>
      </c>
      <c r="I60" s="14">
        <v>1</v>
      </c>
      <c r="J60" s="47" t="s">
        <v>151</v>
      </c>
      <c r="K60" s="47" t="s">
        <v>152</v>
      </c>
      <c r="L60" s="47"/>
      <c r="M60" s="47"/>
      <c r="N60" s="54"/>
      <c r="O60" s="55">
        <f t="shared" si="7"/>
        <v>3665.1</v>
      </c>
      <c r="P60" s="56">
        <f t="shared" ref="P60:P78" si="8">I60*G60</f>
        <v>15000</v>
      </c>
      <c r="Q60" s="56">
        <f>G60*O60</f>
        <v>54976500</v>
      </c>
      <c r="R60" s="47"/>
      <c r="S60" s="47"/>
    </row>
    <row r="61" spans="1:19" s="9" customFormat="1" hidden="1" x14ac:dyDescent="0.15">
      <c r="A61" s="47" t="s">
        <v>36</v>
      </c>
      <c r="B61" s="54">
        <v>43399</v>
      </c>
      <c r="C61" s="54">
        <v>43429</v>
      </c>
      <c r="D61" s="47" t="s">
        <v>153</v>
      </c>
      <c r="E61" s="47" t="s">
        <v>38</v>
      </c>
      <c r="F61" s="14" t="s">
        <v>131</v>
      </c>
      <c r="G61" s="14">
        <v>1000</v>
      </c>
      <c r="H61" s="14">
        <v>10761.8</v>
      </c>
      <c r="I61" s="14">
        <v>465</v>
      </c>
      <c r="J61" s="47" t="s">
        <v>154</v>
      </c>
      <c r="K61" s="47"/>
      <c r="L61" s="47">
        <v>11534.19</v>
      </c>
      <c r="M61" s="47"/>
      <c r="N61" s="54">
        <v>43430</v>
      </c>
      <c r="O61" s="55">
        <f t="shared" si="7"/>
        <v>10761.8</v>
      </c>
      <c r="P61" s="56">
        <f t="shared" si="8"/>
        <v>465000</v>
      </c>
      <c r="Q61" s="56">
        <f t="shared" ref="Q61:Q78" si="9">G61*O61</f>
        <v>10761800</v>
      </c>
      <c r="R61" s="47"/>
      <c r="S61" s="47" t="s">
        <v>140</v>
      </c>
    </row>
    <row r="62" spans="1:19" s="37" customFormat="1" x14ac:dyDescent="0.15">
      <c r="A62" s="47" t="s">
        <v>36</v>
      </c>
      <c r="B62" s="54">
        <v>43399</v>
      </c>
      <c r="C62" s="54">
        <v>43444</v>
      </c>
      <c r="D62" s="47" t="s">
        <v>155</v>
      </c>
      <c r="E62" s="47" t="s">
        <v>38</v>
      </c>
      <c r="F62" s="14" t="s">
        <v>156</v>
      </c>
      <c r="G62" s="14">
        <v>3000</v>
      </c>
      <c r="H62" s="14">
        <v>5130.2</v>
      </c>
      <c r="I62" s="14">
        <v>150</v>
      </c>
      <c r="J62" s="47" t="s">
        <v>157</v>
      </c>
      <c r="K62" s="47"/>
      <c r="L62" s="47">
        <v>4994.1899999999996</v>
      </c>
      <c r="M62" s="47"/>
      <c r="N62" s="54">
        <v>43444</v>
      </c>
      <c r="O62" s="55">
        <f t="shared" si="7"/>
        <v>5130.2</v>
      </c>
      <c r="P62" s="56">
        <f t="shared" si="8"/>
        <v>450000</v>
      </c>
      <c r="Q62" s="56">
        <f t="shared" si="9"/>
        <v>15390600</v>
      </c>
      <c r="R62" s="47"/>
      <c r="S62" s="47" t="s">
        <v>137</v>
      </c>
    </row>
    <row r="63" spans="1:19" s="37" customFormat="1" hidden="1" x14ac:dyDescent="0.15">
      <c r="A63" s="47" t="s">
        <v>158</v>
      </c>
      <c r="B63" s="54">
        <v>43406</v>
      </c>
      <c r="C63" s="54">
        <v>43449</v>
      </c>
      <c r="D63" s="47" t="s">
        <v>130</v>
      </c>
      <c r="E63" s="47" t="s">
        <v>38</v>
      </c>
      <c r="F63" s="14" t="s">
        <v>159</v>
      </c>
      <c r="G63" s="14">
        <v>20000</v>
      </c>
      <c r="H63" s="14" t="s">
        <v>160</v>
      </c>
      <c r="I63" s="14">
        <f>48-4.09</f>
        <v>43.91</v>
      </c>
      <c r="J63" s="47"/>
      <c r="K63" s="47"/>
      <c r="L63" s="47"/>
      <c r="M63" s="47"/>
      <c r="N63" s="54">
        <v>43432</v>
      </c>
      <c r="O63" s="55">
        <v>1874</v>
      </c>
      <c r="P63" s="56">
        <f t="shared" si="8"/>
        <v>878199.99999999988</v>
      </c>
      <c r="Q63" s="56">
        <f t="shared" si="9"/>
        <v>37480000</v>
      </c>
      <c r="R63" s="47"/>
      <c r="S63" s="47" t="s">
        <v>140</v>
      </c>
    </row>
    <row r="64" spans="1:19" s="37" customFormat="1" hidden="1" x14ac:dyDescent="0.15">
      <c r="A64" s="47" t="s">
        <v>158</v>
      </c>
      <c r="B64" s="54">
        <v>43406</v>
      </c>
      <c r="C64" s="54">
        <v>43449</v>
      </c>
      <c r="D64" s="47" t="s">
        <v>130</v>
      </c>
      <c r="E64" s="47" t="s">
        <v>38</v>
      </c>
      <c r="F64" s="14" t="s">
        <v>159</v>
      </c>
      <c r="G64" s="14">
        <v>20000</v>
      </c>
      <c r="H64" s="14" t="s">
        <v>161</v>
      </c>
      <c r="I64" s="14">
        <f>48-4.09</f>
        <v>43.91</v>
      </c>
      <c r="J64" s="47"/>
      <c r="K64" s="47"/>
      <c r="L64" s="47"/>
      <c r="M64" s="47"/>
      <c r="N64" s="54">
        <v>43432</v>
      </c>
      <c r="O64" s="55">
        <v>1875</v>
      </c>
      <c r="P64" s="56">
        <f t="shared" si="8"/>
        <v>878199.99999999988</v>
      </c>
      <c r="Q64" s="56">
        <f t="shared" si="9"/>
        <v>37500000</v>
      </c>
      <c r="R64" s="47"/>
      <c r="S64" s="47" t="s">
        <v>140</v>
      </c>
    </row>
    <row r="65" spans="1:19" s="9" customFormat="1" hidden="1" x14ac:dyDescent="0.15">
      <c r="A65" s="47" t="s">
        <v>162</v>
      </c>
      <c r="B65" s="54">
        <v>43409</v>
      </c>
      <c r="C65" s="54">
        <v>43420</v>
      </c>
      <c r="D65" s="47" t="s">
        <v>163</v>
      </c>
      <c r="E65" s="47" t="s">
        <v>38</v>
      </c>
      <c r="F65" s="14" t="s">
        <v>164</v>
      </c>
      <c r="G65" s="14">
        <v>5000</v>
      </c>
      <c r="H65" s="14">
        <v>11300</v>
      </c>
      <c r="I65" s="14">
        <v>390.56</v>
      </c>
      <c r="J65" s="47"/>
      <c r="K65" s="47"/>
      <c r="L65" s="47">
        <v>11251.1</v>
      </c>
      <c r="M65" s="47"/>
      <c r="N65" s="54">
        <v>43420</v>
      </c>
      <c r="O65" s="55">
        <f>H65</f>
        <v>11300</v>
      </c>
      <c r="P65" s="56">
        <f t="shared" si="8"/>
        <v>1952800</v>
      </c>
      <c r="Q65" s="56">
        <f t="shared" si="9"/>
        <v>56500000</v>
      </c>
      <c r="R65" s="47"/>
      <c r="S65" s="47" t="s">
        <v>137</v>
      </c>
    </row>
    <row r="66" spans="1:19" s="37" customFormat="1" hidden="1" x14ac:dyDescent="0.15">
      <c r="A66" s="47" t="s">
        <v>158</v>
      </c>
      <c r="B66" s="54">
        <v>43410</v>
      </c>
      <c r="C66" s="54">
        <v>43449</v>
      </c>
      <c r="D66" s="47" t="s">
        <v>130</v>
      </c>
      <c r="E66" s="47" t="s">
        <v>38</v>
      </c>
      <c r="F66" s="14" t="s">
        <v>159</v>
      </c>
      <c r="G66" s="14">
        <v>10000</v>
      </c>
      <c r="H66" s="14" t="s">
        <v>165</v>
      </c>
      <c r="I66" s="14">
        <f>48-4.09</f>
        <v>43.91</v>
      </c>
      <c r="J66" s="47"/>
      <c r="K66" s="47"/>
      <c r="L66" s="47"/>
      <c r="M66" s="47"/>
      <c r="N66" s="54">
        <v>43432</v>
      </c>
      <c r="O66" s="55">
        <v>1886</v>
      </c>
      <c r="P66" s="56">
        <f t="shared" si="8"/>
        <v>439099.99999999994</v>
      </c>
      <c r="Q66" s="56">
        <f t="shared" si="9"/>
        <v>18860000</v>
      </c>
      <c r="R66" s="47"/>
      <c r="S66" s="47" t="s">
        <v>140</v>
      </c>
    </row>
    <row r="67" spans="1:19" s="37" customFormat="1" hidden="1" x14ac:dyDescent="0.15">
      <c r="A67" s="47" t="s">
        <v>158</v>
      </c>
      <c r="B67" s="54">
        <v>43412</v>
      </c>
      <c r="C67" s="54">
        <v>43449</v>
      </c>
      <c r="D67" s="47" t="s">
        <v>130</v>
      </c>
      <c r="E67" s="47" t="s">
        <v>38</v>
      </c>
      <c r="F67" s="14" t="s">
        <v>159</v>
      </c>
      <c r="G67" s="14">
        <v>10000</v>
      </c>
      <c r="H67" s="14" t="s">
        <v>166</v>
      </c>
      <c r="I67" s="14">
        <f>48-4.09</f>
        <v>43.91</v>
      </c>
      <c r="J67" s="47"/>
      <c r="K67" s="47"/>
      <c r="L67" s="47"/>
      <c r="M67" s="47"/>
      <c r="N67" s="54">
        <v>43432</v>
      </c>
      <c r="O67" s="55">
        <v>1892</v>
      </c>
      <c r="P67" s="56">
        <f t="shared" si="8"/>
        <v>439099.99999999994</v>
      </c>
      <c r="Q67" s="56">
        <f t="shared" si="9"/>
        <v>18920000</v>
      </c>
      <c r="R67" s="47"/>
      <c r="S67" s="47" t="s">
        <v>140</v>
      </c>
    </row>
    <row r="68" spans="1:19" s="37" customFormat="1" hidden="1" x14ac:dyDescent="0.15">
      <c r="A68" s="47" t="s">
        <v>158</v>
      </c>
      <c r="B68" s="54">
        <v>43412</v>
      </c>
      <c r="C68" s="54">
        <v>43449</v>
      </c>
      <c r="D68" s="47" t="s">
        <v>130</v>
      </c>
      <c r="E68" s="47" t="s">
        <v>38</v>
      </c>
      <c r="F68" s="14" t="s">
        <v>159</v>
      </c>
      <c r="G68" s="14">
        <v>20000</v>
      </c>
      <c r="H68" s="14" t="s">
        <v>166</v>
      </c>
      <c r="I68" s="14">
        <f>48-4.09</f>
        <v>43.91</v>
      </c>
      <c r="J68" s="47"/>
      <c r="K68" s="47"/>
      <c r="L68" s="47"/>
      <c r="M68" s="47"/>
      <c r="N68" s="54">
        <v>43432</v>
      </c>
      <c r="O68" s="55">
        <v>1892</v>
      </c>
      <c r="P68" s="56">
        <f t="shared" si="8"/>
        <v>878199.99999999988</v>
      </c>
      <c r="Q68" s="56">
        <f t="shared" si="9"/>
        <v>37840000</v>
      </c>
      <c r="R68" s="47"/>
      <c r="S68" s="47" t="s">
        <v>140</v>
      </c>
    </row>
    <row r="69" spans="1:19" s="37" customFormat="1" x14ac:dyDescent="0.15">
      <c r="A69" s="631" t="s">
        <v>167</v>
      </c>
      <c r="B69" s="54">
        <v>43413</v>
      </c>
      <c r="C69" s="54">
        <v>43441</v>
      </c>
      <c r="D69" s="47" t="s">
        <v>153</v>
      </c>
      <c r="E69" s="47" t="s">
        <v>21</v>
      </c>
      <c r="F69" s="14" t="s">
        <v>56</v>
      </c>
      <c r="G69" s="14">
        <v>1000</v>
      </c>
      <c r="H69" s="14">
        <v>11550</v>
      </c>
      <c r="I69" s="14">
        <f>H69*0.0308</f>
        <v>355.74</v>
      </c>
      <c r="J69" s="47" t="s">
        <v>168</v>
      </c>
      <c r="K69" s="47"/>
      <c r="L69" s="47">
        <v>11608</v>
      </c>
      <c r="M69" s="47"/>
      <c r="N69" s="54">
        <v>43441</v>
      </c>
      <c r="O69" s="55">
        <v>11550</v>
      </c>
      <c r="P69" s="56">
        <f t="shared" si="8"/>
        <v>355740</v>
      </c>
      <c r="Q69" s="56">
        <f t="shared" si="9"/>
        <v>11550000</v>
      </c>
      <c r="R69" s="47"/>
      <c r="S69" s="47"/>
    </row>
    <row r="70" spans="1:19" s="37" customFormat="1" x14ac:dyDescent="0.15">
      <c r="A70" s="631"/>
      <c r="B70" s="54">
        <v>43413</v>
      </c>
      <c r="C70" s="54">
        <v>43441</v>
      </c>
      <c r="D70" s="47" t="s">
        <v>153</v>
      </c>
      <c r="E70" s="47" t="s">
        <v>21</v>
      </c>
      <c r="F70" s="14" t="s">
        <v>59</v>
      </c>
      <c r="G70" s="14">
        <v>1000</v>
      </c>
      <c r="H70" s="14">
        <v>11550</v>
      </c>
      <c r="I70" s="14">
        <f>H70*0.0308</f>
        <v>355.74</v>
      </c>
      <c r="J70" s="47" t="s">
        <v>169</v>
      </c>
      <c r="K70" s="47"/>
      <c r="L70" s="47">
        <v>11608</v>
      </c>
      <c r="M70" s="47"/>
      <c r="N70" s="54">
        <v>43441</v>
      </c>
      <c r="O70" s="55">
        <v>11550</v>
      </c>
      <c r="P70" s="56">
        <f t="shared" si="8"/>
        <v>355740</v>
      </c>
      <c r="Q70" s="56">
        <f t="shared" si="9"/>
        <v>11550000</v>
      </c>
      <c r="R70" s="47"/>
      <c r="S70" s="47"/>
    </row>
    <row r="71" spans="1:19" s="37" customFormat="1" x14ac:dyDescent="0.15">
      <c r="A71" s="47" t="s">
        <v>170</v>
      </c>
      <c r="B71" s="54">
        <v>43426</v>
      </c>
      <c r="C71" s="54">
        <v>43454</v>
      </c>
      <c r="D71" s="47" t="s">
        <v>171</v>
      </c>
      <c r="E71" s="47" t="s">
        <v>38</v>
      </c>
      <c r="F71" s="14" t="s">
        <v>59</v>
      </c>
      <c r="G71" s="14">
        <v>5000</v>
      </c>
      <c r="H71" s="14">
        <v>3385</v>
      </c>
      <c r="I71" s="14">
        <v>341.4</v>
      </c>
      <c r="J71" s="47" t="s">
        <v>172</v>
      </c>
      <c r="K71" s="47"/>
      <c r="L71" s="47">
        <v>3765</v>
      </c>
      <c r="M71" s="47"/>
      <c r="N71" s="54">
        <v>43454</v>
      </c>
      <c r="O71" s="55">
        <f>H71</f>
        <v>3385</v>
      </c>
      <c r="P71" s="56">
        <f t="shared" si="8"/>
        <v>1707000</v>
      </c>
      <c r="Q71" s="56">
        <f t="shared" si="9"/>
        <v>16925000</v>
      </c>
      <c r="R71" s="47"/>
      <c r="S71" s="47"/>
    </row>
    <row r="72" spans="1:19" s="37" customFormat="1" x14ac:dyDescent="0.15">
      <c r="A72" s="631" t="s">
        <v>173</v>
      </c>
      <c r="B72" s="633">
        <v>43427</v>
      </c>
      <c r="C72" s="633">
        <v>43458.625</v>
      </c>
      <c r="D72" s="631" t="s">
        <v>174</v>
      </c>
      <c r="E72" s="47" t="s">
        <v>38</v>
      </c>
      <c r="F72" s="78" t="s">
        <v>22</v>
      </c>
      <c r="G72" s="39">
        <v>2100</v>
      </c>
      <c r="H72" s="39">
        <v>2218.6999999999998</v>
      </c>
      <c r="I72" s="39">
        <v>91.9</v>
      </c>
      <c r="J72" s="631" t="s">
        <v>175</v>
      </c>
      <c r="K72" s="47"/>
      <c r="L72" s="47"/>
      <c r="M72" s="47">
        <v>166.2</v>
      </c>
      <c r="N72" s="54">
        <v>43458</v>
      </c>
      <c r="O72" s="55">
        <f t="shared" ref="O72:O77" si="10">H72</f>
        <v>2218.6999999999998</v>
      </c>
      <c r="P72" s="56">
        <f t="shared" si="8"/>
        <v>192990</v>
      </c>
      <c r="Q72" s="56">
        <f t="shared" si="9"/>
        <v>4659270</v>
      </c>
      <c r="R72" s="47"/>
      <c r="S72" s="47"/>
    </row>
    <row r="73" spans="1:19" s="37" customFormat="1" x14ac:dyDescent="0.15">
      <c r="A73" s="631"/>
      <c r="B73" s="633"/>
      <c r="C73" s="633"/>
      <c r="D73" s="631"/>
      <c r="E73" s="47" t="s">
        <v>38</v>
      </c>
      <c r="F73" s="78" t="s">
        <v>22</v>
      </c>
      <c r="G73" s="39">
        <v>4200</v>
      </c>
      <c r="H73" s="39">
        <v>2268.6999999999998</v>
      </c>
      <c r="I73" s="39">
        <v>70.400000000000006</v>
      </c>
      <c r="J73" s="631"/>
      <c r="K73" s="47"/>
      <c r="L73" s="47"/>
      <c r="M73" s="47">
        <v>132</v>
      </c>
      <c r="N73" s="54">
        <v>43458</v>
      </c>
      <c r="O73" s="55">
        <f t="shared" si="10"/>
        <v>2268.6999999999998</v>
      </c>
      <c r="P73" s="56">
        <f t="shared" si="8"/>
        <v>295680</v>
      </c>
      <c r="Q73" s="56">
        <f t="shared" si="9"/>
        <v>9528540</v>
      </c>
      <c r="R73" s="47"/>
      <c r="S73" s="47"/>
    </row>
    <row r="74" spans="1:19" s="37" customFormat="1" x14ac:dyDescent="0.15">
      <c r="A74" s="631" t="s">
        <v>79</v>
      </c>
      <c r="B74" s="633">
        <v>43432</v>
      </c>
      <c r="C74" s="633">
        <v>43455</v>
      </c>
      <c r="D74" s="631" t="s">
        <v>176</v>
      </c>
      <c r="E74" s="631" t="s">
        <v>38</v>
      </c>
      <c r="F74" s="78" t="s">
        <v>177</v>
      </c>
      <c r="G74" s="21">
        <v>25000</v>
      </c>
      <c r="H74" s="39">
        <v>424.4</v>
      </c>
      <c r="I74" s="39">
        <v>16.98</v>
      </c>
      <c r="J74" s="631" t="s">
        <v>178</v>
      </c>
      <c r="K74" s="47"/>
      <c r="L74" s="47"/>
      <c r="M74" s="47">
        <v>404.8</v>
      </c>
      <c r="N74" s="54">
        <v>43455</v>
      </c>
      <c r="O74" s="55">
        <f t="shared" si="10"/>
        <v>424.4</v>
      </c>
      <c r="P74" s="56">
        <f t="shared" si="8"/>
        <v>424500</v>
      </c>
      <c r="Q74" s="56">
        <f t="shared" si="9"/>
        <v>10610000</v>
      </c>
      <c r="R74" s="47"/>
      <c r="S74" s="47"/>
    </row>
    <row r="75" spans="1:19" s="37" customFormat="1" x14ac:dyDescent="0.15">
      <c r="A75" s="631"/>
      <c r="B75" s="633"/>
      <c r="C75" s="633"/>
      <c r="D75" s="631"/>
      <c r="E75" s="631"/>
      <c r="F75" s="78" t="s">
        <v>25</v>
      </c>
      <c r="G75" s="21">
        <v>25000</v>
      </c>
      <c r="H75" s="39">
        <v>424.4</v>
      </c>
      <c r="I75" s="39">
        <v>16.98</v>
      </c>
      <c r="J75" s="631"/>
      <c r="K75" s="47"/>
      <c r="L75" s="47"/>
      <c r="M75" s="47">
        <v>404.8</v>
      </c>
      <c r="N75" s="54">
        <v>43455</v>
      </c>
      <c r="O75" s="55">
        <f t="shared" si="10"/>
        <v>424.4</v>
      </c>
      <c r="P75" s="56">
        <f t="shared" si="8"/>
        <v>424500</v>
      </c>
      <c r="Q75" s="56">
        <f t="shared" si="9"/>
        <v>10610000</v>
      </c>
      <c r="R75" s="47"/>
      <c r="S75" s="47"/>
    </row>
    <row r="76" spans="1:19" s="37" customFormat="1" ht="27.75" customHeight="1" x14ac:dyDescent="0.15">
      <c r="A76" s="47" t="s">
        <v>179</v>
      </c>
      <c r="B76" s="54">
        <v>43432</v>
      </c>
      <c r="C76" s="54">
        <v>43446</v>
      </c>
      <c r="D76" s="47" t="s">
        <v>180</v>
      </c>
      <c r="E76" s="47" t="s">
        <v>38</v>
      </c>
      <c r="F76" s="14" t="s">
        <v>25</v>
      </c>
      <c r="G76" s="22">
        <v>2000</v>
      </c>
      <c r="H76" s="14">
        <v>3560</v>
      </c>
      <c r="I76" s="14">
        <v>76.900000000000006</v>
      </c>
      <c r="J76" s="47" t="s">
        <v>181</v>
      </c>
      <c r="K76" s="47"/>
      <c r="L76" s="47"/>
      <c r="M76" s="47">
        <v>0</v>
      </c>
      <c r="N76" s="54">
        <v>43446</v>
      </c>
      <c r="O76" s="55">
        <f t="shared" si="10"/>
        <v>3560</v>
      </c>
      <c r="P76" s="56">
        <f t="shared" si="8"/>
        <v>153800</v>
      </c>
      <c r="Q76" s="56">
        <f t="shared" si="9"/>
        <v>7120000</v>
      </c>
      <c r="R76" s="47"/>
      <c r="S76" s="47"/>
    </row>
    <row r="77" spans="1:19" s="42" customFormat="1" ht="27.75" customHeight="1" x14ac:dyDescent="0.15">
      <c r="A77" s="47" t="s">
        <v>36</v>
      </c>
      <c r="B77" s="54">
        <v>43437</v>
      </c>
      <c r="C77" s="54">
        <v>43462</v>
      </c>
      <c r="D77" s="47" t="s">
        <v>182</v>
      </c>
      <c r="E77" s="47" t="s">
        <v>38</v>
      </c>
      <c r="F77" s="27" t="s">
        <v>131</v>
      </c>
      <c r="G77" s="25">
        <v>1000</v>
      </c>
      <c r="H77" s="25">
        <v>11505</v>
      </c>
      <c r="I77" s="25">
        <v>465</v>
      </c>
      <c r="J77" s="47" t="s">
        <v>183</v>
      </c>
      <c r="K77" s="47"/>
      <c r="L77" s="47"/>
      <c r="M77" s="47"/>
      <c r="N77" s="54">
        <v>43462</v>
      </c>
      <c r="O77" s="55">
        <f t="shared" si="10"/>
        <v>11505</v>
      </c>
      <c r="P77" s="56">
        <f t="shared" si="8"/>
        <v>465000</v>
      </c>
      <c r="Q77" s="56">
        <f t="shared" si="9"/>
        <v>11505000</v>
      </c>
      <c r="R77" s="47"/>
      <c r="S77" s="47" t="s">
        <v>137</v>
      </c>
    </row>
    <row r="78" spans="1:19" s="42" customFormat="1" ht="27.75" customHeight="1" x14ac:dyDescent="0.15">
      <c r="A78" s="47" t="s">
        <v>42</v>
      </c>
      <c r="B78" s="54">
        <v>43440</v>
      </c>
      <c r="C78" s="54">
        <v>43462</v>
      </c>
      <c r="D78" s="47" t="s">
        <v>186</v>
      </c>
      <c r="E78" s="47" t="s">
        <v>38</v>
      </c>
      <c r="F78" s="25" t="s">
        <v>187</v>
      </c>
      <c r="G78" s="25">
        <v>1000</v>
      </c>
      <c r="H78" s="25">
        <v>14635</v>
      </c>
      <c r="I78" s="25">
        <v>175.39</v>
      </c>
      <c r="J78" s="47" t="s">
        <v>188</v>
      </c>
      <c r="K78" s="47"/>
      <c r="L78" s="47"/>
      <c r="M78" s="47"/>
      <c r="N78" s="54">
        <v>43462</v>
      </c>
      <c r="O78" s="55">
        <v>14616</v>
      </c>
      <c r="P78" s="56">
        <f t="shared" si="8"/>
        <v>175390</v>
      </c>
      <c r="Q78" s="56">
        <f t="shared" si="9"/>
        <v>14616000</v>
      </c>
      <c r="R78" s="47"/>
      <c r="S78" s="47" t="s">
        <v>137</v>
      </c>
    </row>
    <row r="79" spans="1:19" x14ac:dyDescent="0.15">
      <c r="A79" s="47"/>
      <c r="B79" s="54"/>
      <c r="C79" s="54"/>
      <c r="D79" s="47"/>
      <c r="E79" s="47"/>
      <c r="J79" s="47"/>
      <c r="K79" s="47"/>
      <c r="L79" s="47"/>
      <c r="M79" s="47"/>
      <c r="N79" s="47"/>
      <c r="O79" s="55"/>
      <c r="P79" s="56"/>
      <c r="Q79" s="56"/>
      <c r="R79" s="47"/>
      <c r="S79" s="47"/>
    </row>
    <row r="80" spans="1:19" x14ac:dyDescent="0.15">
      <c r="A80" s="47"/>
      <c r="B80" s="54"/>
      <c r="C80" s="54"/>
      <c r="D80" s="47"/>
      <c r="E80" s="47"/>
      <c r="J80" s="47"/>
      <c r="K80" s="47"/>
      <c r="L80" s="47"/>
      <c r="M80" s="47"/>
      <c r="N80" s="47"/>
      <c r="O80" s="55"/>
      <c r="P80" s="56"/>
      <c r="Q80" s="56"/>
      <c r="R80" s="47"/>
      <c r="S80" s="47"/>
    </row>
    <row r="108" spans="9:9" x14ac:dyDescent="0.15">
      <c r="I108" s="643"/>
    </row>
    <row r="109" spans="9:9" x14ac:dyDescent="0.15">
      <c r="I109" s="643"/>
    </row>
    <row r="110" spans="9:9" x14ac:dyDescent="0.15">
      <c r="I110" s="643"/>
    </row>
    <row r="111" spans="9:9" x14ac:dyDescent="0.15">
      <c r="I111" s="643"/>
    </row>
    <row r="112" spans="9:9" x14ac:dyDescent="0.15">
      <c r="I112" s="643"/>
    </row>
    <row r="113" spans="9:9" x14ac:dyDescent="0.15">
      <c r="I113" s="643"/>
    </row>
    <row r="114" spans="9:9" x14ac:dyDescent="0.15">
      <c r="I114" s="643"/>
    </row>
    <row r="115" spans="9:9" x14ac:dyDescent="0.15">
      <c r="I115" s="643"/>
    </row>
    <row r="116" spans="9:9" x14ac:dyDescent="0.15">
      <c r="I116" s="643"/>
    </row>
    <row r="117" spans="9:9" x14ac:dyDescent="0.15">
      <c r="I117" s="643"/>
    </row>
  </sheetData>
  <autoFilter ref="A1:R80">
    <filterColumn colId="2">
      <filters blank="1">
        <dateGroupItem year="2018" month="12" dateTimeGrouping="month"/>
      </filters>
    </filterColumn>
    <filterColumn colId="13">
      <filters blank="1">
        <dateGroupItem year="2018" month="12" dateTimeGrouping="month"/>
      </filters>
    </filterColumn>
  </autoFilter>
  <mergeCells count="18">
    <mergeCell ref="J74:J75"/>
    <mergeCell ref="R22:R23"/>
    <mergeCell ref="A72:A73"/>
    <mergeCell ref="B72:B73"/>
    <mergeCell ref="C72:C73"/>
    <mergeCell ref="D72:D73"/>
    <mergeCell ref="J72:J73"/>
    <mergeCell ref="A74:A75"/>
    <mergeCell ref="B74:B75"/>
    <mergeCell ref="C74:C75"/>
    <mergeCell ref="D74:D75"/>
    <mergeCell ref="E74:E75"/>
    <mergeCell ref="A69:A70"/>
    <mergeCell ref="I114:I115"/>
    <mergeCell ref="I112:I113"/>
    <mergeCell ref="I116:I117"/>
    <mergeCell ref="I110:I111"/>
    <mergeCell ref="I108:I109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台账阅读说明</vt:lpstr>
      <vt:lpstr>场外台账2019 </vt:lpstr>
      <vt:lpstr>其他</vt:lpstr>
      <vt:lpstr>Sheet2</vt:lpstr>
      <vt:lpstr>2018.12月末存量</vt:lpstr>
      <vt:lpstr>2018.12月新增</vt:lpstr>
      <vt:lpstr>2018.12月终止</vt:lpstr>
    </vt:vector>
  </TitlesOfParts>
  <Company>SAIC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谷宇</cp:lastModifiedBy>
  <cp:lastPrinted>2019-07-19T08:51:32Z</cp:lastPrinted>
  <dcterms:created xsi:type="dcterms:W3CDTF">2017-01-05T06:35:00Z</dcterms:created>
  <dcterms:modified xsi:type="dcterms:W3CDTF">2019-12-31T07:44:20Z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