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24226"/>
  <mc:AlternateContent xmlns:mc="http://schemas.openxmlformats.org/markup-compatibility/2006">
    <mc:Choice Requires="x15">
      <x15ac:absPath xmlns:x15ac="http://schemas.microsoft.com/office/spreadsheetml/2010/11/ac" url="/Users/Tiger/Documents/UASBIG STUFF/"/>
    </mc:Choice>
  </mc:AlternateContent>
  <xr:revisionPtr revIDLastSave="0" documentId="8_{1BEF3536-8ADC-3A43-B8B4-6349F15BC5CB}" xr6:coauthVersionLast="47" xr6:coauthVersionMax="47" xr10:uidLastSave="{00000000-0000-0000-0000-000000000000}"/>
  <bookViews>
    <workbookView xWindow="0" yWindow="0" windowWidth="27320" windowHeight="15360" tabRatio="735" activeTab="8" xr2:uid="{00000000-000D-0000-FFFF-FFFF00000000}"/>
  </bookViews>
  <sheets>
    <sheet name="Tear Sheet" sheetId="22" r:id="rId1"/>
    <sheet name="Operating Model" sheetId="2" r:id="rId2"/>
    <sheet name="DCF" sheetId="7" r:id="rId3"/>
    <sheet name="Revenue Segments" sheetId="21" r:id="rId4"/>
    <sheet name="Historical Multiples" sheetId="23" r:id="rId5"/>
    <sheet name="Beta" sheetId="3" r:id="rId6"/>
    <sheet name="Macro Data" sheetId="6" r:id="rId7"/>
    <sheet name="Supply Chain PivotData" sheetId="25" state="hidden" r:id="rId8"/>
    <sheet name="Supply Chain" sheetId="24" r:id="rId9"/>
    <sheet name="Share Buyback Program" sheetId="19" r:id="rId10"/>
  </sheets>
  <externalReferences>
    <externalReference r:id="rId11"/>
  </externalReferences>
  <definedNames>
    <definedName name="a" localSheetId="3">[1]Beta!#REF!</definedName>
    <definedName name="a">Beta!#REF!</definedName>
    <definedName name="_xlnm.Print_Area" localSheetId="9">'Share Buyback Program'!$B$1:$G$67</definedName>
  </definedNames>
  <calcPr calcId="191029"/>
  <pivotCaches>
    <pivotCache cacheId="0" r:id="rId12"/>
    <pivotCache cacheId="1"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0" i="21" l="1"/>
  <c r="Z20" i="21"/>
  <c r="Y20" i="21"/>
  <c r="W20" i="21"/>
  <c r="V20" i="21"/>
  <c r="U20" i="21"/>
  <c r="T20" i="21"/>
  <c r="R20" i="21"/>
  <c r="Q20" i="21"/>
  <c r="P20" i="21"/>
  <c r="O20" i="21"/>
  <c r="K20" i="21"/>
  <c r="L20" i="21"/>
  <c r="M20" i="21"/>
  <c r="J20" i="21"/>
  <c r="E9" i="21"/>
  <c r="F9" i="21"/>
  <c r="G9" i="21"/>
  <c r="H9" i="21"/>
  <c r="J9" i="21"/>
  <c r="K9" i="21"/>
  <c r="L9" i="21"/>
  <c r="M9" i="21"/>
  <c r="O9" i="21"/>
  <c r="P9" i="21"/>
  <c r="P10" i="21" s="1"/>
  <c r="Q9" i="21"/>
  <c r="Q10" i="21" s="1"/>
  <c r="R9" i="21"/>
  <c r="T9" i="21"/>
  <c r="X9" i="21" s="1"/>
  <c r="U9" i="21"/>
  <c r="V9" i="21"/>
  <c r="W9" i="21"/>
  <c r="Y9" i="21"/>
  <c r="Z9" i="21"/>
  <c r="AA9" i="21"/>
  <c r="K10" i="21" l="1"/>
  <c r="M10" i="21"/>
  <c r="Z10" i="21"/>
  <c r="L10" i="21"/>
  <c r="J10" i="21"/>
  <c r="S9" i="21"/>
  <c r="W10" i="21"/>
  <c r="I9" i="21"/>
  <c r="U10" i="21"/>
  <c r="V10" i="21"/>
  <c r="R10" i="21"/>
  <c r="N9" i="21"/>
  <c r="AE10" i="21"/>
  <c r="AJ10" i="21" s="1"/>
  <c r="AO10" i="21" s="1"/>
  <c r="AT10" i="21" s="1"/>
  <c r="AY10" i="21" s="1"/>
  <c r="O10" i="21"/>
  <c r="AA10" i="21"/>
  <c r="T10" i="21"/>
  <c r="Y10" i="21"/>
  <c r="AC120" i="2"/>
  <c r="AW100" i="2"/>
  <c r="AV100" i="2"/>
  <c r="AU100" i="2"/>
  <c r="AT100" i="2"/>
  <c r="AR100" i="2"/>
  <c r="AQ100" i="2"/>
  <c r="AP100" i="2"/>
  <c r="AO100" i="2"/>
  <c r="AM100" i="2"/>
  <c r="AL100" i="2"/>
  <c r="AK100" i="2"/>
  <c r="AJ100" i="2"/>
  <c r="AH100" i="2"/>
  <c r="AG100" i="2"/>
  <c r="AF100" i="2"/>
  <c r="AE100" i="2"/>
  <c r="H6" i="23"/>
  <c r="I6" i="23" s="1"/>
  <c r="J6" i="23" s="1"/>
  <c r="K6" i="23" s="1"/>
  <c r="L6" i="23" s="1"/>
  <c r="M6" i="23" s="1"/>
  <c r="AG10" i="21" l="1"/>
  <c r="AL10" i="21" s="1"/>
  <c r="AQ10" i="21" s="1"/>
  <c r="AV10" i="21" s="1"/>
  <c r="BA10" i="21" s="1"/>
  <c r="AF10" i="21"/>
  <c r="AK10" i="21" s="1"/>
  <c r="AP10" i="21" s="1"/>
  <c r="AU10" i="21" s="1"/>
  <c r="AZ10" i="21" s="1"/>
  <c r="AD10" i="21"/>
  <c r="AI10" i="21" s="1"/>
  <c r="AN10" i="21" s="1"/>
  <c r="AS10" i="21" s="1"/>
  <c r="AX10" i="21" s="1"/>
  <c r="AE9" i="21"/>
  <c r="AJ9" i="21" s="1"/>
  <c r="AO9" i="21" s="1"/>
  <c r="AT9" i="21" s="1"/>
  <c r="AY9" i="21" s="1"/>
  <c r="AC121" i="2"/>
  <c r="AE121" i="2"/>
  <c r="AE120" i="2"/>
  <c r="AE101" i="2"/>
  <c r="AF101" i="2" s="1"/>
  <c r="AG101" i="2" s="1"/>
  <c r="AH101" i="2" s="1"/>
  <c r="AJ101" i="2" s="1"/>
  <c r="AK101" i="2" s="1"/>
  <c r="AL101" i="2" s="1"/>
  <c r="AM101" i="2" s="1"/>
  <c r="AO101" i="2" s="1"/>
  <c r="AP101" i="2" s="1"/>
  <c r="AQ101" i="2" s="1"/>
  <c r="AR101" i="2" s="1"/>
  <c r="AT101" i="2" s="1"/>
  <c r="AU101" i="2" s="1"/>
  <c r="AV101" i="2" s="1"/>
  <c r="AW101" i="2" s="1"/>
  <c r="AY101" i="2" s="1"/>
  <c r="AZ101" i="2" s="1"/>
  <c r="BA101" i="2" s="1"/>
  <c r="BB101" i="2" s="1"/>
  <c r="D28" i="22"/>
  <c r="AZ100" i="2"/>
  <c r="BA100" i="2"/>
  <c r="BB100" i="2"/>
  <c r="AY100" i="2"/>
  <c r="Y48" i="2"/>
  <c r="G9" i="23" s="1"/>
  <c r="T48" i="2"/>
  <c r="F9" i="23" s="1"/>
  <c r="O48" i="2"/>
  <c r="E9" i="23" s="1"/>
  <c r="J48" i="2"/>
  <c r="D9" i="23" s="1"/>
  <c r="AF9" i="21" l="1"/>
  <c r="AK9" i="21" s="1"/>
  <c r="AP9" i="21" s="1"/>
  <c r="AU9" i="21" s="1"/>
  <c r="AZ9" i="21" s="1"/>
  <c r="AD9" i="21"/>
  <c r="AI9" i="21" s="1"/>
  <c r="AF121" i="2"/>
  <c r="AR94" i="2"/>
  <c r="E5" i="23"/>
  <c r="F5" i="23" s="1"/>
  <c r="G5" i="23" s="1"/>
  <c r="H5" i="23" s="1"/>
  <c r="I5" i="23" s="1"/>
  <c r="J5" i="23" s="1"/>
  <c r="K5" i="23" s="1"/>
  <c r="L5" i="23" s="1"/>
  <c r="M5" i="23" s="1"/>
  <c r="D10" i="23"/>
  <c r="G10" i="23"/>
  <c r="E10" i="23"/>
  <c r="F10" i="23"/>
  <c r="AN9" i="21" l="1"/>
  <c r="AH121" i="2"/>
  <c r="AG121" i="2"/>
  <c r="I38" i="21"/>
  <c r="N38" i="21"/>
  <c r="S38" i="21"/>
  <c r="X38" i="21"/>
  <c r="AS9" i="21" l="1"/>
  <c r="D16" i="22"/>
  <c r="D18" i="22" s="1"/>
  <c r="D27" i="22"/>
  <c r="Y1264" i="3"/>
  <c r="Y1263" i="3"/>
  <c r="Y1262" i="3"/>
  <c r="Y1261" i="3"/>
  <c r="Y1260" i="3"/>
  <c r="Y1259" i="3"/>
  <c r="Y1258" i="3"/>
  <c r="Y1257" i="3"/>
  <c r="Y1256" i="3"/>
  <c r="Y1255" i="3"/>
  <c r="Y1254" i="3"/>
  <c r="Y1253" i="3"/>
  <c r="Y1252" i="3"/>
  <c r="Y1251" i="3"/>
  <c r="Y1250" i="3"/>
  <c r="Y1249" i="3"/>
  <c r="Y1248" i="3"/>
  <c r="Y1247" i="3"/>
  <c r="Y1246" i="3"/>
  <c r="Y1245" i="3"/>
  <c r="Y1244" i="3"/>
  <c r="Y1243" i="3"/>
  <c r="Y1242" i="3"/>
  <c r="Y1241" i="3"/>
  <c r="Y1240" i="3"/>
  <c r="Y1239" i="3"/>
  <c r="Y1238" i="3"/>
  <c r="Y1237" i="3"/>
  <c r="Y1236" i="3"/>
  <c r="Y1235" i="3"/>
  <c r="Y1234" i="3"/>
  <c r="Y1233" i="3"/>
  <c r="Y1232" i="3"/>
  <c r="Y1231" i="3"/>
  <c r="Y1230" i="3"/>
  <c r="Y1229" i="3"/>
  <c r="Y1228" i="3"/>
  <c r="Y1227" i="3"/>
  <c r="Y1226" i="3"/>
  <c r="Y1225" i="3"/>
  <c r="Y1224" i="3"/>
  <c r="Y1223" i="3"/>
  <c r="Y1222" i="3"/>
  <c r="Y1221" i="3"/>
  <c r="Y1220" i="3"/>
  <c r="Y1219" i="3"/>
  <c r="Y1218" i="3"/>
  <c r="Y1217" i="3"/>
  <c r="Y1216" i="3"/>
  <c r="Y1215" i="3"/>
  <c r="Y1214" i="3"/>
  <c r="Y1213" i="3"/>
  <c r="Y1212" i="3"/>
  <c r="Y1211" i="3"/>
  <c r="Y1210" i="3"/>
  <c r="Y1209" i="3"/>
  <c r="Y1208" i="3"/>
  <c r="Y1207" i="3"/>
  <c r="Y1206" i="3"/>
  <c r="Y1205" i="3"/>
  <c r="Y1204" i="3"/>
  <c r="Y1203" i="3"/>
  <c r="Y1202" i="3"/>
  <c r="Y1201" i="3"/>
  <c r="Y1200" i="3"/>
  <c r="Y1199" i="3"/>
  <c r="Y1198" i="3"/>
  <c r="Y1197" i="3"/>
  <c r="Y1196" i="3"/>
  <c r="Y1195" i="3"/>
  <c r="Y1194" i="3"/>
  <c r="Y1193" i="3"/>
  <c r="Y1192" i="3"/>
  <c r="Y1191" i="3"/>
  <c r="Y1190" i="3"/>
  <c r="Y1189" i="3"/>
  <c r="Y1188" i="3"/>
  <c r="Y1187" i="3"/>
  <c r="Y1186" i="3"/>
  <c r="Y1185" i="3"/>
  <c r="Y1184" i="3"/>
  <c r="Y1183" i="3"/>
  <c r="Y1182" i="3"/>
  <c r="Y1181" i="3"/>
  <c r="Y1180" i="3"/>
  <c r="Y1179" i="3"/>
  <c r="Y1178" i="3"/>
  <c r="Y1177" i="3"/>
  <c r="Y1176" i="3"/>
  <c r="Y1175" i="3"/>
  <c r="Y1174" i="3"/>
  <c r="Y1173" i="3"/>
  <c r="Y1172" i="3"/>
  <c r="Y1171" i="3"/>
  <c r="Y1170" i="3"/>
  <c r="Y1169" i="3"/>
  <c r="Y1168" i="3"/>
  <c r="Y1167" i="3"/>
  <c r="Y1166" i="3"/>
  <c r="Y1165" i="3"/>
  <c r="Y1164" i="3"/>
  <c r="Y1163" i="3"/>
  <c r="Y1162" i="3"/>
  <c r="Y1161" i="3"/>
  <c r="Y1160" i="3"/>
  <c r="Y1159" i="3"/>
  <c r="Y1158" i="3"/>
  <c r="Y1157" i="3"/>
  <c r="Y1156" i="3"/>
  <c r="Y1155" i="3"/>
  <c r="Y1154" i="3"/>
  <c r="Y1153" i="3"/>
  <c r="Y1152" i="3"/>
  <c r="Y1151" i="3"/>
  <c r="Y1150" i="3"/>
  <c r="Y1149" i="3"/>
  <c r="Y1148" i="3"/>
  <c r="Y1147" i="3"/>
  <c r="Y1146" i="3"/>
  <c r="Y1145" i="3"/>
  <c r="Y1144" i="3"/>
  <c r="Y1143" i="3"/>
  <c r="Y1142" i="3"/>
  <c r="Y1141" i="3"/>
  <c r="Y1140" i="3"/>
  <c r="Y1139" i="3"/>
  <c r="Y1138" i="3"/>
  <c r="Y1137" i="3"/>
  <c r="Y1136" i="3"/>
  <c r="Y1135" i="3"/>
  <c r="Y1134" i="3"/>
  <c r="Y1133" i="3"/>
  <c r="Y1132" i="3"/>
  <c r="Y1131" i="3"/>
  <c r="Y1130" i="3"/>
  <c r="Y1129" i="3"/>
  <c r="Y1128" i="3"/>
  <c r="Y1127" i="3"/>
  <c r="Y1126" i="3"/>
  <c r="Y1125" i="3"/>
  <c r="Y1124" i="3"/>
  <c r="Y1123" i="3"/>
  <c r="Y1122" i="3"/>
  <c r="Y1121" i="3"/>
  <c r="Y1120" i="3"/>
  <c r="Y1119" i="3"/>
  <c r="Y1118" i="3"/>
  <c r="Y1117" i="3"/>
  <c r="Y1116" i="3"/>
  <c r="Y1115" i="3"/>
  <c r="Y1114" i="3"/>
  <c r="Y1113" i="3"/>
  <c r="Y1112" i="3"/>
  <c r="Y1111" i="3"/>
  <c r="Y1110" i="3"/>
  <c r="Y1109" i="3"/>
  <c r="Y1108" i="3"/>
  <c r="Y1107" i="3"/>
  <c r="Y1106" i="3"/>
  <c r="Y1105" i="3"/>
  <c r="Y1104" i="3"/>
  <c r="Y1103" i="3"/>
  <c r="Y1102" i="3"/>
  <c r="Y1101" i="3"/>
  <c r="Y1100" i="3"/>
  <c r="Y1099" i="3"/>
  <c r="Y1098" i="3"/>
  <c r="Y1097" i="3"/>
  <c r="Y1096" i="3"/>
  <c r="Y1095" i="3"/>
  <c r="Y1094" i="3"/>
  <c r="Y1093" i="3"/>
  <c r="Y1092" i="3"/>
  <c r="Y1091" i="3"/>
  <c r="Y1090" i="3"/>
  <c r="Y1089" i="3"/>
  <c r="Y1088" i="3"/>
  <c r="Y1087" i="3"/>
  <c r="Y1086" i="3"/>
  <c r="Y1085" i="3"/>
  <c r="Y1084" i="3"/>
  <c r="Y1083" i="3"/>
  <c r="Y1082" i="3"/>
  <c r="Y1081" i="3"/>
  <c r="Y1080" i="3"/>
  <c r="Y1079" i="3"/>
  <c r="Y1078" i="3"/>
  <c r="Y1077" i="3"/>
  <c r="Y1076" i="3"/>
  <c r="Y1075" i="3"/>
  <c r="Y1074" i="3"/>
  <c r="Y1073" i="3"/>
  <c r="Y1072" i="3"/>
  <c r="Y1071" i="3"/>
  <c r="Y1070" i="3"/>
  <c r="Y1069" i="3"/>
  <c r="Y1068" i="3"/>
  <c r="Y1067" i="3"/>
  <c r="Y1066" i="3"/>
  <c r="Y1065" i="3"/>
  <c r="Y1064" i="3"/>
  <c r="Y1063" i="3"/>
  <c r="Y1062" i="3"/>
  <c r="Y1061" i="3"/>
  <c r="Y1060" i="3"/>
  <c r="Y1059" i="3"/>
  <c r="Y1058" i="3"/>
  <c r="Y1057" i="3"/>
  <c r="Y1056" i="3"/>
  <c r="Y1055" i="3"/>
  <c r="Y1054" i="3"/>
  <c r="Y1053" i="3"/>
  <c r="Y1052" i="3"/>
  <c r="Y1051" i="3"/>
  <c r="Y1050" i="3"/>
  <c r="Y1049" i="3"/>
  <c r="Y1048" i="3"/>
  <c r="Y1047" i="3"/>
  <c r="Y1046" i="3"/>
  <c r="Y1045" i="3"/>
  <c r="Y1044" i="3"/>
  <c r="Y1043" i="3"/>
  <c r="Y1042" i="3"/>
  <c r="Y1041" i="3"/>
  <c r="Y1040" i="3"/>
  <c r="Y1039" i="3"/>
  <c r="Y1038" i="3"/>
  <c r="Y1037" i="3"/>
  <c r="Y1036" i="3"/>
  <c r="Y1035" i="3"/>
  <c r="Y1034" i="3"/>
  <c r="Y1033" i="3"/>
  <c r="Y1032" i="3"/>
  <c r="Y1031" i="3"/>
  <c r="Y1030" i="3"/>
  <c r="Y1029" i="3"/>
  <c r="Y1028" i="3"/>
  <c r="Y1027" i="3"/>
  <c r="Y1026" i="3"/>
  <c r="Y1025" i="3"/>
  <c r="Y1024" i="3"/>
  <c r="Y1023" i="3"/>
  <c r="Y1022" i="3"/>
  <c r="Y1021" i="3"/>
  <c r="Y1020" i="3"/>
  <c r="Y1019" i="3"/>
  <c r="Y1018" i="3"/>
  <c r="Y1017" i="3"/>
  <c r="Y1016" i="3"/>
  <c r="Y1015" i="3"/>
  <c r="Y1014" i="3"/>
  <c r="Y1013" i="3"/>
  <c r="Y1012" i="3"/>
  <c r="Y1011" i="3"/>
  <c r="Y1010" i="3"/>
  <c r="Y1009" i="3"/>
  <c r="Y1008" i="3"/>
  <c r="Y1007" i="3"/>
  <c r="Y1006" i="3"/>
  <c r="Y1005" i="3"/>
  <c r="Y1004" i="3"/>
  <c r="Y1003" i="3"/>
  <c r="Y1002" i="3"/>
  <c r="Y1001" i="3"/>
  <c r="Y1000" i="3"/>
  <c r="Y999" i="3"/>
  <c r="Y998" i="3"/>
  <c r="Y997" i="3"/>
  <c r="Y996" i="3"/>
  <c r="Y995" i="3"/>
  <c r="Y994" i="3"/>
  <c r="Y993" i="3"/>
  <c r="Y992" i="3"/>
  <c r="Y991" i="3"/>
  <c r="Y990" i="3"/>
  <c r="Y989" i="3"/>
  <c r="Y988" i="3"/>
  <c r="Y987" i="3"/>
  <c r="Y986" i="3"/>
  <c r="Y985" i="3"/>
  <c r="Y984" i="3"/>
  <c r="Y983" i="3"/>
  <c r="Y982" i="3"/>
  <c r="Y981" i="3"/>
  <c r="Y980" i="3"/>
  <c r="Y979" i="3"/>
  <c r="Y978" i="3"/>
  <c r="Y977" i="3"/>
  <c r="Y976" i="3"/>
  <c r="Y975" i="3"/>
  <c r="Y974" i="3"/>
  <c r="Y973" i="3"/>
  <c r="Y972" i="3"/>
  <c r="Y971" i="3"/>
  <c r="Y970" i="3"/>
  <c r="Y969" i="3"/>
  <c r="Y968" i="3"/>
  <c r="Y967" i="3"/>
  <c r="Y966" i="3"/>
  <c r="Y965" i="3"/>
  <c r="Y964" i="3"/>
  <c r="Y963" i="3"/>
  <c r="Y962" i="3"/>
  <c r="Y961" i="3"/>
  <c r="Y960" i="3"/>
  <c r="Y959" i="3"/>
  <c r="Y958" i="3"/>
  <c r="Y957" i="3"/>
  <c r="Y956" i="3"/>
  <c r="Y955" i="3"/>
  <c r="Y954" i="3"/>
  <c r="Y953" i="3"/>
  <c r="Y952" i="3"/>
  <c r="Y951" i="3"/>
  <c r="Y950" i="3"/>
  <c r="Y949" i="3"/>
  <c r="Y948" i="3"/>
  <c r="Y947" i="3"/>
  <c r="Y946" i="3"/>
  <c r="Y945" i="3"/>
  <c r="Y944" i="3"/>
  <c r="Y943" i="3"/>
  <c r="Y942" i="3"/>
  <c r="Y941" i="3"/>
  <c r="Y940" i="3"/>
  <c r="Y939" i="3"/>
  <c r="Y938" i="3"/>
  <c r="Y937" i="3"/>
  <c r="Y936" i="3"/>
  <c r="Y935" i="3"/>
  <c r="Y934" i="3"/>
  <c r="Y933" i="3"/>
  <c r="Y932" i="3"/>
  <c r="Y931" i="3"/>
  <c r="Y930" i="3"/>
  <c r="Y929" i="3"/>
  <c r="Y928" i="3"/>
  <c r="Y927" i="3"/>
  <c r="Y926" i="3"/>
  <c r="Y925" i="3"/>
  <c r="Y924" i="3"/>
  <c r="Y923" i="3"/>
  <c r="Y922" i="3"/>
  <c r="Y921" i="3"/>
  <c r="Y920" i="3"/>
  <c r="Y919" i="3"/>
  <c r="Y918" i="3"/>
  <c r="Y917" i="3"/>
  <c r="Y916" i="3"/>
  <c r="Y915" i="3"/>
  <c r="Y914" i="3"/>
  <c r="Y913" i="3"/>
  <c r="Y912" i="3"/>
  <c r="Y911" i="3"/>
  <c r="Y910" i="3"/>
  <c r="Y909" i="3"/>
  <c r="Y908" i="3"/>
  <c r="Y907" i="3"/>
  <c r="Y906" i="3"/>
  <c r="Y905" i="3"/>
  <c r="Y904" i="3"/>
  <c r="Y903" i="3"/>
  <c r="Y902" i="3"/>
  <c r="Y901" i="3"/>
  <c r="Y900" i="3"/>
  <c r="Y899" i="3"/>
  <c r="Y898" i="3"/>
  <c r="Y897" i="3"/>
  <c r="Y896" i="3"/>
  <c r="Y895" i="3"/>
  <c r="Y894" i="3"/>
  <c r="Y893" i="3"/>
  <c r="Y892" i="3"/>
  <c r="Y891" i="3"/>
  <c r="Y890" i="3"/>
  <c r="Y889" i="3"/>
  <c r="Y888" i="3"/>
  <c r="Y887" i="3"/>
  <c r="Y886" i="3"/>
  <c r="Y885" i="3"/>
  <c r="Y884" i="3"/>
  <c r="Y883" i="3"/>
  <c r="Y882" i="3"/>
  <c r="Y881" i="3"/>
  <c r="Y880" i="3"/>
  <c r="Y879" i="3"/>
  <c r="Y878" i="3"/>
  <c r="Y877" i="3"/>
  <c r="Y876" i="3"/>
  <c r="Y875" i="3"/>
  <c r="Y874" i="3"/>
  <c r="Y873" i="3"/>
  <c r="Y872" i="3"/>
  <c r="Y871" i="3"/>
  <c r="Y870" i="3"/>
  <c r="Y869" i="3"/>
  <c r="Y868" i="3"/>
  <c r="Y867" i="3"/>
  <c r="Y866" i="3"/>
  <c r="Y865" i="3"/>
  <c r="Y864" i="3"/>
  <c r="Y863" i="3"/>
  <c r="Y862" i="3"/>
  <c r="Y861" i="3"/>
  <c r="Y860" i="3"/>
  <c r="Y859" i="3"/>
  <c r="Y858" i="3"/>
  <c r="Y857" i="3"/>
  <c r="Y856" i="3"/>
  <c r="Y855" i="3"/>
  <c r="Y854" i="3"/>
  <c r="Y853" i="3"/>
  <c r="Y852" i="3"/>
  <c r="Y851" i="3"/>
  <c r="Y850" i="3"/>
  <c r="Y849" i="3"/>
  <c r="Y848" i="3"/>
  <c r="Y847" i="3"/>
  <c r="Y846" i="3"/>
  <c r="Y845" i="3"/>
  <c r="Y844" i="3"/>
  <c r="Y843" i="3"/>
  <c r="Y842" i="3"/>
  <c r="Y841" i="3"/>
  <c r="Y840" i="3"/>
  <c r="Y839" i="3"/>
  <c r="Y838" i="3"/>
  <c r="Y837" i="3"/>
  <c r="Y836" i="3"/>
  <c r="Y835" i="3"/>
  <c r="Y834" i="3"/>
  <c r="Y833" i="3"/>
  <c r="Y832" i="3"/>
  <c r="Y831" i="3"/>
  <c r="Y830" i="3"/>
  <c r="Y829" i="3"/>
  <c r="Y828" i="3"/>
  <c r="Y827" i="3"/>
  <c r="Y826" i="3"/>
  <c r="Y825" i="3"/>
  <c r="Y824" i="3"/>
  <c r="Y823" i="3"/>
  <c r="Y822" i="3"/>
  <c r="Y821" i="3"/>
  <c r="Y820" i="3"/>
  <c r="Y819" i="3"/>
  <c r="Y818" i="3"/>
  <c r="Y817" i="3"/>
  <c r="Y816" i="3"/>
  <c r="Y815" i="3"/>
  <c r="Y814" i="3"/>
  <c r="Y813" i="3"/>
  <c r="Y812" i="3"/>
  <c r="Y811" i="3"/>
  <c r="Y810" i="3"/>
  <c r="Y809" i="3"/>
  <c r="Y808" i="3"/>
  <c r="Y807" i="3"/>
  <c r="Y806" i="3"/>
  <c r="Y805" i="3"/>
  <c r="Y804" i="3"/>
  <c r="Y803" i="3"/>
  <c r="Y802" i="3"/>
  <c r="Y801" i="3"/>
  <c r="Y800" i="3"/>
  <c r="Y799" i="3"/>
  <c r="Y798" i="3"/>
  <c r="Y797" i="3"/>
  <c r="Y796" i="3"/>
  <c r="Y795" i="3"/>
  <c r="Y794" i="3"/>
  <c r="Y793" i="3"/>
  <c r="Y792" i="3"/>
  <c r="Y791" i="3"/>
  <c r="Y790" i="3"/>
  <c r="Y789" i="3"/>
  <c r="Y788" i="3"/>
  <c r="Y787" i="3"/>
  <c r="Y786" i="3"/>
  <c r="Y785" i="3"/>
  <c r="Y784" i="3"/>
  <c r="Y783" i="3"/>
  <c r="Y782" i="3"/>
  <c r="Y781" i="3"/>
  <c r="Y780" i="3"/>
  <c r="Y779" i="3"/>
  <c r="Y778" i="3"/>
  <c r="Y777" i="3"/>
  <c r="Y776" i="3"/>
  <c r="Y775" i="3"/>
  <c r="Y774" i="3"/>
  <c r="Y773" i="3"/>
  <c r="Y772" i="3"/>
  <c r="Y771" i="3"/>
  <c r="Y770" i="3"/>
  <c r="Y769" i="3"/>
  <c r="Y768" i="3"/>
  <c r="Y767" i="3"/>
  <c r="Y766" i="3"/>
  <c r="Y765" i="3"/>
  <c r="Y764" i="3"/>
  <c r="Y763" i="3"/>
  <c r="Y762" i="3"/>
  <c r="Y761" i="3"/>
  <c r="Y760" i="3"/>
  <c r="Y759" i="3"/>
  <c r="Y758" i="3"/>
  <c r="Y757" i="3"/>
  <c r="Y756" i="3"/>
  <c r="Y755" i="3"/>
  <c r="Y754" i="3"/>
  <c r="Y753" i="3"/>
  <c r="Y752" i="3"/>
  <c r="Y751" i="3"/>
  <c r="Y750" i="3"/>
  <c r="Y749" i="3"/>
  <c r="Y748" i="3"/>
  <c r="Y747" i="3"/>
  <c r="Y746" i="3"/>
  <c r="Y745" i="3"/>
  <c r="Y744" i="3"/>
  <c r="Y743" i="3"/>
  <c r="Y742" i="3"/>
  <c r="Y741" i="3"/>
  <c r="Y740" i="3"/>
  <c r="Y739" i="3"/>
  <c r="Y738" i="3"/>
  <c r="Y737" i="3"/>
  <c r="Y736" i="3"/>
  <c r="Y735" i="3"/>
  <c r="Y734" i="3"/>
  <c r="Y733" i="3"/>
  <c r="Y732" i="3"/>
  <c r="Y731" i="3"/>
  <c r="Y730" i="3"/>
  <c r="Y729" i="3"/>
  <c r="Y728" i="3"/>
  <c r="Y727" i="3"/>
  <c r="Y726" i="3"/>
  <c r="Y725" i="3"/>
  <c r="Y724" i="3"/>
  <c r="Y723" i="3"/>
  <c r="Y722" i="3"/>
  <c r="Y721" i="3"/>
  <c r="Y720" i="3"/>
  <c r="Y719" i="3"/>
  <c r="Y718" i="3"/>
  <c r="Y717" i="3"/>
  <c r="Y716" i="3"/>
  <c r="Y715" i="3"/>
  <c r="Y714" i="3"/>
  <c r="Y713" i="3"/>
  <c r="Y712" i="3"/>
  <c r="Y711" i="3"/>
  <c r="Y710" i="3"/>
  <c r="Y709" i="3"/>
  <c r="Y708" i="3"/>
  <c r="Y707" i="3"/>
  <c r="Y706" i="3"/>
  <c r="Y705" i="3"/>
  <c r="Y704" i="3"/>
  <c r="Y703" i="3"/>
  <c r="Y702" i="3"/>
  <c r="Y701" i="3"/>
  <c r="Y700" i="3"/>
  <c r="Y699" i="3"/>
  <c r="Y698" i="3"/>
  <c r="Y697" i="3"/>
  <c r="Y696" i="3"/>
  <c r="Y695" i="3"/>
  <c r="Y694" i="3"/>
  <c r="Y693" i="3"/>
  <c r="Y692" i="3"/>
  <c r="Y691" i="3"/>
  <c r="Y690" i="3"/>
  <c r="Y689" i="3"/>
  <c r="Y688" i="3"/>
  <c r="Y687" i="3"/>
  <c r="Y686" i="3"/>
  <c r="Y685" i="3"/>
  <c r="Y684" i="3"/>
  <c r="Y683" i="3"/>
  <c r="Y682" i="3"/>
  <c r="Y681" i="3"/>
  <c r="Y680" i="3"/>
  <c r="Y679" i="3"/>
  <c r="Y678" i="3"/>
  <c r="Y677" i="3"/>
  <c r="Y676" i="3"/>
  <c r="Y675" i="3"/>
  <c r="Y674" i="3"/>
  <c r="Y673" i="3"/>
  <c r="Y672" i="3"/>
  <c r="Y671" i="3"/>
  <c r="Y670" i="3"/>
  <c r="Y669" i="3"/>
  <c r="Y668" i="3"/>
  <c r="Y667" i="3"/>
  <c r="Y666" i="3"/>
  <c r="Y665" i="3"/>
  <c r="Y664" i="3"/>
  <c r="Y663" i="3"/>
  <c r="Y662" i="3"/>
  <c r="Y661" i="3"/>
  <c r="Y660" i="3"/>
  <c r="Y659" i="3"/>
  <c r="Y658" i="3"/>
  <c r="Y657" i="3"/>
  <c r="Y656" i="3"/>
  <c r="Y655" i="3"/>
  <c r="Y654" i="3"/>
  <c r="Y653" i="3"/>
  <c r="Y652" i="3"/>
  <c r="Y651" i="3"/>
  <c r="Y650" i="3"/>
  <c r="Y649" i="3"/>
  <c r="Y648" i="3"/>
  <c r="Y647" i="3"/>
  <c r="Y646" i="3"/>
  <c r="Y645" i="3"/>
  <c r="Y644" i="3"/>
  <c r="Y643" i="3"/>
  <c r="Y642" i="3"/>
  <c r="Y641" i="3"/>
  <c r="Y640" i="3"/>
  <c r="Y639" i="3"/>
  <c r="Y638" i="3"/>
  <c r="Y637" i="3"/>
  <c r="Y636" i="3"/>
  <c r="Y635" i="3"/>
  <c r="Y634" i="3"/>
  <c r="Y633" i="3"/>
  <c r="Y632" i="3"/>
  <c r="Y631" i="3"/>
  <c r="Y630" i="3"/>
  <c r="Y629" i="3"/>
  <c r="Y628" i="3"/>
  <c r="Y627" i="3"/>
  <c r="Y626" i="3"/>
  <c r="Y625" i="3"/>
  <c r="Y624" i="3"/>
  <c r="Y623" i="3"/>
  <c r="Y622" i="3"/>
  <c r="Y621" i="3"/>
  <c r="Y620" i="3"/>
  <c r="Y619" i="3"/>
  <c r="Y618" i="3"/>
  <c r="Y617" i="3"/>
  <c r="Y616" i="3"/>
  <c r="Y615" i="3"/>
  <c r="Y614" i="3"/>
  <c r="Y613" i="3"/>
  <c r="Y612" i="3"/>
  <c r="Y611" i="3"/>
  <c r="Y610" i="3"/>
  <c r="Y609" i="3"/>
  <c r="Y608" i="3"/>
  <c r="Y607" i="3"/>
  <c r="Y606" i="3"/>
  <c r="Y605" i="3"/>
  <c r="Y604" i="3"/>
  <c r="Y603" i="3"/>
  <c r="Y602" i="3"/>
  <c r="Y601" i="3"/>
  <c r="Y600" i="3"/>
  <c r="Y599" i="3"/>
  <c r="Y598" i="3"/>
  <c r="Y597" i="3"/>
  <c r="Y596" i="3"/>
  <c r="Y595" i="3"/>
  <c r="Y594" i="3"/>
  <c r="Y593" i="3"/>
  <c r="Y592" i="3"/>
  <c r="Y591" i="3"/>
  <c r="Y590" i="3"/>
  <c r="Y589" i="3"/>
  <c r="Y588" i="3"/>
  <c r="Y587" i="3"/>
  <c r="Y586" i="3"/>
  <c r="Y585" i="3"/>
  <c r="Y584" i="3"/>
  <c r="Y583" i="3"/>
  <c r="Y582" i="3"/>
  <c r="Y581" i="3"/>
  <c r="Y580" i="3"/>
  <c r="Y579" i="3"/>
  <c r="Y578" i="3"/>
  <c r="Y577" i="3"/>
  <c r="Y576" i="3"/>
  <c r="Y575" i="3"/>
  <c r="Y574" i="3"/>
  <c r="Y573" i="3"/>
  <c r="Y572" i="3"/>
  <c r="Y571" i="3"/>
  <c r="Y570" i="3"/>
  <c r="Y569" i="3"/>
  <c r="Y568" i="3"/>
  <c r="Y567" i="3"/>
  <c r="Y566" i="3"/>
  <c r="Y565" i="3"/>
  <c r="Y564" i="3"/>
  <c r="Y563" i="3"/>
  <c r="Y562" i="3"/>
  <c r="Y561" i="3"/>
  <c r="Y560" i="3"/>
  <c r="Y559" i="3"/>
  <c r="Y558" i="3"/>
  <c r="Y557" i="3"/>
  <c r="Y556" i="3"/>
  <c r="Y555" i="3"/>
  <c r="Y554" i="3"/>
  <c r="Y553" i="3"/>
  <c r="Y552" i="3"/>
  <c r="Y551" i="3"/>
  <c r="Y550" i="3"/>
  <c r="Y549" i="3"/>
  <c r="Y548" i="3"/>
  <c r="Y547" i="3"/>
  <c r="Y546" i="3"/>
  <c r="Y545" i="3"/>
  <c r="Y544" i="3"/>
  <c r="Y543" i="3"/>
  <c r="Y542" i="3"/>
  <c r="Y541" i="3"/>
  <c r="Y540" i="3"/>
  <c r="Y539" i="3"/>
  <c r="Y538" i="3"/>
  <c r="Y537" i="3"/>
  <c r="Y536" i="3"/>
  <c r="Y535" i="3"/>
  <c r="Y534" i="3"/>
  <c r="Y533" i="3"/>
  <c r="Y532" i="3"/>
  <c r="Y531" i="3"/>
  <c r="Y530" i="3"/>
  <c r="Y529" i="3"/>
  <c r="Y528" i="3"/>
  <c r="Y527" i="3"/>
  <c r="Y526" i="3"/>
  <c r="Y525" i="3"/>
  <c r="Y524" i="3"/>
  <c r="Y523" i="3"/>
  <c r="Y522" i="3"/>
  <c r="Y521" i="3"/>
  <c r="Y520" i="3"/>
  <c r="Y519" i="3"/>
  <c r="Y518" i="3"/>
  <c r="Y517" i="3"/>
  <c r="Y516" i="3"/>
  <c r="Y515" i="3"/>
  <c r="Y514" i="3"/>
  <c r="Y513" i="3"/>
  <c r="Y512" i="3"/>
  <c r="Y511" i="3"/>
  <c r="Y510" i="3"/>
  <c r="Y509" i="3"/>
  <c r="Y508" i="3"/>
  <c r="Y507" i="3"/>
  <c r="Y506" i="3"/>
  <c r="Y505" i="3"/>
  <c r="Y504" i="3"/>
  <c r="Y503" i="3"/>
  <c r="Y502" i="3"/>
  <c r="Y501" i="3"/>
  <c r="Y500" i="3"/>
  <c r="Y499" i="3"/>
  <c r="Y498" i="3"/>
  <c r="Y497" i="3"/>
  <c r="Y496" i="3"/>
  <c r="Y495" i="3"/>
  <c r="Y494" i="3"/>
  <c r="Y493" i="3"/>
  <c r="Y492" i="3"/>
  <c r="Y491" i="3"/>
  <c r="Y490" i="3"/>
  <c r="Y489" i="3"/>
  <c r="Y488" i="3"/>
  <c r="Y487" i="3"/>
  <c r="Y486" i="3"/>
  <c r="Y485" i="3"/>
  <c r="Y484" i="3"/>
  <c r="Y483" i="3"/>
  <c r="Y482" i="3"/>
  <c r="Y481" i="3"/>
  <c r="Y480" i="3"/>
  <c r="Y479" i="3"/>
  <c r="Y478" i="3"/>
  <c r="Y477" i="3"/>
  <c r="Y476" i="3"/>
  <c r="Y475" i="3"/>
  <c r="Y474" i="3"/>
  <c r="Y473" i="3"/>
  <c r="Y472" i="3"/>
  <c r="Y471" i="3"/>
  <c r="Y470" i="3"/>
  <c r="Y469" i="3"/>
  <c r="Y468" i="3"/>
  <c r="Y467" i="3"/>
  <c r="Y466" i="3"/>
  <c r="Y465" i="3"/>
  <c r="Y464" i="3"/>
  <c r="Y463" i="3"/>
  <c r="Y462" i="3"/>
  <c r="Y461" i="3"/>
  <c r="Y460" i="3"/>
  <c r="Y459" i="3"/>
  <c r="Y458" i="3"/>
  <c r="Y457" i="3"/>
  <c r="Y456" i="3"/>
  <c r="Y455" i="3"/>
  <c r="Y454" i="3"/>
  <c r="Y453" i="3"/>
  <c r="Y452" i="3"/>
  <c r="Y451" i="3"/>
  <c r="Y450" i="3"/>
  <c r="Y449" i="3"/>
  <c r="Y448" i="3"/>
  <c r="Y447" i="3"/>
  <c r="Y446" i="3"/>
  <c r="Y445" i="3"/>
  <c r="Y444" i="3"/>
  <c r="Y443" i="3"/>
  <c r="Y442" i="3"/>
  <c r="Y441" i="3"/>
  <c r="Y440" i="3"/>
  <c r="Y439" i="3"/>
  <c r="Y438" i="3"/>
  <c r="Y437" i="3"/>
  <c r="Y436" i="3"/>
  <c r="Y435" i="3"/>
  <c r="Y434" i="3"/>
  <c r="Y433" i="3"/>
  <c r="Y432" i="3"/>
  <c r="Y431" i="3"/>
  <c r="Y430" i="3"/>
  <c r="Y429" i="3"/>
  <c r="Y428" i="3"/>
  <c r="Y427" i="3"/>
  <c r="Y426" i="3"/>
  <c r="Y425" i="3"/>
  <c r="Y424" i="3"/>
  <c r="Y423" i="3"/>
  <c r="Y422" i="3"/>
  <c r="Y421" i="3"/>
  <c r="Y420" i="3"/>
  <c r="Y419" i="3"/>
  <c r="Y418" i="3"/>
  <c r="Y417" i="3"/>
  <c r="Y416" i="3"/>
  <c r="Y415" i="3"/>
  <c r="Y414" i="3"/>
  <c r="Y413" i="3"/>
  <c r="Y412" i="3"/>
  <c r="Y411" i="3"/>
  <c r="Y410" i="3"/>
  <c r="Y409" i="3"/>
  <c r="Y408" i="3"/>
  <c r="Y407" i="3"/>
  <c r="Y406" i="3"/>
  <c r="Y405" i="3"/>
  <c r="Y404" i="3"/>
  <c r="Y403" i="3"/>
  <c r="Y402" i="3"/>
  <c r="Y401" i="3"/>
  <c r="Y400" i="3"/>
  <c r="Y399" i="3"/>
  <c r="Y398" i="3"/>
  <c r="Y397" i="3"/>
  <c r="Y396" i="3"/>
  <c r="Y395" i="3"/>
  <c r="Y394" i="3"/>
  <c r="Y393" i="3"/>
  <c r="Y392" i="3"/>
  <c r="Y391" i="3"/>
  <c r="Y390" i="3"/>
  <c r="Y389" i="3"/>
  <c r="Y388" i="3"/>
  <c r="Y387" i="3"/>
  <c r="Y386" i="3"/>
  <c r="Y385" i="3"/>
  <c r="Y384" i="3"/>
  <c r="Y383" i="3"/>
  <c r="Y382" i="3"/>
  <c r="Y381" i="3"/>
  <c r="Y380" i="3"/>
  <c r="Y379" i="3"/>
  <c r="Y378" i="3"/>
  <c r="Y377" i="3"/>
  <c r="Y376" i="3"/>
  <c r="Y375" i="3"/>
  <c r="Y374" i="3"/>
  <c r="Y373" i="3"/>
  <c r="Y372" i="3"/>
  <c r="Y371" i="3"/>
  <c r="Y370" i="3"/>
  <c r="Y369" i="3"/>
  <c r="Y368" i="3"/>
  <c r="Y367" i="3"/>
  <c r="Y366" i="3"/>
  <c r="Y365" i="3"/>
  <c r="Y364" i="3"/>
  <c r="Y363" i="3"/>
  <c r="Y362" i="3"/>
  <c r="Y361" i="3"/>
  <c r="Y360" i="3"/>
  <c r="Y359" i="3"/>
  <c r="Y358" i="3"/>
  <c r="Y357" i="3"/>
  <c r="Y356" i="3"/>
  <c r="Y355" i="3"/>
  <c r="Y354" i="3"/>
  <c r="Y353" i="3"/>
  <c r="Y352" i="3"/>
  <c r="Y351" i="3"/>
  <c r="Y350" i="3"/>
  <c r="Y349" i="3"/>
  <c r="Y348" i="3"/>
  <c r="Y347" i="3"/>
  <c r="Y346" i="3"/>
  <c r="Y345" i="3"/>
  <c r="Y344" i="3"/>
  <c r="Y343" i="3"/>
  <c r="Y342" i="3"/>
  <c r="Y341" i="3"/>
  <c r="Y340" i="3"/>
  <c r="Y339" i="3"/>
  <c r="Y338" i="3"/>
  <c r="Y337" i="3"/>
  <c r="Y336" i="3"/>
  <c r="Y335" i="3"/>
  <c r="Y334" i="3"/>
  <c r="Y333" i="3"/>
  <c r="Y332" i="3"/>
  <c r="Y331" i="3"/>
  <c r="Y330" i="3"/>
  <c r="Y329" i="3"/>
  <c r="Y328" i="3"/>
  <c r="Y327" i="3"/>
  <c r="Y326" i="3"/>
  <c r="Y325" i="3"/>
  <c r="Y324" i="3"/>
  <c r="Y323" i="3"/>
  <c r="Y322" i="3"/>
  <c r="Y321" i="3"/>
  <c r="Y320" i="3"/>
  <c r="Y319" i="3"/>
  <c r="Y318" i="3"/>
  <c r="Y317" i="3"/>
  <c r="Y316" i="3"/>
  <c r="Y315" i="3"/>
  <c r="Y314" i="3"/>
  <c r="Y313" i="3"/>
  <c r="Y312" i="3"/>
  <c r="Y311" i="3"/>
  <c r="Y310" i="3"/>
  <c r="Y309" i="3"/>
  <c r="Y308" i="3"/>
  <c r="Y307" i="3"/>
  <c r="Y306" i="3"/>
  <c r="Y305" i="3"/>
  <c r="Y304" i="3"/>
  <c r="Y303" i="3"/>
  <c r="Y302" i="3"/>
  <c r="Y301" i="3"/>
  <c r="Y300" i="3"/>
  <c r="Y299" i="3"/>
  <c r="Y298" i="3"/>
  <c r="Y297" i="3"/>
  <c r="Y296" i="3"/>
  <c r="Y295" i="3"/>
  <c r="Y294" i="3"/>
  <c r="Y293" i="3"/>
  <c r="Y292" i="3"/>
  <c r="Y291" i="3"/>
  <c r="Y290" i="3"/>
  <c r="Y289" i="3"/>
  <c r="Y288" i="3"/>
  <c r="Y287" i="3"/>
  <c r="Y286" i="3"/>
  <c r="Y285" i="3"/>
  <c r="Y284" i="3"/>
  <c r="Y283" i="3"/>
  <c r="Y282" i="3"/>
  <c r="Y281" i="3"/>
  <c r="Y280" i="3"/>
  <c r="Y279" i="3"/>
  <c r="Y278" i="3"/>
  <c r="Y277" i="3"/>
  <c r="Y276" i="3"/>
  <c r="Y275" i="3"/>
  <c r="Y274" i="3"/>
  <c r="Y273" i="3"/>
  <c r="Y272" i="3"/>
  <c r="Y271" i="3"/>
  <c r="Y270" i="3"/>
  <c r="Y269" i="3"/>
  <c r="Y268" i="3"/>
  <c r="Y267" i="3"/>
  <c r="Y266" i="3"/>
  <c r="Y265" i="3"/>
  <c r="Y264" i="3"/>
  <c r="Y263" i="3"/>
  <c r="Y262" i="3"/>
  <c r="Y261" i="3"/>
  <c r="Y260" i="3"/>
  <c r="Y259" i="3"/>
  <c r="Y258" i="3"/>
  <c r="Y257" i="3"/>
  <c r="Y256" i="3"/>
  <c r="Y255" i="3"/>
  <c r="Y254" i="3"/>
  <c r="Y253" i="3"/>
  <c r="Y252" i="3"/>
  <c r="Y251" i="3"/>
  <c r="Y250" i="3"/>
  <c r="Y249" i="3"/>
  <c r="Y248" i="3"/>
  <c r="Y247" i="3"/>
  <c r="Y246" i="3"/>
  <c r="Y245" i="3"/>
  <c r="Y244" i="3"/>
  <c r="Y243" i="3"/>
  <c r="Y242" i="3"/>
  <c r="Y241" i="3"/>
  <c r="Y240" i="3"/>
  <c r="Y239" i="3"/>
  <c r="Y238" i="3"/>
  <c r="Y237" i="3"/>
  <c r="Y236" i="3"/>
  <c r="Y235" i="3"/>
  <c r="Y234" i="3"/>
  <c r="Y233" i="3"/>
  <c r="Y232" i="3"/>
  <c r="Y231" i="3"/>
  <c r="Y230" i="3"/>
  <c r="Y229" i="3"/>
  <c r="Y228" i="3"/>
  <c r="Y227" i="3"/>
  <c r="Y226" i="3"/>
  <c r="Y225" i="3"/>
  <c r="Y224" i="3"/>
  <c r="Y223" i="3"/>
  <c r="Y222" i="3"/>
  <c r="Y221" i="3"/>
  <c r="Y220" i="3"/>
  <c r="Y219" i="3"/>
  <c r="Y218"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Y160" i="3"/>
  <c r="Y159" i="3"/>
  <c r="Y158" i="3"/>
  <c r="Y157" i="3"/>
  <c r="Y156" i="3"/>
  <c r="Y155" i="3"/>
  <c r="Y154" i="3"/>
  <c r="Y153"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Y102"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Y10" i="3"/>
  <c r="Y9" i="3"/>
  <c r="Y8" i="3"/>
  <c r="AX9" i="21" l="1"/>
  <c r="AO93" i="2"/>
  <c r="AT93" i="2" s="1"/>
  <c r="AY93" i="2" s="1"/>
  <c r="AP93" i="2"/>
  <c r="AU93" i="2" s="1"/>
  <c r="AZ93" i="2" s="1"/>
  <c r="AQ93" i="2"/>
  <c r="AV93" i="2" s="1"/>
  <c r="BA93" i="2" s="1"/>
  <c r="AR93" i="2"/>
  <c r="AW93" i="2" s="1"/>
  <c r="BB93" i="2" s="1"/>
  <c r="AJ121" i="2" l="1"/>
  <c r="AC74" i="2"/>
  <c r="AK121" i="2" l="1"/>
  <c r="AX79" i="21"/>
  <c r="AS79" i="21"/>
  <c r="AN79" i="21"/>
  <c r="AI79" i="21"/>
  <c r="AD79" i="21"/>
  <c r="Y79" i="21"/>
  <c r="Y78" i="21" s="1"/>
  <c r="T79" i="21"/>
  <c r="T78" i="21" s="1"/>
  <c r="O79" i="21"/>
  <c r="O78" i="21" s="1"/>
  <c r="J79" i="21"/>
  <c r="J78" i="21" s="1"/>
  <c r="E79" i="21"/>
  <c r="E78" i="21" s="1"/>
  <c r="AM121" i="2" l="1"/>
  <c r="AL121" i="2"/>
  <c r="AA101" i="2"/>
  <c r="AB101" i="2"/>
  <c r="Z101" i="2"/>
  <c r="X101" i="2"/>
  <c r="AD13" i="21"/>
  <c r="I7" i="21"/>
  <c r="J7" i="21"/>
  <c r="N7" i="21" s="1"/>
  <c r="G10" i="2"/>
  <c r="H10" i="2"/>
  <c r="H19" i="21"/>
  <c r="J19" i="21"/>
  <c r="K15" i="21"/>
  <c r="L36" i="21"/>
  <c r="M15" i="21"/>
  <c r="O15" i="21"/>
  <c r="Q10" i="2"/>
  <c r="R10" i="2"/>
  <c r="S10" i="2"/>
  <c r="U10" i="2"/>
  <c r="U19" i="21"/>
  <c r="V23" i="21"/>
  <c r="W19" i="21"/>
  <c r="I14" i="21"/>
  <c r="N14" i="21"/>
  <c r="S14" i="21"/>
  <c r="X14" i="21"/>
  <c r="K16" i="21"/>
  <c r="L16" i="21"/>
  <c r="M16" i="21"/>
  <c r="O16" i="21"/>
  <c r="P16" i="21"/>
  <c r="Q16" i="21"/>
  <c r="R16" i="21"/>
  <c r="T16" i="21"/>
  <c r="U16" i="21"/>
  <c r="V16" i="21"/>
  <c r="W16" i="21"/>
  <c r="Y16" i="21"/>
  <c r="Z16" i="21"/>
  <c r="AA16" i="21"/>
  <c r="I18" i="21"/>
  <c r="N18" i="21"/>
  <c r="S18" i="21"/>
  <c r="X18" i="21"/>
  <c r="V19" i="21"/>
  <c r="Y19" i="21"/>
  <c r="I22" i="21"/>
  <c r="N22" i="21"/>
  <c r="S22" i="21"/>
  <c r="X22" i="21"/>
  <c r="H23" i="21"/>
  <c r="G24" i="21"/>
  <c r="H24" i="21"/>
  <c r="J24" i="21"/>
  <c r="K24" i="21"/>
  <c r="L24" i="21"/>
  <c r="M24" i="21"/>
  <c r="O24" i="21"/>
  <c r="P24" i="21"/>
  <c r="Q24" i="21"/>
  <c r="R24" i="21"/>
  <c r="T24" i="21"/>
  <c r="U24" i="21"/>
  <c r="V24" i="21"/>
  <c r="W24" i="21"/>
  <c r="Y24" i="21"/>
  <c r="Z24" i="21"/>
  <c r="AA24" i="21"/>
  <c r="I26" i="21"/>
  <c r="N26" i="21"/>
  <c r="S26" i="21"/>
  <c r="X26" i="21"/>
  <c r="Q27" i="21"/>
  <c r="Z27" i="21"/>
  <c r="G28" i="21"/>
  <c r="H28" i="21"/>
  <c r="J28" i="21"/>
  <c r="K28" i="21"/>
  <c r="L28" i="21"/>
  <c r="M28" i="21"/>
  <c r="O28" i="21"/>
  <c r="P28" i="21"/>
  <c r="Q28" i="21"/>
  <c r="R28" i="21"/>
  <c r="T28" i="21"/>
  <c r="U28" i="21"/>
  <c r="V28" i="21"/>
  <c r="W28" i="21"/>
  <c r="Y28" i="21"/>
  <c r="Z28" i="21"/>
  <c r="AA28" i="21"/>
  <c r="I30" i="21"/>
  <c r="N30" i="21"/>
  <c r="S30" i="21"/>
  <c r="X30" i="21"/>
  <c r="J31" i="21"/>
  <c r="V31" i="21"/>
  <c r="W31" i="21"/>
  <c r="G32" i="21"/>
  <c r="H32" i="21"/>
  <c r="J32" i="21"/>
  <c r="K32" i="21"/>
  <c r="L32" i="21"/>
  <c r="M32" i="21"/>
  <c r="O32" i="21"/>
  <c r="P32" i="21"/>
  <c r="Q32" i="21"/>
  <c r="R32" i="21"/>
  <c r="T32" i="21"/>
  <c r="U32" i="21"/>
  <c r="V32" i="21"/>
  <c r="W32" i="21"/>
  <c r="Y32" i="21"/>
  <c r="Z32" i="21"/>
  <c r="AA32" i="21"/>
  <c r="I35" i="21"/>
  <c r="N35" i="21"/>
  <c r="S35" i="21"/>
  <c r="X35" i="21"/>
  <c r="H36" i="21"/>
  <c r="AB38" i="21"/>
  <c r="AD38" i="21"/>
  <c r="AE38" i="21"/>
  <c r="AJ38" i="21" s="1"/>
  <c r="AO38" i="21" s="1"/>
  <c r="AF38" i="21"/>
  <c r="F39" i="21"/>
  <c r="G39" i="21"/>
  <c r="H39" i="21"/>
  <c r="J39" i="21"/>
  <c r="K39" i="21"/>
  <c r="L39" i="21"/>
  <c r="M39" i="21"/>
  <c r="O39" i="21"/>
  <c r="P39" i="21"/>
  <c r="Q39" i="21"/>
  <c r="R39" i="21"/>
  <c r="T39" i="21"/>
  <c r="U39" i="21"/>
  <c r="V39" i="21"/>
  <c r="W39" i="21"/>
  <c r="Y39" i="21"/>
  <c r="Z39" i="21"/>
  <c r="AA39" i="21"/>
  <c r="B41" i="21"/>
  <c r="AB41" i="21"/>
  <c r="AG41" i="21" s="1"/>
  <c r="AL41" i="21" s="1"/>
  <c r="AQ41" i="21" s="1"/>
  <c r="AV41" i="21" s="1"/>
  <c r="BA41" i="21" s="1"/>
  <c r="AD41" i="21"/>
  <c r="AI41" i="21" s="1"/>
  <c r="AN41" i="21" s="1"/>
  <c r="AS41" i="21" s="1"/>
  <c r="AX41" i="21" s="1"/>
  <c r="AE41" i="21"/>
  <c r="AJ41" i="21" s="1"/>
  <c r="AO41" i="21" s="1"/>
  <c r="AT41" i="21" s="1"/>
  <c r="AY41" i="21" s="1"/>
  <c r="AF41" i="21"/>
  <c r="AK41" i="21" s="1"/>
  <c r="AP41" i="21" s="1"/>
  <c r="AU41" i="21" s="1"/>
  <c r="AZ41" i="21" s="1"/>
  <c r="E42" i="21"/>
  <c r="F42" i="21"/>
  <c r="G42" i="21"/>
  <c r="H42" i="21"/>
  <c r="J42" i="21"/>
  <c r="K42" i="21"/>
  <c r="L42" i="21"/>
  <c r="M42" i="21"/>
  <c r="O42" i="21"/>
  <c r="P42" i="21"/>
  <c r="Q42" i="21"/>
  <c r="R42" i="21"/>
  <c r="T42" i="21"/>
  <c r="U42" i="21"/>
  <c r="V42" i="21"/>
  <c r="W42" i="21"/>
  <c r="Y42" i="21"/>
  <c r="Z42" i="21"/>
  <c r="AA42" i="21"/>
  <c r="B44" i="21"/>
  <c r="AB44" i="21"/>
  <c r="AD44" i="21"/>
  <c r="AI44" i="21" s="1"/>
  <c r="AN44" i="21" s="1"/>
  <c r="AS44" i="21" s="1"/>
  <c r="AX44" i="21" s="1"/>
  <c r="AE44" i="21"/>
  <c r="AJ44" i="21" s="1"/>
  <c r="AO44" i="21" s="1"/>
  <c r="AT44" i="21" s="1"/>
  <c r="AY44" i="21" s="1"/>
  <c r="AF44" i="21"/>
  <c r="AK44" i="21" s="1"/>
  <c r="AP44" i="21" s="1"/>
  <c r="AU44" i="21" s="1"/>
  <c r="AZ44" i="21" s="1"/>
  <c r="E45" i="21"/>
  <c r="F45" i="21"/>
  <c r="G45" i="21"/>
  <c r="H45" i="21"/>
  <c r="J45" i="21"/>
  <c r="K45" i="21"/>
  <c r="L45" i="21"/>
  <c r="M45" i="21"/>
  <c r="O45" i="21"/>
  <c r="P45" i="21"/>
  <c r="Q45" i="21"/>
  <c r="R45" i="21"/>
  <c r="T45" i="21"/>
  <c r="U45" i="21"/>
  <c r="V45" i="21"/>
  <c r="W45" i="21"/>
  <c r="Y45" i="21"/>
  <c r="Z45" i="21"/>
  <c r="AA45" i="21"/>
  <c r="E47" i="21"/>
  <c r="E48" i="21" s="1"/>
  <c r="F47" i="21"/>
  <c r="F48" i="21" s="1"/>
  <c r="G47" i="21"/>
  <c r="G48" i="21" s="1"/>
  <c r="H47" i="21"/>
  <c r="H48" i="21" s="1"/>
  <c r="J47" i="21"/>
  <c r="J48" i="21" s="1"/>
  <c r="K47" i="21"/>
  <c r="K48" i="21" s="1"/>
  <c r="L47" i="21"/>
  <c r="L48" i="21" s="1"/>
  <c r="M47" i="21"/>
  <c r="M48" i="21" s="1"/>
  <c r="O47" i="21"/>
  <c r="O48" i="21" s="1"/>
  <c r="P47" i="21"/>
  <c r="P48" i="21" s="1"/>
  <c r="Q47" i="21"/>
  <c r="Q48" i="21" s="1"/>
  <c r="R47" i="21"/>
  <c r="R48" i="21" s="1"/>
  <c r="T47" i="21"/>
  <c r="T48" i="21" s="1"/>
  <c r="U47" i="21"/>
  <c r="U48" i="21" s="1"/>
  <c r="V47" i="21"/>
  <c r="V48" i="21" s="1"/>
  <c r="W47" i="21"/>
  <c r="W48" i="21" s="1"/>
  <c r="Y47" i="21"/>
  <c r="Z47" i="21"/>
  <c r="AA47" i="21"/>
  <c r="AA48" i="21" s="1"/>
  <c r="F51" i="21"/>
  <c r="F53" i="21" s="1"/>
  <c r="F54" i="21" s="1"/>
  <c r="K51" i="21"/>
  <c r="K53" i="21" s="1"/>
  <c r="P51" i="21"/>
  <c r="Q51" i="21" s="1"/>
  <c r="Q53" i="21" s="1"/>
  <c r="U51" i="21"/>
  <c r="U53" i="21" s="1"/>
  <c r="Z51" i="21"/>
  <c r="AA51" i="21" s="1"/>
  <c r="AB51" i="21" s="1"/>
  <c r="AB53" i="21" s="1"/>
  <c r="AB54" i="21" s="1"/>
  <c r="AE51" i="21"/>
  <c r="AE53" i="21" s="1"/>
  <c r="AJ51" i="21"/>
  <c r="AJ53" i="21" s="1"/>
  <c r="AJ54" i="21" s="1"/>
  <c r="AO51" i="21"/>
  <c r="AP51" i="21" s="1"/>
  <c r="AT51" i="21"/>
  <c r="AU51" i="21" s="1"/>
  <c r="AY51" i="21"/>
  <c r="AZ51" i="21" s="1"/>
  <c r="AZ53" i="21" s="1"/>
  <c r="AZ54" i="21" s="1"/>
  <c r="E53" i="21"/>
  <c r="J53" i="21"/>
  <c r="J54" i="21" s="1"/>
  <c r="O53" i="21"/>
  <c r="T53" i="21"/>
  <c r="Y53" i="21"/>
  <c r="AD53" i="21"/>
  <c r="AD54" i="21" s="1"/>
  <c r="AI53" i="21"/>
  <c r="AI52" i="21" s="1"/>
  <c r="AN53" i="21"/>
  <c r="AN52" i="21" s="1"/>
  <c r="AS53" i="21"/>
  <c r="AS52" i="21" s="1"/>
  <c r="AX53" i="21"/>
  <c r="F77" i="21"/>
  <c r="F79" i="21" s="1"/>
  <c r="F78" i="21" s="1"/>
  <c r="K77" i="21"/>
  <c r="K79" i="21" s="1"/>
  <c r="K78" i="21" s="1"/>
  <c r="P77" i="21"/>
  <c r="P79" i="21" s="1"/>
  <c r="P78" i="21" s="1"/>
  <c r="U77" i="21"/>
  <c r="U79" i="21" s="1"/>
  <c r="U78" i="21" s="1"/>
  <c r="Z77" i="21"/>
  <c r="Z79" i="21" s="1"/>
  <c r="Z78" i="21" s="1"/>
  <c r="AE77" i="21"/>
  <c r="AE79" i="21" s="1"/>
  <c r="AJ77" i="21"/>
  <c r="AJ79" i="21" s="1"/>
  <c r="AO77" i="21"/>
  <c r="AO79" i="21" s="1"/>
  <c r="AT77" i="21"/>
  <c r="AT79" i="21" s="1"/>
  <c r="AY77" i="21"/>
  <c r="J80" i="21"/>
  <c r="J88" i="21" s="1"/>
  <c r="T80" i="21"/>
  <c r="Y82" i="21"/>
  <c r="AD85" i="21"/>
  <c r="AI85" i="21"/>
  <c r="AN85" i="21"/>
  <c r="AS78" i="21"/>
  <c r="AX78" i="21"/>
  <c r="AS80" i="21"/>
  <c r="AS88" i="21" s="1"/>
  <c r="AS85" i="21"/>
  <c r="U36" i="21" l="1"/>
  <c r="F15" i="21"/>
  <c r="F36" i="21"/>
  <c r="U31" i="21"/>
  <c r="U27" i="21"/>
  <c r="U23" i="21"/>
  <c r="V10" i="2"/>
  <c r="U15" i="21"/>
  <c r="F31" i="21"/>
  <c r="F19" i="21"/>
  <c r="F27" i="21"/>
  <c r="AA27" i="21"/>
  <c r="AB27" i="21" s="1"/>
  <c r="F57" i="21"/>
  <c r="Z23" i="21"/>
  <c r="AG38" i="21"/>
  <c r="AL38" i="21" s="1"/>
  <c r="AC38" i="21"/>
  <c r="Y15" i="21"/>
  <c r="AI38" i="21"/>
  <c r="E23" i="21"/>
  <c r="F10" i="2"/>
  <c r="AZ77" i="21"/>
  <c r="AZ79" i="21" s="1"/>
  <c r="AY79" i="21"/>
  <c r="E27" i="21"/>
  <c r="N10" i="2"/>
  <c r="J36" i="21"/>
  <c r="AP77" i="21"/>
  <c r="AP79" i="21" s="1"/>
  <c r="V15" i="21"/>
  <c r="AU77" i="21"/>
  <c r="AU79" i="21" s="1"/>
  <c r="AT80" i="21"/>
  <c r="AT85" i="21" s="1"/>
  <c r="AK77" i="21"/>
  <c r="AK79" i="21" s="1"/>
  <c r="AK85" i="21" s="1"/>
  <c r="V77" i="21"/>
  <c r="V79" i="21" s="1"/>
  <c r="V78" i="21" s="1"/>
  <c r="G77" i="21"/>
  <c r="G79" i="21" s="1"/>
  <c r="G78" i="21" s="1"/>
  <c r="F88" i="21"/>
  <c r="AF77" i="21"/>
  <c r="AF79" i="21" s="1"/>
  <c r="L77" i="21"/>
  <c r="L79" i="21" s="1"/>
  <c r="L78" i="21" s="1"/>
  <c r="K81" i="21"/>
  <c r="AA77" i="21"/>
  <c r="AA79" i="21" s="1"/>
  <c r="AA78" i="21" s="1"/>
  <c r="Q19" i="21"/>
  <c r="L10" i="2"/>
  <c r="K10" i="2"/>
  <c r="Z10" i="2"/>
  <c r="E31" i="21"/>
  <c r="V27" i="21"/>
  <c r="M10" i="2"/>
  <c r="AB10" i="2"/>
  <c r="P10" i="2"/>
  <c r="W36" i="21"/>
  <c r="Q23" i="21"/>
  <c r="AA10" i="2"/>
  <c r="T36" i="21"/>
  <c r="F23" i="21"/>
  <c r="E15" i="21"/>
  <c r="I10" i="2"/>
  <c r="W10" i="2"/>
  <c r="Q31" i="21"/>
  <c r="X10" i="2"/>
  <c r="AE13" i="21"/>
  <c r="AF13" i="21"/>
  <c r="K36" i="21"/>
  <c r="AA31" i="21"/>
  <c r="AB31" i="21" s="1"/>
  <c r="M23" i="21"/>
  <c r="Z31" i="21"/>
  <c r="K23" i="21"/>
  <c r="Z19" i="21"/>
  <c r="AX85" i="21"/>
  <c r="O81" i="21"/>
  <c r="AS54" i="21"/>
  <c r="AS59" i="21" s="1"/>
  <c r="O36" i="21"/>
  <c r="O23" i="21"/>
  <c r="P27" i="21"/>
  <c r="Z36" i="21"/>
  <c r="O27" i="21"/>
  <c r="Z15" i="21"/>
  <c r="Y36" i="21"/>
  <c r="K27" i="21"/>
  <c r="P19" i="21"/>
  <c r="P31" i="21"/>
  <c r="Y23" i="21"/>
  <c r="O19" i="21"/>
  <c r="O31" i="21"/>
  <c r="L19" i="21"/>
  <c r="F85" i="21"/>
  <c r="L31" i="21"/>
  <c r="K19" i="21"/>
  <c r="O56" i="21"/>
  <c r="P36" i="21"/>
  <c r="K31" i="21"/>
  <c r="P23" i="21"/>
  <c r="AJ78" i="21"/>
  <c r="AA15" i="21"/>
  <c r="AB15" i="21" s="1"/>
  <c r="AB48" i="21"/>
  <c r="AG48" i="21" s="1"/>
  <c r="AL48" i="21" s="1"/>
  <c r="AQ48" i="21" s="1"/>
  <c r="AV48" i="21" s="1"/>
  <c r="BA48" i="21" s="1"/>
  <c r="AA36" i="21"/>
  <c r="L23" i="21"/>
  <c r="T15" i="21"/>
  <c r="AT88" i="21"/>
  <c r="AF42" i="21"/>
  <c r="AK42" i="21" s="1"/>
  <c r="AP42" i="21" s="1"/>
  <c r="AU42" i="21" s="1"/>
  <c r="AZ42" i="21" s="1"/>
  <c r="T31" i="21"/>
  <c r="J23" i="21"/>
  <c r="E19" i="21"/>
  <c r="AA19" i="21"/>
  <c r="AB19" i="21" s="1"/>
  <c r="J15" i="21"/>
  <c r="J27" i="21"/>
  <c r="AB45" i="21"/>
  <c r="AG45" i="21" s="1"/>
  <c r="AL45" i="21" s="1"/>
  <c r="AQ45" i="21" s="1"/>
  <c r="AV45" i="21" s="1"/>
  <c r="BA45" i="21" s="1"/>
  <c r="Y81" i="21"/>
  <c r="T23" i="21"/>
  <c r="U54" i="21"/>
  <c r="U57" i="21" s="1"/>
  <c r="U56" i="21"/>
  <c r="AP53" i="21"/>
  <c r="AQ51" i="21"/>
  <c r="AQ53" i="21" s="1"/>
  <c r="AQ52" i="21" s="1"/>
  <c r="AQ59" i="21" s="1"/>
  <c r="Y80" i="21"/>
  <c r="M27" i="21"/>
  <c r="AY53" i="21"/>
  <c r="AY52" i="21" s="1"/>
  <c r="V51" i="21"/>
  <c r="V53" i="21" s="1"/>
  <c r="V56" i="21" s="1"/>
  <c r="AF47" i="21"/>
  <c r="AK47" i="21" s="1"/>
  <c r="AP47" i="21" s="1"/>
  <c r="AU47" i="21" s="1"/>
  <c r="AZ47" i="21" s="1"/>
  <c r="AF39" i="21"/>
  <c r="AK39" i="21" s="1"/>
  <c r="AP39" i="21" s="1"/>
  <c r="AU39" i="21" s="1"/>
  <c r="AZ39" i="21" s="1"/>
  <c r="V36" i="21"/>
  <c r="E36" i="21"/>
  <c r="Y31" i="21"/>
  <c r="H31" i="21"/>
  <c r="L27" i="21"/>
  <c r="T19" i="21"/>
  <c r="L15" i="21"/>
  <c r="AB52" i="21"/>
  <c r="AB59" i="21" s="1"/>
  <c r="AE47" i="21"/>
  <c r="AJ47" i="21" s="1"/>
  <c r="AO47" i="21" s="1"/>
  <c r="AT47" i="21" s="1"/>
  <c r="AY47" i="21" s="1"/>
  <c r="AD39" i="21"/>
  <c r="AI39" i="21" s="1"/>
  <c r="AN39" i="21" s="1"/>
  <c r="AS39" i="21" s="1"/>
  <c r="AX39" i="21" s="1"/>
  <c r="AO53" i="21"/>
  <c r="AO59" i="21" s="1"/>
  <c r="AB42" i="21"/>
  <c r="AG42" i="21" s="1"/>
  <c r="AL42" i="21" s="1"/>
  <c r="AQ42" i="21" s="1"/>
  <c r="AV42" i="21" s="1"/>
  <c r="BA42" i="21" s="1"/>
  <c r="Q36" i="21"/>
  <c r="Y27" i="21"/>
  <c r="H27" i="21"/>
  <c r="AA23" i="21"/>
  <c r="AB23" i="21" s="1"/>
  <c r="H15" i="21"/>
  <c r="W27" i="21"/>
  <c r="M19" i="21"/>
  <c r="M36" i="21"/>
  <c r="W23" i="21"/>
  <c r="Y85" i="21"/>
  <c r="AD42" i="21"/>
  <c r="AI42" i="21" s="1"/>
  <c r="AN42" i="21" s="1"/>
  <c r="AS42" i="21" s="1"/>
  <c r="AX42" i="21" s="1"/>
  <c r="J56" i="21"/>
  <c r="AA53" i="21"/>
  <c r="AA54" i="21" s="1"/>
  <c r="AA57" i="21" s="1"/>
  <c r="T27" i="21"/>
  <c r="AF45" i="21"/>
  <c r="AK45" i="21" s="1"/>
  <c r="AP45" i="21" s="1"/>
  <c r="AU45" i="21" s="1"/>
  <c r="AZ45" i="21" s="1"/>
  <c r="M31" i="21"/>
  <c r="W15" i="21"/>
  <c r="AE42" i="21"/>
  <c r="AJ42" i="21" s="1"/>
  <c r="AO42" i="21" s="1"/>
  <c r="AT42" i="21" s="1"/>
  <c r="AY42" i="21" s="1"/>
  <c r="AE39" i="21"/>
  <c r="AJ39" i="21" s="1"/>
  <c r="AO39" i="21" s="1"/>
  <c r="AT39" i="21" s="1"/>
  <c r="AY39" i="21" s="1"/>
  <c r="J57" i="21"/>
  <c r="J59" i="21"/>
  <c r="J62" i="21" s="1"/>
  <c r="J63" i="21" s="1"/>
  <c r="K54" i="21"/>
  <c r="K57" i="21" s="1"/>
  <c r="K59" i="21"/>
  <c r="K62" i="21" s="1"/>
  <c r="K63" i="21" s="1"/>
  <c r="T83" i="21"/>
  <c r="T88" i="21"/>
  <c r="T89" i="21" s="1"/>
  <c r="AE54" i="21"/>
  <c r="AE59" i="21"/>
  <c r="AE52" i="21"/>
  <c r="O85" i="21"/>
  <c r="T81" i="21"/>
  <c r="Q77" i="21"/>
  <c r="Q79" i="21" s="1"/>
  <c r="Q78" i="21" s="1"/>
  <c r="AI54" i="21"/>
  <c r="AI59" i="21" s="1"/>
  <c r="Z53" i="21"/>
  <c r="Z54" i="21" s="1"/>
  <c r="Z57" i="21" s="1"/>
  <c r="L51" i="21"/>
  <c r="AB39" i="21"/>
  <c r="AG39" i="21" s="1"/>
  <c r="AL39" i="21" s="1"/>
  <c r="AQ39" i="21" s="1"/>
  <c r="AV39" i="21" s="1"/>
  <c r="BA39" i="21" s="1"/>
  <c r="R19" i="21"/>
  <c r="S36" i="21"/>
  <c r="R31" i="21"/>
  <c r="O80" i="21"/>
  <c r="O83" i="21" s="1"/>
  <c r="AB47" i="21"/>
  <c r="AG47" i="21" s="1"/>
  <c r="AL47" i="21" s="1"/>
  <c r="AQ47" i="21" s="1"/>
  <c r="AV47" i="21" s="1"/>
  <c r="BA47" i="21" s="1"/>
  <c r="R23" i="21"/>
  <c r="T82" i="21"/>
  <c r="Y52" i="21"/>
  <c r="Y55" i="21" s="1"/>
  <c r="AF51" i="21"/>
  <c r="O82" i="21"/>
  <c r="J52" i="21"/>
  <c r="J55" i="21" s="1"/>
  <c r="R15" i="21"/>
  <c r="Y54" i="21"/>
  <c r="Y57" i="21" s="1"/>
  <c r="AX80" i="21"/>
  <c r="AX88" i="21" s="1"/>
  <c r="BA51" i="21"/>
  <c r="BA53" i="21" s="1"/>
  <c r="BA54" i="21" s="1"/>
  <c r="R36" i="21"/>
  <c r="Q15" i="21"/>
  <c r="AF48" i="21"/>
  <c r="AK48" i="21" s="1"/>
  <c r="AP48" i="21" s="1"/>
  <c r="AU48" i="21" s="1"/>
  <c r="AZ48" i="21" s="1"/>
  <c r="R27" i="21"/>
  <c r="P15" i="21"/>
  <c r="AN80" i="21"/>
  <c r="AN88" i="21" s="1"/>
  <c r="AD45" i="21"/>
  <c r="AI45" i="21" s="1"/>
  <c r="AN45" i="21" s="1"/>
  <c r="AS45" i="21" s="1"/>
  <c r="AX45" i="21" s="1"/>
  <c r="N36" i="21"/>
  <c r="T85" i="21"/>
  <c r="AZ52" i="21"/>
  <c r="AZ59" i="21" s="1"/>
  <c r="R51" i="21"/>
  <c r="R53" i="21" s="1"/>
  <c r="R52" i="21" s="1"/>
  <c r="Y56" i="21"/>
  <c r="AN54" i="21"/>
  <c r="AN59" i="21" s="1"/>
  <c r="AE80" i="21"/>
  <c r="AE85" i="21" s="1"/>
  <c r="AE45" i="21"/>
  <c r="AJ45" i="21" s="1"/>
  <c r="AO45" i="21" s="1"/>
  <c r="AT45" i="21" s="1"/>
  <c r="AY45" i="21" s="1"/>
  <c r="AQ77" i="21"/>
  <c r="AQ79" i="21" s="1"/>
  <c r="E82" i="21"/>
  <c r="J89" i="21"/>
  <c r="E52" i="21"/>
  <c r="E54" i="21"/>
  <c r="AV51" i="21"/>
  <c r="AV53" i="21" s="1"/>
  <c r="AU53" i="21"/>
  <c r="E80" i="21"/>
  <c r="AI78" i="21"/>
  <c r="AI80" i="21"/>
  <c r="E56" i="21"/>
  <c r="Q54" i="21"/>
  <c r="Q57" i="21" s="1"/>
  <c r="Q52" i="21"/>
  <c r="Q56" i="21"/>
  <c r="J85" i="21"/>
  <c r="J83" i="21"/>
  <c r="AB77" i="21"/>
  <c r="AB79" i="21" s="1"/>
  <c r="AD78" i="21"/>
  <c r="AD80" i="21"/>
  <c r="K88" i="21"/>
  <c r="K89" i="21" s="1"/>
  <c r="AT78" i="21"/>
  <c r="AD47" i="21"/>
  <c r="AI47" i="21" s="1"/>
  <c r="AN47" i="21" s="1"/>
  <c r="AS47" i="21" s="1"/>
  <c r="AX47" i="21" s="1"/>
  <c r="Y48" i="21"/>
  <c r="AD48" i="21" s="1"/>
  <c r="AI48" i="21" s="1"/>
  <c r="AN48" i="21" s="1"/>
  <c r="AS48" i="21" s="1"/>
  <c r="AX48" i="21" s="1"/>
  <c r="K82" i="21"/>
  <c r="AD59" i="21"/>
  <c r="U52" i="21"/>
  <c r="U55" i="21" s="1"/>
  <c r="U59" i="21"/>
  <c r="U62" i="21" s="1"/>
  <c r="U63" i="21" s="1"/>
  <c r="I36" i="21"/>
  <c r="G15" i="21"/>
  <c r="G19" i="21"/>
  <c r="G36" i="21"/>
  <c r="G23" i="21"/>
  <c r="G27" i="21"/>
  <c r="G31" i="21"/>
  <c r="J82" i="21"/>
  <c r="AN78" i="21"/>
  <c r="K80" i="21"/>
  <c r="T52" i="21"/>
  <c r="T54" i="21"/>
  <c r="T56" i="21"/>
  <c r="AJ52" i="21"/>
  <c r="AJ59" i="21"/>
  <c r="K52" i="21"/>
  <c r="K55" i="21" s="1"/>
  <c r="F56" i="21"/>
  <c r="F59" i="21"/>
  <c r="F62" i="21" s="1"/>
  <c r="F63" i="21" s="1"/>
  <c r="F52" i="21"/>
  <c r="F55" i="21" s="1"/>
  <c r="AQ38" i="21"/>
  <c r="AX52" i="21"/>
  <c r="AX54" i="21"/>
  <c r="O52" i="21"/>
  <c r="AT38" i="21"/>
  <c r="K56" i="21"/>
  <c r="O54" i="21"/>
  <c r="P53" i="21"/>
  <c r="AD52" i="21"/>
  <c r="AK51" i="21"/>
  <c r="AG44" i="21"/>
  <c r="AL44" i="21" s="1"/>
  <c r="AQ44" i="21" s="1"/>
  <c r="AV44" i="21" s="1"/>
  <c r="BA44" i="21" s="1"/>
  <c r="AK38" i="21"/>
  <c r="AT53" i="21"/>
  <c r="G51" i="21"/>
  <c r="Z48" i="21"/>
  <c r="AE48" i="21" s="1"/>
  <c r="AJ48" i="21" s="1"/>
  <c r="AO48" i="21" s="1"/>
  <c r="AT48" i="21" s="1"/>
  <c r="AY48" i="21" s="1"/>
  <c r="X36" i="21"/>
  <c r="O7" i="21"/>
  <c r="S53" i="21" l="1"/>
  <c r="Z56" i="21"/>
  <c r="AH38" i="21"/>
  <c r="AG77" i="21"/>
  <c r="AG79" i="21" s="1"/>
  <c r="M77" i="21"/>
  <c r="M79" i="21" s="1"/>
  <c r="M78" i="21" s="1"/>
  <c r="BA77" i="21"/>
  <c r="BA79" i="21" s="1"/>
  <c r="BB79" i="21" s="1"/>
  <c r="AK78" i="21"/>
  <c r="AK88" i="21" s="1"/>
  <c r="AO54" i="21"/>
  <c r="R56" i="21"/>
  <c r="AB62" i="21"/>
  <c r="AB9" i="21"/>
  <c r="AO52" i="21"/>
  <c r="AO121" i="2"/>
  <c r="AN38" i="21"/>
  <c r="AN35" i="21" s="1"/>
  <c r="AM38" i="21"/>
  <c r="Z59" i="21"/>
  <c r="Z62" i="21" s="1"/>
  <c r="Z63" i="21" s="1"/>
  <c r="H77" i="21"/>
  <c r="H79" i="21" s="1"/>
  <c r="H78" i="21" s="1"/>
  <c r="Z52" i="21"/>
  <c r="Z55" i="21" s="1"/>
  <c r="AV77" i="21"/>
  <c r="E88" i="21"/>
  <c r="E85" i="21"/>
  <c r="W77" i="21"/>
  <c r="W79" i="21" s="1"/>
  <c r="W78" i="21" s="1"/>
  <c r="AL77" i="21"/>
  <c r="AL79" i="21" s="1"/>
  <c r="S56" i="21"/>
  <c r="F82" i="21"/>
  <c r="AJ35" i="21"/>
  <c r="AO35" i="21"/>
  <c r="Y59" i="21"/>
  <c r="Y62" i="21" s="1"/>
  <c r="Y63" i="21" s="1"/>
  <c r="R54" i="21"/>
  <c r="R57" i="21" s="1"/>
  <c r="BB53" i="21"/>
  <c r="AC53" i="21"/>
  <c r="F81" i="21"/>
  <c r="BA52" i="21"/>
  <c r="BA59" i="21" s="1"/>
  <c r="BA62" i="21" s="1"/>
  <c r="F80" i="21"/>
  <c r="F83" i="21" s="1"/>
  <c r="F89" i="21"/>
  <c r="O88" i="21"/>
  <c r="O89" i="21" s="1"/>
  <c r="AY54" i="21"/>
  <c r="BB54" i="21" s="1"/>
  <c r="AR53" i="21"/>
  <c r="AF35" i="21"/>
  <c r="AJ80" i="21"/>
  <c r="AJ85" i="21" s="1"/>
  <c r="AJ88" i="21"/>
  <c r="AK80" i="21"/>
  <c r="AY59" i="21"/>
  <c r="V54" i="21"/>
  <c r="V57" i="21" s="1"/>
  <c r="AB35" i="21"/>
  <c r="AC35" i="21" s="1"/>
  <c r="C35" i="21" s="1"/>
  <c r="AQ54" i="21"/>
  <c r="AO62" i="21"/>
  <c r="Y88" i="21"/>
  <c r="Y89" i="21" s="1"/>
  <c r="Y83" i="21"/>
  <c r="V52" i="21"/>
  <c r="V59" i="21" s="1"/>
  <c r="V62" i="21" s="1"/>
  <c r="V63" i="21" s="1"/>
  <c r="AE35" i="21"/>
  <c r="AP52" i="21"/>
  <c r="AP59" i="21" s="1"/>
  <c r="AP54" i="21"/>
  <c r="W51" i="21"/>
  <c r="W53" i="21" s="1"/>
  <c r="X53" i="21" s="1"/>
  <c r="X56" i="21" s="1"/>
  <c r="AA56" i="21"/>
  <c r="AA52" i="21"/>
  <c r="AA59" i="21" s="1"/>
  <c r="AA62" i="21" s="1"/>
  <c r="AA63" i="21" s="1"/>
  <c r="AE78" i="21"/>
  <c r="AN62" i="21"/>
  <c r="R77" i="21"/>
  <c r="R79" i="21" s="1"/>
  <c r="R78" i="21" s="1"/>
  <c r="AF53" i="21"/>
  <c r="AG51" i="21"/>
  <c r="AG53" i="21" s="1"/>
  <c r="AQ62" i="21"/>
  <c r="P88" i="21"/>
  <c r="P89" i="21" s="1"/>
  <c r="P80" i="21"/>
  <c r="AE62" i="21"/>
  <c r="AE88" i="21"/>
  <c r="AZ62" i="21"/>
  <c r="AD62" i="21"/>
  <c r="L53" i="21"/>
  <c r="M51" i="21"/>
  <c r="M53" i="21" s="1"/>
  <c r="AJ62" i="21"/>
  <c r="P82" i="21"/>
  <c r="AI62" i="21"/>
  <c r="T57" i="21"/>
  <c r="T59" i="21"/>
  <c r="T62" i="21" s="1"/>
  <c r="S7" i="21"/>
  <c r="T7" i="21"/>
  <c r="K85" i="21"/>
  <c r="K83" i="21"/>
  <c r="E55" i="21"/>
  <c r="E81" i="21"/>
  <c r="AI35" i="21"/>
  <c r="G80" i="21"/>
  <c r="G83" i="21" s="1"/>
  <c r="G82" i="21"/>
  <c r="G88" i="21"/>
  <c r="AD35" i="21"/>
  <c r="E83" i="21"/>
  <c r="AS62" i="21"/>
  <c r="AP38" i="21"/>
  <c r="AK35" i="21"/>
  <c r="O55" i="21"/>
  <c r="AD88" i="21"/>
  <c r="AT35" i="21"/>
  <c r="AY38" i="21"/>
  <c r="AY35" i="21" s="1"/>
  <c r="AL35" i="21"/>
  <c r="Q55" i="21"/>
  <c r="Q59" i="21"/>
  <c r="Q62" i="21" s="1"/>
  <c r="Q63" i="21" s="1"/>
  <c r="AK53" i="21"/>
  <c r="AL51" i="21"/>
  <c r="AL53" i="21" s="1"/>
  <c r="E57" i="21"/>
  <c r="E59" i="21"/>
  <c r="E62" i="21" s="1"/>
  <c r="L80" i="21"/>
  <c r="L83" i="21" s="1"/>
  <c r="L85" i="21"/>
  <c r="L82" i="21"/>
  <c r="AX59" i="21"/>
  <c r="AV38" i="21"/>
  <c r="AQ35" i="21"/>
  <c r="P81" i="21"/>
  <c r="U82" i="21"/>
  <c r="U88" i="21"/>
  <c r="U80" i="21"/>
  <c r="G53" i="21"/>
  <c r="H51" i="21"/>
  <c r="H53" i="21" s="1"/>
  <c r="O57" i="21"/>
  <c r="O59" i="21"/>
  <c r="O62" i="21" s="1"/>
  <c r="AY88" i="21"/>
  <c r="AY78" i="21"/>
  <c r="AY80" i="21"/>
  <c r="AT52" i="21"/>
  <c r="AT54" i="21"/>
  <c r="AW53" i="21"/>
  <c r="AT59" i="21"/>
  <c r="AI88" i="21"/>
  <c r="P54" i="21"/>
  <c r="P57" i="21" s="1"/>
  <c r="M72" i="21" s="1"/>
  <c r="P59" i="21"/>
  <c r="P62" i="21" s="1"/>
  <c r="P63" i="21" s="1"/>
  <c r="P52" i="21"/>
  <c r="P55" i="21" s="1"/>
  <c r="P56" i="21"/>
  <c r="M71" i="21" s="1"/>
  <c r="Z80" i="21"/>
  <c r="Z88" i="21"/>
  <c r="Z82" i="21"/>
  <c r="AA85" i="21"/>
  <c r="AA80" i="21"/>
  <c r="AA83" i="21" s="1"/>
  <c r="AA82" i="21"/>
  <c r="L71" i="21"/>
  <c r="AU52" i="21"/>
  <c r="AU59" i="21" s="1"/>
  <c r="AU54" i="21"/>
  <c r="AO88" i="21"/>
  <c r="AO78" i="21"/>
  <c r="AO80" i="21"/>
  <c r="AZ78" i="21"/>
  <c r="AZ88" i="21" s="1"/>
  <c r="AZ85" i="21"/>
  <c r="AZ80" i="21"/>
  <c r="AC54" i="21"/>
  <c r="AG35" i="21"/>
  <c r="AV52" i="21"/>
  <c r="AV59" i="21" s="1"/>
  <c r="AV54" i="21"/>
  <c r="R55" i="21"/>
  <c r="R59" i="21"/>
  <c r="R62" i="21" s="1"/>
  <c r="R63" i="21" s="1"/>
  <c r="J81" i="21"/>
  <c r="AP85" i="21"/>
  <c r="AP78" i="21"/>
  <c r="AP88" i="21" s="1"/>
  <c r="AP80" i="21"/>
  <c r="AF80" i="21"/>
  <c r="AF85" i="21"/>
  <c r="AF78" i="21"/>
  <c r="AF88" i="21" s="1"/>
  <c r="T55" i="21"/>
  <c r="AH79" i="21"/>
  <c r="V80" i="21"/>
  <c r="V83" i="21" s="1"/>
  <c r="V82" i="21"/>
  <c r="V85" i="21"/>
  <c r="AR79" i="21"/>
  <c r="E92" i="21"/>
  <c r="AB10" i="21" l="1"/>
  <c r="AG9" i="21"/>
  <c r="AC9" i="21"/>
  <c r="AS22" i="21"/>
  <c r="AS14" i="21"/>
  <c r="AS26" i="21"/>
  <c r="AT10" i="2"/>
  <c r="AS18" i="21"/>
  <c r="AS30" i="21"/>
  <c r="AP121" i="2"/>
  <c r="AE14" i="21"/>
  <c r="AR38" i="21"/>
  <c r="AS38" i="21"/>
  <c r="X79" i="21"/>
  <c r="X82" i="21" s="1"/>
  <c r="AV79" i="21"/>
  <c r="AV78" i="21" s="1"/>
  <c r="W52" i="21"/>
  <c r="X52" i="21" s="1"/>
  <c r="X55" i="21" s="1"/>
  <c r="W54" i="21"/>
  <c r="W57" i="21" s="1"/>
  <c r="AU80" i="21"/>
  <c r="AU78" i="21"/>
  <c r="AU88" i="21" s="1"/>
  <c r="AU85" i="21"/>
  <c r="AY62" i="21"/>
  <c r="BB52" i="21"/>
  <c r="AD26" i="21"/>
  <c r="AD22" i="21"/>
  <c r="AD18" i="21"/>
  <c r="AD14" i="21"/>
  <c r="AE10" i="2"/>
  <c r="AB30" i="21"/>
  <c r="AC30" i="21" s="1"/>
  <c r="C30" i="21" s="1"/>
  <c r="AB14" i="21"/>
  <c r="AC14" i="21" s="1"/>
  <c r="C14" i="21" s="1"/>
  <c r="AB26" i="21"/>
  <c r="AC26" i="21" s="1"/>
  <c r="C26" i="21" s="1"/>
  <c r="AC10" i="2"/>
  <c r="AD30" i="21"/>
  <c r="AB22" i="21"/>
  <c r="AC22" i="21" s="1"/>
  <c r="C22" i="21" s="1"/>
  <c r="AB18" i="21"/>
  <c r="AC18" i="21" s="1"/>
  <c r="C18" i="21" s="1"/>
  <c r="AN26" i="21"/>
  <c r="AN14" i="21"/>
  <c r="AN22" i="21"/>
  <c r="AO10" i="2"/>
  <c r="AN30" i="21"/>
  <c r="AN18" i="21"/>
  <c r="AY10" i="2"/>
  <c r="AX22" i="21"/>
  <c r="AX30" i="21"/>
  <c r="AX18" i="21"/>
  <c r="AX26" i="21"/>
  <c r="AX14" i="21"/>
  <c r="AJ10" i="2"/>
  <c r="AI22" i="21"/>
  <c r="AI30" i="21"/>
  <c r="AI18" i="21"/>
  <c r="AI26" i="21"/>
  <c r="AI14" i="21"/>
  <c r="W56" i="21"/>
  <c r="AR54" i="21"/>
  <c r="AG13" i="21"/>
  <c r="AJ13" i="21"/>
  <c r="AI13" i="21"/>
  <c r="AK13" i="21"/>
  <c r="AO13" i="21"/>
  <c r="AL13" i="21"/>
  <c r="AA55" i="21"/>
  <c r="F92" i="21"/>
  <c r="AR52" i="21"/>
  <c r="AC52" i="21"/>
  <c r="V55" i="21"/>
  <c r="M70" i="21"/>
  <c r="AP62" i="21"/>
  <c r="AR62" i="21" s="1"/>
  <c r="AR59" i="21"/>
  <c r="M52" i="21"/>
  <c r="M54" i="21"/>
  <c r="M57" i="21" s="1"/>
  <c r="M56" i="21"/>
  <c r="Q85" i="21"/>
  <c r="Q80" i="21"/>
  <c r="Q83" i="21" s="1"/>
  <c r="G93" i="21" s="1"/>
  <c r="Q82" i="21"/>
  <c r="G92" i="21" s="1"/>
  <c r="AV62" i="21"/>
  <c r="AU62" i="21"/>
  <c r="L54" i="21"/>
  <c r="L56" i="21"/>
  <c r="N53" i="21"/>
  <c r="N56" i="21" s="1"/>
  <c r="L52" i="21"/>
  <c r="P83" i="21"/>
  <c r="P85" i="21"/>
  <c r="AT62" i="21"/>
  <c r="AG52" i="21"/>
  <c r="AG59" i="21" s="1"/>
  <c r="AG54" i="21"/>
  <c r="AF54" i="21"/>
  <c r="AH53" i="21"/>
  <c r="AF52" i="21"/>
  <c r="Z89" i="21"/>
  <c r="AY85" i="21"/>
  <c r="S62" i="21"/>
  <c r="S63" i="21" s="1"/>
  <c r="O63" i="21"/>
  <c r="L72" i="21"/>
  <c r="E89" i="21"/>
  <c r="AB78" i="21"/>
  <c r="AC78" i="21" s="1"/>
  <c r="AB80" i="21"/>
  <c r="AC80" i="21" s="1"/>
  <c r="Z81" i="21"/>
  <c r="E93" i="21"/>
  <c r="AM35" i="21"/>
  <c r="S54" i="21"/>
  <c r="S57" i="21" s="1"/>
  <c r="S52" i="21"/>
  <c r="S55" i="21" s="1"/>
  <c r="AH35" i="21"/>
  <c r="X7" i="21"/>
  <c r="Y7" i="21"/>
  <c r="E91" i="21"/>
  <c r="G89" i="21"/>
  <c r="G85" i="21"/>
  <c r="G81" i="21"/>
  <c r="AG80" i="21"/>
  <c r="AH80" i="21" s="1"/>
  <c r="AG78" i="21"/>
  <c r="AH78" i="21" s="1"/>
  <c r="L81" i="21"/>
  <c r="L88" i="21"/>
  <c r="AD36" i="21"/>
  <c r="AL52" i="21"/>
  <c r="AL59" i="21" s="1"/>
  <c r="AL54" i="21"/>
  <c r="G52" i="21"/>
  <c r="G54" i="21"/>
  <c r="G56" i="21"/>
  <c r="I53" i="21"/>
  <c r="I56" i="21" s="1"/>
  <c r="AK52" i="21"/>
  <c r="AK54" i="21"/>
  <c r="AM53" i="21"/>
  <c r="L70" i="21"/>
  <c r="U83" i="21"/>
  <c r="U85" i="21"/>
  <c r="M80" i="21"/>
  <c r="M82" i="21"/>
  <c r="AU38" i="21"/>
  <c r="AP35" i="21"/>
  <c r="AR35" i="21" s="1"/>
  <c r="U81" i="21"/>
  <c r="H80" i="21"/>
  <c r="H82" i="21"/>
  <c r="I79" i="21"/>
  <c r="I82" i="21" s="1"/>
  <c r="AC62" i="21"/>
  <c r="T63" i="21"/>
  <c r="H52" i="21"/>
  <c r="H54" i="21"/>
  <c r="H57" i="21" s="1"/>
  <c r="H56" i="21"/>
  <c r="AQ80" i="21"/>
  <c r="AR80" i="21" s="1"/>
  <c r="AQ78" i="21"/>
  <c r="W80" i="21"/>
  <c r="W83" i="21" s="1"/>
  <c r="W82" i="21"/>
  <c r="X78" i="21"/>
  <c r="X81" i="21" s="1"/>
  <c r="AA88" i="21"/>
  <c r="AA89" i="21" s="1"/>
  <c r="AA81" i="21"/>
  <c r="U89" i="21"/>
  <c r="AV35" i="21"/>
  <c r="BA38" i="21"/>
  <c r="BA35" i="21" s="1"/>
  <c r="AO85" i="21"/>
  <c r="AC79" i="21"/>
  <c r="N79" i="21"/>
  <c r="N82" i="21" s="1"/>
  <c r="AX62" i="21"/>
  <c r="BB59" i="21"/>
  <c r="AW59" i="21"/>
  <c r="AB36" i="21"/>
  <c r="AW54" i="21"/>
  <c r="BA78" i="21"/>
  <c r="BA80" i="21"/>
  <c r="BB80" i="21" s="1"/>
  <c r="V81" i="21"/>
  <c r="V88" i="21"/>
  <c r="V89" i="21" s="1"/>
  <c r="AW52" i="21"/>
  <c r="E63" i="21"/>
  <c r="Z85" i="21"/>
  <c r="Z83" i="21"/>
  <c r="X54" i="21" l="1"/>
  <c r="X57" i="21" s="1"/>
  <c r="AL9" i="21"/>
  <c r="AH9" i="21"/>
  <c r="AE26" i="21"/>
  <c r="AE18" i="21"/>
  <c r="AF10" i="2"/>
  <c r="AF60" i="2" s="1"/>
  <c r="AE22" i="21"/>
  <c r="AE36" i="21"/>
  <c r="AE30" i="21"/>
  <c r="AZ14" i="21"/>
  <c r="AZ26" i="21"/>
  <c r="AZ30" i="21"/>
  <c r="AJ60" i="2"/>
  <c r="AE60" i="2"/>
  <c r="AO60" i="2"/>
  <c r="AQ121" i="2"/>
  <c r="AV85" i="21"/>
  <c r="AV88" i="21"/>
  <c r="AW88" i="21" s="1"/>
  <c r="W55" i="21"/>
  <c r="AW38" i="21"/>
  <c r="AS35" i="21"/>
  <c r="AX38" i="21"/>
  <c r="AX35" i="21" s="1"/>
  <c r="AJ36" i="21"/>
  <c r="W59" i="21"/>
  <c r="W62" i="21" s="1"/>
  <c r="W63" i="21" s="1"/>
  <c r="AW79" i="21"/>
  <c r="AV80" i="21"/>
  <c r="AW80" i="21" s="1"/>
  <c r="AL80" i="21"/>
  <c r="AM80" i="21" s="1"/>
  <c r="AM79" i="21"/>
  <c r="AL78" i="21"/>
  <c r="BB62" i="21"/>
  <c r="AW78" i="21"/>
  <c r="AU30" i="21"/>
  <c r="AU18" i="21"/>
  <c r="AV10" i="2"/>
  <c r="AU26" i="21"/>
  <c r="AU14" i="21"/>
  <c r="AU22" i="21"/>
  <c r="AP26" i="21"/>
  <c r="AP22" i="21"/>
  <c r="AP30" i="21"/>
  <c r="AP18" i="21"/>
  <c r="AN13" i="21"/>
  <c r="AQ13" i="21"/>
  <c r="AY13" i="21"/>
  <c r="AT13" i="21"/>
  <c r="AP13" i="21"/>
  <c r="AH54" i="21"/>
  <c r="F93" i="21"/>
  <c r="X80" i="21"/>
  <c r="X83" i="21" s="1"/>
  <c r="AW62" i="21"/>
  <c r="AG62" i="21"/>
  <c r="AL62" i="21"/>
  <c r="S78" i="21"/>
  <c r="S81" i="21" s="1"/>
  <c r="R82" i="21"/>
  <c r="S79" i="21"/>
  <c r="S82" i="21" s="1"/>
  <c r="R80" i="21"/>
  <c r="Q88" i="21"/>
  <c r="Q89" i="21" s="1"/>
  <c r="Q81" i="21"/>
  <c r="G91" i="21" s="1"/>
  <c r="AM54" i="21"/>
  <c r="N52" i="21"/>
  <c r="N55" i="21" s="1"/>
  <c r="L59" i="21"/>
  <c r="L62" i="21" s="1"/>
  <c r="L55" i="21"/>
  <c r="M59" i="21"/>
  <c r="M62" i="21" s="1"/>
  <c r="M63" i="21" s="1"/>
  <c r="M55" i="21"/>
  <c r="AF59" i="21"/>
  <c r="AH52" i="21"/>
  <c r="L57" i="21"/>
  <c r="N54" i="21"/>
  <c r="N57" i="21" s="1"/>
  <c r="AU35" i="21"/>
  <c r="AW35" i="21" s="1"/>
  <c r="AZ38" i="21"/>
  <c r="AZ35" i="21" s="1"/>
  <c r="BB35" i="21" s="1"/>
  <c r="D35" i="21" s="1"/>
  <c r="AK59" i="21"/>
  <c r="AM52" i="21"/>
  <c r="L89" i="21"/>
  <c r="BA85" i="21"/>
  <c r="BA88" i="21"/>
  <c r="BB88" i="21" s="1"/>
  <c r="AC7" i="21"/>
  <c r="AD7" i="21"/>
  <c r="N71" i="21"/>
  <c r="AB56" i="21"/>
  <c r="O71" i="21" s="1"/>
  <c r="AG85" i="21"/>
  <c r="AG88" i="21"/>
  <c r="AH88" i="21" s="1"/>
  <c r="G57" i="21"/>
  <c r="I54" i="21"/>
  <c r="I57" i="21" s="1"/>
  <c r="M83" i="21"/>
  <c r="N80" i="21"/>
  <c r="N83" i="21" s="1"/>
  <c r="H81" i="21"/>
  <c r="H85" i="21"/>
  <c r="H88" i="21"/>
  <c r="H89" i="21" s="1"/>
  <c r="M85" i="21"/>
  <c r="M81" i="21"/>
  <c r="M88" i="21"/>
  <c r="M89" i="21" s="1"/>
  <c r="N78" i="21"/>
  <c r="N81" i="21" s="1"/>
  <c r="H55" i="21"/>
  <c r="H59" i="21"/>
  <c r="H62" i="21" s="1"/>
  <c r="H63" i="21" s="1"/>
  <c r="G55" i="21"/>
  <c r="G59" i="21"/>
  <c r="G62" i="21" s="1"/>
  <c r="I52" i="21"/>
  <c r="I55" i="21" s="1"/>
  <c r="F91" i="21"/>
  <c r="H83" i="21"/>
  <c r="I80" i="21"/>
  <c r="I83" i="21" s="1"/>
  <c r="AI36" i="21"/>
  <c r="AB88" i="21"/>
  <c r="AC88" i="21" s="1"/>
  <c r="AB85" i="21"/>
  <c r="W85" i="21"/>
  <c r="W81" i="21"/>
  <c r="W88" i="21"/>
  <c r="W89" i="21" s="1"/>
  <c r="AC36" i="21"/>
  <c r="C36" i="21" s="1"/>
  <c r="C9" i="21"/>
  <c r="I78" i="21"/>
  <c r="I81" i="21" s="1"/>
  <c r="BB78" i="21"/>
  <c r="AQ85" i="21"/>
  <c r="AQ88" i="21"/>
  <c r="AR88" i="21" s="1"/>
  <c r="AR78" i="21"/>
  <c r="AQ9" i="21" l="1"/>
  <c r="AM9" i="21"/>
  <c r="AZ18" i="21"/>
  <c r="BA10" i="2"/>
  <c r="AZ22" i="21"/>
  <c r="AQ10" i="2"/>
  <c r="AQ60" i="2" s="1"/>
  <c r="AP14" i="21"/>
  <c r="AR121" i="2"/>
  <c r="AO36" i="21"/>
  <c r="AK10" i="2"/>
  <c r="AJ14" i="21"/>
  <c r="AJ22" i="21"/>
  <c r="AJ26" i="21"/>
  <c r="AJ30" i="21"/>
  <c r="AJ18" i="21"/>
  <c r="X62" i="21"/>
  <c r="X63" i="21" s="1"/>
  <c r="AB82" i="21"/>
  <c r="H92" i="21" s="1"/>
  <c r="AL85" i="21"/>
  <c r="AM78" i="21"/>
  <c r="AL88" i="21"/>
  <c r="AM88" i="21" s="1"/>
  <c r="AG36" i="21"/>
  <c r="AG22" i="21"/>
  <c r="AH10" i="2"/>
  <c r="AG30" i="21"/>
  <c r="AG26" i="21"/>
  <c r="AG14" i="21"/>
  <c r="AG18" i="21"/>
  <c r="AM10" i="2"/>
  <c r="AL22" i="21"/>
  <c r="AL30" i="21"/>
  <c r="AL18" i="21"/>
  <c r="AL26" i="21"/>
  <c r="AL14" i="21"/>
  <c r="AX13" i="21"/>
  <c r="AS13" i="21"/>
  <c r="AZ13" i="21"/>
  <c r="AU13" i="21"/>
  <c r="BA13" i="21"/>
  <c r="AV13" i="21"/>
  <c r="X88" i="21"/>
  <c r="X89" i="21" s="1"/>
  <c r="N62" i="21"/>
  <c r="N63" i="21" s="1"/>
  <c r="L63" i="21"/>
  <c r="AK62" i="21"/>
  <c r="AM62" i="21" s="1"/>
  <c r="S80" i="21"/>
  <c r="S83" i="21" s="1"/>
  <c r="R83" i="21"/>
  <c r="AF62" i="21"/>
  <c r="AH62" i="21" s="1"/>
  <c r="R81" i="21"/>
  <c r="AB81" i="21" s="1"/>
  <c r="H91" i="21" s="1"/>
  <c r="R88" i="21"/>
  <c r="R89" i="21" s="1"/>
  <c r="I90" i="21" s="1"/>
  <c r="R85" i="21"/>
  <c r="N72" i="21"/>
  <c r="AB57" i="21"/>
  <c r="O72" i="21" s="1"/>
  <c r="N70" i="21"/>
  <c r="AB55" i="21"/>
  <c r="O70" i="21" s="1"/>
  <c r="N88" i="21"/>
  <c r="N89" i="21" s="1"/>
  <c r="AP36" i="21"/>
  <c r="AN36" i="21"/>
  <c r="AH7" i="21"/>
  <c r="AI7" i="21"/>
  <c r="AL36" i="21"/>
  <c r="G63" i="21"/>
  <c r="I62" i="21"/>
  <c r="I63" i="21" s="1"/>
  <c r="I88" i="21"/>
  <c r="I89" i="21" s="1"/>
  <c r="AV9" i="21" l="1"/>
  <c r="AR9" i="21"/>
  <c r="AR36" i="21" s="1"/>
  <c r="AR10" i="2"/>
  <c r="AQ30" i="21"/>
  <c r="AQ18" i="21"/>
  <c r="AQ26" i="21"/>
  <c r="AQ22" i="21"/>
  <c r="AQ14" i="21"/>
  <c r="AK60" i="2"/>
  <c r="AM60" i="2"/>
  <c r="AH60" i="2"/>
  <c r="AT121" i="2"/>
  <c r="AB83" i="21"/>
  <c r="H93" i="21" s="1"/>
  <c r="AO30" i="21"/>
  <c r="AO18" i="21"/>
  <c r="AP10" i="2"/>
  <c r="AO26" i="21"/>
  <c r="AO14" i="21"/>
  <c r="AO22" i="21"/>
  <c r="AR22" i="21" s="1"/>
  <c r="I64" i="21"/>
  <c r="AL10" i="2"/>
  <c r="AK22" i="21"/>
  <c r="AM22" i="21" s="1"/>
  <c r="AK30" i="21"/>
  <c r="AM30" i="21" s="1"/>
  <c r="AK18" i="21"/>
  <c r="AM18" i="21" s="1"/>
  <c r="AK26" i="21"/>
  <c r="AM26" i="21" s="1"/>
  <c r="AK14" i="21"/>
  <c r="AM14" i="21" s="1"/>
  <c r="AF22" i="21"/>
  <c r="AH22" i="21" s="1"/>
  <c r="AG10" i="2"/>
  <c r="AF30" i="21"/>
  <c r="AH30" i="21" s="1"/>
  <c r="AF26" i="21"/>
  <c r="AH26" i="21" s="1"/>
  <c r="AF14" i="21"/>
  <c r="AH14" i="21" s="1"/>
  <c r="AF18" i="21"/>
  <c r="AH18" i="21" s="1"/>
  <c r="AM36" i="21"/>
  <c r="AK36" i="21"/>
  <c r="AH36" i="21"/>
  <c r="AF36" i="21"/>
  <c r="S88" i="21"/>
  <c r="S89" i="21" s="1"/>
  <c r="AT36" i="21"/>
  <c r="AQ36" i="21"/>
  <c r="AZ36" i="21"/>
  <c r="AU36" i="21"/>
  <c r="AS36" i="21"/>
  <c r="AM7" i="21"/>
  <c r="AN7" i="21"/>
  <c r="AR26" i="21" l="1"/>
  <c r="AR30" i="21"/>
  <c r="AR18" i="21"/>
  <c r="BA9" i="21"/>
  <c r="BA36" i="21" s="1"/>
  <c r="AW9" i="21"/>
  <c r="AV14" i="21"/>
  <c r="AV22" i="21"/>
  <c r="AW10" i="2"/>
  <c r="AV30" i="21"/>
  <c r="AV18" i="21"/>
  <c r="AV26" i="21"/>
  <c r="AR14" i="21"/>
  <c r="AG60" i="2"/>
  <c r="AP60" i="2"/>
  <c r="AL60" i="2"/>
  <c r="AU121" i="2"/>
  <c r="AT14" i="21"/>
  <c r="AT30" i="21"/>
  <c r="AT18" i="21"/>
  <c r="AU10" i="2"/>
  <c r="AT26" i="21"/>
  <c r="AT22" i="21"/>
  <c r="AW22" i="21" s="1"/>
  <c r="AR7" i="21"/>
  <c r="AS7" i="21"/>
  <c r="AX36" i="21"/>
  <c r="AV36" i="21"/>
  <c r="AW26" i="21" l="1"/>
  <c r="AW30" i="21"/>
  <c r="AW18" i="21"/>
  <c r="AW14" i="21"/>
  <c r="BB9" i="21"/>
  <c r="BB10" i="2"/>
  <c r="BA22" i="21"/>
  <c r="BA30" i="21"/>
  <c r="BA14" i="21"/>
  <c r="BA18" i="21"/>
  <c r="BA26" i="21"/>
  <c r="AX10" i="2"/>
  <c r="L7" i="23" s="1"/>
  <c r="AV121" i="2"/>
  <c r="AY14" i="21"/>
  <c r="AZ10" i="2"/>
  <c r="AY22" i="21"/>
  <c r="AY18" i="21"/>
  <c r="AY26" i="21"/>
  <c r="AY30" i="21"/>
  <c r="AY36" i="21"/>
  <c r="BB36" i="21"/>
  <c r="D36" i="21" s="1"/>
  <c r="AW36" i="21"/>
  <c r="K35" i="22"/>
  <c r="AW7" i="21"/>
  <c r="AX7" i="21"/>
  <c r="BB7" i="21" s="1"/>
  <c r="BB30" i="21" l="1"/>
  <c r="D30" i="21" s="1"/>
  <c r="BB26" i="21"/>
  <c r="D26" i="21" s="1"/>
  <c r="BB14" i="21"/>
  <c r="D14" i="21" s="1"/>
  <c r="BB18" i="21"/>
  <c r="D18" i="21" s="1"/>
  <c r="BB22" i="21"/>
  <c r="D22" i="21" s="1"/>
  <c r="BC10" i="2"/>
  <c r="M7" i="23" s="1"/>
  <c r="D9" i="21"/>
  <c r="AW121" i="2"/>
  <c r="D30" i="19"/>
  <c r="AC48" i="2"/>
  <c r="E27" i="19"/>
  <c r="E26" i="19"/>
  <c r="E25" i="19"/>
  <c r="E24" i="19"/>
  <c r="E23" i="19"/>
  <c r="E22" i="19"/>
  <c r="E21" i="19"/>
  <c r="E20" i="19"/>
  <c r="E19" i="19"/>
  <c r="E18" i="19"/>
  <c r="E17" i="19"/>
  <c r="E16" i="19"/>
  <c r="E15" i="19"/>
  <c r="E14" i="19"/>
  <c r="E13" i="19"/>
  <c r="E12" i="19"/>
  <c r="C28" i="19"/>
  <c r="E28" i="19" s="1"/>
  <c r="C8" i="19" s="1"/>
  <c r="AC122" i="2" l="1"/>
  <c r="AY121" i="2"/>
  <c r="C30" i="19"/>
  <c r="E30" i="19" s="1"/>
  <c r="AL122" i="2"/>
  <c r="AK122" i="2"/>
  <c r="AJ122" i="2"/>
  <c r="AG122" i="2"/>
  <c r="AF122" i="2"/>
  <c r="AH122" i="2"/>
  <c r="AE122" i="2"/>
  <c r="AM122" i="2"/>
  <c r="AZ121" i="2" l="1"/>
  <c r="AE48" i="2"/>
  <c r="AG48" i="2" s="1"/>
  <c r="D15" i="7"/>
  <c r="E15" i="7"/>
  <c r="F15" i="7"/>
  <c r="G15" i="7"/>
  <c r="H15" i="7"/>
  <c r="C15" i="7"/>
  <c r="BA121" i="2" l="1"/>
  <c r="AE41" i="2"/>
  <c r="AR60" i="2"/>
  <c r="AC77" i="2"/>
  <c r="AD77" i="2" s="1"/>
  <c r="AE77" i="2" s="1"/>
  <c r="AF77" i="2" s="1"/>
  <c r="AG77" i="2" s="1"/>
  <c r="AH77" i="2" s="1"/>
  <c r="AI77" i="2" s="1"/>
  <c r="AJ77" i="2" s="1"/>
  <c r="AK77" i="2" s="1"/>
  <c r="AL77" i="2" s="1"/>
  <c r="AM77" i="2" s="1"/>
  <c r="AN77" i="2" s="1"/>
  <c r="AO77" i="2" s="1"/>
  <c r="AP77" i="2" s="1"/>
  <c r="AQ77" i="2" s="1"/>
  <c r="AR77" i="2" s="1"/>
  <c r="AS77" i="2" s="1"/>
  <c r="AT77" i="2" s="1"/>
  <c r="AU77" i="2" s="1"/>
  <c r="AV77" i="2" s="1"/>
  <c r="AW77" i="2" s="1"/>
  <c r="AX77" i="2" s="1"/>
  <c r="AY77" i="2" s="1"/>
  <c r="AZ77" i="2" s="1"/>
  <c r="BA77" i="2" s="1"/>
  <c r="BB77" i="2" s="1"/>
  <c r="BC77" i="2" s="1"/>
  <c r="AE105" i="2"/>
  <c r="AF105" i="2" s="1"/>
  <c r="AG105" i="2" s="1"/>
  <c r="AH105" i="2" s="1"/>
  <c r="AJ105" i="2" s="1"/>
  <c r="AK105" i="2" s="1"/>
  <c r="AL105" i="2" s="1"/>
  <c r="AM105" i="2" s="1"/>
  <c r="AO105" i="2" s="1"/>
  <c r="AP105" i="2" s="1"/>
  <c r="AQ105" i="2" s="1"/>
  <c r="AR105" i="2" s="1"/>
  <c r="AT105" i="2" s="1"/>
  <c r="AU105" i="2" s="1"/>
  <c r="AV105" i="2" s="1"/>
  <c r="AW105" i="2" s="1"/>
  <c r="AY105" i="2" s="1"/>
  <c r="AZ105" i="2" s="1"/>
  <c r="BA105" i="2" s="1"/>
  <c r="BB105" i="2" s="1"/>
  <c r="AF108" i="2"/>
  <c r="AG108" i="2" s="1"/>
  <c r="AH108" i="2" s="1"/>
  <c r="AJ108" i="2" s="1"/>
  <c r="AK108" i="2" s="1"/>
  <c r="X106" i="2"/>
  <c r="W106" i="2"/>
  <c r="V106" i="2"/>
  <c r="U106" i="2"/>
  <c r="S106" i="2"/>
  <c r="R106" i="2"/>
  <c r="Q106" i="2"/>
  <c r="P106" i="2"/>
  <c r="N106" i="2"/>
  <c r="M106" i="2"/>
  <c r="L106" i="2"/>
  <c r="K106" i="2"/>
  <c r="G106" i="2"/>
  <c r="H106" i="2"/>
  <c r="I106" i="2"/>
  <c r="F106" i="2"/>
  <c r="AB104" i="2"/>
  <c r="AA104" i="2"/>
  <c r="Z104" i="2"/>
  <c r="AB103" i="2"/>
  <c r="AA103" i="2"/>
  <c r="Z103" i="2"/>
  <c r="X104" i="2"/>
  <c r="W104" i="2"/>
  <c r="V104" i="2"/>
  <c r="U104" i="2"/>
  <c r="X103" i="2"/>
  <c r="Y103" i="2" s="1"/>
  <c r="W103" i="2"/>
  <c r="V103" i="2"/>
  <c r="U103" i="2"/>
  <c r="S104" i="2"/>
  <c r="R104" i="2"/>
  <c r="Q104" i="2"/>
  <c r="P104" i="2"/>
  <c r="S103" i="2"/>
  <c r="T103" i="2" s="1"/>
  <c r="R103" i="2"/>
  <c r="Q103" i="2"/>
  <c r="P103" i="2"/>
  <c r="N104" i="2"/>
  <c r="M104" i="2"/>
  <c r="L104" i="2"/>
  <c r="K104" i="2"/>
  <c r="N103" i="2"/>
  <c r="O103" i="2" s="1"/>
  <c r="M103" i="2"/>
  <c r="L103" i="2"/>
  <c r="K103" i="2"/>
  <c r="G104" i="2"/>
  <c r="H104" i="2"/>
  <c r="I104" i="2"/>
  <c r="F104" i="2"/>
  <c r="G103" i="2"/>
  <c r="H103" i="2"/>
  <c r="I103" i="2"/>
  <c r="J103" i="2" s="1"/>
  <c r="F103" i="2"/>
  <c r="AC59" i="2"/>
  <c r="AC61" i="2"/>
  <c r="AC67" i="2"/>
  <c r="AC66" i="2"/>
  <c r="AC65" i="2"/>
  <c r="AC96" i="2"/>
  <c r="W101" i="2"/>
  <c r="V101" i="2"/>
  <c r="U101" i="2"/>
  <c r="S101" i="2"/>
  <c r="R101" i="2"/>
  <c r="Q101" i="2"/>
  <c r="P101" i="2"/>
  <c r="N101" i="2"/>
  <c r="M101" i="2"/>
  <c r="L101" i="2"/>
  <c r="K101" i="2"/>
  <c r="G101" i="2"/>
  <c r="H101" i="2"/>
  <c r="I101" i="2"/>
  <c r="F101" i="2"/>
  <c r="T97" i="2"/>
  <c r="O97" i="2"/>
  <c r="J97" i="2"/>
  <c r="J98" i="2"/>
  <c r="O98" i="2"/>
  <c r="T98" i="2"/>
  <c r="Y98" i="2"/>
  <c r="BB121" i="2" l="1"/>
  <c r="P105" i="2"/>
  <c r="L105" i="2"/>
  <c r="M105" i="2"/>
  <c r="K105" i="2"/>
  <c r="Q105" i="2"/>
  <c r="W105" i="2"/>
  <c r="H105" i="2"/>
  <c r="G105" i="2"/>
  <c r="AA105" i="2"/>
  <c r="Z105" i="2"/>
  <c r="S105" i="2"/>
  <c r="N105" i="2"/>
  <c r="R105" i="2"/>
  <c r="F105" i="2"/>
  <c r="Y104" i="2"/>
  <c r="I105" i="2"/>
  <c r="V105" i="2"/>
  <c r="X105" i="2"/>
  <c r="J104" i="2"/>
  <c r="T104" i="2"/>
  <c r="U105" i="2"/>
  <c r="O104" i="2"/>
  <c r="AB105" i="2"/>
  <c r="AL108" i="2"/>
  <c r="AB94" i="2"/>
  <c r="AA94" i="2"/>
  <c r="Z94" i="2"/>
  <c r="X94" i="2"/>
  <c r="W94" i="2"/>
  <c r="V94" i="2"/>
  <c r="U94" i="2"/>
  <c r="S94" i="2"/>
  <c r="R94" i="2"/>
  <c r="Q94" i="2"/>
  <c r="P94" i="2"/>
  <c r="N94" i="2"/>
  <c r="M94" i="2"/>
  <c r="L94" i="2"/>
  <c r="K94" i="2"/>
  <c r="G94" i="2"/>
  <c r="H94" i="2"/>
  <c r="I94" i="2"/>
  <c r="F94" i="2"/>
  <c r="AC94" i="2" l="1"/>
  <c r="AC60" i="2" s="1"/>
  <c r="AM108" i="2"/>
  <c r="AP108" i="2" l="1"/>
  <c r="AQ108" i="2" s="1"/>
  <c r="AR108" i="2" s="1"/>
  <c r="AU94" i="2" l="1"/>
  <c r="AU60" i="2" s="1"/>
  <c r="AV94" i="2"/>
  <c r="AV60" i="2" s="1"/>
  <c r="AT108" i="2"/>
  <c r="AU108" i="2" s="1"/>
  <c r="AV108" i="2" s="1"/>
  <c r="AW108" i="2" s="1"/>
  <c r="AT94" i="2"/>
  <c r="AT60" i="2" s="1"/>
  <c r="AY108" i="2" l="1"/>
  <c r="AZ108" i="2" s="1"/>
  <c r="BA108" i="2" s="1"/>
  <c r="BB108" i="2" s="1"/>
  <c r="AW94" i="2"/>
  <c r="AW60" i="2" s="1"/>
  <c r="AY94" i="2"/>
  <c r="AY60" i="2" s="1"/>
  <c r="BA94" i="2"/>
  <c r="BA60" i="2" s="1"/>
  <c r="AZ94" i="2"/>
  <c r="AZ60" i="2" s="1"/>
  <c r="BB94" i="2" l="1"/>
  <c r="BB60" i="2" s="1"/>
  <c r="AD67" i="2" l="1"/>
  <c r="AE67" i="2" s="1"/>
  <c r="AF67" i="2" s="1"/>
  <c r="AG67" i="2" s="1"/>
  <c r="AH67" i="2" s="1"/>
  <c r="AI67" i="2" s="1"/>
  <c r="AJ67" i="2" s="1"/>
  <c r="AK67" i="2" s="1"/>
  <c r="AL67" i="2" s="1"/>
  <c r="AM67" i="2" s="1"/>
  <c r="AN67" i="2" s="1"/>
  <c r="AO67" i="2" s="1"/>
  <c r="AP67" i="2" s="1"/>
  <c r="AQ67" i="2" s="1"/>
  <c r="AR67" i="2" s="1"/>
  <c r="AS67" i="2" s="1"/>
  <c r="AT67" i="2" s="1"/>
  <c r="AU67" i="2" s="1"/>
  <c r="AV67" i="2" s="1"/>
  <c r="AW67" i="2" s="1"/>
  <c r="AX67" i="2" s="1"/>
  <c r="AY67" i="2" s="1"/>
  <c r="AZ67" i="2" s="1"/>
  <c r="BA67" i="2" s="1"/>
  <c r="BB67" i="2" s="1"/>
  <c r="BC67" i="2" s="1"/>
  <c r="AD66" i="2"/>
  <c r="AE66" i="2" s="1"/>
  <c r="AF66" i="2" s="1"/>
  <c r="AG66" i="2" s="1"/>
  <c r="AH66" i="2" s="1"/>
  <c r="AI66" i="2" s="1"/>
  <c r="AJ66" i="2" s="1"/>
  <c r="AK66" i="2" s="1"/>
  <c r="AL66" i="2" s="1"/>
  <c r="AM66" i="2" s="1"/>
  <c r="AN66" i="2" s="1"/>
  <c r="AO66" i="2" s="1"/>
  <c r="AP66" i="2" s="1"/>
  <c r="AQ66" i="2" s="1"/>
  <c r="AR66" i="2" s="1"/>
  <c r="AS66" i="2" s="1"/>
  <c r="AT66" i="2" s="1"/>
  <c r="AU66" i="2" s="1"/>
  <c r="AV66" i="2" s="1"/>
  <c r="AW66" i="2" s="1"/>
  <c r="AX66" i="2" s="1"/>
  <c r="AY66" i="2" s="1"/>
  <c r="AZ66" i="2" s="1"/>
  <c r="BA66" i="2" s="1"/>
  <c r="BB66" i="2" s="1"/>
  <c r="BC66" i="2" s="1"/>
  <c r="AD65" i="2"/>
  <c r="AE65" i="2" s="1"/>
  <c r="AF65" i="2" s="1"/>
  <c r="AG65" i="2" s="1"/>
  <c r="AH65" i="2" s="1"/>
  <c r="AI65" i="2" s="1"/>
  <c r="AJ65" i="2" s="1"/>
  <c r="AK65" i="2" s="1"/>
  <c r="AL65" i="2" s="1"/>
  <c r="AM65" i="2" s="1"/>
  <c r="AN65" i="2" s="1"/>
  <c r="AO65" i="2" s="1"/>
  <c r="AP65" i="2" s="1"/>
  <c r="AQ65" i="2" s="1"/>
  <c r="AR65" i="2" s="1"/>
  <c r="AS65" i="2" s="1"/>
  <c r="AT65" i="2" s="1"/>
  <c r="AU65" i="2" s="1"/>
  <c r="AV65" i="2" s="1"/>
  <c r="AW65" i="2" s="1"/>
  <c r="AX65" i="2" s="1"/>
  <c r="AY65" i="2" s="1"/>
  <c r="AZ65" i="2" s="1"/>
  <c r="BA65" i="2" s="1"/>
  <c r="BB65" i="2" s="1"/>
  <c r="BC65" i="2" s="1"/>
  <c r="AD61" i="2"/>
  <c r="AE61" i="2" s="1"/>
  <c r="AF61" i="2" s="1"/>
  <c r="AG61" i="2" s="1"/>
  <c r="AH61" i="2" s="1"/>
  <c r="AI61" i="2" s="1"/>
  <c r="AJ61" i="2" s="1"/>
  <c r="AK61" i="2" s="1"/>
  <c r="AL61" i="2" s="1"/>
  <c r="AM61" i="2" s="1"/>
  <c r="AN61" i="2" s="1"/>
  <c r="AO61" i="2" s="1"/>
  <c r="AP61" i="2" s="1"/>
  <c r="AQ61" i="2" s="1"/>
  <c r="AR61" i="2" s="1"/>
  <c r="AS61" i="2" s="1"/>
  <c r="AT61" i="2" s="1"/>
  <c r="AU61" i="2" s="1"/>
  <c r="AV61" i="2" s="1"/>
  <c r="AW61" i="2" s="1"/>
  <c r="AX61" i="2" s="1"/>
  <c r="AY61" i="2" s="1"/>
  <c r="AZ61" i="2" s="1"/>
  <c r="BA61" i="2" s="1"/>
  <c r="BB61" i="2" s="1"/>
  <c r="BC61" i="2" s="1"/>
  <c r="AD59" i="2"/>
  <c r="AE59" i="2" s="1"/>
  <c r="AF59" i="2" s="1"/>
  <c r="AG59" i="2" s="1"/>
  <c r="AH59" i="2" s="1"/>
  <c r="AI59" i="2" s="1"/>
  <c r="AJ59" i="2" s="1"/>
  <c r="AK59" i="2" s="1"/>
  <c r="AL59" i="2" s="1"/>
  <c r="AM59" i="2" s="1"/>
  <c r="AN59" i="2" s="1"/>
  <c r="AO59" i="2" s="1"/>
  <c r="AP59" i="2" s="1"/>
  <c r="AQ59" i="2" s="1"/>
  <c r="AR59" i="2" s="1"/>
  <c r="AS59" i="2" s="1"/>
  <c r="AT59" i="2" s="1"/>
  <c r="AU59" i="2" s="1"/>
  <c r="AV59" i="2" s="1"/>
  <c r="AW59" i="2" s="1"/>
  <c r="AX59" i="2" s="1"/>
  <c r="AY59" i="2" s="1"/>
  <c r="AZ59" i="2" s="1"/>
  <c r="BA59" i="2" s="1"/>
  <c r="BB59" i="2" s="1"/>
  <c r="BC59" i="2" s="1"/>
  <c r="Y82" i="2"/>
  <c r="Y77" i="2"/>
  <c r="Y76" i="2"/>
  <c r="G11" i="23" s="1"/>
  <c r="Y74" i="2"/>
  <c r="Y73" i="2"/>
  <c r="Y72" i="2"/>
  <c r="Y67" i="2"/>
  <c r="Y66" i="2"/>
  <c r="Y65" i="2"/>
  <c r="Y64" i="2"/>
  <c r="Y63" i="2"/>
  <c r="Y61" i="2"/>
  <c r="Y60" i="2"/>
  <c r="Y59" i="2"/>
  <c r="Y58" i="2"/>
  <c r="Y57" i="2"/>
  <c r="Y56" i="2"/>
  <c r="G12" i="23" s="1"/>
  <c r="T82" i="2"/>
  <c r="T77" i="2"/>
  <c r="T76" i="2"/>
  <c r="F11" i="23" s="1"/>
  <c r="T74" i="2"/>
  <c r="T73" i="2"/>
  <c r="T72" i="2"/>
  <c r="T67" i="2"/>
  <c r="T66" i="2"/>
  <c r="T65" i="2"/>
  <c r="T64" i="2"/>
  <c r="T63" i="2"/>
  <c r="T61" i="2"/>
  <c r="T60" i="2"/>
  <c r="T59" i="2"/>
  <c r="T58" i="2"/>
  <c r="T57" i="2"/>
  <c r="T56" i="2"/>
  <c r="F12" i="23" s="1"/>
  <c r="O82" i="2"/>
  <c r="O77" i="2"/>
  <c r="O76" i="2"/>
  <c r="E11" i="23" s="1"/>
  <c r="O74" i="2"/>
  <c r="O73" i="2"/>
  <c r="O72" i="2"/>
  <c r="O67" i="2"/>
  <c r="O66" i="2"/>
  <c r="O65" i="2"/>
  <c r="O64" i="2"/>
  <c r="O63" i="2"/>
  <c r="O61" i="2"/>
  <c r="O60" i="2"/>
  <c r="O59" i="2"/>
  <c r="O58" i="2"/>
  <c r="O57" i="2"/>
  <c r="O56" i="2"/>
  <c r="E12" i="23" s="1"/>
  <c r="J82" i="2"/>
  <c r="J77" i="2"/>
  <c r="J76" i="2"/>
  <c r="D11" i="23" s="1"/>
  <c r="J74" i="2"/>
  <c r="J73" i="2"/>
  <c r="J72" i="2"/>
  <c r="J67" i="2"/>
  <c r="J66" i="2"/>
  <c r="J65" i="2"/>
  <c r="J64" i="2"/>
  <c r="J63" i="2"/>
  <c r="J61" i="2"/>
  <c r="J60" i="2"/>
  <c r="J59" i="2"/>
  <c r="J58" i="2"/>
  <c r="J57" i="2"/>
  <c r="J56" i="2"/>
  <c r="D12" i="23" s="1"/>
  <c r="AB75" i="2"/>
  <c r="AA75" i="2"/>
  <c r="Z75" i="2"/>
  <c r="X75" i="2"/>
  <c r="W75" i="2"/>
  <c r="V75" i="2"/>
  <c r="U75" i="2"/>
  <c r="AB78" i="2"/>
  <c r="AA78" i="2"/>
  <c r="Z78" i="2"/>
  <c r="X78" i="2"/>
  <c r="Y78" i="2" s="1"/>
  <c r="W78" i="2"/>
  <c r="V78" i="2"/>
  <c r="U78" i="2"/>
  <c r="S78" i="2"/>
  <c r="T78" i="2" s="1"/>
  <c r="R78" i="2"/>
  <c r="Q78" i="2"/>
  <c r="P78" i="2"/>
  <c r="N78" i="2"/>
  <c r="O78" i="2" s="1"/>
  <c r="M78" i="2"/>
  <c r="L78" i="2"/>
  <c r="K78" i="2"/>
  <c r="G78" i="2"/>
  <c r="H78" i="2"/>
  <c r="I78" i="2"/>
  <c r="J78" i="2" s="1"/>
  <c r="F78" i="2"/>
  <c r="S75" i="2"/>
  <c r="T75" i="2" s="1"/>
  <c r="R75" i="2"/>
  <c r="R79" i="2" s="1"/>
  <c r="Q75" i="2"/>
  <c r="P75" i="2"/>
  <c r="N75" i="2"/>
  <c r="O75" i="2" s="1"/>
  <c r="M75" i="2"/>
  <c r="L75" i="2"/>
  <c r="K75" i="2"/>
  <c r="K79" i="2" s="1"/>
  <c r="G75" i="2"/>
  <c r="H75" i="2"/>
  <c r="H79" i="2" s="1"/>
  <c r="I75" i="2"/>
  <c r="I79" i="2" s="1"/>
  <c r="J79" i="2" s="1"/>
  <c r="F75" i="2"/>
  <c r="AB68" i="2"/>
  <c r="AA68" i="2"/>
  <c r="Z68" i="2"/>
  <c r="X68" i="2"/>
  <c r="Y68" i="2" s="1"/>
  <c r="W68" i="2"/>
  <c r="V68" i="2"/>
  <c r="U68" i="2"/>
  <c r="S68" i="2"/>
  <c r="T68" i="2" s="1"/>
  <c r="R68" i="2"/>
  <c r="Q68" i="2"/>
  <c r="P68" i="2"/>
  <c r="N68" i="2"/>
  <c r="O68" i="2" s="1"/>
  <c r="M68" i="2"/>
  <c r="L68" i="2"/>
  <c r="K68" i="2"/>
  <c r="G68" i="2"/>
  <c r="H68" i="2"/>
  <c r="I68" i="2"/>
  <c r="J68" i="2" s="1"/>
  <c r="F68" i="2"/>
  <c r="AB62" i="2"/>
  <c r="AA62" i="2"/>
  <c r="Z62" i="2"/>
  <c r="X62" i="2"/>
  <c r="Y62" i="2" s="1"/>
  <c r="W62" i="2"/>
  <c r="V62" i="2"/>
  <c r="U62" i="2"/>
  <c r="S62" i="2"/>
  <c r="T62" i="2" s="1"/>
  <c r="R62" i="2"/>
  <c r="Q62" i="2"/>
  <c r="P62" i="2"/>
  <c r="N62" i="2"/>
  <c r="O62" i="2" s="1"/>
  <c r="M62" i="2"/>
  <c r="L62" i="2"/>
  <c r="K62" i="2"/>
  <c r="G62" i="2"/>
  <c r="H62" i="2"/>
  <c r="I62" i="2"/>
  <c r="J62" i="2" s="1"/>
  <c r="F62" i="2"/>
  <c r="J3" i="2"/>
  <c r="AF41" i="2"/>
  <c r="AG41" i="2" s="1"/>
  <c r="AH41" i="2" s="1"/>
  <c r="AJ41" i="2" s="1"/>
  <c r="E6" i="7" s="1"/>
  <c r="K16" i="2"/>
  <c r="L16" i="2"/>
  <c r="M16" i="2"/>
  <c r="N16" i="2"/>
  <c r="P16" i="2"/>
  <c r="Q16" i="2"/>
  <c r="R16" i="2"/>
  <c r="S16" i="2"/>
  <c r="U16" i="2"/>
  <c r="V16" i="2"/>
  <c r="W16" i="2"/>
  <c r="X16" i="2"/>
  <c r="Z16" i="2"/>
  <c r="AA16" i="2"/>
  <c r="AB16" i="2"/>
  <c r="G16" i="2"/>
  <c r="H16" i="2"/>
  <c r="I16" i="2"/>
  <c r="F16" i="2"/>
  <c r="Y24" i="2"/>
  <c r="T24" i="2"/>
  <c r="O24" i="2"/>
  <c r="J24" i="2"/>
  <c r="G79" i="2" l="1"/>
  <c r="D13" i="23"/>
  <c r="L79" i="2"/>
  <c r="F79" i="2"/>
  <c r="Q79" i="2"/>
  <c r="G13" i="23"/>
  <c r="E13" i="23"/>
  <c r="F13" i="23"/>
  <c r="M79" i="2"/>
  <c r="T87" i="2"/>
  <c r="O87" i="2"/>
  <c r="AD48" i="2"/>
  <c r="AK41" i="2"/>
  <c r="F6" i="7" s="1"/>
  <c r="Z79" i="2"/>
  <c r="AA79" i="2"/>
  <c r="P79" i="2"/>
  <c r="AB79" i="2"/>
  <c r="N79" i="2"/>
  <c r="O79" i="2" s="1"/>
  <c r="U79" i="2"/>
  <c r="V79" i="2"/>
  <c r="W79" i="2"/>
  <c r="X79" i="2"/>
  <c r="Y79" i="2" s="1"/>
  <c r="Y75" i="2"/>
  <c r="Y87" i="2" s="1"/>
  <c r="S79" i="2"/>
  <c r="T79" i="2" s="1"/>
  <c r="J75" i="2"/>
  <c r="J87" i="2" s="1"/>
  <c r="W69" i="2"/>
  <c r="W85" i="2" s="1"/>
  <c r="P69" i="2"/>
  <c r="P85" i="2" s="1"/>
  <c r="K69" i="2"/>
  <c r="K85" i="2" s="1"/>
  <c r="U69" i="2"/>
  <c r="U85" i="2" s="1"/>
  <c r="Q69" i="2"/>
  <c r="Q85" i="2" s="1"/>
  <c r="X69" i="2"/>
  <c r="L69" i="2"/>
  <c r="L85" i="2" s="1"/>
  <c r="AA69" i="2"/>
  <c r="AA85" i="2" s="1"/>
  <c r="M69" i="2"/>
  <c r="M85" i="2" s="1"/>
  <c r="N69" i="2"/>
  <c r="AB69" i="2"/>
  <c r="AB85" i="2" s="1"/>
  <c r="Z69" i="2"/>
  <c r="Z85" i="2" s="1"/>
  <c r="V69" i="2"/>
  <c r="V85" i="2" s="1"/>
  <c r="R69" i="2"/>
  <c r="R85" i="2" s="1"/>
  <c r="S69" i="2"/>
  <c r="AK42" i="2"/>
  <c r="AP42" i="2" s="1"/>
  <c r="AU42" i="2" s="1"/>
  <c r="AZ42" i="2" s="1"/>
  <c r="AL42" i="2"/>
  <c r="AQ42" i="2" s="1"/>
  <c r="AV42" i="2" s="1"/>
  <c r="BA42" i="2" s="1"/>
  <c r="AJ42" i="2"/>
  <c r="AO42" i="2" s="1"/>
  <c r="AT42" i="2" s="1"/>
  <c r="AY42" i="2" s="1"/>
  <c r="AD42" i="2"/>
  <c r="AH42" i="2"/>
  <c r="AI42" i="2" s="1"/>
  <c r="K15" i="7" l="1"/>
  <c r="H9" i="23"/>
  <c r="H10" i="23" s="1"/>
  <c r="AF48" i="2"/>
  <c r="AH48" i="2" s="1"/>
  <c r="K16" i="7"/>
  <c r="D26" i="22" s="1"/>
  <c r="AL41" i="2"/>
  <c r="G6" i="7" s="1"/>
  <c r="X85" i="2"/>
  <c r="Y69" i="2"/>
  <c r="Y85" i="2" s="1"/>
  <c r="S85" i="2"/>
  <c r="T69" i="2"/>
  <c r="T85" i="2" s="1"/>
  <c r="N85" i="2"/>
  <c r="O69" i="2"/>
  <c r="O85" i="2" s="1"/>
  <c r="AM42" i="2"/>
  <c r="Y42" i="2"/>
  <c r="Y40" i="2"/>
  <c r="Y37" i="2"/>
  <c r="Y31" i="2"/>
  <c r="Y21" i="2"/>
  <c r="Y18" i="2"/>
  <c r="Y11" i="2"/>
  <c r="Y94" i="2" s="1"/>
  <c r="T42" i="2"/>
  <c r="T40" i="2"/>
  <c r="T37" i="2"/>
  <c r="T31" i="2"/>
  <c r="T21" i="2"/>
  <c r="T18" i="2"/>
  <c r="T11" i="2"/>
  <c r="T94" i="2" s="1"/>
  <c r="O42" i="2"/>
  <c r="O40" i="2"/>
  <c r="O37" i="2"/>
  <c r="O31" i="2"/>
  <c r="O21" i="2"/>
  <c r="O18" i="2"/>
  <c r="O11" i="2"/>
  <c r="O94" i="2" s="1"/>
  <c r="J42" i="2"/>
  <c r="J40" i="2"/>
  <c r="J37" i="2"/>
  <c r="J21" i="2"/>
  <c r="J18" i="2"/>
  <c r="J31" i="2"/>
  <c r="J11" i="2"/>
  <c r="J94" i="2" s="1"/>
  <c r="K3" i="2"/>
  <c r="L92" i="2"/>
  <c r="Q92" i="2"/>
  <c r="U92" i="2"/>
  <c r="V92" i="2"/>
  <c r="X92" i="2"/>
  <c r="AI48" i="2" l="1"/>
  <c r="AJ48" i="2" s="1"/>
  <c r="AK48" i="2" s="1"/>
  <c r="AL48" i="2" s="1"/>
  <c r="AM48" i="2" s="1"/>
  <c r="AA92" i="2"/>
  <c r="AF92" i="2" s="1"/>
  <c r="AM41" i="2"/>
  <c r="H6" i="7" s="1"/>
  <c r="L100" i="2"/>
  <c r="L93" i="2"/>
  <c r="U100" i="2"/>
  <c r="U93" i="2"/>
  <c r="X100" i="2"/>
  <c r="X93" i="2"/>
  <c r="V100" i="2"/>
  <c r="V93" i="2"/>
  <c r="Q100" i="2"/>
  <c r="Q93" i="2"/>
  <c r="R92" i="2"/>
  <c r="J16" i="2"/>
  <c r="O16" i="2"/>
  <c r="P3" i="2"/>
  <c r="O3" i="2"/>
  <c r="Y16" i="2"/>
  <c r="T16" i="2"/>
  <c r="V22" i="2"/>
  <c r="V25" i="2"/>
  <c r="U19" i="2"/>
  <c r="U25" i="2"/>
  <c r="Q22" i="2"/>
  <c r="Q25" i="2"/>
  <c r="L22" i="2"/>
  <c r="L25" i="2"/>
  <c r="X22" i="2"/>
  <c r="X25" i="2"/>
  <c r="AR42" i="2"/>
  <c r="AN42" i="2"/>
  <c r="U22" i="2"/>
  <c r="Q19" i="2"/>
  <c r="L19" i="2"/>
  <c r="X19" i="2"/>
  <c r="V19" i="2"/>
  <c r="H92" i="2"/>
  <c r="S92" i="2"/>
  <c r="G92" i="2"/>
  <c r="I92" i="2"/>
  <c r="F92" i="2"/>
  <c r="AB92" i="2"/>
  <c r="P92" i="2"/>
  <c r="Z92" i="2"/>
  <c r="N92" i="2"/>
  <c r="M92" i="2"/>
  <c r="W92" i="2"/>
  <c r="K92" i="2"/>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1201" i="3"/>
  <c r="T1202" i="3"/>
  <c r="T1203" i="3"/>
  <c r="T1204" i="3"/>
  <c r="T1205" i="3"/>
  <c r="T1206" i="3"/>
  <c r="T1207" i="3"/>
  <c r="T1208" i="3"/>
  <c r="T1209" i="3"/>
  <c r="T1210" i="3"/>
  <c r="T1211" i="3"/>
  <c r="T1212" i="3"/>
  <c r="T1213" i="3"/>
  <c r="T1214" i="3"/>
  <c r="T1215" i="3"/>
  <c r="T1216" i="3"/>
  <c r="T1217" i="3"/>
  <c r="T1218" i="3"/>
  <c r="T1219" i="3"/>
  <c r="T1220" i="3"/>
  <c r="T1221" i="3"/>
  <c r="T1222" i="3"/>
  <c r="T1223" i="3"/>
  <c r="T1224" i="3"/>
  <c r="T1225" i="3"/>
  <c r="T1226" i="3"/>
  <c r="T1227" i="3"/>
  <c r="T1228" i="3"/>
  <c r="T1229" i="3"/>
  <c r="T1230" i="3"/>
  <c r="T1231" i="3"/>
  <c r="T1232" i="3"/>
  <c r="T1233" i="3"/>
  <c r="T1234" i="3"/>
  <c r="T1235" i="3"/>
  <c r="T1236" i="3"/>
  <c r="T1237" i="3"/>
  <c r="T1238" i="3"/>
  <c r="T1239" i="3"/>
  <c r="T1240" i="3"/>
  <c r="T1241" i="3"/>
  <c r="T1242" i="3"/>
  <c r="T1243" i="3"/>
  <c r="T1244" i="3"/>
  <c r="T1245" i="3"/>
  <c r="T1246" i="3"/>
  <c r="T1247" i="3"/>
  <c r="T1248" i="3"/>
  <c r="T1249" i="3"/>
  <c r="T1250" i="3"/>
  <c r="T1251" i="3"/>
  <c r="T1252" i="3"/>
  <c r="T1253" i="3"/>
  <c r="T1254" i="3"/>
  <c r="T1255" i="3"/>
  <c r="T1256" i="3"/>
  <c r="T1257" i="3"/>
  <c r="T1258" i="3"/>
  <c r="T1259" i="3"/>
  <c r="T1260" i="3"/>
  <c r="T1261" i="3"/>
  <c r="T1262" i="3"/>
  <c r="T1263" i="3"/>
  <c r="T1264" i="3"/>
  <c r="T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 r="P1028" i="3"/>
  <c r="P1029" i="3"/>
  <c r="P1030" i="3"/>
  <c r="P1031" i="3"/>
  <c r="P1032" i="3"/>
  <c r="P1033" i="3"/>
  <c r="P1034" i="3"/>
  <c r="P1035" i="3"/>
  <c r="P1036" i="3"/>
  <c r="P1037" i="3"/>
  <c r="P1038" i="3"/>
  <c r="P1039" i="3"/>
  <c r="P1040" i="3"/>
  <c r="P1041" i="3"/>
  <c r="P1042" i="3"/>
  <c r="P1043" i="3"/>
  <c r="P1044" i="3"/>
  <c r="P1045" i="3"/>
  <c r="P1046" i="3"/>
  <c r="P1047" i="3"/>
  <c r="P1048" i="3"/>
  <c r="P1049" i="3"/>
  <c r="P1050" i="3"/>
  <c r="P1051" i="3"/>
  <c r="P1052" i="3"/>
  <c r="P1053" i="3"/>
  <c r="P1054" i="3"/>
  <c r="P1055" i="3"/>
  <c r="P1056" i="3"/>
  <c r="P1057" i="3"/>
  <c r="P1058" i="3"/>
  <c r="P1059" i="3"/>
  <c r="P1060" i="3"/>
  <c r="P1061" i="3"/>
  <c r="P1062" i="3"/>
  <c r="P1063" i="3"/>
  <c r="P1064" i="3"/>
  <c r="P1065" i="3"/>
  <c r="P1066" i="3"/>
  <c r="P1067" i="3"/>
  <c r="P1068" i="3"/>
  <c r="P1069" i="3"/>
  <c r="P1070" i="3"/>
  <c r="P1071" i="3"/>
  <c r="P1072" i="3"/>
  <c r="P1073" i="3"/>
  <c r="P1074" i="3"/>
  <c r="P1075" i="3"/>
  <c r="P1076" i="3"/>
  <c r="P1077" i="3"/>
  <c r="P1078" i="3"/>
  <c r="P1079" i="3"/>
  <c r="P1080" i="3"/>
  <c r="P1081" i="3"/>
  <c r="P1082" i="3"/>
  <c r="P1083" i="3"/>
  <c r="P1084" i="3"/>
  <c r="P1085" i="3"/>
  <c r="P1086" i="3"/>
  <c r="P1087" i="3"/>
  <c r="P1088" i="3"/>
  <c r="P1089" i="3"/>
  <c r="P1090" i="3"/>
  <c r="P1091" i="3"/>
  <c r="P1092" i="3"/>
  <c r="P1093" i="3"/>
  <c r="P1094" i="3"/>
  <c r="P1095" i="3"/>
  <c r="P1096" i="3"/>
  <c r="P1097" i="3"/>
  <c r="P1098" i="3"/>
  <c r="P1099" i="3"/>
  <c r="P1100" i="3"/>
  <c r="P1101" i="3"/>
  <c r="P1102" i="3"/>
  <c r="P1103" i="3"/>
  <c r="P1104" i="3"/>
  <c r="P1105" i="3"/>
  <c r="P1106" i="3"/>
  <c r="P1107" i="3"/>
  <c r="P1108" i="3"/>
  <c r="P1109" i="3"/>
  <c r="P1110" i="3"/>
  <c r="P1111" i="3"/>
  <c r="P1112" i="3"/>
  <c r="P1113" i="3"/>
  <c r="P1114" i="3"/>
  <c r="P1115" i="3"/>
  <c r="P1116" i="3"/>
  <c r="P1117" i="3"/>
  <c r="P1118" i="3"/>
  <c r="P1119" i="3"/>
  <c r="P1120" i="3"/>
  <c r="P1121" i="3"/>
  <c r="P1122" i="3"/>
  <c r="P1123" i="3"/>
  <c r="P1124" i="3"/>
  <c r="P1125" i="3"/>
  <c r="P1126" i="3"/>
  <c r="P1127" i="3"/>
  <c r="P1128" i="3"/>
  <c r="P1129" i="3"/>
  <c r="P1130" i="3"/>
  <c r="P1131" i="3"/>
  <c r="P1132" i="3"/>
  <c r="P1133" i="3"/>
  <c r="P1134" i="3"/>
  <c r="P1135" i="3"/>
  <c r="P1136" i="3"/>
  <c r="P1137" i="3"/>
  <c r="P1138" i="3"/>
  <c r="P1139" i="3"/>
  <c r="P1140" i="3"/>
  <c r="P1141" i="3"/>
  <c r="P1142" i="3"/>
  <c r="P1143" i="3"/>
  <c r="P1144" i="3"/>
  <c r="P1145" i="3"/>
  <c r="P1146" i="3"/>
  <c r="P1147" i="3"/>
  <c r="P1148" i="3"/>
  <c r="P1149" i="3"/>
  <c r="P1150" i="3"/>
  <c r="P1151" i="3"/>
  <c r="P1152" i="3"/>
  <c r="P1153" i="3"/>
  <c r="P1154" i="3"/>
  <c r="P1155" i="3"/>
  <c r="P1156" i="3"/>
  <c r="P1157" i="3"/>
  <c r="P1158" i="3"/>
  <c r="P1159" i="3"/>
  <c r="P1160" i="3"/>
  <c r="P1161" i="3"/>
  <c r="P1162" i="3"/>
  <c r="P1163" i="3"/>
  <c r="P1164" i="3"/>
  <c r="P1165" i="3"/>
  <c r="P1166" i="3"/>
  <c r="P1167" i="3"/>
  <c r="P1168" i="3"/>
  <c r="P1169" i="3"/>
  <c r="P1170" i="3"/>
  <c r="P1171" i="3"/>
  <c r="P1172" i="3"/>
  <c r="P1173" i="3"/>
  <c r="P1174" i="3"/>
  <c r="P1175" i="3"/>
  <c r="P1176" i="3"/>
  <c r="P1177" i="3"/>
  <c r="P1178" i="3"/>
  <c r="P1179" i="3"/>
  <c r="P1180" i="3"/>
  <c r="P1181" i="3"/>
  <c r="P1182" i="3"/>
  <c r="P1183" i="3"/>
  <c r="P1184" i="3"/>
  <c r="P1185" i="3"/>
  <c r="P1186" i="3"/>
  <c r="P1187" i="3"/>
  <c r="P1188" i="3"/>
  <c r="P1189" i="3"/>
  <c r="P1190" i="3"/>
  <c r="P1191" i="3"/>
  <c r="P1192" i="3"/>
  <c r="P1193" i="3"/>
  <c r="P1194" i="3"/>
  <c r="P1195" i="3"/>
  <c r="P1196" i="3"/>
  <c r="P1197" i="3"/>
  <c r="P1198" i="3"/>
  <c r="P1199" i="3"/>
  <c r="P1200" i="3"/>
  <c r="P1201" i="3"/>
  <c r="P1202" i="3"/>
  <c r="P1203" i="3"/>
  <c r="P1204" i="3"/>
  <c r="P1205" i="3"/>
  <c r="P1206" i="3"/>
  <c r="P1207" i="3"/>
  <c r="P1208" i="3"/>
  <c r="P1209" i="3"/>
  <c r="P1210" i="3"/>
  <c r="P1211" i="3"/>
  <c r="P1212" i="3"/>
  <c r="P1213" i="3"/>
  <c r="P1214" i="3"/>
  <c r="P1215" i="3"/>
  <c r="P1216" i="3"/>
  <c r="P1217" i="3"/>
  <c r="P1218" i="3"/>
  <c r="P1219" i="3"/>
  <c r="P1220" i="3"/>
  <c r="P1221" i="3"/>
  <c r="P1222" i="3"/>
  <c r="P1223" i="3"/>
  <c r="P1224" i="3"/>
  <c r="P1225" i="3"/>
  <c r="P1226" i="3"/>
  <c r="P1227" i="3"/>
  <c r="P1228" i="3"/>
  <c r="P1229" i="3"/>
  <c r="P1230" i="3"/>
  <c r="P1231" i="3"/>
  <c r="P1232" i="3"/>
  <c r="P1233" i="3"/>
  <c r="P1234" i="3"/>
  <c r="P1235" i="3"/>
  <c r="P1236" i="3"/>
  <c r="P1237" i="3"/>
  <c r="P1238" i="3"/>
  <c r="P1239" i="3"/>
  <c r="P1240" i="3"/>
  <c r="P1241" i="3"/>
  <c r="P1242" i="3"/>
  <c r="P1243" i="3"/>
  <c r="P1244" i="3"/>
  <c r="P1245" i="3"/>
  <c r="P1246" i="3"/>
  <c r="P1247" i="3"/>
  <c r="P1248" i="3"/>
  <c r="P1249" i="3"/>
  <c r="P1250" i="3"/>
  <c r="P1251" i="3"/>
  <c r="P1252" i="3"/>
  <c r="P1253" i="3"/>
  <c r="P1254" i="3"/>
  <c r="P1255" i="3"/>
  <c r="P1256" i="3"/>
  <c r="P1257" i="3"/>
  <c r="P1258" i="3"/>
  <c r="P1259" i="3"/>
  <c r="P1260" i="3"/>
  <c r="P1261" i="3"/>
  <c r="P1262" i="3"/>
  <c r="P1263" i="3"/>
  <c r="P1264" i="3"/>
  <c r="P8" i="3"/>
  <c r="L1264"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8" i="3"/>
  <c r="Z7" i="3" l="1"/>
  <c r="I7" i="3"/>
  <c r="K13" i="7" s="1"/>
  <c r="K8" i="7" s="1"/>
  <c r="AE92" i="2"/>
  <c r="AJ92" i="2" s="1"/>
  <c r="AG92" i="2"/>
  <c r="AG58" i="2" s="1"/>
  <c r="AC92" i="2"/>
  <c r="AK92" i="2"/>
  <c r="AF58" i="2"/>
  <c r="I9" i="23"/>
  <c r="I10" i="23" s="1"/>
  <c r="U7" i="3"/>
  <c r="AA93" i="2"/>
  <c r="AA25" i="2"/>
  <c r="AA19" i="2"/>
  <c r="AA22" i="2"/>
  <c r="AA100" i="2"/>
  <c r="Q7" i="3"/>
  <c r="M7" i="3"/>
  <c r="W25" i="2"/>
  <c r="W100" i="2"/>
  <c r="W93" i="2"/>
  <c r="AB25" i="2"/>
  <c r="AB100" i="2"/>
  <c r="H25" i="2"/>
  <c r="H100" i="2"/>
  <c r="H93" i="2"/>
  <c r="K25" i="2"/>
  <c r="K100" i="2"/>
  <c r="K93" i="2"/>
  <c r="P25" i="2"/>
  <c r="P100" i="2"/>
  <c r="P93" i="2"/>
  <c r="M25" i="2"/>
  <c r="M100" i="2"/>
  <c r="M93" i="2"/>
  <c r="I25" i="2"/>
  <c r="I100" i="2"/>
  <c r="I93" i="2"/>
  <c r="G25" i="2"/>
  <c r="G100" i="2"/>
  <c r="G93" i="2"/>
  <c r="N25" i="2"/>
  <c r="N100" i="2"/>
  <c r="N93" i="2"/>
  <c r="F25" i="2"/>
  <c r="F100" i="2"/>
  <c r="F93" i="2"/>
  <c r="S25" i="2"/>
  <c r="S100" i="2"/>
  <c r="S93" i="2"/>
  <c r="Z25" i="2"/>
  <c r="Z100" i="2"/>
  <c r="R22" i="2"/>
  <c r="R100" i="2"/>
  <c r="R93" i="2"/>
  <c r="R19" i="2"/>
  <c r="R25" i="2"/>
  <c r="U3" i="2"/>
  <c r="T3" i="2"/>
  <c r="AW42" i="2"/>
  <c r="AS42" i="2"/>
  <c r="M22" i="2"/>
  <c r="M19" i="2"/>
  <c r="H19" i="2"/>
  <c r="H22" i="2"/>
  <c r="W22" i="2"/>
  <c r="W19" i="2"/>
  <c r="N22" i="2"/>
  <c r="N19" i="2"/>
  <c r="I19" i="2"/>
  <c r="I22" i="2"/>
  <c r="Z19" i="2"/>
  <c r="Z22" i="2"/>
  <c r="F19" i="2"/>
  <c r="F22" i="2"/>
  <c r="G19" i="2"/>
  <c r="G22" i="2"/>
  <c r="AB19" i="2"/>
  <c r="AB22" i="2"/>
  <c r="S22" i="2"/>
  <c r="S19" i="2"/>
  <c r="K22" i="2"/>
  <c r="K19" i="2"/>
  <c r="P22" i="2"/>
  <c r="P19" i="2"/>
  <c r="T10" i="2"/>
  <c r="Y10" i="2"/>
  <c r="G7" i="23" s="1"/>
  <c r="G18" i="23" s="1"/>
  <c r="J10" i="2"/>
  <c r="D7" i="23" s="1"/>
  <c r="D18" i="23" s="1"/>
  <c r="O10" i="2"/>
  <c r="E7" i="23" s="1"/>
  <c r="E18" i="23" s="1"/>
  <c r="F12" i="2"/>
  <c r="G12" i="2"/>
  <c r="H12" i="2"/>
  <c r="I12" i="2"/>
  <c r="AB12" i="2"/>
  <c r="AA12" i="2"/>
  <c r="Z12" i="2"/>
  <c r="X12" i="2"/>
  <c r="W12" i="2"/>
  <c r="V12" i="2"/>
  <c r="U12" i="2"/>
  <c r="S12" i="2"/>
  <c r="R12" i="2"/>
  <c r="Q12" i="2"/>
  <c r="P12" i="2"/>
  <c r="N12" i="2"/>
  <c r="M12" i="2"/>
  <c r="L12" i="2"/>
  <c r="K12" i="2"/>
  <c r="D30" i="22" l="1"/>
  <c r="AH92" i="2"/>
  <c r="AM92" i="2" s="1"/>
  <c r="AL92" i="2"/>
  <c r="AQ92" i="2" s="1"/>
  <c r="AE58" i="2"/>
  <c r="AP92" i="2"/>
  <c r="AK58" i="2"/>
  <c r="AO92" i="2"/>
  <c r="AJ58" i="2"/>
  <c r="AN48" i="2"/>
  <c r="E35" i="22"/>
  <c r="E36" i="22" s="1"/>
  <c r="F7" i="23"/>
  <c r="F18" i="23" s="1"/>
  <c r="F35" i="22"/>
  <c r="F36" i="22"/>
  <c r="D36" i="22"/>
  <c r="D35" i="22"/>
  <c r="AC97" i="2"/>
  <c r="AC58" i="2"/>
  <c r="O25" i="2"/>
  <c r="O92" i="2"/>
  <c r="O93" i="2"/>
  <c r="J25" i="2"/>
  <c r="J92" i="2"/>
  <c r="J93" i="2"/>
  <c r="Y25" i="2"/>
  <c r="Y93" i="2"/>
  <c r="Y92" i="2"/>
  <c r="T25" i="2"/>
  <c r="T92" i="2"/>
  <c r="T93" i="2"/>
  <c r="Z3" i="2"/>
  <c r="Y3" i="2"/>
  <c r="BB42" i="2"/>
  <c r="BC42" i="2" s="1"/>
  <c r="AX42" i="2"/>
  <c r="M14" i="2"/>
  <c r="L14" i="2"/>
  <c r="AB14" i="2"/>
  <c r="S14" i="2"/>
  <c r="R14" i="2"/>
  <c r="U14" i="2"/>
  <c r="V14" i="2"/>
  <c r="AC19" i="2"/>
  <c r="K14" i="2"/>
  <c r="Z14" i="2"/>
  <c r="O19" i="2"/>
  <c r="O22" i="2"/>
  <c r="W14" i="2"/>
  <c r="X14" i="2"/>
  <c r="AC22" i="2"/>
  <c r="AA14" i="2"/>
  <c r="J19" i="2"/>
  <c r="J22" i="2"/>
  <c r="Y22" i="2"/>
  <c r="Y19" i="2"/>
  <c r="N14" i="2"/>
  <c r="T22" i="2"/>
  <c r="T19" i="2"/>
  <c r="P14" i="2"/>
  <c r="Q14" i="2"/>
  <c r="T12" i="2"/>
  <c r="E37" i="22" s="1"/>
  <c r="X27" i="2"/>
  <c r="O12" i="2"/>
  <c r="D37" i="22" s="1"/>
  <c r="Y12" i="2"/>
  <c r="F37" i="22" s="1"/>
  <c r="J12" i="2"/>
  <c r="AB27" i="2"/>
  <c r="N27" i="2"/>
  <c r="N33" i="2" s="1"/>
  <c r="N108" i="2" s="1"/>
  <c r="M27" i="2"/>
  <c r="S27" i="2"/>
  <c r="K27" i="2"/>
  <c r="Z27" i="2"/>
  <c r="L27" i="2"/>
  <c r="AA27" i="2"/>
  <c r="P27" i="2"/>
  <c r="Q27" i="2"/>
  <c r="U27" i="2"/>
  <c r="R27" i="2"/>
  <c r="V27" i="2"/>
  <c r="V33" i="2" s="1"/>
  <c r="W27" i="2"/>
  <c r="H13" i="2"/>
  <c r="H27" i="2"/>
  <c r="G13" i="2"/>
  <c r="G27" i="2"/>
  <c r="F13" i="2"/>
  <c r="F27" i="2"/>
  <c r="I13" i="2"/>
  <c r="I27" i="2"/>
  <c r="Z13" i="2"/>
  <c r="AA13" i="2"/>
  <c r="AB13" i="2"/>
  <c r="N13" i="2"/>
  <c r="P13" i="2"/>
  <c r="R13" i="2"/>
  <c r="S13" i="2"/>
  <c r="M13" i="2"/>
  <c r="Q13" i="2"/>
  <c r="U13" i="2"/>
  <c r="K13" i="2"/>
  <c r="L13" i="2"/>
  <c r="V13" i="2"/>
  <c r="W13" i="2"/>
  <c r="X13" i="2"/>
  <c r="AM58" i="2" l="1"/>
  <c r="AR92" i="2"/>
  <c r="AW92" i="2" s="1"/>
  <c r="AH58" i="2"/>
  <c r="D38" i="22"/>
  <c r="J9" i="23"/>
  <c r="J10" i="23" s="1"/>
  <c r="AO48" i="2"/>
  <c r="AP48" i="2" s="1"/>
  <c r="AQ48" i="2" s="1"/>
  <c r="AR48" i="2" s="1"/>
  <c r="AL58" i="2"/>
  <c r="AR58" i="2"/>
  <c r="AT92" i="2"/>
  <c r="AO58" i="2"/>
  <c r="AV92" i="2"/>
  <c r="AQ58" i="2"/>
  <c r="AU92" i="2"/>
  <c r="AP58" i="2"/>
  <c r="BB92" i="2"/>
  <c r="BB58" i="2" s="1"/>
  <c r="AW58" i="2"/>
  <c r="E38" i="22"/>
  <c r="AD10" i="2"/>
  <c r="H7" i="23" s="1"/>
  <c r="AJ97" i="2"/>
  <c r="AC115" i="2"/>
  <c r="AC18" i="2"/>
  <c r="AD18" i="2" s="1"/>
  <c r="C18" i="2" s="1"/>
  <c r="AG97" i="2"/>
  <c r="AG119" i="2" s="1"/>
  <c r="AE97" i="2"/>
  <c r="AE119" i="2" s="1"/>
  <c r="AE124" i="2" s="1"/>
  <c r="AC119" i="2"/>
  <c r="AD97" i="2"/>
  <c r="C10" i="7" s="1"/>
  <c r="AF115" i="2"/>
  <c r="AF97" i="2"/>
  <c r="AC98" i="2"/>
  <c r="AI10" i="2"/>
  <c r="V34" i="2"/>
  <c r="AB39" i="2"/>
  <c r="AB41" i="2" s="1"/>
  <c r="AB33" i="2"/>
  <c r="S39" i="2"/>
  <c r="S41" i="2" s="1"/>
  <c r="S33" i="2"/>
  <c r="S108" i="2" s="1"/>
  <c r="K39" i="2"/>
  <c r="K41" i="2" s="1"/>
  <c r="K33" i="2"/>
  <c r="R39" i="2"/>
  <c r="R41" i="2" s="1"/>
  <c r="R33" i="2"/>
  <c r="P39" i="2"/>
  <c r="P41" i="2" s="1"/>
  <c r="P33" i="2"/>
  <c r="X39" i="2"/>
  <c r="X41" i="2" s="1"/>
  <c r="X33" i="2"/>
  <c r="X108" i="2" s="1"/>
  <c r="F39" i="2"/>
  <c r="F41" i="2" s="1"/>
  <c r="F33" i="2"/>
  <c r="F34" i="2" s="1"/>
  <c r="AA39" i="2"/>
  <c r="AA41" i="2" s="1"/>
  <c r="AA33" i="2"/>
  <c r="H39" i="2"/>
  <c r="H41" i="2" s="1"/>
  <c r="H33" i="2"/>
  <c r="H34" i="2" s="1"/>
  <c r="N34" i="2"/>
  <c r="U39" i="2"/>
  <c r="U41" i="2" s="1"/>
  <c r="U33" i="2"/>
  <c r="I39" i="2"/>
  <c r="I41" i="2" s="1"/>
  <c r="I33" i="2"/>
  <c r="Q39" i="2"/>
  <c r="Q41" i="2" s="1"/>
  <c r="Q33" i="2"/>
  <c r="L39" i="2"/>
  <c r="L41" i="2" s="1"/>
  <c r="L33" i="2"/>
  <c r="M39" i="2"/>
  <c r="M41" i="2" s="1"/>
  <c r="M33" i="2"/>
  <c r="W39" i="2"/>
  <c r="W41" i="2" s="1"/>
  <c r="W33" i="2"/>
  <c r="G39" i="2"/>
  <c r="G41" i="2" s="1"/>
  <c r="G33" i="2"/>
  <c r="G34" i="2" s="1"/>
  <c r="Z39" i="2"/>
  <c r="Z41" i="2" s="1"/>
  <c r="Z33" i="2"/>
  <c r="AE3" i="2"/>
  <c r="AD3" i="2"/>
  <c r="AF21" i="2"/>
  <c r="J13" i="2"/>
  <c r="AF18" i="2"/>
  <c r="AO41" i="2"/>
  <c r="AT41" i="2" s="1"/>
  <c r="AY41" i="2" s="1"/>
  <c r="AQ41" i="2"/>
  <c r="AV41" i="2" s="1"/>
  <c r="BA41" i="2" s="1"/>
  <c r="Z28" i="2"/>
  <c r="O14" i="2"/>
  <c r="D39" i="22" s="1"/>
  <c r="X28" i="2"/>
  <c r="N29" i="2"/>
  <c r="N39" i="2"/>
  <c r="N41" i="2" s="1"/>
  <c r="AR41" i="2" s="1"/>
  <c r="AW41" i="2" s="1"/>
  <c r="BB41" i="2" s="1"/>
  <c r="AJ13" i="2"/>
  <c r="V29" i="2"/>
  <c r="V39" i="2"/>
  <c r="P29" i="2"/>
  <c r="AE21" i="2"/>
  <c r="AA29" i="2"/>
  <c r="X29" i="2"/>
  <c r="W29" i="2"/>
  <c r="AE18" i="2"/>
  <c r="K29" i="2"/>
  <c r="AC21" i="2"/>
  <c r="AD21" i="2" s="1"/>
  <c r="Z29" i="2"/>
  <c r="AG21" i="2"/>
  <c r="R29" i="2"/>
  <c r="L29" i="2"/>
  <c r="T14" i="2"/>
  <c r="E39" i="22" s="1"/>
  <c r="S28" i="2"/>
  <c r="S29" i="2"/>
  <c r="M29" i="2"/>
  <c r="AB29" i="2"/>
  <c r="U28" i="2"/>
  <c r="U29" i="2"/>
  <c r="AG18" i="2"/>
  <c r="Q29" i="2"/>
  <c r="Y14" i="2"/>
  <c r="F39" i="22" s="1"/>
  <c r="J27" i="2"/>
  <c r="D14" i="23" s="1"/>
  <c r="O27" i="2"/>
  <c r="Y27" i="2"/>
  <c r="Y13" i="2"/>
  <c r="F38" i="22" s="1"/>
  <c r="O13" i="2"/>
  <c r="T13" i="2"/>
  <c r="T27" i="2"/>
  <c r="F14" i="23" s="1"/>
  <c r="W28" i="2"/>
  <c r="AA28" i="2"/>
  <c r="V28" i="2"/>
  <c r="L28" i="2"/>
  <c r="AB28" i="2"/>
  <c r="M28" i="2"/>
  <c r="K28" i="2"/>
  <c r="N28" i="2"/>
  <c r="Q28" i="2"/>
  <c r="R28" i="2"/>
  <c r="P28" i="2"/>
  <c r="H28" i="2"/>
  <c r="G28" i="2"/>
  <c r="I28" i="2"/>
  <c r="F28" i="2"/>
  <c r="AS48" i="2" l="1"/>
  <c r="K9" i="23" s="1"/>
  <c r="K10" i="23" s="1"/>
  <c r="AT48" i="2"/>
  <c r="AU48" i="2" s="1"/>
  <c r="AV48" i="2" s="1"/>
  <c r="AW48" i="2" s="1"/>
  <c r="AZ92" i="2"/>
  <c r="AZ58" i="2" s="1"/>
  <c r="AU58" i="2"/>
  <c r="BA92" i="2"/>
  <c r="BA58" i="2" s="1"/>
  <c r="AV58" i="2"/>
  <c r="AY92" i="2"/>
  <c r="AY58" i="2" s="1"/>
  <c r="AT58" i="2"/>
  <c r="O33" i="2"/>
  <c r="O34" i="2" s="1"/>
  <c r="E14" i="23"/>
  <c r="Y33" i="2"/>
  <c r="Y34" i="2" s="1"/>
  <c r="G14" i="23"/>
  <c r="AC99" i="2"/>
  <c r="AC63" i="2" s="1"/>
  <c r="AC24" i="2"/>
  <c r="AC113" i="2" s="1"/>
  <c r="H35" i="22"/>
  <c r="I7" i="23"/>
  <c r="C10" i="2"/>
  <c r="G35" i="22"/>
  <c r="G36" i="22" s="1"/>
  <c r="AG115" i="2"/>
  <c r="AD60" i="2"/>
  <c r="AE115" i="2" s="1"/>
  <c r="AG98" i="2"/>
  <c r="AG24" i="2" s="1"/>
  <c r="AG16" i="2" s="1"/>
  <c r="AE98" i="2"/>
  <c r="AE24" i="2" s="1"/>
  <c r="AE16" i="2" s="1"/>
  <c r="AK18" i="2"/>
  <c r="AF114" i="2"/>
  <c r="AK97" i="2"/>
  <c r="AK98" i="2" s="1"/>
  <c r="AK24" i="2" s="1"/>
  <c r="AK25" i="2" s="1"/>
  <c r="AG114" i="2"/>
  <c r="AL114" i="2"/>
  <c r="AK21" i="2"/>
  <c r="AL97" i="2"/>
  <c r="AL98" i="2" s="1"/>
  <c r="AL24" i="2" s="1"/>
  <c r="AL25" i="2" s="1"/>
  <c r="AH115" i="2"/>
  <c r="C21" i="2"/>
  <c r="AD22" i="2"/>
  <c r="AJ98" i="2"/>
  <c r="AJ24" i="2" s="1"/>
  <c r="AJ25" i="2" s="1"/>
  <c r="AJ119" i="2"/>
  <c r="AF98" i="2"/>
  <c r="AF24" i="2" s="1"/>
  <c r="AF16" i="2" s="1"/>
  <c r="AF119" i="2"/>
  <c r="AD98" i="2"/>
  <c r="AQ97" i="2"/>
  <c r="I34" i="2"/>
  <c r="I108" i="2"/>
  <c r="AH97" i="2"/>
  <c r="AI97" i="2" s="1"/>
  <c r="D10" i="7" s="1"/>
  <c r="AO97" i="2"/>
  <c r="K44" i="2"/>
  <c r="K45" i="2" s="1"/>
  <c r="S44" i="2"/>
  <c r="S49" i="2" s="1"/>
  <c r="H44" i="2"/>
  <c r="H49" i="2" s="1"/>
  <c r="L44" i="2"/>
  <c r="L45" i="2" s="1"/>
  <c r="P44" i="2"/>
  <c r="AA44" i="2"/>
  <c r="AA45" i="2" s="1"/>
  <c r="X44" i="2"/>
  <c r="X45" i="2" s="1"/>
  <c r="N35" i="2"/>
  <c r="R44" i="2"/>
  <c r="R45" i="2" s="1"/>
  <c r="Q44" i="2"/>
  <c r="Q45" i="2" s="1"/>
  <c r="F44" i="2"/>
  <c r="F45" i="2" s="1"/>
  <c r="I44" i="2"/>
  <c r="I49" i="2" s="1"/>
  <c r="G44" i="2"/>
  <c r="G49" i="2" s="1"/>
  <c r="U44" i="2"/>
  <c r="U45" i="2" s="1"/>
  <c r="M44" i="2"/>
  <c r="M45" i="2" s="1"/>
  <c r="Z44" i="2"/>
  <c r="Z49" i="2" s="1"/>
  <c r="AB44" i="2"/>
  <c r="AB49" i="2" s="1"/>
  <c r="U35" i="2"/>
  <c r="U34" i="2"/>
  <c r="P34" i="2"/>
  <c r="P35" i="2"/>
  <c r="W34" i="2"/>
  <c r="W35" i="2"/>
  <c r="R34" i="2"/>
  <c r="R35" i="2"/>
  <c r="M34" i="2"/>
  <c r="M35" i="2"/>
  <c r="K34" i="2"/>
  <c r="K35" i="2"/>
  <c r="T39" i="2"/>
  <c r="T41" i="2" s="1"/>
  <c r="T33" i="2"/>
  <c r="F15" i="23" s="1"/>
  <c r="F19" i="23" s="1"/>
  <c r="W44" i="2"/>
  <c r="W49" i="2" s="1"/>
  <c r="L34" i="2"/>
  <c r="L35" i="2"/>
  <c r="AA34" i="2"/>
  <c r="AA35" i="2"/>
  <c r="S35" i="2"/>
  <c r="S34" i="2"/>
  <c r="Q34" i="2"/>
  <c r="Q35" i="2"/>
  <c r="AB34" i="2"/>
  <c r="AB35" i="2"/>
  <c r="Z34" i="2"/>
  <c r="Z35" i="2"/>
  <c r="X34" i="2"/>
  <c r="X35" i="2"/>
  <c r="V35" i="2"/>
  <c r="J39" i="2"/>
  <c r="J41" i="2" s="1"/>
  <c r="J33" i="2"/>
  <c r="AJ3" i="2"/>
  <c r="AI3" i="2"/>
  <c r="N44" i="2"/>
  <c r="AE12" i="2"/>
  <c r="AE14" i="2" s="1"/>
  <c r="V44" i="2"/>
  <c r="V45" i="2" s="1"/>
  <c r="V41" i="2"/>
  <c r="AP41" i="2" s="1"/>
  <c r="AU41" i="2" s="1"/>
  <c r="AZ41" i="2" s="1"/>
  <c r="AH18" i="2"/>
  <c r="O29" i="2"/>
  <c r="O39" i="2"/>
  <c r="O41" i="2" s="1"/>
  <c r="Y29" i="2"/>
  <c r="Y39" i="2"/>
  <c r="Y41" i="2" s="1"/>
  <c r="T29" i="2"/>
  <c r="AC12" i="2"/>
  <c r="AL18" i="2"/>
  <c r="AJ18" i="2"/>
  <c r="AL21" i="2"/>
  <c r="O28" i="2"/>
  <c r="AK13" i="2"/>
  <c r="AF12" i="2"/>
  <c r="AG12" i="2"/>
  <c r="AL13" i="2"/>
  <c r="AD19" i="2"/>
  <c r="AH21" i="2"/>
  <c r="AJ21" i="2"/>
  <c r="AJ12" i="2"/>
  <c r="T28" i="2"/>
  <c r="Y28" i="2"/>
  <c r="J28" i="2"/>
  <c r="AP114" i="2"/>
  <c r="AY48" i="2" l="1"/>
  <c r="AZ48" i="2" s="1"/>
  <c r="BA48" i="2" s="1"/>
  <c r="BB48" i="2" s="1"/>
  <c r="BC48" i="2" s="1"/>
  <c r="AX48" i="2"/>
  <c r="L9" i="23" s="1"/>
  <c r="L10" i="23" s="1"/>
  <c r="AC16" i="2"/>
  <c r="AC27" i="2" s="1"/>
  <c r="AQ114" i="2"/>
  <c r="AR114" i="2"/>
  <c r="F40" i="22"/>
  <c r="F41" i="22" s="1"/>
  <c r="G15" i="23"/>
  <c r="G19" i="23" s="1"/>
  <c r="J34" i="2"/>
  <c r="D15" i="23"/>
  <c r="D19" i="23" s="1"/>
  <c r="D40" i="22"/>
  <c r="D41" i="22" s="1"/>
  <c r="E15" i="23"/>
  <c r="E19" i="23" s="1"/>
  <c r="AE96" i="2"/>
  <c r="AE99" i="2" s="1"/>
  <c r="AF96" i="2" s="1"/>
  <c r="AF99" i="2" s="1"/>
  <c r="AK113" i="2"/>
  <c r="AJ113" i="2"/>
  <c r="AL113" i="2"/>
  <c r="AF25" i="2"/>
  <c r="AF113" i="2"/>
  <c r="AG25" i="2"/>
  <c r="AG113" i="2"/>
  <c r="AE25" i="2"/>
  <c r="AE113" i="2"/>
  <c r="AC25" i="2"/>
  <c r="AD24" i="2"/>
  <c r="C24" i="2" s="1"/>
  <c r="Y35" i="2"/>
  <c r="F42" i="22" s="1"/>
  <c r="E40" i="22"/>
  <c r="E41" i="22" s="1"/>
  <c r="H36" i="22"/>
  <c r="AK115" i="2"/>
  <c r="AL115" i="2"/>
  <c r="AK119" i="2"/>
  <c r="AK16" i="2"/>
  <c r="AL119" i="2"/>
  <c r="AM114" i="2"/>
  <c r="AM115" i="2"/>
  <c r="AQ98" i="2"/>
  <c r="AQ24" i="2" s="1"/>
  <c r="AQ119" i="2"/>
  <c r="AO98" i="2"/>
  <c r="AO24" i="2" s="1"/>
  <c r="AO119" i="2"/>
  <c r="AH98" i="2"/>
  <c r="AH119" i="2"/>
  <c r="AI60" i="2"/>
  <c r="AJ115" i="2" s="1"/>
  <c r="AK114" i="2"/>
  <c r="AT97" i="2"/>
  <c r="AR97" i="2"/>
  <c r="AR115" i="2"/>
  <c r="AM97" i="2"/>
  <c r="AN97" i="2" s="1"/>
  <c r="E10" i="7" s="1"/>
  <c r="BA97" i="2"/>
  <c r="AP97" i="2"/>
  <c r="AQ115" i="2"/>
  <c r="AV97" i="2"/>
  <c r="AD63" i="2"/>
  <c r="K49" i="2"/>
  <c r="S45" i="2"/>
  <c r="H45" i="2"/>
  <c r="L49" i="2"/>
  <c r="Q49" i="2"/>
  <c r="F49" i="2"/>
  <c r="J49" i="2" s="1"/>
  <c r="D8" i="23" s="1"/>
  <c r="D17" i="23" s="1"/>
  <c r="Q46" i="2"/>
  <c r="K46" i="2"/>
  <c r="AA49" i="2"/>
  <c r="N46" i="2"/>
  <c r="I45" i="2"/>
  <c r="R49" i="2"/>
  <c r="T44" i="2"/>
  <c r="P45" i="2"/>
  <c r="P49" i="2"/>
  <c r="P46" i="2"/>
  <c r="Z45" i="2"/>
  <c r="U46" i="2"/>
  <c r="U49" i="2"/>
  <c r="X49" i="2"/>
  <c r="X46" i="2"/>
  <c r="J44" i="2"/>
  <c r="J45" i="2" s="1"/>
  <c r="AB45" i="2"/>
  <c r="G45" i="2"/>
  <c r="M46" i="2"/>
  <c r="L46" i="2"/>
  <c r="M49" i="2"/>
  <c r="R46" i="2"/>
  <c r="Z46" i="2"/>
  <c r="AB46" i="2"/>
  <c r="T35" i="2"/>
  <c r="E42" i="22" s="1"/>
  <c r="T34" i="2"/>
  <c r="W46" i="2"/>
  <c r="W45" i="2"/>
  <c r="O35" i="2"/>
  <c r="D42" i="22" s="1"/>
  <c r="AL16" i="2"/>
  <c r="AO3" i="2"/>
  <c r="AN3" i="2"/>
  <c r="AJ16" i="2"/>
  <c r="AJ27" i="2" s="1"/>
  <c r="O44" i="2"/>
  <c r="N45" i="2"/>
  <c r="N49" i="2"/>
  <c r="AI18" i="2"/>
  <c r="AA46" i="2"/>
  <c r="AN10" i="2"/>
  <c r="AS10" i="2"/>
  <c r="Y44" i="2"/>
  <c r="AE27" i="2"/>
  <c r="AM18" i="2"/>
  <c r="AN18" i="2" s="1"/>
  <c r="S46" i="2"/>
  <c r="V46" i="2"/>
  <c r="V49" i="2"/>
  <c r="AP18" i="2"/>
  <c r="AP21" i="2"/>
  <c r="AI21" i="2"/>
  <c r="AI22" i="2" s="1"/>
  <c r="AC14" i="2"/>
  <c r="AH12" i="2"/>
  <c r="AM13" i="2"/>
  <c r="AO21" i="2"/>
  <c r="AK12" i="2"/>
  <c r="AL12" i="2"/>
  <c r="AG11" i="2"/>
  <c r="AG14" i="2"/>
  <c r="AG27" i="2"/>
  <c r="AF11" i="2"/>
  <c r="AF14" i="2"/>
  <c r="AF27" i="2"/>
  <c r="AR18" i="2"/>
  <c r="AQ21" i="2"/>
  <c r="AO18" i="2"/>
  <c r="AQ18" i="2"/>
  <c r="AJ11" i="2"/>
  <c r="AJ14" i="2"/>
  <c r="AM21" i="2"/>
  <c r="AQ12" i="2"/>
  <c r="AO12" i="2"/>
  <c r="AC11" i="2"/>
  <c r="AD11" i="2" s="1"/>
  <c r="AU114" i="2"/>
  <c r="C25" i="7" l="1"/>
  <c r="M9" i="23"/>
  <c r="M10" i="23" s="1"/>
  <c r="AV114" i="2"/>
  <c r="AI98" i="2"/>
  <c r="AH24" i="2"/>
  <c r="AO25" i="2"/>
  <c r="AO113" i="2"/>
  <c r="AQ25" i="2"/>
  <c r="AQ113" i="2"/>
  <c r="AD25" i="2"/>
  <c r="AD16" i="2"/>
  <c r="C9" i="7"/>
  <c r="J35" i="22"/>
  <c r="K36" i="22" s="1"/>
  <c r="K7" i="23"/>
  <c r="I35" i="22"/>
  <c r="J7" i="23"/>
  <c r="O45" i="2"/>
  <c r="D43" i="22"/>
  <c r="D44" i="22" s="1"/>
  <c r="Y45" i="2"/>
  <c r="F43" i="22"/>
  <c r="F44" i="22" s="1"/>
  <c r="T45" i="2"/>
  <c r="E43" i="22"/>
  <c r="E44" i="22" s="1"/>
  <c r="AP115" i="2"/>
  <c r="AE63" i="2"/>
  <c r="AS97" i="2"/>
  <c r="F10" i="7" s="1"/>
  <c r="AS60" i="2"/>
  <c r="AT115" i="2" s="1"/>
  <c r="BA98" i="2"/>
  <c r="BA24" i="2" s="1"/>
  <c r="BA119" i="2"/>
  <c r="AT98" i="2"/>
  <c r="AT24" i="2" s="1"/>
  <c r="AT119" i="2"/>
  <c r="AV98" i="2"/>
  <c r="AV24" i="2" s="1"/>
  <c r="AV119" i="2"/>
  <c r="AP98" i="2"/>
  <c r="AP24" i="2" s="1"/>
  <c r="AP25" i="2" s="1"/>
  <c r="AP119" i="2"/>
  <c r="AR98" i="2"/>
  <c r="AR24" i="2" s="1"/>
  <c r="AR119" i="2"/>
  <c r="AM98" i="2"/>
  <c r="AM119" i="2"/>
  <c r="AN60" i="2"/>
  <c r="AO115" i="2" s="1"/>
  <c r="AW97" i="2"/>
  <c r="AX60" i="2"/>
  <c r="AG96" i="2"/>
  <c r="AG99" i="2" s="1"/>
  <c r="AF63" i="2"/>
  <c r="AU97" i="2"/>
  <c r="AV115" i="2"/>
  <c r="AY97" i="2"/>
  <c r="BB97" i="2"/>
  <c r="BC60" i="2"/>
  <c r="Y49" i="2"/>
  <c r="G8" i="23" s="1"/>
  <c r="G17" i="23" s="1"/>
  <c r="O49" i="2"/>
  <c r="E8" i="23" s="1"/>
  <c r="E17" i="23" s="1"/>
  <c r="T49" i="2"/>
  <c r="F8" i="23" s="1"/>
  <c r="F17" i="23" s="1"/>
  <c r="AJ33" i="2"/>
  <c r="AJ106" i="2" s="1"/>
  <c r="AJ126" i="2" s="1"/>
  <c r="AF33" i="2"/>
  <c r="AF106" i="2" s="1"/>
  <c r="AG33" i="2"/>
  <c r="AG106" i="2" s="1"/>
  <c r="AC33" i="2"/>
  <c r="AC106" i="2" s="1"/>
  <c r="AC126" i="2" s="1"/>
  <c r="AE33" i="2"/>
  <c r="AE106" i="2" s="1"/>
  <c r="AE126" i="2" s="1"/>
  <c r="O46" i="2"/>
  <c r="D45" i="22" s="1"/>
  <c r="T46" i="2"/>
  <c r="E45" i="22" s="1"/>
  <c r="AT3" i="2"/>
  <c r="AS3" i="2"/>
  <c r="AE28" i="2"/>
  <c r="AE29" i="2"/>
  <c r="Y46" i="2"/>
  <c r="F45" i="22" s="1"/>
  <c r="AI19" i="2"/>
  <c r="AQ16" i="2"/>
  <c r="AQ27" i="2" s="1"/>
  <c r="AQ33" i="2" s="1"/>
  <c r="AQ106" i="2" s="1"/>
  <c r="AO16" i="2"/>
  <c r="AO27" i="2" s="1"/>
  <c r="AO33" i="2" s="1"/>
  <c r="AO106" i="2" s="1"/>
  <c r="AO126" i="2" s="1"/>
  <c r="AU21" i="2"/>
  <c r="AU18" i="2"/>
  <c r="AN21" i="2"/>
  <c r="AJ29" i="2"/>
  <c r="AJ28" i="2"/>
  <c r="AN19" i="2"/>
  <c r="AO11" i="2"/>
  <c r="AO14" i="2"/>
  <c r="BA21" i="2"/>
  <c r="AV21" i="2"/>
  <c r="AQ11" i="2"/>
  <c r="AQ14" i="2"/>
  <c r="AR21" i="2"/>
  <c r="AS21" i="2" s="1"/>
  <c r="AS22" i="2" s="1"/>
  <c r="AL11" i="2"/>
  <c r="AL14" i="2"/>
  <c r="AL27" i="2"/>
  <c r="BB18" i="2"/>
  <c r="AW18" i="2"/>
  <c r="AY18" i="2"/>
  <c r="AT18" i="2"/>
  <c r="AK11" i="2"/>
  <c r="AK14" i="2"/>
  <c r="AK27" i="2"/>
  <c r="AP12" i="2"/>
  <c r="AM12" i="2"/>
  <c r="AS18" i="2"/>
  <c r="AC28" i="2"/>
  <c r="AC29" i="2"/>
  <c r="AF28" i="2"/>
  <c r="AF29" i="2"/>
  <c r="AG29" i="2"/>
  <c r="AG28" i="2"/>
  <c r="AY21" i="2"/>
  <c r="AT21" i="2"/>
  <c r="BA18" i="2"/>
  <c r="AV18" i="2"/>
  <c r="AH11" i="2"/>
  <c r="AH14" i="2"/>
  <c r="BA12" i="2"/>
  <c r="AV12" i="2"/>
  <c r="AY12" i="2"/>
  <c r="AT12" i="2"/>
  <c r="AZ114" i="2"/>
  <c r="AN98" i="2" l="1"/>
  <c r="AM24" i="2"/>
  <c r="AH25" i="2"/>
  <c r="AH16" i="2"/>
  <c r="AH27" i="2" s="1"/>
  <c r="AH28" i="2" s="1"/>
  <c r="AI24" i="2"/>
  <c r="AH113" i="2"/>
  <c r="BA25" i="2"/>
  <c r="BA113" i="2"/>
  <c r="AV25" i="2"/>
  <c r="AV113" i="2"/>
  <c r="AT25" i="2"/>
  <c r="AT113" i="2"/>
  <c r="AR25" i="2"/>
  <c r="AR113" i="2"/>
  <c r="AP16" i="2"/>
  <c r="AP27" i="2" s="1"/>
  <c r="AP33" i="2" s="1"/>
  <c r="AP106" i="2" s="1"/>
  <c r="AP113" i="2"/>
  <c r="AS24" i="2"/>
  <c r="AS16" i="2" s="1"/>
  <c r="J36" i="22"/>
  <c r="I36" i="22"/>
  <c r="AX97" i="2"/>
  <c r="G10" i="7" s="1"/>
  <c r="AS98" i="2"/>
  <c r="AN22" i="2"/>
  <c r="AY98" i="2"/>
  <c r="AY24" i="2" s="1"/>
  <c r="AY119" i="2"/>
  <c r="BB98" i="2"/>
  <c r="BB24" i="2" s="1"/>
  <c r="BB119" i="2"/>
  <c r="AU98" i="2"/>
  <c r="AU24" i="2" s="1"/>
  <c r="AU119" i="2"/>
  <c r="AW98" i="2"/>
  <c r="AW24" i="2" s="1"/>
  <c r="AW119" i="2"/>
  <c r="AW115" i="2"/>
  <c r="BB115" i="2"/>
  <c r="AU115" i="2"/>
  <c r="AY115" i="2"/>
  <c r="AG73" i="2"/>
  <c r="AG126" i="2"/>
  <c r="AF73" i="2"/>
  <c r="AF126" i="2"/>
  <c r="AQ73" i="2"/>
  <c r="AQ126" i="2"/>
  <c r="AJ73" i="2"/>
  <c r="AH96" i="2"/>
  <c r="AH99" i="2" s="1"/>
  <c r="AG63" i="2"/>
  <c r="AO73" i="2"/>
  <c r="AE73" i="2"/>
  <c r="AD106" i="2"/>
  <c r="AC73" i="2"/>
  <c r="AC103" i="2"/>
  <c r="AZ97" i="2"/>
  <c r="BC97" i="2" s="1"/>
  <c r="H10" i="7" s="1"/>
  <c r="BA115" i="2"/>
  <c r="AK33" i="2"/>
  <c r="AK106" i="2" s="1"/>
  <c r="AE35" i="2"/>
  <c r="AE34" i="2"/>
  <c r="AQ34" i="2"/>
  <c r="AG35" i="2"/>
  <c r="AG34" i="2"/>
  <c r="AC34" i="2"/>
  <c r="AC35" i="2"/>
  <c r="AF35" i="2"/>
  <c r="AF34" i="2"/>
  <c r="AL33" i="2"/>
  <c r="AO34" i="2"/>
  <c r="AO35" i="2"/>
  <c r="AJ34" i="2"/>
  <c r="AJ35" i="2"/>
  <c r="AY3" i="2"/>
  <c r="BC3" i="2" s="1"/>
  <c r="AX3" i="2"/>
  <c r="AT16" i="2"/>
  <c r="AT27" i="2" s="1"/>
  <c r="AV16" i="2"/>
  <c r="AV27" i="2" s="1"/>
  <c r="BA16" i="2"/>
  <c r="BA27" i="2" s="1"/>
  <c r="D10" i="2"/>
  <c r="AR16" i="2"/>
  <c r="AZ21" i="2"/>
  <c r="AZ18" i="2"/>
  <c r="AQ28" i="2"/>
  <c r="AO28" i="2"/>
  <c r="AO29" i="2"/>
  <c r="AV11" i="2"/>
  <c r="AV14" i="2"/>
  <c r="BA11" i="2"/>
  <c r="BA14" i="2"/>
  <c r="AX18" i="2"/>
  <c r="AZ12" i="2"/>
  <c r="AU12" i="2"/>
  <c r="AK29" i="2"/>
  <c r="AK28" i="2"/>
  <c r="AR12" i="2"/>
  <c r="AT11" i="2"/>
  <c r="AT14" i="2"/>
  <c r="AS19" i="2"/>
  <c r="AM11" i="2"/>
  <c r="AN11" i="2" s="1"/>
  <c r="AN12" i="2" s="1"/>
  <c r="I37" i="22" s="1"/>
  <c r="AM14" i="2"/>
  <c r="AL28" i="2"/>
  <c r="AL29" i="2"/>
  <c r="AY11" i="2"/>
  <c r="AY14" i="2"/>
  <c r="AP11" i="2"/>
  <c r="AP14" i="2"/>
  <c r="BB21" i="2"/>
  <c r="AW21" i="2"/>
  <c r="AX21" i="2" s="1"/>
  <c r="AX22" i="2" s="1"/>
  <c r="AQ29" i="2"/>
  <c r="F9" i="7" l="1"/>
  <c r="BA114" i="2"/>
  <c r="AS25" i="2"/>
  <c r="AH29" i="2"/>
  <c r="AH33" i="2"/>
  <c r="AH106" i="2" s="1"/>
  <c r="AH73" i="2" s="1"/>
  <c r="AX24" i="2"/>
  <c r="G9" i="7" s="1"/>
  <c r="AU16" i="2"/>
  <c r="AU27" i="2" s="1"/>
  <c r="BB16" i="2"/>
  <c r="AM25" i="2"/>
  <c r="AM113" i="2"/>
  <c r="AN24" i="2"/>
  <c r="AM16" i="2"/>
  <c r="AM27" i="2" s="1"/>
  <c r="AM29" i="2" s="1"/>
  <c r="D9" i="7"/>
  <c r="AI25" i="2"/>
  <c r="AI16" i="2"/>
  <c r="AY25" i="2"/>
  <c r="AY113" i="2"/>
  <c r="AY16" i="2"/>
  <c r="AY27" i="2" s="1"/>
  <c r="AY29" i="2" s="1"/>
  <c r="BB25" i="2"/>
  <c r="BB113" i="2"/>
  <c r="AW25" i="2"/>
  <c r="AW113" i="2"/>
  <c r="AU25" i="2"/>
  <c r="AU113" i="2"/>
  <c r="AZ98" i="2"/>
  <c r="AZ119" i="2"/>
  <c r="AX98" i="2"/>
  <c r="AZ115" i="2"/>
  <c r="AP73" i="2"/>
  <c r="AP126" i="2"/>
  <c r="AK73" i="2"/>
  <c r="AK126" i="2"/>
  <c r="AH63" i="2"/>
  <c r="AJ96" i="2"/>
  <c r="AJ99" i="2" s="1"/>
  <c r="AC76" i="2"/>
  <c r="AE103" i="2"/>
  <c r="AC104" i="2"/>
  <c r="AC37" i="2" s="1"/>
  <c r="AD103" i="2"/>
  <c r="AD73" i="2"/>
  <c r="AQ35" i="2"/>
  <c r="AL106" i="2"/>
  <c r="AT33" i="2"/>
  <c r="AT106" i="2" s="1"/>
  <c r="AT126" i="2" s="1"/>
  <c r="AP34" i="2"/>
  <c r="AP35" i="2"/>
  <c r="BA33" i="2"/>
  <c r="BA106" i="2" s="1"/>
  <c r="AL34" i="2"/>
  <c r="AL35" i="2"/>
  <c r="AV33" i="2"/>
  <c r="AV106" i="2" s="1"/>
  <c r="AK34" i="2"/>
  <c r="AK35" i="2"/>
  <c r="BC18" i="2"/>
  <c r="AW16" i="2"/>
  <c r="BC21" i="2"/>
  <c r="AP28" i="2"/>
  <c r="AT29" i="2"/>
  <c r="AT28" i="2"/>
  <c r="BA28" i="2"/>
  <c r="BA29" i="2"/>
  <c r="AV29" i="2"/>
  <c r="AV28" i="2"/>
  <c r="AX19" i="2"/>
  <c r="AN13" i="2"/>
  <c r="I38" i="22" s="1"/>
  <c r="AR11" i="2"/>
  <c r="AS11" i="2" s="1"/>
  <c r="AS12" i="2" s="1"/>
  <c r="J37" i="22" s="1"/>
  <c r="J38" i="22" s="1"/>
  <c r="AR14" i="2"/>
  <c r="AR27" i="2"/>
  <c r="AR33" i="2" s="1"/>
  <c r="AR106" i="2" s="1"/>
  <c r="AP29" i="2"/>
  <c r="BB12" i="2"/>
  <c r="AW12" i="2"/>
  <c r="AU11" i="2"/>
  <c r="AU14" i="2"/>
  <c r="AZ11" i="2"/>
  <c r="AZ14" i="2"/>
  <c r="AD12" i="2"/>
  <c r="C12" i="2" s="1"/>
  <c r="AE11" i="2"/>
  <c r="AI11" i="2" s="1"/>
  <c r="AI12" i="2" s="1"/>
  <c r="H37" i="22" s="1"/>
  <c r="AX16" i="2" l="1"/>
  <c r="AX25" i="2"/>
  <c r="AM28" i="2"/>
  <c r="AM33" i="2"/>
  <c r="AM106" i="2" s="1"/>
  <c r="AM73" i="2" s="1"/>
  <c r="AN73" i="2" s="1"/>
  <c r="AH34" i="2"/>
  <c r="AH35" i="2"/>
  <c r="AI106" i="2"/>
  <c r="AH126" i="2"/>
  <c r="AY28" i="2"/>
  <c r="E9" i="7"/>
  <c r="AN16" i="2"/>
  <c r="AN27" i="2" s="1"/>
  <c r="E5" i="7" s="1"/>
  <c r="E8" i="7" s="1"/>
  <c r="AN25" i="2"/>
  <c r="AY33" i="2"/>
  <c r="AY106" i="2" s="1"/>
  <c r="AY126" i="2" s="1"/>
  <c r="BC98" i="2"/>
  <c r="AZ24" i="2"/>
  <c r="G37" i="22"/>
  <c r="G39" i="22" s="1"/>
  <c r="I39" i="22"/>
  <c r="J39" i="22"/>
  <c r="AI73" i="2"/>
  <c r="D21" i="2"/>
  <c r="BC22" i="2"/>
  <c r="AD37" i="2"/>
  <c r="AC39" i="2"/>
  <c r="AC40" i="2" s="1"/>
  <c r="BA73" i="2"/>
  <c r="BA126" i="2"/>
  <c r="AV73" i="2"/>
  <c r="AV126" i="2"/>
  <c r="AL73" i="2"/>
  <c r="AL126" i="2"/>
  <c r="AR73" i="2"/>
  <c r="AR126" i="2"/>
  <c r="AD104" i="2"/>
  <c r="K4" i="7" s="1"/>
  <c r="AC127" i="2"/>
  <c r="AC130" i="2" s="1"/>
  <c r="AF103" i="2"/>
  <c r="AE76" i="2"/>
  <c r="AE104" i="2"/>
  <c r="AC78" i="2"/>
  <c r="AD78" i="2" s="1"/>
  <c r="AE78" i="2" s="1"/>
  <c r="AD76" i="2"/>
  <c r="H11" i="23" s="1"/>
  <c r="AJ63" i="2"/>
  <c r="AK96" i="2"/>
  <c r="AK99" i="2" s="1"/>
  <c r="AI63" i="2"/>
  <c r="AT73" i="2"/>
  <c r="AS106" i="2"/>
  <c r="BA34" i="2"/>
  <c r="BA35" i="2"/>
  <c r="AU33" i="2"/>
  <c r="AU106" i="2" s="1"/>
  <c r="AR34" i="2"/>
  <c r="AT34" i="2"/>
  <c r="AT35" i="2"/>
  <c r="AV34" i="2"/>
  <c r="AV35" i="2"/>
  <c r="BC19" i="2"/>
  <c r="D18" i="2"/>
  <c r="AR28" i="2"/>
  <c r="AR29" i="2"/>
  <c r="AU29" i="2"/>
  <c r="AU28" i="2"/>
  <c r="AI27" i="2"/>
  <c r="I14" i="23" s="1"/>
  <c r="AI14" i="2"/>
  <c r="AS13" i="2"/>
  <c r="AS14" i="2"/>
  <c r="AS27" i="2"/>
  <c r="AW11" i="2"/>
  <c r="AX11" i="2" s="1"/>
  <c r="AX12" i="2" s="1"/>
  <c r="K37" i="22" s="1"/>
  <c r="AW14" i="2"/>
  <c r="AW27" i="2"/>
  <c r="AD14" i="2"/>
  <c r="AD27" i="2"/>
  <c r="H14" i="23" s="1"/>
  <c r="AD13" i="2"/>
  <c r="G38" i="22" s="1"/>
  <c r="AN14" i="2"/>
  <c r="BB11" i="2"/>
  <c r="BC11" i="2" s="1"/>
  <c r="BC12" i="2" s="1"/>
  <c r="D12" i="2" s="1"/>
  <c r="BB14" i="2"/>
  <c r="BB27" i="2"/>
  <c r="AI13" i="2"/>
  <c r="H38" i="22" s="1"/>
  <c r="AN106" i="2" l="1"/>
  <c r="AR35" i="2"/>
  <c r="AM35" i="2"/>
  <c r="AM34" i="2"/>
  <c r="AM126" i="2"/>
  <c r="AN28" i="2"/>
  <c r="AY73" i="2"/>
  <c r="AN33" i="2"/>
  <c r="AN34" i="2" s="1"/>
  <c r="J14" i="23"/>
  <c r="AY34" i="2"/>
  <c r="AY35" i="2"/>
  <c r="AZ25" i="2"/>
  <c r="BC24" i="2"/>
  <c r="D24" i="2" s="1"/>
  <c r="AZ16" i="2"/>
  <c r="AZ27" i="2" s="1"/>
  <c r="AZ113" i="2"/>
  <c r="F5" i="7"/>
  <c r="F8" i="7" s="1"/>
  <c r="K14" i="23"/>
  <c r="K38" i="22"/>
  <c r="K39" i="22"/>
  <c r="H39" i="22"/>
  <c r="AF78" i="2"/>
  <c r="AD105" i="2"/>
  <c r="K17" i="7"/>
  <c r="K5" i="7" s="1"/>
  <c r="K9" i="7" s="1"/>
  <c r="AI33" i="2"/>
  <c r="I15" i="23" s="1"/>
  <c r="D5" i="7"/>
  <c r="AD33" i="2"/>
  <c r="C5" i="7"/>
  <c r="AD40" i="2"/>
  <c r="AE127" i="2"/>
  <c r="AE130" i="2" s="1"/>
  <c r="AE37" i="2"/>
  <c r="AU73" i="2"/>
  <c r="AU126" i="2"/>
  <c r="AS73" i="2"/>
  <c r="AF76" i="2"/>
  <c r="AF104" i="2"/>
  <c r="AG103" i="2"/>
  <c r="AL96" i="2"/>
  <c r="AL99" i="2" s="1"/>
  <c r="AK63" i="2"/>
  <c r="AU34" i="2"/>
  <c r="AU35" i="2"/>
  <c r="AW33" i="2"/>
  <c r="AW106" i="2" s="1"/>
  <c r="AW126" i="2" s="1"/>
  <c r="AS33" i="2"/>
  <c r="BB33" i="2"/>
  <c r="BB106" i="2" s="1"/>
  <c r="BB126" i="2" s="1"/>
  <c r="AD39" i="2"/>
  <c r="C27" i="2"/>
  <c r="AN29" i="2"/>
  <c r="BB28" i="2"/>
  <c r="BB29" i="2"/>
  <c r="AD28" i="2"/>
  <c r="AD29" i="2"/>
  <c r="AS29" i="2"/>
  <c r="AS28" i="2"/>
  <c r="BC13" i="2"/>
  <c r="BC14" i="2"/>
  <c r="AI29" i="2"/>
  <c r="AI28" i="2"/>
  <c r="AW29" i="2"/>
  <c r="AW28" i="2"/>
  <c r="AX13" i="2"/>
  <c r="AX14" i="2"/>
  <c r="AX27" i="2"/>
  <c r="J15" i="23" l="1"/>
  <c r="I40" i="22"/>
  <c r="I41" i="22" s="1"/>
  <c r="BC25" i="2"/>
  <c r="BC16" i="2"/>
  <c r="BC27" i="2" s="1"/>
  <c r="M14" i="23" s="1"/>
  <c r="H9" i="7"/>
  <c r="AZ33" i="2"/>
  <c r="AZ28" i="2"/>
  <c r="AZ29" i="2"/>
  <c r="G40" i="22"/>
  <c r="G42" i="22" s="1"/>
  <c r="H15" i="23"/>
  <c r="AN35" i="2"/>
  <c r="J40" i="22"/>
  <c r="J41" i="22" s="1"/>
  <c r="K15" i="23"/>
  <c r="G5" i="7"/>
  <c r="G8" i="7" s="1"/>
  <c r="L14" i="23"/>
  <c r="AI34" i="2"/>
  <c r="H40" i="22"/>
  <c r="AD35" i="2"/>
  <c r="AG78" i="2"/>
  <c r="AC44" i="2"/>
  <c r="C33" i="2"/>
  <c r="AI35" i="2"/>
  <c r="AD34" i="2"/>
  <c r="K3" i="7"/>
  <c r="AD44" i="2"/>
  <c r="G43" i="22" s="1"/>
  <c r="AF127" i="2"/>
  <c r="AF130" i="2" s="1"/>
  <c r="AF37" i="2"/>
  <c r="AF39" i="2" s="1"/>
  <c r="AF40" i="2" s="1"/>
  <c r="AF44" i="2" s="1"/>
  <c r="AE39" i="2"/>
  <c r="BB73" i="2"/>
  <c r="AM96" i="2"/>
  <c r="AM99" i="2" s="1"/>
  <c r="AL63" i="2"/>
  <c r="AG104" i="2"/>
  <c r="AH103" i="2"/>
  <c r="AG76" i="2"/>
  <c r="AW73" i="2"/>
  <c r="AX106" i="2"/>
  <c r="AW34" i="2"/>
  <c r="AW35" i="2"/>
  <c r="BB34" i="2"/>
  <c r="BB35" i="2"/>
  <c r="AS35" i="2"/>
  <c r="AS34" i="2"/>
  <c r="AX33" i="2"/>
  <c r="AD41" i="2"/>
  <c r="C6" i="7" s="1"/>
  <c r="AX28" i="2"/>
  <c r="AX29" i="2"/>
  <c r="BC28" i="2" l="1"/>
  <c r="D27" i="2"/>
  <c r="AC112" i="2"/>
  <c r="BC29" i="2"/>
  <c r="BC33" i="2"/>
  <c r="M15" i="23" s="1"/>
  <c r="AZ106" i="2"/>
  <c r="AZ34" i="2"/>
  <c r="AZ35" i="2"/>
  <c r="H5" i="7"/>
  <c r="H8" i="7" s="1"/>
  <c r="G41" i="22"/>
  <c r="J42" i="22"/>
  <c r="K40" i="22"/>
  <c r="K42" i="22" s="1"/>
  <c r="L15" i="23"/>
  <c r="H42" i="22"/>
  <c r="H41" i="22"/>
  <c r="I42" i="22"/>
  <c r="G45" i="22"/>
  <c r="G44" i="22"/>
  <c r="C8" i="7"/>
  <c r="C44" i="2"/>
  <c r="AH78" i="2"/>
  <c r="AC46" i="2"/>
  <c r="AC45" i="2"/>
  <c r="AC49" i="2"/>
  <c r="AD49" i="2" s="1"/>
  <c r="H8" i="23" s="1"/>
  <c r="H17" i="23" s="1"/>
  <c r="AD45" i="2"/>
  <c r="AD46" i="2"/>
  <c r="AG127" i="2"/>
  <c r="AG130" i="2" s="1"/>
  <c r="AG37" i="2"/>
  <c r="AE40" i="2"/>
  <c r="AE44" i="2" s="1"/>
  <c r="AF112" i="2"/>
  <c r="AF45" i="2"/>
  <c r="AF49" i="2"/>
  <c r="AF46" i="2"/>
  <c r="AX73" i="2"/>
  <c r="AH76" i="2"/>
  <c r="AI76" i="2" s="1"/>
  <c r="I11" i="23" s="1"/>
  <c r="AJ103" i="2"/>
  <c r="AH104" i="2"/>
  <c r="AH37" i="2" s="1"/>
  <c r="AH39" i="2" s="1"/>
  <c r="AH40" i="2" s="1"/>
  <c r="AH44" i="2" s="1"/>
  <c r="AI103" i="2"/>
  <c r="AO96" i="2"/>
  <c r="AO99" i="2" s="1"/>
  <c r="AM63" i="2"/>
  <c r="BC73" i="2"/>
  <c r="C23" i="7" s="1"/>
  <c r="AX34" i="2"/>
  <c r="AX35" i="2"/>
  <c r="F69" i="2"/>
  <c r="F85" i="2" s="1"/>
  <c r="I69" i="2"/>
  <c r="H69" i="2"/>
  <c r="H85" i="2" s="1"/>
  <c r="G69" i="2"/>
  <c r="G85" i="2" s="1"/>
  <c r="D33" i="2" l="1"/>
  <c r="BC35" i="2"/>
  <c r="BC34" i="2"/>
  <c r="AC68" i="2"/>
  <c r="AD68" i="2" s="1"/>
  <c r="AZ73" i="2"/>
  <c r="AZ126" i="2"/>
  <c r="BC106" i="2"/>
  <c r="K41" i="22"/>
  <c r="AF117" i="2"/>
  <c r="AI78" i="2"/>
  <c r="AH112" i="2"/>
  <c r="AH45" i="2"/>
  <c r="AH49" i="2"/>
  <c r="AH46" i="2"/>
  <c r="AE46" i="2"/>
  <c r="AE112" i="2"/>
  <c r="AE49" i="2"/>
  <c r="AE45" i="2"/>
  <c r="AG39" i="2"/>
  <c r="AG40" i="2" s="1"/>
  <c r="AG44" i="2" s="1"/>
  <c r="AI37" i="2"/>
  <c r="AI39" i="2" s="1"/>
  <c r="AI104" i="2"/>
  <c r="AI105" i="2" s="1"/>
  <c r="AH127" i="2"/>
  <c r="AH130" i="2" s="1"/>
  <c r="AN63" i="2"/>
  <c r="AP96" i="2"/>
  <c r="AP99" i="2" s="1"/>
  <c r="AO63" i="2"/>
  <c r="AJ104" i="2"/>
  <c r="AJ76" i="2"/>
  <c r="AK103" i="2"/>
  <c r="I85" i="2"/>
  <c r="J69" i="2"/>
  <c r="J85" i="2" s="1"/>
  <c r="AE68" i="2" l="1"/>
  <c r="AJ78" i="2"/>
  <c r="AI40" i="2"/>
  <c r="AI41" i="2" s="1"/>
  <c r="AJ127" i="2"/>
  <c r="AJ130" i="2" s="1"/>
  <c r="AJ37" i="2"/>
  <c r="AG112" i="2"/>
  <c r="AG49" i="2"/>
  <c r="AI49" i="2" s="1"/>
  <c r="I8" i="23" s="1"/>
  <c r="I17" i="23" s="1"/>
  <c r="AG45" i="2"/>
  <c r="AG46" i="2"/>
  <c r="AK76" i="2"/>
  <c r="AK104" i="2"/>
  <c r="AK37" i="2" s="1"/>
  <c r="AL103" i="2"/>
  <c r="AQ96" i="2"/>
  <c r="AQ99" i="2" s="1"/>
  <c r="AP63" i="2"/>
  <c r="D6" i="7" l="1"/>
  <c r="D8" i="7" s="1"/>
  <c r="AF68" i="2"/>
  <c r="AG117" i="2"/>
  <c r="AK78" i="2"/>
  <c r="AI44" i="2"/>
  <c r="AK127" i="2"/>
  <c r="AK130" i="2" s="1"/>
  <c r="AK39" i="2"/>
  <c r="AJ39" i="2"/>
  <c r="AR96" i="2"/>
  <c r="AR99" i="2" s="1"/>
  <c r="AQ63" i="2"/>
  <c r="AL76" i="2"/>
  <c r="AM103" i="2"/>
  <c r="AL104" i="2"/>
  <c r="AG68" i="2" l="1"/>
  <c r="AI46" i="2"/>
  <c r="H43" i="22"/>
  <c r="AL78" i="2"/>
  <c r="AI45" i="2"/>
  <c r="AK40" i="2"/>
  <c r="AK44" i="2" s="1"/>
  <c r="AK68" i="2" s="1"/>
  <c r="AL127" i="2"/>
  <c r="AL130" i="2" s="1"/>
  <c r="AL37" i="2"/>
  <c r="AJ40" i="2"/>
  <c r="AJ44" i="2" s="1"/>
  <c r="AJ68" i="2" s="1"/>
  <c r="AT96" i="2"/>
  <c r="AT99" i="2" s="1"/>
  <c r="AR63" i="2"/>
  <c r="AM104" i="2"/>
  <c r="AM37" i="2" s="1"/>
  <c r="AM39" i="2" s="1"/>
  <c r="AM76" i="2"/>
  <c r="AN76" i="2" s="1"/>
  <c r="J11" i="23" s="1"/>
  <c r="AN103" i="2"/>
  <c r="AO103" i="2"/>
  <c r="H44" i="22" l="1"/>
  <c r="H45" i="22"/>
  <c r="AM78" i="2"/>
  <c r="AK112" i="2"/>
  <c r="AK49" i="2"/>
  <c r="AK46" i="2"/>
  <c r="AK45" i="2"/>
  <c r="AM40" i="2"/>
  <c r="AM44" i="2" s="1"/>
  <c r="AJ112" i="2"/>
  <c r="AJ49" i="2"/>
  <c r="AJ45" i="2"/>
  <c r="AJ46" i="2"/>
  <c r="AL39" i="2"/>
  <c r="AL40" i="2" s="1"/>
  <c r="AL44" i="2" s="1"/>
  <c r="AL68" i="2" s="1"/>
  <c r="AN37" i="2"/>
  <c r="AN39" i="2" s="1"/>
  <c r="AN104" i="2"/>
  <c r="AN105" i="2" s="1"/>
  <c r="AM127" i="2"/>
  <c r="AM130" i="2" s="1"/>
  <c r="AU96" i="2"/>
  <c r="AU99" i="2" s="1"/>
  <c r="AT63" i="2"/>
  <c r="AO104" i="2"/>
  <c r="AO76" i="2"/>
  <c r="AP103" i="2"/>
  <c r="AS63" i="2"/>
  <c r="AH68" i="2" l="1"/>
  <c r="AI68" i="2" s="1"/>
  <c r="AM68" i="2"/>
  <c r="AN68" i="2" s="1"/>
  <c r="AK117" i="2"/>
  <c r="AN78" i="2"/>
  <c r="AL112" i="2"/>
  <c r="AL49" i="2"/>
  <c r="AL46" i="2"/>
  <c r="AL45" i="2"/>
  <c r="AN40" i="2"/>
  <c r="AN41" i="2" s="1"/>
  <c r="AM112" i="2"/>
  <c r="AM117" i="2" s="1"/>
  <c r="AM49" i="2"/>
  <c r="AM45" i="2"/>
  <c r="AM46" i="2"/>
  <c r="AO127" i="2"/>
  <c r="AO130" i="2" s="1"/>
  <c r="AO37" i="2"/>
  <c r="AO39" i="2" s="1"/>
  <c r="AP76" i="2"/>
  <c r="AP104" i="2"/>
  <c r="AQ103" i="2"/>
  <c r="AV96" i="2"/>
  <c r="AV99" i="2" s="1"/>
  <c r="AU63" i="2"/>
  <c r="AL117" i="2" l="1"/>
  <c r="AO78" i="2"/>
  <c r="AN44" i="2"/>
  <c r="AN49" i="2"/>
  <c r="J8" i="23" s="1"/>
  <c r="J17" i="23" s="1"/>
  <c r="AP127" i="2"/>
  <c r="AP130" i="2" s="1"/>
  <c r="AP37" i="2"/>
  <c r="AO40" i="2"/>
  <c r="AO44" i="2" s="1"/>
  <c r="AW96" i="2"/>
  <c r="AW99" i="2" s="1"/>
  <c r="AV63" i="2"/>
  <c r="AQ104" i="2"/>
  <c r="AR103" i="2"/>
  <c r="AQ76" i="2"/>
  <c r="AO68" i="2" l="1"/>
  <c r="AN45" i="2"/>
  <c r="I43" i="22"/>
  <c r="AP78" i="2"/>
  <c r="AN46" i="2"/>
  <c r="AO112" i="2"/>
  <c r="AO49" i="2"/>
  <c r="AO45" i="2"/>
  <c r="AO46" i="2"/>
  <c r="AQ127" i="2"/>
  <c r="AQ130" i="2" s="1"/>
  <c r="AQ37" i="2"/>
  <c r="AQ39" i="2" s="1"/>
  <c r="AQ40" i="2" s="1"/>
  <c r="AQ44" i="2" s="1"/>
  <c r="AP39" i="2"/>
  <c r="AT103" i="2"/>
  <c r="AS103" i="2"/>
  <c r="AR76" i="2"/>
  <c r="AS76" i="2" s="1"/>
  <c r="K11" i="23" s="1"/>
  <c r="AR104" i="2"/>
  <c r="AR37" i="2" s="1"/>
  <c r="AR39" i="2" s="1"/>
  <c r="AY96" i="2"/>
  <c r="AY99" i="2" s="1"/>
  <c r="AW63" i="2"/>
  <c r="AP68" i="2" l="1"/>
  <c r="I45" i="22"/>
  <c r="I44" i="22"/>
  <c r="AQ78" i="2"/>
  <c r="AS37" i="2"/>
  <c r="AS39" i="2" s="1"/>
  <c r="AQ112" i="2"/>
  <c r="AQ46" i="2"/>
  <c r="AQ49" i="2"/>
  <c r="AQ45" i="2"/>
  <c r="AP40" i="2"/>
  <c r="AP44" i="2" s="1"/>
  <c r="AR40" i="2"/>
  <c r="AS104" i="2"/>
  <c r="AS105" i="2" s="1"/>
  <c r="AR127" i="2"/>
  <c r="AR130" i="2" s="1"/>
  <c r="AX63" i="2"/>
  <c r="AZ96" i="2"/>
  <c r="AZ99" i="2" s="1"/>
  <c r="AY63" i="2"/>
  <c r="AT104" i="2"/>
  <c r="AT76" i="2"/>
  <c r="AU103" i="2"/>
  <c r="AQ68" i="2" l="1"/>
  <c r="AQ117" i="2"/>
  <c r="AR78" i="2"/>
  <c r="AS40" i="2"/>
  <c r="AS41" i="2" s="1"/>
  <c r="AP112" i="2"/>
  <c r="AP45" i="2"/>
  <c r="AP49" i="2"/>
  <c r="AP46" i="2"/>
  <c r="AR44" i="2"/>
  <c r="AT127" i="2"/>
  <c r="AT130" i="2" s="1"/>
  <c r="AT37" i="2"/>
  <c r="AU76" i="2"/>
  <c r="AU104" i="2"/>
  <c r="AV103" i="2"/>
  <c r="BA96" i="2"/>
  <c r="BA99" i="2" s="1"/>
  <c r="AZ63" i="2"/>
  <c r="AR68" i="2" l="1"/>
  <c r="AS68" i="2" s="1"/>
  <c r="AP117" i="2"/>
  <c r="AS78" i="2"/>
  <c r="AS44" i="2"/>
  <c r="AU127" i="2"/>
  <c r="AU130" i="2" s="1"/>
  <c r="AU37" i="2"/>
  <c r="AU39" i="2" s="1"/>
  <c r="AU40" i="2" s="1"/>
  <c r="AU44" i="2" s="1"/>
  <c r="AT39" i="2"/>
  <c r="AR112" i="2"/>
  <c r="AR49" i="2"/>
  <c r="AS49" i="2" s="1"/>
  <c r="K8" i="23" s="1"/>
  <c r="K17" i="23" s="1"/>
  <c r="AR46" i="2"/>
  <c r="AR45" i="2"/>
  <c r="BB96" i="2"/>
  <c r="BB99" i="2" s="1"/>
  <c r="BB63" i="2" s="1"/>
  <c r="BA63" i="2"/>
  <c r="AV104" i="2"/>
  <c r="AV76" i="2"/>
  <c r="AW103" i="2"/>
  <c r="AT68" i="2" l="1"/>
  <c r="AS46" i="2"/>
  <c r="J43" i="22"/>
  <c r="AT78" i="2"/>
  <c r="AS45" i="2"/>
  <c r="AT40" i="2"/>
  <c r="AT44" i="2" s="1"/>
  <c r="AV127" i="2"/>
  <c r="AV130" i="2" s="1"/>
  <c r="AV37" i="2"/>
  <c r="AU112" i="2"/>
  <c r="AU45" i="2"/>
  <c r="AU46" i="2"/>
  <c r="AU49" i="2"/>
  <c r="AW104" i="2"/>
  <c r="AW37" i="2" s="1"/>
  <c r="AW39" i="2" s="1"/>
  <c r="AW76" i="2"/>
  <c r="AX76" i="2" s="1"/>
  <c r="L11" i="23" s="1"/>
  <c r="AX103" i="2"/>
  <c r="AY103" i="2"/>
  <c r="BC63" i="2"/>
  <c r="AU68" i="2" l="1"/>
  <c r="J44" i="22"/>
  <c r="J45" i="22"/>
  <c r="AU117" i="2"/>
  <c r="AU78" i="2"/>
  <c r="AW40" i="2"/>
  <c r="AW44" i="2" s="1"/>
  <c r="AV39" i="2"/>
  <c r="AV40" i="2" s="1"/>
  <c r="AV44" i="2" s="1"/>
  <c r="AX37" i="2"/>
  <c r="AX39" i="2" s="1"/>
  <c r="AT112" i="2"/>
  <c r="AT45" i="2"/>
  <c r="AT46" i="2"/>
  <c r="AT49" i="2"/>
  <c r="AX104" i="2"/>
  <c r="AX105" i="2" s="1"/>
  <c r="AW127" i="2"/>
  <c r="AW130" i="2" s="1"/>
  <c r="AY76" i="2"/>
  <c r="AY104" i="2"/>
  <c r="AZ103" i="2"/>
  <c r="AV68" i="2" l="1"/>
  <c r="AV78" i="2"/>
  <c r="AY127" i="2"/>
  <c r="AY130" i="2" s="1"/>
  <c r="AY37" i="2"/>
  <c r="AW112" i="2"/>
  <c r="AW45" i="2"/>
  <c r="AW46" i="2"/>
  <c r="AW49" i="2"/>
  <c r="AV112" i="2"/>
  <c r="AV49" i="2"/>
  <c r="AV46" i="2"/>
  <c r="AV45" i="2"/>
  <c r="AX40" i="2"/>
  <c r="AX41" i="2" s="1"/>
  <c r="AZ104" i="2"/>
  <c r="BA103" i="2"/>
  <c r="AZ76" i="2"/>
  <c r="AW68" i="2" l="1"/>
  <c r="AX68" i="2" s="1"/>
  <c r="AV117" i="2"/>
  <c r="AW78" i="2"/>
  <c r="AX49" i="2"/>
  <c r="L8" i="23" s="1"/>
  <c r="L17" i="23" s="1"/>
  <c r="AY39" i="2"/>
  <c r="AZ127" i="2"/>
  <c r="AZ130" i="2" s="1"/>
  <c r="AZ37" i="2"/>
  <c r="AZ39" i="2" s="1"/>
  <c r="AZ40" i="2" s="1"/>
  <c r="AZ44" i="2" s="1"/>
  <c r="AX44" i="2"/>
  <c r="K43" i="22" s="1"/>
  <c r="BA76" i="2"/>
  <c r="BA104" i="2"/>
  <c r="BB103" i="2"/>
  <c r="AY68" i="2" l="1"/>
  <c r="K45" i="22"/>
  <c r="K44" i="22"/>
  <c r="AX78" i="2"/>
  <c r="AZ112" i="2"/>
  <c r="AZ49" i="2"/>
  <c r="AZ45" i="2"/>
  <c r="AZ46" i="2"/>
  <c r="BA127" i="2"/>
  <c r="BA130" i="2" s="1"/>
  <c r="BA37" i="2"/>
  <c r="BA39" i="2" s="1"/>
  <c r="BA40" i="2" s="1"/>
  <c r="BA44" i="2" s="1"/>
  <c r="AX46" i="2"/>
  <c r="AX45" i="2"/>
  <c r="AY40" i="2"/>
  <c r="AY44" i="2" s="1"/>
  <c r="BB76" i="2"/>
  <c r="BC76" i="2" s="1"/>
  <c r="M11" i="23" s="1"/>
  <c r="BC103" i="2"/>
  <c r="BB104" i="2"/>
  <c r="BB37" i="2" s="1"/>
  <c r="BB39" i="2" s="1"/>
  <c r="AZ68" i="2" l="1"/>
  <c r="AZ117" i="2"/>
  <c r="AY78" i="2"/>
  <c r="BC37" i="2"/>
  <c r="BC39" i="2" s="1"/>
  <c r="BA112" i="2"/>
  <c r="BA45" i="2"/>
  <c r="BA49" i="2"/>
  <c r="BA46" i="2"/>
  <c r="AY112" i="2"/>
  <c r="AY49" i="2"/>
  <c r="AY45" i="2"/>
  <c r="AY46" i="2"/>
  <c r="BB40" i="2"/>
  <c r="BC40" i="2" s="1"/>
  <c r="BC104" i="2"/>
  <c r="BC105" i="2" s="1"/>
  <c r="BB127" i="2"/>
  <c r="BB130" i="2" s="1"/>
  <c r="BA68" i="2" l="1"/>
  <c r="BA117" i="2"/>
  <c r="AZ78" i="2"/>
  <c r="BC41" i="2"/>
  <c r="BB44" i="2"/>
  <c r="BB112" i="2" s="1"/>
  <c r="BC44" i="2"/>
  <c r="BB68" i="2" l="1"/>
  <c r="BC68" i="2" s="1"/>
  <c r="BA78" i="2"/>
  <c r="BB46" i="2"/>
  <c r="BB45" i="2"/>
  <c r="BB49" i="2"/>
  <c r="BC49" i="2" s="1"/>
  <c r="M8" i="23" s="1"/>
  <c r="M17" i="23" s="1"/>
  <c r="D44" i="2"/>
  <c r="BC46" i="2"/>
  <c r="BC45" i="2"/>
  <c r="BB78" i="2" l="1"/>
  <c r="AC114" i="2"/>
  <c r="AC117" i="2" l="1"/>
  <c r="BC78" i="2"/>
  <c r="AD58" i="2"/>
  <c r="AE114" i="2" s="1"/>
  <c r="AH114" i="2"/>
  <c r="AI58" i="2"/>
  <c r="AJ114" i="2" s="1"/>
  <c r="AN58" i="2"/>
  <c r="AO114" i="2" l="1"/>
  <c r="AO117" i="2" s="1"/>
  <c r="AE117" i="2"/>
  <c r="AE132" i="2" s="1"/>
  <c r="AJ117" i="2"/>
  <c r="AH117" i="2"/>
  <c r="AW114" i="2"/>
  <c r="AC75" i="2" l="1"/>
  <c r="AD75" i="2" s="1"/>
  <c r="BB114" i="2"/>
  <c r="AS58" i="2"/>
  <c r="AT114" i="2" s="1"/>
  <c r="AC79" i="2" l="1"/>
  <c r="AD79" i="2" s="1"/>
  <c r="AT117" i="2"/>
  <c r="AR117" i="2"/>
  <c r="BC58" i="2"/>
  <c r="AX58" i="2"/>
  <c r="AY114" i="2" s="1"/>
  <c r="AY117" i="2" l="1"/>
  <c r="BB117" i="2"/>
  <c r="AW117" i="2"/>
  <c r="AD74" i="2" l="1"/>
  <c r="AE74" i="2" s="1"/>
  <c r="AC124" i="2"/>
  <c r="AC132" i="2" s="1"/>
  <c r="AC56" i="2" s="1"/>
  <c r="AE75" i="2" l="1"/>
  <c r="AE79" i="2" s="1"/>
  <c r="AF74" i="2"/>
  <c r="AD56" i="2"/>
  <c r="AG74" i="2" l="1"/>
  <c r="AF75" i="2"/>
  <c r="AF79" i="2" s="1"/>
  <c r="AG120" i="2"/>
  <c r="AG124" i="2" s="1"/>
  <c r="AG132" i="2" s="1"/>
  <c r="AE56" i="2"/>
  <c r="H12" i="23"/>
  <c r="H13" i="23" s="1"/>
  <c r="AC62" i="2"/>
  <c r="AG75" i="2" l="1"/>
  <c r="AG79" i="2" s="1"/>
  <c r="AH74" i="2"/>
  <c r="AH120" i="2"/>
  <c r="AH124" i="2" s="1"/>
  <c r="AH132" i="2" s="1"/>
  <c r="AF120" i="2"/>
  <c r="AF124" i="2" s="1"/>
  <c r="AF132" i="2" s="1"/>
  <c r="AF56" i="2" s="1"/>
  <c r="H19" i="23"/>
  <c r="H18" i="23"/>
  <c r="AE62" i="2"/>
  <c r="AE69" i="2" s="1"/>
  <c r="AC69" i="2"/>
  <c r="AD62" i="2"/>
  <c r="AD87" i="2" s="1"/>
  <c r="AD88" i="2" s="1"/>
  <c r="C12" i="7" s="1"/>
  <c r="C14" i="7" s="1"/>
  <c r="C16" i="7" s="1"/>
  <c r="AH75" i="2" l="1"/>
  <c r="AI74" i="2"/>
  <c r="AJ74" i="2" s="1"/>
  <c r="AJ120" i="2"/>
  <c r="AE81" i="2"/>
  <c r="AE82" i="2" s="1"/>
  <c r="AE85" i="2" s="1"/>
  <c r="AD69" i="2"/>
  <c r="AC81" i="2"/>
  <c r="AC82" i="2" s="1"/>
  <c r="AC85" i="2" s="1"/>
  <c r="AF62" i="2"/>
  <c r="AF69" i="2" s="1"/>
  <c r="AG56" i="2"/>
  <c r="AK74" i="2" l="1"/>
  <c r="AJ75" i="2"/>
  <c r="AJ79" i="2" s="1"/>
  <c r="AI75" i="2"/>
  <c r="AI79" i="2" s="1"/>
  <c r="AH79" i="2"/>
  <c r="AJ124" i="2"/>
  <c r="AJ132" i="2" s="1"/>
  <c r="AF81" i="2"/>
  <c r="AF82" i="2" s="1"/>
  <c r="AF85" i="2" s="1"/>
  <c r="AH56" i="2"/>
  <c r="AG62" i="2"/>
  <c r="AG69" i="2" s="1"/>
  <c r="AD81" i="2"/>
  <c r="AD82" i="2" s="1"/>
  <c r="AD85" i="2" s="1"/>
  <c r="AL74" i="2" l="1"/>
  <c r="AK75" i="2"/>
  <c r="AK79" i="2" s="1"/>
  <c r="AG81" i="2"/>
  <c r="AG82" i="2" s="1"/>
  <c r="AG85" i="2" s="1"/>
  <c r="AI56" i="2"/>
  <c r="AM74" i="2" l="1"/>
  <c r="AL75" i="2"/>
  <c r="AL79" i="2" s="1"/>
  <c r="AL120" i="2"/>
  <c r="AJ56" i="2"/>
  <c r="I12" i="23"/>
  <c r="I13" i="23" s="1"/>
  <c r="AH62" i="2"/>
  <c r="AM75" i="2" l="1"/>
  <c r="AN74" i="2"/>
  <c r="AO74" i="2" s="1"/>
  <c r="AL124" i="2"/>
  <c r="AL132" i="2" s="1"/>
  <c r="AO120" i="2"/>
  <c r="AO124" i="2" s="1"/>
  <c r="AO132" i="2" s="1"/>
  <c r="AK120" i="2"/>
  <c r="AJ62" i="2"/>
  <c r="AJ69" i="2" s="1"/>
  <c r="AI62" i="2"/>
  <c r="AI87" i="2" s="1"/>
  <c r="AI88" i="2" s="1"/>
  <c r="D12" i="7" s="1"/>
  <c r="D14" i="7" s="1"/>
  <c r="D16" i="7" s="1"/>
  <c r="AH69" i="2"/>
  <c r="I18" i="23"/>
  <c r="I19" i="23"/>
  <c r="AP74" i="2" l="1"/>
  <c r="AO75" i="2"/>
  <c r="AO79" i="2" s="1"/>
  <c r="AN75" i="2"/>
  <c r="AN79" i="2" s="1"/>
  <c r="AM79" i="2"/>
  <c r="AK124" i="2"/>
  <c r="AK132" i="2" s="1"/>
  <c r="AK56" i="2" s="1"/>
  <c r="AP120" i="2"/>
  <c r="AP124" i="2" s="1"/>
  <c r="AP132" i="2" s="1"/>
  <c r="AM120" i="2"/>
  <c r="AJ81" i="2"/>
  <c r="AJ82" i="2" s="1"/>
  <c r="AJ85" i="2" s="1"/>
  <c r="AH81" i="2"/>
  <c r="AI69" i="2"/>
  <c r="AQ74" i="2" l="1"/>
  <c r="AP75" i="2"/>
  <c r="AP79" i="2" s="1"/>
  <c r="AL56" i="2"/>
  <c r="AL62" i="2" s="1"/>
  <c r="AL69" i="2" s="1"/>
  <c r="AK62" i="2"/>
  <c r="AK69" i="2" s="1"/>
  <c r="AK81" i="2" s="1"/>
  <c r="AK82" i="2" s="1"/>
  <c r="AK85" i="2" s="1"/>
  <c r="AM124" i="2"/>
  <c r="AM132" i="2" s="1"/>
  <c r="AQ120" i="2"/>
  <c r="AQ124" i="2" s="1"/>
  <c r="AQ132" i="2" s="1"/>
  <c r="AH82" i="2"/>
  <c r="AI81" i="2"/>
  <c r="AR74" i="2" l="1"/>
  <c r="AQ75" i="2"/>
  <c r="AQ79" i="2" s="1"/>
  <c r="AM56" i="2"/>
  <c r="AN56" i="2" s="1"/>
  <c r="AU120" i="2"/>
  <c r="AU124" i="2" s="1"/>
  <c r="AU132" i="2" s="1"/>
  <c r="AR120" i="2"/>
  <c r="AR124" i="2" s="1"/>
  <c r="AR132" i="2" s="1"/>
  <c r="AL81" i="2"/>
  <c r="AL82" i="2" s="1"/>
  <c r="AL85" i="2" s="1"/>
  <c r="AI82" i="2"/>
  <c r="AI85" i="2" s="1"/>
  <c r="AH85" i="2"/>
  <c r="AR75" i="2" l="1"/>
  <c r="AS74" i="2"/>
  <c r="AT74" i="2" s="1"/>
  <c r="AM62" i="2"/>
  <c r="AN62" i="2" s="1"/>
  <c r="AN87" i="2" s="1"/>
  <c r="AN88" i="2" s="1"/>
  <c r="E12" i="7" s="1"/>
  <c r="E14" i="7" s="1"/>
  <c r="E16" i="7" s="1"/>
  <c r="AW120" i="2"/>
  <c r="AW124" i="2" s="1"/>
  <c r="AW132" i="2" s="1"/>
  <c r="AV120" i="2"/>
  <c r="AV124" i="2" s="1"/>
  <c r="AV132" i="2" s="1"/>
  <c r="AT120" i="2"/>
  <c r="AT124" i="2" s="1"/>
  <c r="AT132" i="2" s="1"/>
  <c r="J12" i="23"/>
  <c r="J13" i="23" s="1"/>
  <c r="AO56" i="2"/>
  <c r="AU74" i="2" l="1"/>
  <c r="AT75" i="2"/>
  <c r="AT79" i="2" s="1"/>
  <c r="AR79" i="2"/>
  <c r="AS75" i="2"/>
  <c r="AS79" i="2" s="1"/>
  <c r="AM69" i="2"/>
  <c r="AM81" i="2" s="1"/>
  <c r="AZ120" i="2"/>
  <c r="AZ124" i="2" s="1"/>
  <c r="AZ132" i="2" s="1"/>
  <c r="J18" i="23"/>
  <c r="J19" i="23"/>
  <c r="AO62" i="2"/>
  <c r="AO69" i="2" s="1"/>
  <c r="AP56" i="2"/>
  <c r="AV74" i="2" l="1"/>
  <c r="AU75" i="2"/>
  <c r="AU79" i="2" s="1"/>
  <c r="AN69" i="2"/>
  <c r="BA120" i="2"/>
  <c r="BA124" i="2" s="1"/>
  <c r="BA132" i="2" s="1"/>
  <c r="AY120" i="2"/>
  <c r="AY124" i="2" s="1"/>
  <c r="AY132" i="2" s="1"/>
  <c r="AQ56" i="2"/>
  <c r="AP62" i="2"/>
  <c r="AP69" i="2" s="1"/>
  <c r="AM82" i="2"/>
  <c r="AN81" i="2"/>
  <c r="AO81" i="2"/>
  <c r="AO82" i="2" s="1"/>
  <c r="AO85" i="2" s="1"/>
  <c r="AW74" i="2" l="1"/>
  <c r="AV75" i="2"/>
  <c r="AV79" i="2" s="1"/>
  <c r="BB120" i="2"/>
  <c r="BB124" i="2" s="1"/>
  <c r="BB132" i="2" s="1"/>
  <c r="AN82" i="2"/>
  <c r="AN85" i="2" s="1"/>
  <c r="AM85" i="2"/>
  <c r="AP81" i="2"/>
  <c r="AP82" i="2" s="1"/>
  <c r="AP85" i="2" s="1"/>
  <c r="AQ62" i="2"/>
  <c r="AQ69" i="2" s="1"/>
  <c r="AR56" i="2"/>
  <c r="AW75" i="2" l="1"/>
  <c r="AX74" i="2"/>
  <c r="AY74" i="2" s="1"/>
  <c r="AQ81" i="2"/>
  <c r="AQ82" i="2" s="1"/>
  <c r="AQ85" i="2" s="1"/>
  <c r="AS56" i="2"/>
  <c r="AR62" i="2"/>
  <c r="AZ74" i="2" l="1"/>
  <c r="AY75" i="2"/>
  <c r="AY79" i="2" s="1"/>
  <c r="AX75" i="2"/>
  <c r="AX79" i="2" s="1"/>
  <c r="AW79" i="2"/>
  <c r="AS62" i="2"/>
  <c r="AS87" i="2" s="1"/>
  <c r="AS88" i="2" s="1"/>
  <c r="F12" i="7" s="1"/>
  <c r="F14" i="7" s="1"/>
  <c r="F16" i="7" s="1"/>
  <c r="AR69" i="2"/>
  <c r="AT56" i="2"/>
  <c r="K12" i="23"/>
  <c r="K13" i="23" s="1"/>
  <c r="BA74" i="2" l="1"/>
  <c r="AZ75" i="2"/>
  <c r="AZ79" i="2" s="1"/>
  <c r="K18" i="23"/>
  <c r="K19" i="23"/>
  <c r="AU56" i="2"/>
  <c r="AT62" i="2"/>
  <c r="AT69" i="2" s="1"/>
  <c r="AS69" i="2"/>
  <c r="AR81" i="2"/>
  <c r="BB74" i="2" l="1"/>
  <c r="BA75" i="2"/>
  <c r="BA79" i="2" s="1"/>
  <c r="AR82" i="2"/>
  <c r="AS81" i="2"/>
  <c r="AT81" i="2"/>
  <c r="AT82" i="2" s="1"/>
  <c r="AT85" i="2" s="1"/>
  <c r="AU62" i="2"/>
  <c r="AU69" i="2" s="1"/>
  <c r="AV56" i="2"/>
  <c r="BB75" i="2" l="1"/>
  <c r="BC74" i="2"/>
  <c r="AW56" i="2"/>
  <c r="AV62" i="2"/>
  <c r="AV69" i="2" s="1"/>
  <c r="AU81" i="2"/>
  <c r="AU82" i="2" s="1"/>
  <c r="AU85" i="2" s="1"/>
  <c r="AS82" i="2"/>
  <c r="AS85" i="2" s="1"/>
  <c r="AR85" i="2"/>
  <c r="BC75" i="2" l="1"/>
  <c r="BC79" i="2" s="1"/>
  <c r="BB79" i="2"/>
  <c r="AV81" i="2"/>
  <c r="AV82" i="2" s="1"/>
  <c r="AV85" i="2" s="1"/>
  <c r="AX56" i="2"/>
  <c r="AW62" i="2"/>
  <c r="L12" i="23" l="1"/>
  <c r="L13" i="23" s="1"/>
  <c r="AY56" i="2"/>
  <c r="AX62" i="2"/>
  <c r="AX87" i="2" s="1"/>
  <c r="AX88" i="2" s="1"/>
  <c r="G12" i="7" s="1"/>
  <c r="G14" i="7" s="1"/>
  <c r="G16" i="7" s="1"/>
  <c r="AW69" i="2"/>
  <c r="L18" i="23" l="1"/>
  <c r="L19" i="23"/>
  <c r="AZ56" i="2"/>
  <c r="AY62" i="2"/>
  <c r="AY69" i="2" s="1"/>
  <c r="AX69" i="2"/>
  <c r="AW81" i="2"/>
  <c r="AW82" i="2" l="1"/>
  <c r="AX81" i="2"/>
  <c r="AY81" i="2"/>
  <c r="AY82" i="2" s="1"/>
  <c r="AY85" i="2" s="1"/>
  <c r="AZ62" i="2"/>
  <c r="AZ69" i="2" s="1"/>
  <c r="BA56" i="2"/>
  <c r="BB56" i="2" l="1"/>
  <c r="BA62" i="2"/>
  <c r="BA69" i="2" s="1"/>
  <c r="AX82" i="2"/>
  <c r="AX85" i="2" s="1"/>
  <c r="AW85" i="2"/>
  <c r="AZ81" i="2"/>
  <c r="AZ82" i="2" s="1"/>
  <c r="AZ85" i="2" s="1"/>
  <c r="BA81" i="2" l="1"/>
  <c r="BA82" i="2" s="1"/>
  <c r="BA85" i="2" s="1"/>
  <c r="BB62" i="2"/>
  <c r="BC56" i="2"/>
  <c r="M12" i="23" l="1"/>
  <c r="M13" i="23" s="1"/>
  <c r="M18" i="23" s="1"/>
  <c r="C22" i="7"/>
  <c r="BB69" i="2"/>
  <c r="BC62" i="2"/>
  <c r="BC87" i="2" s="1"/>
  <c r="BC88" i="2" s="1"/>
  <c r="H12" i="7" s="1"/>
  <c r="H14" i="7" s="1"/>
  <c r="H16" i="7" s="1"/>
  <c r="M19" i="23" l="1"/>
  <c r="C20" i="7"/>
  <c r="C18" i="7"/>
  <c r="BC69" i="2"/>
  <c r="BB81" i="2"/>
  <c r="C21" i="7" l="1"/>
  <c r="BB82" i="2"/>
  <c r="BC81" i="2"/>
  <c r="BC82" i="2" l="1"/>
  <c r="BC85" i="2" s="1"/>
  <c r="BB85" i="2"/>
  <c r="C24" i="7"/>
  <c r="C27" i="7" s="1"/>
  <c r="D29" i="22"/>
  <c r="C28" i="7" l="1"/>
  <c r="D14" i="22" s="1"/>
  <c r="D13" i="22" s="1"/>
  <c r="D15"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Hoffman, Hudson C</author>
    <author>zoelj</author>
  </authors>
  <commentList>
    <comment ref="AC41" authorId="0" shapeId="0" xr:uid="{06E9419C-6DF0-477D-B444-1D390C19120D}">
      <text>
        <r>
          <rPr>
            <b/>
            <sz val="9"/>
            <color indexed="81"/>
            <rFont val="Tahoma"/>
            <family val="2"/>
          </rPr>
          <t>Netherland's Corporate Tax Rate</t>
        </r>
      </text>
    </comment>
    <comment ref="AC48" authorId="0" shapeId="0" xr:uid="{092ECB6A-575D-4762-9CB3-0E0A9BE76479}">
      <text>
        <r>
          <rPr>
            <b/>
            <sz val="9"/>
            <color indexed="81"/>
            <rFont val="Tahoma"/>
            <family val="2"/>
          </rPr>
          <t xml:space="preserve">Current Portion of Share Buyback Program </t>
        </r>
      </text>
    </comment>
    <comment ref="AE48" authorId="0" shapeId="0" xr:uid="{55B36C30-AA5F-45FE-8910-1F9BEC7E8A91}">
      <text>
        <r>
          <rPr>
            <b/>
            <sz val="9"/>
            <color indexed="81"/>
            <rFont val="Tahoma"/>
            <family val="2"/>
          </rPr>
          <t xml:space="preserve">Projected Shares Outstanding Assuming Fixed Price = Current Price </t>
        </r>
      </text>
    </comment>
    <comment ref="AC57" authorId="1" shapeId="0" xr:uid="{915FCF60-0706-40EC-87DC-B0A684C5CE11}">
      <text>
        <r>
          <rPr>
            <b/>
            <sz val="9"/>
            <color indexed="81"/>
            <rFont val="Tahoma"/>
            <family val="2"/>
          </rPr>
          <t>Random value in the range between the highest and lowest short term investment of all time, raised by 15%</t>
        </r>
      </text>
    </comment>
    <comment ref="AC64" authorId="1" shapeId="0" xr:uid="{5E33DCC4-F0DD-4F55-B899-349AB4746D83}">
      <text>
        <r>
          <rPr>
            <b/>
            <sz val="9"/>
            <color indexed="81"/>
            <rFont val="Tahoma"/>
            <family val="2"/>
          </rPr>
          <t>Random value in the range between the highest and lowest short term investment of all time, raised by 15%</t>
        </r>
      </text>
    </comment>
    <comment ref="B81" authorId="1" shapeId="0" xr:uid="{52ECFF5E-2C81-4B42-A18B-7B883E0F1E83}">
      <text>
        <r>
          <rPr>
            <b/>
            <sz val="9"/>
            <color indexed="81"/>
            <rFont val="Tahoma"/>
            <family val="2"/>
          </rPr>
          <t xml:space="preserve">ASML shoehorns the entirety of their shareholders equity into "Other Equity"
and does not disclose any particulars. This applies to both the ADR and Euro equivalent.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Hoffman, Hudson C</author>
  </authors>
  <commentList>
    <comment ref="K11" authorId="0" shapeId="0" xr:uid="{F516C2D1-760F-4E8D-9E72-0552FF8CF079}">
      <text>
        <r>
          <rPr>
            <b/>
            <sz val="9"/>
            <color indexed="81"/>
            <rFont val="Tahoma"/>
            <family val="2"/>
          </rPr>
          <t>Damodaran's ERP for November 2021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zoelj</author>
  </authors>
  <commentList>
    <comment ref="B14" authorId="0" shapeId="0" xr:uid="{6C1AB93E-144C-4D42-B72D-F2696E541EAF}">
      <text>
        <r>
          <rPr>
            <b/>
            <sz val="9"/>
            <color indexed="81"/>
            <rFont val="Tahoma"/>
            <family val="2"/>
          </rPr>
          <t xml:space="preserve">Semi's reliance on EUV gear is exploding exponentially and as the industry rapidly adapts to this new standard it will become the primary revenue driver for ASML and their previous, albeit more profitable segments, will take a backseat. </t>
        </r>
      </text>
    </comment>
    <comment ref="B18" authorId="0" shapeId="0" xr:uid="{3E4D6661-9C8B-4036-B27D-7A337CDB27E3}">
      <text>
        <r>
          <rPr>
            <b/>
            <sz val="9"/>
            <color indexed="81"/>
            <rFont val="Tahoma"/>
            <family val="2"/>
          </rPr>
          <t>Historically the primary and most profitable revenue stream for ASML… used for more traditional semiconductor fabs, but as the world advances on 5nm - 2nm chips this will become far less relevant. ASML's 40+ years of research in EUV lithography have finally allowed EUV to become mainstream in the 2020s which will somewhat overshadow Argon / Fluoride tech</t>
        </r>
      </text>
    </comment>
    <comment ref="B30" authorId="0" shapeId="0" xr:uid="{A3FF7F0D-1D22-4A03-835B-CCB75240EAB4}">
      <text>
        <r>
          <rPr>
            <b/>
            <sz val="9"/>
            <color indexed="81"/>
            <rFont val="Tahoma"/>
            <family val="2"/>
          </rPr>
          <t xml:space="preserve">Support &amp; Maintenance has been a huge revenue source as ASML provides around the clock support for each and every device they sell, and their customer contracts force liability on them for any downtime their machines may have. Another reason maintenance is so costly is because of how sensitive ASML's machines are to nanoparticles and bacteria, but with the recent development of EUV pellicles, this hazard has been greatly reduced, and thus the cost of maintenance and cleaning will decrease rapidly.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Hoffman, Hudson C</author>
  </authors>
  <commentList>
    <comment ref="I6" authorId="0" shapeId="0" xr:uid="{907BBBF8-5103-4896-81CF-C6C36F47A182}">
      <text>
        <r>
          <rPr>
            <b/>
            <sz val="9"/>
            <color indexed="81"/>
            <rFont val="Tahoma"/>
            <family val="2"/>
          </rPr>
          <t xml:space="preserve">Assuming ASML Share Price CAGR of 15% </t>
        </r>
      </text>
    </comment>
  </commentList>
</comments>
</file>

<file path=xl/sharedStrings.xml><?xml version="1.0" encoding="utf-8"?>
<sst xmlns="http://schemas.openxmlformats.org/spreadsheetml/2006/main" count="555" uniqueCount="366">
  <si>
    <t>Revenue</t>
  </si>
  <si>
    <t>Gross Profit</t>
  </si>
  <si>
    <t xml:space="preserve">  - Cost of Revenue</t>
  </si>
  <si>
    <t xml:space="preserve">  + Other Operating Income</t>
  </si>
  <si>
    <t xml:space="preserve">  - Operating Expenses</t>
  </si>
  <si>
    <t xml:space="preserve">    + Selling, General &amp; Admin</t>
  </si>
  <si>
    <t xml:space="preserve">    + Research &amp; Development</t>
  </si>
  <si>
    <t xml:space="preserve">  - Income Tax Expense (Benefit)</t>
  </si>
  <si>
    <t xml:space="preserve">  - (Income) Loss from Affiliates</t>
  </si>
  <si>
    <t>Diluted Weighted Avg Shares</t>
  </si>
  <si>
    <t>Diluted EPS, GAAP</t>
  </si>
  <si>
    <t>—</t>
  </si>
  <si>
    <t>Total Assets</t>
  </si>
  <si>
    <t xml:space="preserve">  + Unbilled Revenues</t>
  </si>
  <si>
    <t xml:space="preserve">  + Inventories</t>
  </si>
  <si>
    <t xml:space="preserve">  + Other ST Assets</t>
  </si>
  <si>
    <t>Total Current Assets</t>
  </si>
  <si>
    <t xml:space="preserve">  + LT Investments &amp; Receivables</t>
  </si>
  <si>
    <t xml:space="preserve">  + Other LT Assets</t>
  </si>
  <si>
    <t>Total Noncurrent Assets</t>
  </si>
  <si>
    <t>Liabilities &amp; Shareholders' Equity</t>
  </si>
  <si>
    <t>Total Current Liabilities</t>
  </si>
  <si>
    <t xml:space="preserve">  + LT Debt</t>
  </si>
  <si>
    <t xml:space="preserve">  + Other LT Liabilities</t>
  </si>
  <si>
    <t>Total Noncurrent Liabilities</t>
  </si>
  <si>
    <t>Total Liabilities</t>
  </si>
  <si>
    <t>Total Equity</t>
  </si>
  <si>
    <t>Total Liabilities &amp; Equity</t>
  </si>
  <si>
    <t>Balance Sheet</t>
  </si>
  <si>
    <t xml:space="preserve">Income Statement </t>
  </si>
  <si>
    <t>Date</t>
  </si>
  <si>
    <t>Return</t>
  </si>
  <si>
    <t>ITOT</t>
  </si>
  <si>
    <t xml:space="preserve">ASML </t>
  </si>
  <si>
    <t>Other</t>
  </si>
  <si>
    <t>EUV</t>
  </si>
  <si>
    <t xml:space="preserve">Average Profit per Unit </t>
  </si>
  <si>
    <t xml:space="preserve">Total Units Sold </t>
  </si>
  <si>
    <t xml:space="preserve">% Quarterly Growth </t>
  </si>
  <si>
    <t xml:space="preserve">% of Revenue </t>
  </si>
  <si>
    <t>Support &amp; Maintenance</t>
  </si>
  <si>
    <t xml:space="preserve">Other </t>
  </si>
  <si>
    <t xml:space="preserve">Krypton-Fluoride Lithography </t>
  </si>
  <si>
    <t>Argon-Fluoride Lithography</t>
  </si>
  <si>
    <t xml:space="preserve">Total Revenue </t>
  </si>
  <si>
    <t>Projected</t>
  </si>
  <si>
    <t xml:space="preserve">Historical </t>
  </si>
  <si>
    <t xml:space="preserve">CAGR </t>
  </si>
  <si>
    <t xml:space="preserve">FY </t>
  </si>
  <si>
    <t xml:space="preserve">In Millions of USD </t>
  </si>
  <si>
    <t>South Korea</t>
  </si>
  <si>
    <t>Japan</t>
  </si>
  <si>
    <t>China</t>
  </si>
  <si>
    <t>Market Cap</t>
  </si>
  <si>
    <t xml:space="preserve">ASML Holdings NV - Operating Model </t>
  </si>
  <si>
    <t xml:space="preserve">Nasdaq: $ASML </t>
  </si>
  <si>
    <t>Operating Income (EBIT)</t>
  </si>
  <si>
    <t>Margin (%)</t>
  </si>
  <si>
    <t>Growth (%)</t>
  </si>
  <si>
    <t xml:space="preserve">Pretax Income </t>
  </si>
  <si>
    <t xml:space="preserve">Net Income </t>
  </si>
  <si>
    <t xml:space="preserve">GAAP - Three Months Ending </t>
  </si>
  <si>
    <t xml:space="preserve">       Margin (%)</t>
  </si>
  <si>
    <t xml:space="preserve">  - Interest Expense </t>
  </si>
  <si>
    <t xml:space="preserve">     Income Tax Rate (%) </t>
  </si>
  <si>
    <t xml:space="preserve">    + Depreciation &amp; Amortization </t>
  </si>
  <si>
    <t>CAGR</t>
  </si>
  <si>
    <t>Historical</t>
  </si>
  <si>
    <t xml:space="preserve">  + Cash &amp; Cash Equivalents</t>
  </si>
  <si>
    <t xml:space="preserve">  + ST Investments</t>
  </si>
  <si>
    <t xml:space="preserve">EBITDA </t>
  </si>
  <si>
    <t xml:space="preserve">  + Goodwill</t>
  </si>
  <si>
    <t xml:space="preserve">  + Other Intangible Assets</t>
  </si>
  <si>
    <t xml:space="preserve"> + Property, Plant &amp; Equip, Net</t>
  </si>
  <si>
    <t xml:space="preserve"> + Accounts Payables &amp; Accruals</t>
  </si>
  <si>
    <t xml:space="preserve"> + ST Debt</t>
  </si>
  <si>
    <t xml:space="preserve"> + Other ST Liabilities</t>
  </si>
  <si>
    <t>Balance</t>
  </si>
  <si>
    <t xml:space="preserve">Benchmark </t>
  </si>
  <si>
    <t xml:space="preserve">Sector Peers </t>
  </si>
  <si>
    <t>ASML Holdings NV - Revenue Build</t>
  </si>
  <si>
    <t>Advanced Logic</t>
  </si>
  <si>
    <t>Advanced Memory</t>
  </si>
  <si>
    <t>Advanced Analog</t>
  </si>
  <si>
    <t>Type of Semiconductor Product</t>
  </si>
  <si>
    <t>Manufacturing Technology</t>
  </si>
  <si>
    <t>Capacity (wafers per month)</t>
  </si>
  <si>
    <t xml:space="preserve">Capital investment ($ billion) </t>
  </si>
  <si>
    <t>AI Systems</t>
  </si>
  <si>
    <t>Supercomputers</t>
  </si>
  <si>
    <t xml:space="preserve"> </t>
  </si>
  <si>
    <t>Mobile Phones</t>
  </si>
  <si>
    <t>12-inch wafer size</t>
  </si>
  <si>
    <t>5 nm node</t>
  </si>
  <si>
    <t>Flash Storage</t>
  </si>
  <si>
    <t>PCs</t>
  </si>
  <si>
    <t>Data Centers</t>
  </si>
  <si>
    <t>Electric Vehicles</t>
  </si>
  <si>
    <t>Aircraft</t>
  </si>
  <si>
    <t>Renewable Energy</t>
  </si>
  <si>
    <t>20 nm node</t>
  </si>
  <si>
    <t>65 nm node</t>
  </si>
  <si>
    <t xml:space="preserve">Three Representative Types of Fabs to Benchmark Total Cost of Ownership Across Locations </t>
  </si>
  <si>
    <t xml:space="preserve">No. of Employees </t>
  </si>
  <si>
    <t xml:space="preserve">Source - Boston Consulting Group, Semiconductor Industry Association </t>
  </si>
  <si>
    <t xml:space="preserve">Share of New Addressable Capacity Captured by the US </t>
  </si>
  <si>
    <t>2010 - 2020           (Actuals)</t>
  </si>
  <si>
    <t xml:space="preserve">Excluding China </t>
  </si>
  <si>
    <t>Status Quo</t>
  </si>
  <si>
    <t>$20 Billion Program</t>
  </si>
  <si>
    <t>$50 Billion Program</t>
  </si>
  <si>
    <t xml:space="preserve">2020 - 2030 Forecast </t>
  </si>
  <si>
    <t>US Global Ranking by Share of New Capacity (Out of 7 Regions)</t>
  </si>
  <si>
    <t>#4</t>
  </si>
  <si>
    <t>#2</t>
  </si>
  <si>
    <t>#1</t>
  </si>
  <si>
    <t># of New Fabs Built in US</t>
  </si>
  <si>
    <t xml:space="preserve">Potential Impact of Government Incentives on US Semiconductor Manufacturing Position </t>
  </si>
  <si>
    <t xml:space="preserve">Change in NwC </t>
  </si>
  <si>
    <t xml:space="preserve">Cash Impact from Change in NwC </t>
  </si>
  <si>
    <t xml:space="preserve">Assumptions </t>
  </si>
  <si>
    <t xml:space="preserve">Receivable Days </t>
  </si>
  <si>
    <t xml:space="preserve">Payable Days </t>
  </si>
  <si>
    <t>Inventory Days</t>
  </si>
  <si>
    <t>PP&amp;E, Beg</t>
  </si>
  <si>
    <t>(+) Capex</t>
  </si>
  <si>
    <t>(-) Depreciation</t>
  </si>
  <si>
    <t xml:space="preserve">PP&amp;E, End </t>
  </si>
  <si>
    <t>Capex as % of Revenue</t>
  </si>
  <si>
    <t>Depreciation as % of Capex</t>
  </si>
  <si>
    <t>LTD</t>
  </si>
  <si>
    <t>Interest Expense</t>
  </si>
  <si>
    <t>Cost of Debt %</t>
  </si>
  <si>
    <t>(-) Current Portion</t>
  </si>
  <si>
    <t>Current Portion as % of EBITDA</t>
  </si>
  <si>
    <t>Statement of Cash Flows</t>
  </si>
  <si>
    <t>D&amp;A</t>
  </si>
  <si>
    <t xml:space="preserve">Receivables </t>
  </si>
  <si>
    <t>Inventories</t>
  </si>
  <si>
    <t>Operating Cash Flow</t>
  </si>
  <si>
    <t xml:space="preserve">Capex </t>
  </si>
  <si>
    <t xml:space="preserve">Investing Cash Flow </t>
  </si>
  <si>
    <t xml:space="preserve">Current Portion of Long Term Debt </t>
  </si>
  <si>
    <t xml:space="preserve">Interest Expense </t>
  </si>
  <si>
    <t>Financing Cash Flow</t>
  </si>
  <si>
    <t xml:space="preserve">Change in Cash </t>
  </si>
  <si>
    <t>Source - VLSI Research, Semiconductor Equipment and Materials International</t>
  </si>
  <si>
    <t>Capex Reductions</t>
  </si>
  <si>
    <t>Land</t>
  </si>
  <si>
    <t>Construction and Facilities</t>
  </si>
  <si>
    <t>Equipment</t>
  </si>
  <si>
    <t>US</t>
  </si>
  <si>
    <t>Tawain</t>
  </si>
  <si>
    <t>Opex Reductions</t>
  </si>
  <si>
    <t>Labor and Benefits</t>
  </si>
  <si>
    <t xml:space="preserve">Overall </t>
  </si>
  <si>
    <t xml:space="preserve">10% - 15% </t>
  </si>
  <si>
    <t>25% - 30%</t>
  </si>
  <si>
    <t xml:space="preserve">25% - 30% </t>
  </si>
  <si>
    <t>30% - 40%</t>
  </si>
  <si>
    <t xml:space="preserve">Comparison of Government Incentives Across Locations </t>
  </si>
  <si>
    <t xml:space="preserve">Source - Boston Consulting Group </t>
  </si>
  <si>
    <t>The Opportunity to Change the Trajectory in the Next Decade</t>
  </si>
  <si>
    <t>Price</t>
  </si>
  <si>
    <t xml:space="preserve">Securing Supply-Chain Resiliency </t>
  </si>
  <si>
    <t xml:space="preserve">Maintaining robust domestic manufacturing capabilities is also essential to ensure that the US semiconductor industry has a highly resiliant supply chain. Approximately 75% of the world's capacity to manufacture semiconductors is concentrated in East Asia, and that number is expected to continue rising, fueled by strong cluster effects. China alone is projected to host roughly 25% of the total global manufacturing capacity by 2030. Taiwan currently accounts for 47% of the global capacity in the leading and advanced nodes (10 nm or below) used for advanced logic devices such as high performance processors that power smartphones or data centers. In memory, which accounts for about 30% of total semiconductor demand, South Korea has more than 40% of the global capacity. As the covid-19 crisis has shown, concentration in one region makes a global supply chain vulnerable to distruptions such as natural disasters, pandemics, or geopolitical conflicts. Given the strategic nature of the semiconductor industry for the US economy and national security, bolstering supply-chain resiliency through geographic diversification is imperative. </t>
  </si>
  <si>
    <t xml:space="preserve">Global demand for semiconductors is forecasted to grow at a cumulative average annual rate of 5% over the next decade, driven by large-scale adoption of new technologies, including AI, Internet of Things, Edge Computing, 5G, and Electric / Autonomous vehicles. Manufacturing capacity is expected to increase correspondingly by 56% from the current installed base, or approximately an addition of 10 million wpm by 2030. As of June 2020, about 50% of that new capacity to be added worldwide from 2020 to 2030 was not yet in development or planned. This "white space", or addressable portion of the incremental capacity needs, presents an opportunity for the US to attract a higher share of the new future builds, above the 6% that it has achieved in the new capacity already in develoment or planning stages. </t>
  </si>
  <si>
    <t xml:space="preserve">ASML 300MM ADT EUV at SUNY Polytech Institute </t>
  </si>
  <si>
    <t>PROJECTED</t>
  </si>
  <si>
    <t>HISTORICALS</t>
  </si>
  <si>
    <t>Free Cash Flow to Firm (FCFF)</t>
  </si>
  <si>
    <t>EBIT</t>
  </si>
  <si>
    <t>Taxes</t>
  </si>
  <si>
    <t>NOPAT</t>
  </si>
  <si>
    <t>Capex</t>
  </si>
  <si>
    <t>Change in NWC</t>
  </si>
  <si>
    <t>FCFF</t>
  </si>
  <si>
    <t>Discount Period</t>
  </si>
  <si>
    <t>Discounted FCFF</t>
  </si>
  <si>
    <t>Sum of FCFF</t>
  </si>
  <si>
    <t>Growth Rate</t>
  </si>
  <si>
    <t xml:space="preserve">Terminal Value </t>
  </si>
  <si>
    <t xml:space="preserve">Enterprise Value </t>
  </si>
  <si>
    <t>Cash</t>
  </si>
  <si>
    <t>Debt</t>
  </si>
  <si>
    <t xml:space="preserve">SO </t>
  </si>
  <si>
    <t>Price Target</t>
  </si>
  <si>
    <t>Upside</t>
  </si>
  <si>
    <t xml:space="preserve">NwC </t>
  </si>
  <si>
    <t>WACC</t>
  </si>
  <si>
    <t>Debt Cost</t>
  </si>
  <si>
    <t>Debt Weight</t>
  </si>
  <si>
    <t>Tax Rate</t>
  </si>
  <si>
    <t xml:space="preserve">CAPM </t>
  </si>
  <si>
    <t xml:space="preserve">Equity Weight </t>
  </si>
  <si>
    <t>ERP</t>
  </si>
  <si>
    <t>RFR</t>
  </si>
  <si>
    <t>Beta</t>
  </si>
  <si>
    <t>Diluted Shares</t>
  </si>
  <si>
    <t>Total Capital</t>
  </si>
  <si>
    <t>Current Price</t>
  </si>
  <si>
    <t>Discount Rate</t>
  </si>
  <si>
    <t xml:space="preserve">Discounted Cash Flow Valuation </t>
  </si>
  <si>
    <t>FY</t>
  </si>
  <si>
    <t>Beta - 5 Years</t>
  </si>
  <si>
    <t>Q4</t>
  </si>
  <si>
    <t>Segment Breakdown and Data</t>
  </si>
  <si>
    <t>Total</t>
  </si>
  <si>
    <t>1 Nov - 5 Nov 2021</t>
  </si>
  <si>
    <t>25 Oct - 29 Oct 2021</t>
  </si>
  <si>
    <t>18 Oct - 22 Oct 2021</t>
  </si>
  <si>
    <t>11 Oct - 15 Oct 2021</t>
  </si>
  <si>
    <t>4 Oct - 8 Oct 2021</t>
  </si>
  <si>
    <t>27 Sep - 1 Oct 2021</t>
  </si>
  <si>
    <t>20 Sep - 24 Sep 2021</t>
  </si>
  <si>
    <t>13 Sep - 17 Sep 2021</t>
  </si>
  <si>
    <t>6 Sep - 10 Sep 2021</t>
  </si>
  <si>
    <t>30 Aug - 3 Sep 2021</t>
  </si>
  <si>
    <t>23 Aug - 27 Aug 2021</t>
  </si>
  <si>
    <t>16 Aug - 20 Aug 2021</t>
  </si>
  <si>
    <t>9 Aug - 13 Aug 2021</t>
  </si>
  <si>
    <t>2 Aug - 6 Aug 2021</t>
  </si>
  <si>
    <t>26 Jul - 30 Jul 2021</t>
  </si>
  <si>
    <t>22 Jul - 23 Jul 2021</t>
  </si>
  <si>
    <t>Average price</t>
  </si>
  <si>
    <t>Repurchased shares</t>
  </si>
  <si>
    <t>Repurchased of total program:</t>
  </si>
  <si>
    <t>Announced 21 July 2021</t>
  </si>
  <si>
    <t>ASML share buyback program</t>
  </si>
  <si>
    <t>Repurchase Value</t>
  </si>
  <si>
    <t>Repurchase up to $10.5B in the 2021 - 2023 timeframe</t>
  </si>
  <si>
    <t>Remaining Shares to Purchase</t>
  </si>
  <si>
    <t>Target</t>
  </si>
  <si>
    <t xml:space="preserve">  + Accounts Receivable</t>
  </si>
  <si>
    <t xml:space="preserve">Share Buyback Program </t>
  </si>
  <si>
    <t>Frankenstein avg error</t>
  </si>
  <si>
    <t>Frankenstein case values</t>
  </si>
  <si>
    <t>Frakenstein case picking</t>
  </si>
  <si>
    <t>H</t>
  </si>
  <si>
    <t>M</t>
  </si>
  <si>
    <t>L</t>
  </si>
  <si>
    <t>m</t>
  </si>
  <si>
    <t>h</t>
  </si>
  <si>
    <t>Q3</t>
  </si>
  <si>
    <t>Q2</t>
  </si>
  <si>
    <t>Q1</t>
  </si>
  <si>
    <t>KH avg error</t>
  </si>
  <si>
    <t>KH case values</t>
  </si>
  <si>
    <t>KH case picking</t>
  </si>
  <si>
    <t>Price per Unit</t>
  </si>
  <si>
    <t>2020A</t>
  </si>
  <si>
    <t>2022E</t>
  </si>
  <si>
    <t>% Growth</t>
  </si>
  <si>
    <t>% Margin</t>
  </si>
  <si>
    <t>Net Income</t>
  </si>
  <si>
    <t>EBITDA</t>
  </si>
  <si>
    <t xml:space="preserve">Gross Profit </t>
  </si>
  <si>
    <t>Total Sales</t>
  </si>
  <si>
    <t>Fiscal Year:</t>
  </si>
  <si>
    <t>Fundamental Analysis ($MM)</t>
  </si>
  <si>
    <t>Short Interest</t>
  </si>
  <si>
    <t>Investment Thesis</t>
  </si>
  <si>
    <t>Enterprise Value ($MM)</t>
  </si>
  <si>
    <t>Debt ($MM)</t>
  </si>
  <si>
    <t>Market Cap ($MM)</t>
  </si>
  <si>
    <t>52-Week Low:</t>
  </si>
  <si>
    <t>52-Week High:</t>
  </si>
  <si>
    <t>Trading Data</t>
  </si>
  <si>
    <t>Downside:</t>
  </si>
  <si>
    <t>Stop Loss:</t>
  </si>
  <si>
    <t>Current Price:</t>
  </si>
  <si>
    <t>Price Target:</t>
  </si>
  <si>
    <t>Upside:</t>
  </si>
  <si>
    <t>Company Description:</t>
  </si>
  <si>
    <t>Recommendation:</t>
  </si>
  <si>
    <t>The University at Albany School of Business Investment Group</t>
  </si>
  <si>
    <t>Lam Research</t>
  </si>
  <si>
    <t>KLA Corp</t>
  </si>
  <si>
    <t>Applied Materials</t>
  </si>
  <si>
    <t>Taiwan Semiconductors</t>
  </si>
  <si>
    <t>2021A</t>
  </si>
  <si>
    <t>2023E</t>
  </si>
  <si>
    <t>YTD Return (%)</t>
  </si>
  <si>
    <t>1-Year Return (%)</t>
  </si>
  <si>
    <t>5-Year Return (%)</t>
  </si>
  <si>
    <t>All-Time Return (%)</t>
  </si>
  <si>
    <t>2019A</t>
  </si>
  <si>
    <t>2024E</t>
  </si>
  <si>
    <t>2025E</t>
  </si>
  <si>
    <t>2018A</t>
  </si>
  <si>
    <t xml:space="preserve">Dividend Yield </t>
  </si>
  <si>
    <r>
      <rPr>
        <b/>
        <sz val="14"/>
        <color theme="1"/>
        <rFont val="Bahnschrift Light"/>
        <family val="2"/>
      </rPr>
      <t>Company</t>
    </r>
    <r>
      <rPr>
        <sz val="14"/>
        <color theme="1"/>
        <rFont val="Bahnschrift Light"/>
        <family val="2"/>
      </rPr>
      <t xml:space="preserve">: ASML Holdings NV </t>
    </r>
  </si>
  <si>
    <r>
      <rPr>
        <b/>
        <sz val="14"/>
        <color theme="1"/>
        <rFont val="Bahnschrift Light"/>
        <family val="2"/>
      </rPr>
      <t>Ticker:</t>
    </r>
    <r>
      <rPr>
        <sz val="14"/>
        <color theme="1"/>
        <rFont val="Bahnschrift Light"/>
        <family val="2"/>
      </rPr>
      <t xml:space="preserve"> ASML</t>
    </r>
  </si>
  <si>
    <r>
      <rPr>
        <b/>
        <sz val="14"/>
        <color theme="1"/>
        <rFont val="Bahnschrift Light"/>
        <family val="2"/>
      </rPr>
      <t>Exchange:</t>
    </r>
    <r>
      <rPr>
        <sz val="14"/>
        <color theme="1"/>
        <rFont val="Bahnschrift Light"/>
        <family val="2"/>
      </rPr>
      <t xml:space="preserve"> NASDAQ Composite Index</t>
    </r>
  </si>
  <si>
    <r>
      <rPr>
        <b/>
        <sz val="14"/>
        <color theme="1"/>
        <rFont val="Bahnschrift Light"/>
        <family val="2"/>
      </rPr>
      <t>Sector:</t>
    </r>
    <r>
      <rPr>
        <sz val="14"/>
        <color theme="1"/>
        <rFont val="Bahnschrift Light"/>
        <family val="2"/>
      </rPr>
      <t xml:space="preserve"> Technology</t>
    </r>
  </si>
  <si>
    <r>
      <rPr>
        <b/>
        <sz val="14"/>
        <color theme="1"/>
        <rFont val="Bahnschrift Light"/>
        <family val="2"/>
      </rPr>
      <t>Industry</t>
    </r>
    <r>
      <rPr>
        <sz val="14"/>
        <color theme="1"/>
        <rFont val="Bahnschrift Light"/>
        <family val="2"/>
      </rPr>
      <t>: Semiconductor Equipment &amp; Manufacturing</t>
    </r>
  </si>
  <si>
    <r>
      <rPr>
        <b/>
        <sz val="14"/>
        <color theme="1"/>
        <rFont val="Bahnschrift Light"/>
        <family val="2"/>
      </rPr>
      <t>Region of Domicile:</t>
    </r>
    <r>
      <rPr>
        <sz val="14"/>
        <color theme="1"/>
        <rFont val="Bahnschrift Light"/>
        <family val="2"/>
      </rPr>
      <t xml:space="preserve"> Netherlands </t>
    </r>
  </si>
  <si>
    <r>
      <rPr>
        <b/>
        <sz val="14"/>
        <color theme="1"/>
        <rFont val="Bahnschrift Light"/>
        <family val="2"/>
      </rPr>
      <t>Analysts</t>
    </r>
    <r>
      <rPr>
        <sz val="14"/>
        <color theme="1"/>
        <rFont val="Bahnschrift Light"/>
        <family val="2"/>
      </rPr>
      <t>: Hudson Hoffman &amp; Karan Tulsiani</t>
    </r>
  </si>
  <si>
    <t>Multiples Analysis</t>
  </si>
  <si>
    <t>EV/EBITDA</t>
  </si>
  <si>
    <t>EV/Sales</t>
  </si>
  <si>
    <t>P/E</t>
  </si>
  <si>
    <t>Enterprise Value</t>
  </si>
  <si>
    <t>(-) Cash</t>
  </si>
  <si>
    <t>(+) Debt</t>
  </si>
  <si>
    <t>Equity Value</t>
  </si>
  <si>
    <t>Diluted EPS</t>
  </si>
  <si>
    <t>Sales</t>
  </si>
  <si>
    <t>Share Price History</t>
  </si>
  <si>
    <t>Forward</t>
  </si>
  <si>
    <t>Actual</t>
  </si>
  <si>
    <t>Multiples Calculation</t>
  </si>
  <si>
    <t>Share Price (2016 - 2021)</t>
  </si>
  <si>
    <t>EV/EBITDA (2016 - 2021)</t>
  </si>
  <si>
    <t>Price to Earnings Ratio (2016 - 2021)</t>
  </si>
  <si>
    <t xml:space="preserve">   </t>
  </si>
  <si>
    <t>Customer</t>
  </si>
  <si>
    <t>Taiwan Semiconductor Manufacturing Corp</t>
  </si>
  <si>
    <t>Samsung</t>
  </si>
  <si>
    <t>SK Hynix</t>
  </si>
  <si>
    <t>Intel</t>
  </si>
  <si>
    <t>Micron</t>
  </si>
  <si>
    <t>Semiconductor Manufacturing International</t>
  </si>
  <si>
    <t>Shanghai Huahong Group</t>
  </si>
  <si>
    <t>United Microelectronics</t>
  </si>
  <si>
    <t>Kioxia Holdings</t>
  </si>
  <si>
    <t>Nanya Technology</t>
  </si>
  <si>
    <t>Country</t>
  </si>
  <si>
    <t>Taiwan</t>
  </si>
  <si>
    <t>United States</t>
  </si>
  <si>
    <t>Market Cap ($ Billions)</t>
  </si>
  <si>
    <t>Customer as % of ASML's Revenue</t>
  </si>
  <si>
    <t xml:space="preserve">ASML as % of Customer's Capex </t>
  </si>
  <si>
    <t>Customers</t>
  </si>
  <si>
    <t>Row Labels</t>
  </si>
  <si>
    <t>Grand Total</t>
  </si>
  <si>
    <t xml:space="preserve">ASML as % of Customer Capex </t>
  </si>
  <si>
    <t>Customer as % of ASML Revenue</t>
  </si>
  <si>
    <t xml:space="preserve">Supplier </t>
  </si>
  <si>
    <t>% of ASML's COGS</t>
  </si>
  <si>
    <t xml:space="preserve">% of Supplier Revenue </t>
  </si>
  <si>
    <t xml:space="preserve">Carl Zeiss SMT AG </t>
  </si>
  <si>
    <t>Germany</t>
  </si>
  <si>
    <t xml:space="preserve">Nikon </t>
  </si>
  <si>
    <t>MKS Instruments</t>
  </si>
  <si>
    <t>Entegris Inc</t>
  </si>
  <si>
    <t>Benchmark Electronics</t>
  </si>
  <si>
    <t>VAT Group</t>
  </si>
  <si>
    <t>Ultra Clean Holdings</t>
  </si>
  <si>
    <t>II-VI Inc</t>
  </si>
  <si>
    <t xml:space="preserve">Brooks Automation </t>
  </si>
  <si>
    <t>Capgemini SE</t>
  </si>
  <si>
    <t>Intervest Offices &amp; Warehouses NV</t>
  </si>
  <si>
    <t xml:space="preserve">Lumentum Holdings </t>
  </si>
  <si>
    <t xml:space="preserve">Sinbon Electronics </t>
  </si>
  <si>
    <t xml:space="preserve">Alten SA </t>
  </si>
  <si>
    <t>France</t>
  </si>
  <si>
    <t>Belgium</t>
  </si>
  <si>
    <t>% of ASML COGS</t>
  </si>
  <si>
    <t xml:space="preserve">% of Supplier's Revenue </t>
  </si>
  <si>
    <t>Year</t>
  </si>
  <si>
    <t>Beta Coefficient</t>
  </si>
  <si>
    <t>Cash ($MM)</t>
  </si>
  <si>
    <t xml:space="preserve">Short Term Investments </t>
  </si>
  <si>
    <t>Long Term Investments</t>
  </si>
  <si>
    <t>Last Updated 11/18/2021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</si>
</sst>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8" formatCode="&quot;$&quot;#,##0.00_);[Red]\(&quot;$&quot;#,##0.00\)"/>
    <numFmt numFmtId="44" formatCode="_(&quot;$&quot;* #,##0.00_);_(&quot;$&quot;* \(#,##0.00\);_(&quot;$&quot;* &quot;-&quot;??_);_(@_)"/>
    <numFmt numFmtId="43" formatCode="_(* #,##0.00_);_(* \(#,##0.00\);_(* &quot;-&quot;??_);_(@_)"/>
    <numFmt numFmtId="164" formatCode="#,##0.0"/>
    <numFmt numFmtId="165" formatCode="#,###\-"/>
    <numFmt numFmtId="166" formatCode="&quot;$&quot;#,##0.00"/>
    <numFmt numFmtId="167" formatCode="&quot;$&quot;#,##0.0"/>
    <numFmt numFmtId="168" formatCode="\Q0"/>
    <numFmt numFmtId="169" formatCode="0.0"/>
    <numFmt numFmtId="170" formatCode="0.0%"/>
    <numFmt numFmtId="171" formatCode="##&quot;%&quot;"/>
    <numFmt numFmtId="172" formatCode="&quot;#&quot;0"/>
    <numFmt numFmtId="173" formatCode="yyyy"/>
    <numFmt numFmtId="174" formatCode="&quot;$&quot;#,##0"/>
    <numFmt numFmtId="175" formatCode="[$€-462]\ #,##0"/>
    <numFmt numFmtId="176" formatCode="[$-409]d\-mmm\-yyyy;@"/>
    <numFmt numFmtId="177" formatCode="_(* #,##0_);_(* \(#,##0\);_(* &quot;-&quot;??_);_(@_)"/>
    <numFmt numFmtId="178" formatCode="_ * #,##0.00_ ;_ * \-#,##0.00_ ;_ * &quot;-&quot;??_ ;_ @_ "/>
    <numFmt numFmtId="179" formatCode="#,##0.0000"/>
    <numFmt numFmtId="180" formatCode="_-* #,##0.000000_-;\-* #,##0.000000_-;_-* &quot;-&quot;??_-;_-@_-"/>
    <numFmt numFmtId="181" formatCode="0&quot;E&quot;"/>
    <numFmt numFmtId="182" formatCode="0&quot;A&quot;"/>
    <numFmt numFmtId="183" formatCode="#.#\x"/>
    <numFmt numFmtId="184" formatCode="#,#00%"/>
  </numFmts>
  <fonts count="62" x14ac:knownFonts="1">
    <font>
      <sz val="11"/>
      <color theme="1"/>
      <name val="Calibri"/>
      <family val="2"/>
      <scheme val="minor"/>
    </font>
    <font>
      <b/>
      <sz val="11"/>
      <color indexed="9"/>
      <name val="Calibri"/>
      <family val="2"/>
    </font>
    <font>
      <b/>
      <sz val="10"/>
      <color indexed="9"/>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
      <b/>
      <sz val="12"/>
      <color theme="1"/>
      <name val="Calibri"/>
      <family val="2"/>
      <scheme val="minor"/>
    </font>
    <font>
      <i/>
      <sz val="11"/>
      <color theme="1"/>
      <name val="Calibri"/>
      <family val="2"/>
      <scheme val="minor"/>
    </font>
    <font>
      <i/>
      <sz val="11"/>
      <color theme="1" tint="0.499984740745262"/>
      <name val="Calibri"/>
      <family val="2"/>
      <scheme val="minor"/>
    </font>
    <font>
      <sz val="14"/>
      <color theme="0"/>
      <name val="Calibri"/>
      <family val="2"/>
      <scheme val="minor"/>
    </font>
    <font>
      <sz val="11"/>
      <color theme="0"/>
      <name val="Bahnschrift Light"/>
      <family val="2"/>
    </font>
    <font>
      <sz val="14"/>
      <color theme="0"/>
      <name val="Bahnschrift Light"/>
      <family val="2"/>
    </font>
    <font>
      <b/>
      <i/>
      <sz val="11"/>
      <name val="Calibri"/>
      <family val="2"/>
      <scheme val="minor"/>
    </font>
    <font>
      <b/>
      <sz val="12"/>
      <name val="Bahnschrift Light"/>
      <family val="2"/>
    </font>
    <font>
      <sz val="20"/>
      <name val="Bahnschrift Light"/>
      <family val="2"/>
    </font>
    <font>
      <sz val="11"/>
      <name val="Bahnschrift Light"/>
      <family val="2"/>
    </font>
    <font>
      <sz val="12"/>
      <name val="Bahnschrift Light"/>
      <family val="2"/>
    </font>
    <font>
      <b/>
      <sz val="11"/>
      <name val="Bahnschrift Light"/>
      <family val="2"/>
    </font>
    <font>
      <sz val="14"/>
      <name val="Bahnschrift Light"/>
      <family val="2"/>
    </font>
    <font>
      <b/>
      <sz val="14"/>
      <name val="Bahnschrift Light"/>
      <family val="2"/>
    </font>
    <font>
      <sz val="20"/>
      <color theme="0"/>
      <name val="Bahnschrift Light"/>
      <family val="2"/>
    </font>
    <font>
      <sz val="10"/>
      <name val="Arial"/>
      <family val="2"/>
    </font>
    <font>
      <sz val="10"/>
      <name val="Arial"/>
      <family val="2"/>
    </font>
    <font>
      <sz val="10"/>
      <color rgb="FF202124"/>
      <name val="Arial"/>
      <family val="2"/>
    </font>
    <font>
      <b/>
      <sz val="11"/>
      <color theme="0"/>
      <name val="Bahnschrift Light"/>
      <family val="2"/>
    </font>
    <font>
      <sz val="11"/>
      <color theme="1"/>
      <name val="Bahnschrift Light"/>
      <family val="2"/>
    </font>
    <font>
      <sz val="12"/>
      <color theme="1"/>
      <name val="Bahnschrift Light"/>
      <family val="2"/>
    </font>
    <font>
      <b/>
      <sz val="12"/>
      <color theme="1"/>
      <name val="Bahnschrift Light"/>
      <family val="2"/>
    </font>
    <font>
      <b/>
      <sz val="12"/>
      <color theme="0"/>
      <name val="Bahnschrift Light"/>
      <family val="2"/>
    </font>
    <font>
      <sz val="10"/>
      <color theme="1"/>
      <name val="Arial"/>
      <family val="2"/>
    </font>
    <font>
      <i/>
      <sz val="12"/>
      <color theme="1"/>
      <name val="Bahnschrift Light"/>
      <family val="2"/>
    </font>
    <font>
      <sz val="12"/>
      <color theme="0"/>
      <name val="Bahnschrift Light"/>
      <family val="2"/>
    </font>
    <font>
      <sz val="10"/>
      <color theme="1"/>
      <name val="Bahnschrift Light"/>
      <family val="2"/>
    </font>
    <font>
      <sz val="14"/>
      <color theme="1"/>
      <name val="Bahnschrift Light"/>
      <family val="2"/>
    </font>
    <font>
      <b/>
      <sz val="16"/>
      <color theme="1"/>
      <name val="Bahnschrift Light"/>
      <family val="2"/>
    </font>
    <font>
      <i/>
      <sz val="14"/>
      <color theme="1"/>
      <name val="Bahnschrift Light"/>
      <family val="2"/>
    </font>
    <font>
      <i/>
      <sz val="11"/>
      <name val="Bahnschrift Light"/>
      <family val="2"/>
    </font>
    <font>
      <b/>
      <sz val="14"/>
      <color theme="1"/>
      <name val="Bahnschrift Light"/>
      <family val="2"/>
    </font>
    <font>
      <b/>
      <sz val="11"/>
      <color theme="1"/>
      <name val="Bahnschrift Light"/>
      <family val="2"/>
    </font>
    <font>
      <b/>
      <sz val="11"/>
      <name val="Calibri"/>
      <family val="2"/>
      <scheme val="minor"/>
    </font>
    <font>
      <i/>
      <sz val="12"/>
      <name val="Bahnschrift Light"/>
      <family val="2"/>
    </font>
    <font>
      <b/>
      <sz val="18"/>
      <color theme="5"/>
      <name val="Bahnschrift Light"/>
      <family val="2"/>
    </font>
    <font>
      <b/>
      <sz val="10"/>
      <color theme="5"/>
      <name val="Bahnschrift Light"/>
      <family val="2"/>
    </font>
    <font>
      <sz val="10"/>
      <color theme="5"/>
      <name val="Bahnschrift Light"/>
      <family val="2"/>
    </font>
    <font>
      <b/>
      <sz val="12"/>
      <color theme="5"/>
      <name val="Bahnschrift Light"/>
      <family val="2"/>
    </font>
    <font>
      <sz val="9"/>
      <color theme="5"/>
      <name val="Bahnschrift Light"/>
      <family val="2"/>
    </font>
    <font>
      <sz val="11"/>
      <color theme="5"/>
      <name val="Bahnschrift Light"/>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C000"/>
        <bgColor indexed="64"/>
      </patternFill>
    </fill>
    <fill>
      <patternFill patternType="solid">
        <fgColor theme="4"/>
        <bgColor indexed="64"/>
      </patternFill>
    </fill>
    <fill>
      <patternFill patternType="solid">
        <fgColor theme="7" tint="0.39997558519241921"/>
        <bgColor indexed="64"/>
      </patternFill>
    </fill>
    <fill>
      <patternFill patternType="solid">
        <fgColor theme="3"/>
        <bgColor indexed="64"/>
      </patternFill>
    </fill>
    <fill>
      <patternFill patternType="solid">
        <fgColor theme="5"/>
        <bgColor indexed="64"/>
      </patternFill>
    </fill>
    <fill>
      <patternFill patternType="solid">
        <fgColor theme="1" tint="0.249977111117893"/>
        <bgColor indexed="64"/>
      </patternFill>
    </fill>
  </fills>
  <borders count="82">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right style="mediumDashed">
        <color indexed="64"/>
      </right>
      <top style="medium">
        <color indexed="64"/>
      </top>
      <bottom/>
      <diagonal/>
    </border>
    <border>
      <left/>
      <right style="mediumDashed">
        <color indexed="64"/>
      </right>
      <top/>
      <bottom/>
      <diagonal/>
    </border>
    <border>
      <left/>
      <right style="mediumDashed">
        <color indexed="64"/>
      </right>
      <top/>
      <bottom style="medium">
        <color indexed="64"/>
      </bottom>
      <diagonal/>
    </border>
    <border>
      <left style="mediumDashed">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mediumDashed">
        <color indexed="64"/>
      </right>
      <top/>
      <bottom style="thin">
        <color indexed="64"/>
      </bottom>
      <diagonal/>
    </border>
    <border>
      <left/>
      <right style="mediumDashed">
        <color indexed="64"/>
      </right>
      <top style="thin">
        <color indexed="64"/>
      </top>
      <bottom/>
      <diagonal/>
    </border>
    <border>
      <left style="mediumDashed">
        <color indexed="64"/>
      </left>
      <right style="mediumDashed">
        <color indexed="64"/>
      </right>
      <top/>
      <bottom style="thin">
        <color auto="1"/>
      </bottom>
      <diagonal/>
    </border>
    <border>
      <left style="mediumDashed">
        <color indexed="64"/>
      </left>
      <right style="mediumDashed">
        <color indexed="64"/>
      </right>
      <top/>
      <bottom/>
      <diagonal/>
    </border>
    <border>
      <left style="mediumDashed">
        <color indexed="64"/>
      </left>
      <right style="mediumDashed">
        <color indexed="64"/>
      </right>
      <top style="thin">
        <color indexed="64"/>
      </top>
      <bottom/>
      <diagonal/>
    </border>
    <border>
      <left/>
      <right/>
      <top/>
      <bottom style="mediumDashed">
        <color indexed="64"/>
      </bottom>
      <diagonal/>
    </border>
    <border>
      <left style="mediumDashed">
        <color indexed="64"/>
      </left>
      <right/>
      <top/>
      <bottom style="thin">
        <color indexed="64"/>
      </bottom>
      <diagonal/>
    </border>
    <border>
      <left style="medium">
        <color indexed="64"/>
      </left>
      <right style="mediumDashed">
        <color indexed="64"/>
      </right>
      <top/>
      <bottom style="thin">
        <color indexed="64"/>
      </bottom>
      <diagonal/>
    </border>
    <border>
      <left style="mediumDashed">
        <color indexed="64"/>
      </left>
      <right style="medium">
        <color indexed="64"/>
      </right>
      <top/>
      <bottom style="thin">
        <color indexed="64"/>
      </bottom>
      <diagonal/>
    </border>
    <border>
      <left style="medium">
        <color indexed="64"/>
      </left>
      <right style="mediumDashed">
        <color indexed="64"/>
      </right>
      <top style="thin">
        <color indexed="64"/>
      </top>
      <bottom/>
      <diagonal/>
    </border>
    <border>
      <left/>
      <right style="medium">
        <color indexed="64"/>
      </right>
      <top style="thin">
        <color indexed="64"/>
      </top>
      <bottom/>
      <diagonal/>
    </border>
    <border>
      <left style="medium">
        <color indexed="64"/>
      </left>
      <right style="mediumDashed">
        <color indexed="64"/>
      </right>
      <top/>
      <bottom/>
      <diagonal/>
    </border>
    <border>
      <left/>
      <right style="medium">
        <color indexed="64"/>
      </right>
      <top/>
      <bottom style="thin">
        <color indexed="64"/>
      </bottom>
      <diagonal/>
    </border>
    <border>
      <left/>
      <right style="mediumDashed">
        <color indexed="64"/>
      </right>
      <top style="thin">
        <color auto="1"/>
      </top>
      <bottom style="medium">
        <color indexed="64"/>
      </bottom>
      <diagonal/>
    </border>
    <border>
      <left/>
      <right style="medium">
        <color indexed="64"/>
      </right>
      <top style="thin">
        <color indexed="64"/>
      </top>
      <bottom style="medium">
        <color indexed="64"/>
      </bottom>
      <diagonal/>
    </border>
    <border>
      <left style="mediumDashed">
        <color indexed="64"/>
      </left>
      <right/>
      <top/>
      <bottom style="mediumDashed">
        <color indexed="64"/>
      </bottom>
      <diagonal/>
    </border>
    <border>
      <left/>
      <right style="medium">
        <color indexed="64"/>
      </right>
      <top/>
      <bottom style="mediumDashed">
        <color indexed="64"/>
      </bottom>
      <diagonal/>
    </border>
    <border>
      <left/>
      <right style="medium">
        <color indexed="64"/>
      </right>
      <top style="mediumDashed">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Dashed">
        <color indexed="64"/>
      </left>
      <right style="medium">
        <color indexed="64"/>
      </right>
      <top style="thin">
        <color indexed="64"/>
      </top>
      <bottom/>
      <diagonal/>
    </border>
    <border>
      <left style="mediumDashed">
        <color indexed="64"/>
      </left>
      <right style="medium">
        <color indexed="64"/>
      </right>
      <top/>
      <bottom/>
      <diagonal/>
    </border>
    <border>
      <left style="medium">
        <color indexed="64"/>
      </left>
      <right style="mediumDashed">
        <color indexed="64"/>
      </right>
      <top/>
      <bottom style="medium">
        <color indexed="64"/>
      </bottom>
      <diagonal/>
    </border>
    <border>
      <left style="mediumDashed">
        <color indexed="64"/>
      </left>
      <right style="mediumDashed">
        <color indexed="64"/>
      </right>
      <top/>
      <bottom style="medium">
        <color indexed="64"/>
      </bottom>
      <diagonal/>
    </border>
    <border>
      <left style="mediumDashed">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right style="thin">
        <color theme="0" tint="-0.14996795556505021"/>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Dashed">
        <color indexed="64"/>
      </left>
      <right/>
      <top/>
      <bottom style="medium">
        <color indexed="64"/>
      </bottom>
      <diagonal/>
    </border>
  </borders>
  <cellStyleXfs count="59">
    <xf numFmtId="0" fontId="0" fillId="0" borderId="0"/>
    <xf numFmtId="0" fontId="3" fillId="10"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9" fillId="3" borderId="0" applyNumberFormat="0" applyBorder="0" applyAlignment="0" applyProtection="0"/>
    <xf numFmtId="0" fontId="1" fillId="33" borderId="0"/>
    <xf numFmtId="0" fontId="13" fillId="6" borderId="7" applyNumberFormat="0" applyAlignment="0" applyProtection="0"/>
    <xf numFmtId="0" fontId="15" fillId="7" borderId="10" applyNumberFormat="0" applyAlignment="0" applyProtection="0"/>
    <xf numFmtId="0" fontId="17" fillId="0" borderId="0" applyNumberFormat="0" applyFill="0" applyBorder="0" applyAlignment="0" applyProtection="0"/>
    <xf numFmtId="0" fontId="2" fillId="33" borderId="1">
      <alignment horizontal="right"/>
    </xf>
    <xf numFmtId="0" fontId="8" fillId="2" borderId="0" applyNumberFormat="0" applyBorder="0" applyAlignment="0" applyProtection="0"/>
    <xf numFmtId="0" fontId="5" fillId="0" borderId="4" applyNumberFormat="0" applyFill="0" applyAlignment="0" applyProtection="0"/>
    <xf numFmtId="0" fontId="6" fillId="0" borderId="5" applyNumberFormat="0" applyFill="0" applyAlignment="0" applyProtection="0"/>
    <xf numFmtId="0" fontId="7" fillId="0" borderId="6" applyNumberFormat="0" applyFill="0" applyAlignment="0" applyProtection="0"/>
    <xf numFmtId="0" fontId="7" fillId="0" borderId="0" applyNumberFormat="0" applyFill="0" applyBorder="0" applyAlignment="0" applyProtection="0"/>
    <xf numFmtId="0" fontId="11" fillId="5" borderId="7" applyNumberFormat="0" applyAlignment="0" applyProtection="0"/>
    <xf numFmtId="0" fontId="14" fillId="0" borderId="9" applyNumberFormat="0" applyFill="0" applyAlignment="0" applyProtection="0"/>
    <xf numFmtId="0" fontId="10" fillId="4" borderId="0" applyNumberFormat="0" applyBorder="0" applyAlignment="0" applyProtection="0"/>
    <xf numFmtId="0" fontId="3" fillId="8" borderId="11" applyNumberFormat="0" applyFont="0" applyAlignment="0" applyProtection="0"/>
    <xf numFmtId="0" fontId="12" fillId="6" borderId="8" applyNumberFormat="0" applyAlignment="0" applyProtection="0"/>
    <xf numFmtId="0" fontId="4" fillId="0" borderId="0" applyNumberFormat="0" applyFill="0" applyBorder="0" applyAlignment="0" applyProtection="0"/>
    <xf numFmtId="0" fontId="18" fillId="0" borderId="12" applyNumberFormat="0" applyFill="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6" fillId="0" borderId="0"/>
    <xf numFmtId="43" fontId="37" fillId="0" borderId="0" applyFont="0" applyFill="0" applyBorder="0" applyAlignment="0" applyProtection="0"/>
    <xf numFmtId="178" fontId="3" fillId="0" borderId="0" applyFont="0" applyFill="0" applyBorder="0" applyAlignment="0" applyProtection="0"/>
    <xf numFmtId="0" fontId="36" fillId="0" borderId="0"/>
    <xf numFmtId="178" fontId="3" fillId="0" borderId="0" applyFont="0" applyFill="0" applyBorder="0" applyAlignment="0" applyProtection="0"/>
    <xf numFmtId="0" fontId="3" fillId="0" borderId="0"/>
    <xf numFmtId="0" fontId="44" fillId="0" borderId="0"/>
    <xf numFmtId="9" fontId="44"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cellStyleXfs>
  <cellXfs count="578">
    <xf numFmtId="0" fontId="0" fillId="0" borderId="0" xfId="0"/>
    <xf numFmtId="0" fontId="0" fillId="0" borderId="0" xfId="0" applyAlignment="1">
      <alignment horizontal="left"/>
    </xf>
    <xf numFmtId="0" fontId="0" fillId="0" borderId="0" xfId="0" applyAlignment="1"/>
    <xf numFmtId="0" fontId="0" fillId="0" borderId="0" xfId="0" applyBorder="1" applyAlignment="1">
      <alignment horizontal="center" vertical="center"/>
    </xf>
    <xf numFmtId="0" fontId="0" fillId="0" borderId="26" xfId="0" applyBorder="1" applyAlignment="1">
      <alignment horizontal="center"/>
    </xf>
    <xf numFmtId="0" fontId="0" fillId="0" borderId="33"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21" fillId="0" borderId="34" xfId="0" applyFont="1" applyBorder="1" applyAlignment="1">
      <alignment horizontal="center" vertical="center"/>
    </xf>
    <xf numFmtId="0" fontId="0" fillId="0" borderId="39" xfId="0" applyBorder="1" applyAlignment="1">
      <alignment horizontal="left"/>
    </xf>
    <xf numFmtId="0" fontId="21" fillId="0" borderId="0" xfId="0" applyFont="1" applyBorder="1" applyAlignment="1">
      <alignment horizontal="center" vertical="center"/>
    </xf>
    <xf numFmtId="0" fontId="21" fillId="0" borderId="40" xfId="0" applyFont="1" applyBorder="1" applyAlignment="1">
      <alignment horizontal="center" vertical="center"/>
    </xf>
    <xf numFmtId="0" fontId="0" fillId="0" borderId="42" xfId="0" applyBorder="1" applyAlignment="1">
      <alignment horizontal="center"/>
    </xf>
    <xf numFmtId="0" fontId="0" fillId="0" borderId="19" xfId="0" applyBorder="1" applyAlignment="1">
      <alignment horizontal="center"/>
    </xf>
    <xf numFmtId="0" fontId="0" fillId="0" borderId="44" xfId="0" applyBorder="1" applyAlignment="1">
      <alignment horizontal="center"/>
    </xf>
    <xf numFmtId="0" fontId="18" fillId="0" borderId="39" xfId="0" applyFont="1" applyBorder="1" applyAlignment="1">
      <alignment horizontal="left"/>
    </xf>
    <xf numFmtId="0" fontId="18" fillId="0" borderId="43" xfId="0" applyFont="1" applyBorder="1" applyAlignment="1">
      <alignment horizontal="left"/>
    </xf>
    <xf numFmtId="0" fontId="0" fillId="0" borderId="19" xfId="0" applyBorder="1"/>
    <xf numFmtId="0" fontId="0" fillId="0" borderId="26" xfId="0" applyBorder="1" applyAlignment="1">
      <alignment horizontal="center" wrapText="1"/>
    </xf>
    <xf numFmtId="0" fontId="0" fillId="0" borderId="30" xfId="0" applyBorder="1"/>
    <xf numFmtId="9" fontId="18" fillId="0" borderId="33" xfId="0" applyNumberFormat="1" applyFont="1" applyBorder="1" applyAlignment="1">
      <alignment horizontal="center"/>
    </xf>
    <xf numFmtId="9" fontId="18" fillId="0" borderId="30" xfId="0" applyNumberFormat="1" applyFont="1" applyBorder="1" applyAlignment="1">
      <alignment horizontal="center"/>
    </xf>
    <xf numFmtId="0" fontId="22" fillId="0" borderId="31" xfId="0" applyFont="1" applyBorder="1" applyAlignment="1">
      <alignment horizontal="center"/>
    </xf>
    <xf numFmtId="9" fontId="22" fillId="0" borderId="31" xfId="0" applyNumberFormat="1" applyFont="1" applyBorder="1" applyAlignment="1">
      <alignment horizontal="center"/>
    </xf>
    <xf numFmtId="9" fontId="22" fillId="0" borderId="38" xfId="0" applyNumberFormat="1" applyFont="1" applyBorder="1" applyAlignment="1">
      <alignment horizontal="center"/>
    </xf>
    <xf numFmtId="0" fontId="22" fillId="0" borderId="32" xfId="0" applyFont="1" applyBorder="1" applyAlignment="1">
      <alignment horizontal="center"/>
    </xf>
    <xf numFmtId="0" fontId="0" fillId="0" borderId="0" xfId="0" applyBorder="1"/>
    <xf numFmtId="0" fontId="0" fillId="0" borderId="20" xfId="0" applyBorder="1" applyAlignment="1">
      <alignment horizontal="left"/>
    </xf>
    <xf numFmtId="0" fontId="0" fillId="0" borderId="49" xfId="0" applyBorder="1" applyAlignment="1">
      <alignment horizontal="center" vertical="center"/>
    </xf>
    <xf numFmtId="9" fontId="18" fillId="0" borderId="42" xfId="0" applyNumberFormat="1" applyFont="1" applyBorder="1" applyAlignment="1">
      <alignment horizontal="center"/>
    </xf>
    <xf numFmtId="0" fontId="0" fillId="0" borderId="51" xfId="0" applyBorder="1" applyAlignment="1">
      <alignment horizontal="left"/>
    </xf>
    <xf numFmtId="9" fontId="22" fillId="0" borderId="44" xfId="0" applyNumberFormat="1" applyFont="1" applyBorder="1" applyAlignment="1">
      <alignment horizontal="center"/>
    </xf>
    <xf numFmtId="0" fontId="22" fillId="0" borderId="44" xfId="0" applyFont="1" applyBorder="1" applyAlignment="1">
      <alignment horizontal="center"/>
    </xf>
    <xf numFmtId="0" fontId="0" fillId="0" borderId="53" xfId="0" applyBorder="1"/>
    <xf numFmtId="0" fontId="18" fillId="0" borderId="52" xfId="0" applyFont="1" applyBorder="1" applyAlignment="1">
      <alignment horizontal="left"/>
    </xf>
    <xf numFmtId="0" fontId="18" fillId="0" borderId="20" xfId="0" applyFont="1" applyBorder="1" applyAlignment="1">
      <alignment horizontal="left"/>
    </xf>
    <xf numFmtId="0" fontId="18" fillId="0" borderId="50" xfId="0" applyFont="1" applyBorder="1" applyAlignment="1">
      <alignment horizontal="left"/>
    </xf>
    <xf numFmtId="0" fontId="18" fillId="0" borderId="45" xfId="0" applyFont="1" applyBorder="1" applyAlignment="1">
      <alignment horizontal="center"/>
    </xf>
    <xf numFmtId="0" fontId="18" fillId="0" borderId="53" xfId="0" applyFont="1" applyBorder="1" applyAlignment="1">
      <alignment horizontal="center"/>
    </xf>
    <xf numFmtId="0" fontId="18" fillId="0" borderId="46" xfId="0" applyFont="1" applyBorder="1" applyAlignment="1">
      <alignment horizontal="center"/>
    </xf>
    <xf numFmtId="0" fontId="23" fillId="0" borderId="0" xfId="0" applyFont="1" applyFill="1"/>
    <xf numFmtId="0" fontId="18" fillId="0" borderId="3" xfId="0" applyFont="1" applyBorder="1" applyAlignment="1">
      <alignment horizontal="center"/>
    </xf>
    <xf numFmtId="0" fontId="0" fillId="0" borderId="2" xfId="0" applyBorder="1" applyAlignment="1">
      <alignment horizontal="center"/>
    </xf>
    <xf numFmtId="171" fontId="0" fillId="0" borderId="2" xfId="0" applyNumberFormat="1" applyBorder="1" applyAlignment="1">
      <alignment horizontal="center"/>
    </xf>
    <xf numFmtId="171" fontId="0" fillId="0" borderId="2" xfId="0" applyNumberFormat="1" applyBorder="1"/>
    <xf numFmtId="0" fontId="0" fillId="0" borderId="2" xfId="0" applyBorder="1"/>
    <xf numFmtId="0" fontId="18" fillId="0" borderId="54" xfId="0" applyFont="1" applyBorder="1" applyAlignment="1">
      <alignment horizontal="center"/>
    </xf>
    <xf numFmtId="9" fontId="18" fillId="0" borderId="54" xfId="0" applyNumberFormat="1" applyFont="1" applyBorder="1" applyAlignment="1">
      <alignment horizontal="center"/>
    </xf>
    <xf numFmtId="0" fontId="18" fillId="0" borderId="29" xfId="0" applyFont="1" applyBorder="1" applyAlignment="1">
      <alignment horizontal="center"/>
    </xf>
    <xf numFmtId="0" fontId="0" fillId="0" borderId="3" xfId="0" applyBorder="1" applyAlignment="1">
      <alignment horizontal="center"/>
    </xf>
    <xf numFmtId="171" fontId="0" fillId="0" borderId="3" xfId="0" applyNumberFormat="1" applyBorder="1"/>
    <xf numFmtId="171" fontId="0" fillId="0" borderId="1" xfId="0" applyNumberFormat="1" applyBorder="1" applyAlignment="1">
      <alignment horizontal="center"/>
    </xf>
    <xf numFmtId="9" fontId="0" fillId="0" borderId="55" xfId="0" applyNumberFormat="1" applyBorder="1" applyAlignment="1">
      <alignment horizontal="left"/>
    </xf>
    <xf numFmtId="0" fontId="18" fillId="0" borderId="56" xfId="0" applyFont="1" applyBorder="1" applyAlignment="1">
      <alignment horizontal="center"/>
    </xf>
    <xf numFmtId="9" fontId="18" fillId="0" borderId="20" xfId="0" applyNumberFormat="1" applyFont="1" applyBorder="1" applyAlignment="1">
      <alignment horizontal="left"/>
    </xf>
    <xf numFmtId="0" fontId="0" fillId="0" borderId="56" xfId="0" applyBorder="1" applyAlignment="1">
      <alignment horizontal="center"/>
    </xf>
    <xf numFmtId="170" fontId="0" fillId="0" borderId="20" xfId="0" applyNumberFormat="1" applyBorder="1" applyAlignment="1">
      <alignment horizontal="left"/>
    </xf>
    <xf numFmtId="171" fontId="0" fillId="0" borderId="57" xfId="0" applyNumberFormat="1" applyBorder="1" applyAlignment="1">
      <alignment horizontal="center"/>
    </xf>
    <xf numFmtId="0" fontId="18" fillId="0" borderId="58" xfId="0" applyFont="1" applyBorder="1" applyAlignment="1">
      <alignment horizontal="left"/>
    </xf>
    <xf numFmtId="171" fontId="0" fillId="0" borderId="56" xfId="0" applyNumberFormat="1" applyBorder="1"/>
    <xf numFmtId="171" fontId="0" fillId="0" borderId="59" xfId="0" applyNumberFormat="1" applyBorder="1" applyAlignment="1">
      <alignment horizontal="center"/>
    </xf>
    <xf numFmtId="0" fontId="0" fillId="0" borderId="58" xfId="0" applyBorder="1" applyAlignment="1">
      <alignment horizontal="left"/>
    </xf>
    <xf numFmtId="0" fontId="0" fillId="0" borderId="57" xfId="0" applyBorder="1"/>
    <xf numFmtId="0" fontId="18" fillId="0" borderId="18" xfId="0" applyFont="1" applyBorder="1" applyAlignment="1">
      <alignment horizontal="left"/>
    </xf>
    <xf numFmtId="0" fontId="18" fillId="0" borderId="60" xfId="0" applyFont="1" applyBorder="1" applyAlignment="1">
      <alignment horizontal="center"/>
    </xf>
    <xf numFmtId="0" fontId="18" fillId="0" borderId="41" xfId="0" applyFont="1" applyBorder="1" applyAlignment="1">
      <alignment horizontal="left"/>
    </xf>
    <xf numFmtId="3" fontId="0" fillId="0" borderId="32" xfId="0" applyNumberFormat="1" applyBorder="1" applyAlignment="1">
      <alignment horizontal="center"/>
    </xf>
    <xf numFmtId="3" fontId="0" fillId="0" borderId="34" xfId="0" applyNumberFormat="1" applyBorder="1" applyAlignment="1">
      <alignment horizontal="center"/>
    </xf>
    <xf numFmtId="3" fontId="0" fillId="0" borderId="44" xfId="0" applyNumberFormat="1"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18" fillId="0" borderId="66" xfId="0" applyFont="1" applyBorder="1" applyAlignment="1">
      <alignment horizontal="left"/>
    </xf>
    <xf numFmtId="0" fontId="0" fillId="0" borderId="67" xfId="0" applyBorder="1" applyAlignment="1">
      <alignment horizontal="center"/>
    </xf>
    <xf numFmtId="0" fontId="0" fillId="0" borderId="36" xfId="0" applyBorder="1"/>
    <xf numFmtId="0" fontId="0" fillId="0" borderId="68" xfId="0" applyBorder="1" applyAlignment="1">
      <alignment horizontal="center"/>
    </xf>
    <xf numFmtId="172" fontId="18" fillId="0" borderId="33" xfId="0" applyNumberFormat="1" applyFont="1" applyBorder="1" applyAlignment="1">
      <alignment horizontal="center"/>
    </xf>
    <xf numFmtId="172" fontId="18" fillId="0" borderId="0" xfId="0" applyNumberFormat="1" applyFont="1" applyBorder="1" applyAlignment="1">
      <alignment horizontal="center"/>
    </xf>
    <xf numFmtId="172" fontId="18" fillId="0" borderId="42" xfId="0" applyNumberFormat="1" applyFont="1" applyBorder="1" applyAlignment="1">
      <alignment horizontal="center"/>
    </xf>
    <xf numFmtId="0" fontId="28" fillId="34" borderId="0" xfId="20" applyNumberFormat="1" applyFont="1" applyFill="1" applyBorder="1" applyAlignment="1" applyProtection="1">
      <alignment horizontal="center" vertical="center"/>
    </xf>
    <xf numFmtId="0" fontId="30" fillId="34" borderId="0" xfId="20" applyFont="1" applyFill="1" applyBorder="1" applyAlignment="1">
      <alignment horizontal="center"/>
    </xf>
    <xf numFmtId="0" fontId="31" fillId="34" borderId="0" xfId="20" applyNumberFormat="1" applyFont="1" applyFill="1" applyBorder="1" applyAlignment="1" applyProtection="1">
      <alignment horizontal="center" vertical="center"/>
    </xf>
    <xf numFmtId="0" fontId="31" fillId="34" borderId="0" xfId="20" applyFont="1" applyFill="1" applyBorder="1" applyAlignment="1">
      <alignment horizontal="center" vertical="center"/>
    </xf>
    <xf numFmtId="0" fontId="32" fillId="34" borderId="15" xfId="20" applyFont="1" applyFill="1" applyBorder="1" applyAlignment="1">
      <alignment horizontal="center"/>
    </xf>
    <xf numFmtId="0" fontId="31" fillId="34" borderId="13" xfId="20" applyFont="1" applyFill="1" applyBorder="1" applyAlignment="1">
      <alignment horizontal="center" vertical="center"/>
    </xf>
    <xf numFmtId="168" fontId="30" fillId="34" borderId="13" xfId="20" applyNumberFormat="1" applyFont="1" applyFill="1" applyBorder="1" applyAlignment="1">
      <alignment horizontal="center"/>
    </xf>
    <xf numFmtId="0" fontId="32" fillId="34" borderId="16" xfId="20" applyFont="1" applyFill="1" applyBorder="1" applyAlignment="1">
      <alignment horizontal="center" vertical="center"/>
    </xf>
    <xf numFmtId="168" fontId="30" fillId="34" borderId="17" xfId="20" applyNumberFormat="1" applyFont="1" applyFill="1" applyBorder="1" applyAlignment="1">
      <alignment horizontal="center"/>
    </xf>
    <xf numFmtId="168" fontId="30" fillId="34" borderId="18" xfId="20" applyNumberFormat="1" applyFont="1" applyFill="1" applyBorder="1" applyAlignment="1">
      <alignment horizontal="center"/>
    </xf>
    <xf numFmtId="0" fontId="30" fillId="34" borderId="0" xfId="20" applyNumberFormat="1" applyFont="1" applyFill="1" applyBorder="1" applyAlignment="1" applyProtection="1">
      <alignment horizontal="center"/>
    </xf>
    <xf numFmtId="168" fontId="30" fillId="34" borderId="0" xfId="20" applyNumberFormat="1" applyFont="1" applyFill="1" applyBorder="1" applyAlignment="1">
      <alignment horizontal="center"/>
    </xf>
    <xf numFmtId="168" fontId="32" fillId="34" borderId="0" xfId="20" applyNumberFormat="1" applyFont="1" applyFill="1" applyBorder="1" applyAlignment="1">
      <alignment horizontal="center"/>
    </xf>
    <xf numFmtId="168" fontId="30" fillId="34" borderId="25" xfId="20" applyNumberFormat="1" applyFont="1" applyFill="1" applyBorder="1" applyAlignment="1">
      <alignment horizontal="center"/>
    </xf>
    <xf numFmtId="0" fontId="30" fillId="34" borderId="0" xfId="20" applyFont="1" applyFill="1" applyBorder="1" applyAlignment="1">
      <alignment horizontal="center" vertical="center"/>
    </xf>
    <xf numFmtId="0" fontId="32" fillId="34" borderId="0" xfId="20" applyFont="1" applyFill="1" applyBorder="1" applyAlignment="1">
      <alignment horizontal="center"/>
    </xf>
    <xf numFmtId="0" fontId="30" fillId="34" borderId="26" xfId="20" applyFont="1" applyFill="1" applyBorder="1" applyAlignment="1">
      <alignment horizontal="center"/>
    </xf>
    <xf numFmtId="0" fontId="30" fillId="34" borderId="0" xfId="20" applyFont="1" applyFill="1" applyBorder="1"/>
    <xf numFmtId="0" fontId="30" fillId="34" borderId="20" xfId="20" applyNumberFormat="1" applyFont="1" applyFill="1" applyBorder="1" applyAlignment="1" applyProtection="1">
      <alignment horizontal="center" vertical="center"/>
    </xf>
    <xf numFmtId="0" fontId="30" fillId="34" borderId="19" xfId="20" applyNumberFormat="1" applyFont="1" applyFill="1" applyBorder="1" applyAlignment="1" applyProtection="1">
      <alignment horizontal="center" vertical="center"/>
    </xf>
    <xf numFmtId="0" fontId="30" fillId="34" borderId="0" xfId="20" applyNumberFormat="1" applyFont="1" applyFill="1" applyBorder="1" applyAlignment="1" applyProtection="1">
      <alignment horizontal="center" vertical="center"/>
    </xf>
    <xf numFmtId="0" fontId="30" fillId="34" borderId="0" xfId="20" applyNumberFormat="1" applyFont="1" applyFill="1" applyBorder="1" applyAlignment="1" applyProtection="1"/>
    <xf numFmtId="9" fontId="30" fillId="34" borderId="18" xfId="20" applyNumberFormat="1" applyFont="1" applyFill="1" applyBorder="1" applyAlignment="1">
      <alignment horizontal="center"/>
    </xf>
    <xf numFmtId="9" fontId="30" fillId="34" borderId="17" xfId="20" applyNumberFormat="1" applyFont="1" applyFill="1" applyBorder="1" applyAlignment="1">
      <alignment horizontal="center"/>
    </xf>
    <xf numFmtId="9" fontId="30" fillId="34" borderId="0" xfId="20" applyNumberFormat="1" applyFont="1" applyFill="1" applyBorder="1" applyAlignment="1">
      <alignment horizontal="center"/>
    </xf>
    <xf numFmtId="164" fontId="30" fillId="34" borderId="0" xfId="20" applyNumberFormat="1" applyFont="1" applyFill="1" applyBorder="1" applyAlignment="1" applyProtection="1">
      <alignment horizontal="center"/>
    </xf>
    <xf numFmtId="164" fontId="32" fillId="34" borderId="0" xfId="20" applyNumberFormat="1" applyFont="1" applyFill="1" applyBorder="1" applyAlignment="1" applyProtection="1">
      <alignment horizontal="center"/>
    </xf>
    <xf numFmtId="164" fontId="30" fillId="34" borderId="26" xfId="20" applyNumberFormat="1" applyFont="1" applyFill="1" applyBorder="1" applyAlignment="1" applyProtection="1">
      <alignment horizontal="center"/>
    </xf>
    <xf numFmtId="164" fontId="30" fillId="34" borderId="27" xfId="20" applyNumberFormat="1" applyFont="1" applyFill="1" applyBorder="1" applyAlignment="1" applyProtection="1">
      <alignment horizontal="center"/>
    </xf>
    <xf numFmtId="164" fontId="30" fillId="34" borderId="13" xfId="20" applyNumberFormat="1" applyFont="1" applyFill="1" applyBorder="1" applyAlignment="1">
      <alignment horizontal="center"/>
    </xf>
    <xf numFmtId="164" fontId="32" fillId="34" borderId="13" xfId="20" applyNumberFormat="1" applyFont="1" applyFill="1" applyBorder="1" applyAlignment="1" applyProtection="1">
      <alignment horizontal="center"/>
    </xf>
    <xf numFmtId="0" fontId="30" fillId="34" borderId="23" xfId="20" applyNumberFormat="1" applyFont="1" applyFill="1" applyBorder="1" applyAlignment="1" applyProtection="1"/>
    <xf numFmtId="9" fontId="30" fillId="34" borderId="22" xfId="20" applyNumberFormat="1" applyFont="1" applyFill="1" applyBorder="1" applyAlignment="1">
      <alignment horizontal="center"/>
    </xf>
    <xf numFmtId="164" fontId="30" fillId="34" borderId="22" xfId="20" applyNumberFormat="1" applyFont="1" applyFill="1" applyBorder="1" applyAlignment="1" applyProtection="1">
      <alignment horizontal="center"/>
    </xf>
    <xf numFmtId="164" fontId="32" fillId="34" borderId="22" xfId="20" applyNumberFormat="1" applyFont="1" applyFill="1" applyBorder="1" applyAlignment="1" applyProtection="1">
      <alignment horizontal="center"/>
    </xf>
    <xf numFmtId="0" fontId="30" fillId="34" borderId="20" xfId="20" applyFont="1" applyFill="1" applyBorder="1" applyAlignment="1">
      <alignment horizontal="center"/>
    </xf>
    <xf numFmtId="0" fontId="30" fillId="34" borderId="20" xfId="20" applyNumberFormat="1" applyFont="1" applyFill="1" applyBorder="1" applyAlignment="1" applyProtection="1"/>
    <xf numFmtId="9" fontId="30" fillId="34" borderId="0" xfId="20" applyNumberFormat="1" applyFont="1" applyFill="1" applyBorder="1" applyAlignment="1" applyProtection="1">
      <alignment horizontal="center"/>
    </xf>
    <xf numFmtId="9" fontId="32" fillId="34" borderId="0" xfId="20" applyNumberFormat="1" applyFont="1" applyFill="1" applyBorder="1" applyAlignment="1" applyProtection="1">
      <alignment horizontal="center"/>
    </xf>
    <xf numFmtId="9" fontId="30" fillId="34" borderId="26" xfId="20" applyNumberFormat="1" applyFont="1" applyFill="1" applyBorder="1" applyAlignment="1" applyProtection="1">
      <alignment horizontal="center"/>
    </xf>
    <xf numFmtId="0" fontId="30" fillId="34" borderId="18" xfId="20" applyNumberFormat="1" applyFont="1" applyFill="1" applyBorder="1" applyAlignment="1" applyProtection="1"/>
    <xf numFmtId="0" fontId="30" fillId="34" borderId="13" xfId="20" applyNumberFormat="1" applyFont="1" applyFill="1" applyBorder="1" applyAlignment="1" applyProtection="1"/>
    <xf numFmtId="164" fontId="30" fillId="34" borderId="13" xfId="20" applyNumberFormat="1" applyFont="1" applyFill="1" applyBorder="1" applyAlignment="1" applyProtection="1">
      <alignment horizontal="center"/>
    </xf>
    <xf numFmtId="9" fontId="30" fillId="34" borderId="13" xfId="20" applyNumberFormat="1" applyFont="1" applyFill="1" applyBorder="1" applyAlignment="1" applyProtection="1">
      <alignment horizontal="center"/>
    </xf>
    <xf numFmtId="9" fontId="32" fillId="34" borderId="13" xfId="20" applyNumberFormat="1" applyFont="1" applyFill="1" applyBorder="1" applyAlignment="1" applyProtection="1">
      <alignment horizontal="center"/>
    </xf>
    <xf numFmtId="9" fontId="30" fillId="34" borderId="27" xfId="20" applyNumberFormat="1" applyFont="1" applyFill="1" applyBorder="1" applyAlignment="1" applyProtection="1">
      <alignment horizontal="center"/>
    </xf>
    <xf numFmtId="169" fontId="30" fillId="34" borderId="0" xfId="20" applyNumberFormat="1" applyFont="1" applyFill="1" applyBorder="1" applyAlignment="1">
      <alignment horizontal="center"/>
    </xf>
    <xf numFmtId="0" fontId="30" fillId="34" borderId="0" xfId="20" applyNumberFormat="1" applyFont="1" applyFill="1" applyBorder="1" applyAlignment="1" applyProtection="1">
      <alignment horizontal="left"/>
    </xf>
    <xf numFmtId="164" fontId="30" fillId="34" borderId="25" xfId="20" applyNumberFormat="1" applyFont="1" applyFill="1" applyBorder="1" applyAlignment="1" applyProtection="1">
      <alignment horizontal="center"/>
    </xf>
    <xf numFmtId="164" fontId="32" fillId="34" borderId="21" xfId="20" applyNumberFormat="1" applyFont="1" applyFill="1" applyBorder="1" applyAlignment="1" applyProtection="1">
      <alignment horizontal="center"/>
    </xf>
    <xf numFmtId="9" fontId="32" fillId="34" borderId="19" xfId="20" applyNumberFormat="1" applyFont="1" applyFill="1" applyBorder="1" applyAlignment="1" applyProtection="1">
      <alignment horizontal="center"/>
    </xf>
    <xf numFmtId="9" fontId="32" fillId="34" borderId="17" xfId="20" applyNumberFormat="1" applyFont="1" applyFill="1" applyBorder="1" applyAlignment="1" applyProtection="1">
      <alignment horizontal="center"/>
    </xf>
    <xf numFmtId="165" fontId="30" fillId="34" borderId="0" xfId="20" applyNumberFormat="1" applyFont="1" applyFill="1" applyBorder="1" applyAlignment="1" applyProtection="1">
      <alignment horizontal="center"/>
    </xf>
    <xf numFmtId="165" fontId="30" fillId="34" borderId="26" xfId="20" applyNumberFormat="1" applyFont="1" applyFill="1" applyBorder="1" applyAlignment="1" applyProtection="1">
      <alignment horizontal="center"/>
    </xf>
    <xf numFmtId="169" fontId="30" fillId="34" borderId="22" xfId="20" applyNumberFormat="1" applyFont="1" applyFill="1" applyBorder="1" applyAlignment="1" applyProtection="1">
      <alignment horizontal="center"/>
    </xf>
    <xf numFmtId="169" fontId="32" fillId="34" borderId="22" xfId="20" applyNumberFormat="1" applyFont="1" applyFill="1" applyBorder="1" applyAlignment="1" applyProtection="1">
      <alignment horizontal="center"/>
    </xf>
    <xf numFmtId="169" fontId="30" fillId="34" borderId="25" xfId="20" applyNumberFormat="1" applyFont="1" applyFill="1" applyBorder="1" applyAlignment="1" applyProtection="1">
      <alignment horizontal="center"/>
    </xf>
    <xf numFmtId="169" fontId="32" fillId="34" borderId="21" xfId="20" applyNumberFormat="1" applyFont="1" applyFill="1" applyBorder="1" applyAlignment="1" applyProtection="1">
      <alignment horizontal="center"/>
    </xf>
    <xf numFmtId="1" fontId="30" fillId="34" borderId="0" xfId="20" applyNumberFormat="1" applyFont="1" applyFill="1" applyBorder="1" applyAlignment="1">
      <alignment horizontal="center"/>
    </xf>
    <xf numFmtId="164" fontId="30" fillId="34" borderId="0" xfId="20" applyNumberFormat="1" applyFont="1" applyFill="1" applyBorder="1" applyAlignment="1">
      <alignment horizontal="center"/>
    </xf>
    <xf numFmtId="164" fontId="32" fillId="34" borderId="0" xfId="20" applyNumberFormat="1" applyFont="1" applyFill="1" applyBorder="1" applyAlignment="1">
      <alignment horizontal="center"/>
    </xf>
    <xf numFmtId="2" fontId="30" fillId="34" borderId="0" xfId="20" applyNumberFormat="1" applyFont="1" applyFill="1" applyBorder="1" applyAlignment="1" applyProtection="1">
      <alignment horizontal="center"/>
    </xf>
    <xf numFmtId="2" fontId="30" fillId="34" borderId="0" xfId="20" applyNumberFormat="1" applyFont="1" applyFill="1" applyBorder="1" applyAlignment="1">
      <alignment horizontal="center"/>
    </xf>
    <xf numFmtId="3" fontId="30" fillId="34" borderId="0" xfId="20" applyNumberFormat="1" applyFont="1" applyFill="1" applyBorder="1" applyAlignment="1" applyProtection="1">
      <alignment horizontal="center"/>
    </xf>
    <xf numFmtId="3" fontId="32" fillId="34" borderId="0" xfId="20" applyNumberFormat="1" applyFont="1" applyFill="1" applyBorder="1" applyAlignment="1" applyProtection="1">
      <alignment horizontal="center"/>
    </xf>
    <xf numFmtId="3" fontId="30" fillId="34" borderId="26" xfId="20" applyNumberFormat="1" applyFont="1" applyFill="1" applyBorder="1" applyAlignment="1" applyProtection="1">
      <alignment horizontal="center"/>
    </xf>
    <xf numFmtId="4" fontId="30" fillId="34" borderId="0" xfId="20" applyNumberFormat="1" applyFont="1" applyFill="1" applyBorder="1" applyAlignment="1" applyProtection="1">
      <alignment horizontal="center"/>
    </xf>
    <xf numFmtId="166" fontId="32" fillId="34" borderId="14" xfId="20" applyNumberFormat="1" applyFont="1" applyFill="1" applyBorder="1" applyAlignment="1" applyProtection="1">
      <alignment horizontal="center" vertical="center"/>
    </xf>
    <xf numFmtId="4" fontId="30" fillId="34" borderId="26" xfId="20" applyNumberFormat="1" applyFont="1" applyFill="1" applyBorder="1" applyAlignment="1" applyProtection="1">
      <alignment horizontal="center"/>
    </xf>
    <xf numFmtId="166" fontId="32" fillId="34" borderId="14" xfId="20" applyNumberFormat="1" applyFont="1" applyFill="1" applyBorder="1" applyAlignment="1" applyProtection="1">
      <alignment horizontal="center"/>
    </xf>
    <xf numFmtId="4" fontId="32" fillId="34" borderId="0" xfId="20" applyNumberFormat="1" applyFont="1" applyFill="1" applyBorder="1" applyAlignment="1" applyProtection="1">
      <alignment horizontal="center"/>
    </xf>
    <xf numFmtId="4" fontId="32" fillId="34" borderId="0" xfId="20" applyNumberFormat="1" applyFont="1" applyFill="1" applyBorder="1" applyAlignment="1">
      <alignment horizontal="center"/>
    </xf>
    <xf numFmtId="0" fontId="33" fillId="34" borderId="0" xfId="20" applyNumberFormat="1" applyFont="1" applyFill="1" applyBorder="1" applyAlignment="1" applyProtection="1">
      <alignment horizontal="center"/>
    </xf>
    <xf numFmtId="0" fontId="32" fillId="34" borderId="0" xfId="20" applyNumberFormat="1" applyFont="1" applyFill="1" applyBorder="1" applyAlignment="1" applyProtection="1"/>
    <xf numFmtId="0" fontId="30" fillId="34" borderId="22" xfId="20" applyNumberFormat="1" applyFont="1" applyFill="1" applyBorder="1" applyAlignment="1" applyProtection="1"/>
    <xf numFmtId="164" fontId="30" fillId="34" borderId="22" xfId="20" applyNumberFormat="1" applyFont="1" applyFill="1" applyBorder="1" applyAlignment="1">
      <alignment horizontal="center"/>
    </xf>
    <xf numFmtId="164" fontId="32" fillId="34" borderId="19" xfId="20" applyNumberFormat="1" applyFont="1" applyFill="1" applyBorder="1" applyAlignment="1" applyProtection="1">
      <alignment horizontal="center"/>
    </xf>
    <xf numFmtId="164" fontId="32" fillId="34" borderId="17" xfId="20" applyNumberFormat="1" applyFont="1" applyFill="1" applyBorder="1" applyAlignment="1" applyProtection="1">
      <alignment horizontal="center"/>
    </xf>
    <xf numFmtId="164" fontId="32" fillId="34" borderId="19" xfId="20" applyNumberFormat="1" applyFont="1" applyFill="1" applyBorder="1" applyAlignment="1">
      <alignment horizontal="center"/>
    </xf>
    <xf numFmtId="0" fontId="32" fillId="34" borderId="0" xfId="20" applyFont="1" applyFill="1" applyBorder="1"/>
    <xf numFmtId="164" fontId="32" fillId="34" borderId="26" xfId="20" applyNumberFormat="1" applyFont="1" applyFill="1" applyBorder="1" applyAlignment="1">
      <alignment horizontal="center"/>
    </xf>
    <xf numFmtId="0" fontId="30" fillId="34" borderId="0" xfId="20" applyFont="1" applyFill="1" applyAlignment="1">
      <alignment horizontal="left" vertical="center"/>
    </xf>
    <xf numFmtId="1" fontId="30" fillId="34" borderId="0" xfId="20" applyNumberFormat="1" applyFont="1" applyFill="1" applyAlignment="1">
      <alignment horizontal="center"/>
    </xf>
    <xf numFmtId="1" fontId="32" fillId="34" borderId="0" xfId="20" applyNumberFormat="1" applyFont="1" applyFill="1" applyAlignment="1">
      <alignment horizontal="center"/>
    </xf>
    <xf numFmtId="1" fontId="30" fillId="34" borderId="26" xfId="20" applyNumberFormat="1" applyFont="1" applyFill="1" applyBorder="1" applyAlignment="1">
      <alignment horizontal="center"/>
    </xf>
    <xf numFmtId="0" fontId="30" fillId="34" borderId="0" xfId="20" applyFont="1" applyFill="1"/>
    <xf numFmtId="169" fontId="30" fillId="34" borderId="0" xfId="20" applyNumberFormat="1" applyFont="1" applyFill="1"/>
    <xf numFmtId="169" fontId="30" fillId="34" borderId="26" xfId="20" applyNumberFormat="1" applyFont="1" applyFill="1" applyBorder="1"/>
    <xf numFmtId="169" fontId="30" fillId="34" borderId="0" xfId="20" applyNumberFormat="1" applyFont="1" applyFill="1" applyAlignment="1">
      <alignment horizontal="center"/>
    </xf>
    <xf numFmtId="169" fontId="32" fillId="34" borderId="0" xfId="20" applyNumberFormat="1" applyFont="1" applyFill="1" applyBorder="1" applyAlignment="1">
      <alignment horizontal="center"/>
    </xf>
    <xf numFmtId="169" fontId="30" fillId="34" borderId="0" xfId="20" applyNumberFormat="1" applyFont="1" applyFill="1" applyBorder="1" applyAlignment="1" applyProtection="1">
      <alignment horizontal="center"/>
    </xf>
    <xf numFmtId="169" fontId="30" fillId="34" borderId="26" xfId="20" applyNumberFormat="1" applyFont="1" applyFill="1" applyBorder="1" applyAlignment="1" applyProtection="1">
      <alignment horizontal="center"/>
    </xf>
    <xf numFmtId="169" fontId="30" fillId="34" borderId="26" xfId="20" applyNumberFormat="1" applyFont="1" applyFill="1" applyBorder="1" applyAlignment="1">
      <alignment horizontal="center"/>
    </xf>
    <xf numFmtId="9" fontId="30" fillId="34" borderId="0" xfId="20" applyNumberFormat="1" applyFont="1" applyFill="1" applyAlignment="1">
      <alignment horizontal="center"/>
    </xf>
    <xf numFmtId="9" fontId="32" fillId="34" borderId="0" xfId="20" applyNumberFormat="1" applyFont="1" applyFill="1" applyAlignment="1">
      <alignment horizontal="center"/>
    </xf>
    <xf numFmtId="9" fontId="30" fillId="34" borderId="26" xfId="20" applyNumberFormat="1" applyFont="1" applyFill="1" applyBorder="1" applyAlignment="1">
      <alignment horizontal="center"/>
    </xf>
    <xf numFmtId="164" fontId="30" fillId="34" borderId="0" xfId="20" applyNumberFormat="1" applyFont="1" applyFill="1" applyAlignment="1">
      <alignment horizontal="center"/>
    </xf>
    <xf numFmtId="164" fontId="30" fillId="34" borderId="26" xfId="20" applyNumberFormat="1" applyFont="1" applyFill="1" applyBorder="1" applyAlignment="1">
      <alignment horizontal="center"/>
    </xf>
    <xf numFmtId="170" fontId="30" fillId="34" borderId="0" xfId="20" applyNumberFormat="1" applyFont="1" applyFill="1" applyAlignment="1">
      <alignment horizontal="center"/>
    </xf>
    <xf numFmtId="170" fontId="30" fillId="34" borderId="26" xfId="20" applyNumberFormat="1" applyFont="1" applyFill="1" applyBorder="1" applyAlignment="1">
      <alignment horizontal="center"/>
    </xf>
    <xf numFmtId="170" fontId="32" fillId="34" borderId="0" xfId="20" applyNumberFormat="1" applyFont="1" applyFill="1" applyBorder="1" applyAlignment="1">
      <alignment horizontal="center"/>
    </xf>
    <xf numFmtId="170" fontId="30" fillId="34" borderId="0" xfId="20" applyNumberFormat="1" applyFont="1" applyFill="1" applyBorder="1" applyAlignment="1">
      <alignment horizontal="center"/>
    </xf>
    <xf numFmtId="0" fontId="32" fillId="34" borderId="26" xfId="20" applyFont="1" applyFill="1" applyBorder="1" applyAlignment="1">
      <alignment horizontal="center"/>
    </xf>
    <xf numFmtId="0" fontId="34" fillId="34" borderId="0" xfId="20" applyFont="1" applyFill="1" applyBorder="1" applyAlignment="1"/>
    <xf numFmtId="173" fontId="32" fillId="34" borderId="0" xfId="20" applyNumberFormat="1" applyFont="1" applyFill="1" applyBorder="1" applyAlignment="1">
      <alignment horizontal="center" vertical="center"/>
    </xf>
    <xf numFmtId="170" fontId="32" fillId="34" borderId="0" xfId="20" applyNumberFormat="1" applyFont="1" applyFill="1" applyBorder="1"/>
    <xf numFmtId="170" fontId="30" fillId="34" borderId="0" xfId="20" applyNumberFormat="1" applyFont="1" applyFill="1" applyBorder="1"/>
    <xf numFmtId="167" fontId="30" fillId="34" borderId="0" xfId="20" applyNumberFormat="1" applyFont="1" applyFill="1" applyBorder="1" applyAlignment="1">
      <alignment horizontal="center"/>
    </xf>
    <xf numFmtId="9" fontId="30" fillId="34" borderId="0" xfId="20" applyNumberFormat="1" applyFont="1" applyFill="1" applyBorder="1"/>
    <xf numFmtId="10" fontId="30" fillId="34" borderId="0" xfId="20" applyNumberFormat="1" applyFont="1" applyFill="1" applyBorder="1"/>
    <xf numFmtId="2" fontId="30" fillId="34" borderId="0" xfId="20" applyNumberFormat="1" applyFont="1" applyFill="1" applyBorder="1"/>
    <xf numFmtId="169" fontId="30" fillId="34" borderId="0" xfId="20" applyNumberFormat="1" applyFont="1" applyFill="1" applyBorder="1" applyAlignment="1">
      <alignment horizontal="right"/>
    </xf>
    <xf numFmtId="8" fontId="30" fillId="34" borderId="0" xfId="20" applyNumberFormat="1" applyFont="1" applyFill="1" applyBorder="1" applyAlignment="1">
      <alignment horizontal="right"/>
    </xf>
    <xf numFmtId="167" fontId="30" fillId="34" borderId="0" xfId="20" applyNumberFormat="1" applyFont="1" applyFill="1" applyBorder="1"/>
    <xf numFmtId="0" fontId="32" fillId="34" borderId="0" xfId="20" applyNumberFormat="1" applyFont="1" applyFill="1" applyBorder="1" applyAlignment="1" applyProtection="1">
      <alignment horizontal="center"/>
    </xf>
    <xf numFmtId="0" fontId="30" fillId="34" borderId="20" xfId="20" applyNumberFormat="1" applyFont="1" applyFill="1" applyBorder="1" applyAlignment="1" applyProtection="1">
      <alignment horizontal="center"/>
    </xf>
    <xf numFmtId="0" fontId="30" fillId="34" borderId="19" xfId="20" applyNumberFormat="1" applyFont="1" applyFill="1" applyBorder="1" applyAlignment="1" applyProtection="1">
      <alignment horizontal="center"/>
    </xf>
    <xf numFmtId="9" fontId="30" fillId="34" borderId="20" xfId="20" applyNumberFormat="1" applyFont="1" applyFill="1" applyBorder="1" applyAlignment="1" applyProtection="1">
      <alignment horizontal="center"/>
    </xf>
    <xf numFmtId="9" fontId="30" fillId="34" borderId="19" xfId="20" applyNumberFormat="1" applyFont="1" applyFill="1" applyBorder="1" applyAlignment="1" applyProtection="1">
      <alignment horizontal="center"/>
    </xf>
    <xf numFmtId="167" fontId="32" fillId="34" borderId="15" xfId="20" applyNumberFormat="1" applyFont="1" applyFill="1" applyBorder="1" applyAlignment="1" applyProtection="1">
      <alignment horizontal="center"/>
    </xf>
    <xf numFmtId="167" fontId="30" fillId="34" borderId="0" xfId="20" applyNumberFormat="1" applyFont="1" applyFill="1" applyBorder="1" applyAlignment="1" applyProtection="1">
      <alignment horizontal="center"/>
    </xf>
    <xf numFmtId="0" fontId="30" fillId="34" borderId="19" xfId="20" applyFont="1" applyFill="1" applyBorder="1" applyAlignment="1">
      <alignment horizontal="center"/>
    </xf>
    <xf numFmtId="167" fontId="32" fillId="34" borderId="24" xfId="20" applyNumberFormat="1" applyFont="1" applyFill="1" applyBorder="1" applyAlignment="1" applyProtection="1">
      <alignment horizontal="center"/>
    </xf>
    <xf numFmtId="167" fontId="32" fillId="34" borderId="16" xfId="20" applyNumberFormat="1" applyFont="1" applyFill="1" applyBorder="1" applyAlignment="1" applyProtection="1">
      <alignment horizontal="center"/>
    </xf>
    <xf numFmtId="9" fontId="32" fillId="34" borderId="0" xfId="20" applyNumberFormat="1" applyFont="1" applyFill="1" applyBorder="1" applyAlignment="1">
      <alignment horizontal="center"/>
    </xf>
    <xf numFmtId="3" fontId="32" fillId="34" borderId="15" xfId="20" applyNumberFormat="1" applyFont="1" applyFill="1" applyBorder="1" applyAlignment="1" applyProtection="1">
      <alignment horizontal="center"/>
    </xf>
    <xf numFmtId="9" fontId="30" fillId="34" borderId="18" xfId="20" applyNumberFormat="1" applyFont="1" applyFill="1" applyBorder="1" applyAlignment="1" applyProtection="1">
      <alignment horizontal="center"/>
    </xf>
    <xf numFmtId="9" fontId="30" fillId="34" borderId="17" xfId="20" applyNumberFormat="1" applyFont="1" applyFill="1" applyBorder="1" applyAlignment="1" applyProtection="1">
      <alignment horizontal="center"/>
    </xf>
    <xf numFmtId="0" fontId="32" fillId="34" borderId="23" xfId="20" applyNumberFormat="1" applyFont="1" applyFill="1" applyBorder="1" applyAlignment="1" applyProtection="1">
      <alignment horizontal="center"/>
    </xf>
    <xf numFmtId="0" fontId="30" fillId="34" borderId="22" xfId="20" applyNumberFormat="1" applyFont="1" applyFill="1" applyBorder="1" applyAlignment="1" applyProtection="1">
      <alignment horizontal="center"/>
    </xf>
    <xf numFmtId="3" fontId="30" fillId="34" borderId="22" xfId="20" applyNumberFormat="1" applyFont="1" applyFill="1" applyBorder="1" applyAlignment="1" applyProtection="1">
      <alignment horizontal="center"/>
    </xf>
    <xf numFmtId="1" fontId="30" fillId="34" borderId="22" xfId="20" applyNumberFormat="1" applyFont="1" applyFill="1" applyBorder="1" applyAlignment="1">
      <alignment horizontal="center"/>
    </xf>
    <xf numFmtId="1" fontId="30" fillId="34" borderId="21" xfId="20" applyNumberFormat="1" applyFont="1" applyFill="1" applyBorder="1" applyAlignment="1">
      <alignment horizontal="center"/>
    </xf>
    <xf numFmtId="166" fontId="32" fillId="34" borderId="0" xfId="20" applyNumberFormat="1" applyFont="1" applyFill="1" applyBorder="1" applyAlignment="1">
      <alignment horizontal="center"/>
    </xf>
    <xf numFmtId="167" fontId="32" fillId="34" borderId="0" xfId="20" applyNumberFormat="1" applyFont="1" applyFill="1" applyBorder="1" applyAlignment="1">
      <alignment horizontal="center"/>
    </xf>
    <xf numFmtId="167" fontId="30" fillId="34" borderId="19" xfId="20" applyNumberFormat="1" applyFont="1" applyFill="1" applyBorder="1" applyAlignment="1">
      <alignment horizontal="center"/>
    </xf>
    <xf numFmtId="0" fontId="32" fillId="34" borderId="20" xfId="20" applyNumberFormat="1" applyFont="1" applyFill="1" applyBorder="1" applyAlignment="1" applyProtection="1">
      <alignment horizontal="center"/>
    </xf>
    <xf numFmtId="1" fontId="32" fillId="34" borderId="0" xfId="20" applyNumberFormat="1" applyFont="1" applyFill="1" applyBorder="1" applyAlignment="1">
      <alignment horizontal="center"/>
    </xf>
    <xf numFmtId="1" fontId="30" fillId="34" borderId="19" xfId="20" applyNumberFormat="1" applyFont="1" applyFill="1" applyBorder="1" applyAlignment="1">
      <alignment horizontal="center"/>
    </xf>
    <xf numFmtId="0" fontId="32" fillId="34" borderId="20" xfId="20" applyFont="1" applyFill="1" applyBorder="1" applyAlignment="1">
      <alignment horizontal="center"/>
    </xf>
    <xf numFmtId="3" fontId="30" fillId="34" borderId="0" xfId="20" applyNumberFormat="1" applyFont="1" applyFill="1" applyBorder="1" applyAlignment="1">
      <alignment horizontal="center"/>
    </xf>
    <xf numFmtId="3" fontId="32" fillId="34" borderId="0" xfId="20" applyNumberFormat="1" applyFont="1" applyFill="1" applyBorder="1" applyAlignment="1">
      <alignment horizontal="center"/>
    </xf>
    <xf numFmtId="0" fontId="30" fillId="34" borderId="13" xfId="20" applyNumberFormat="1" applyFont="1" applyFill="1" applyBorder="1" applyAlignment="1" applyProtection="1">
      <alignment horizontal="center"/>
    </xf>
    <xf numFmtId="167" fontId="30" fillId="34" borderId="13" xfId="20" applyNumberFormat="1" applyFont="1" applyFill="1" applyBorder="1" applyAlignment="1">
      <alignment horizontal="center"/>
    </xf>
    <xf numFmtId="167" fontId="32" fillId="34" borderId="13" xfId="20" applyNumberFormat="1" applyFont="1" applyFill="1" applyBorder="1" applyAlignment="1">
      <alignment horizontal="center"/>
    </xf>
    <xf numFmtId="167" fontId="30" fillId="34" borderId="17" xfId="20" applyNumberFormat="1" applyFont="1" applyFill="1" applyBorder="1" applyAlignment="1">
      <alignment horizontal="center"/>
    </xf>
    <xf numFmtId="0" fontId="30" fillId="34" borderId="0" xfId="20" applyFont="1" applyFill="1" applyAlignment="1">
      <alignment horizontal="center"/>
    </xf>
    <xf numFmtId="10" fontId="30" fillId="34" borderId="0" xfId="20" applyNumberFormat="1" applyFont="1" applyFill="1" applyAlignment="1">
      <alignment horizontal="center"/>
    </xf>
    <xf numFmtId="10" fontId="30" fillId="34" borderId="0" xfId="20" applyNumberFormat="1" applyFont="1" applyFill="1"/>
    <xf numFmtId="0" fontId="30" fillId="34" borderId="23" xfId="20" applyFont="1" applyFill="1" applyBorder="1" applyAlignment="1">
      <alignment horizontal="center"/>
    </xf>
    <xf numFmtId="0" fontId="30" fillId="34" borderId="22" xfId="20" applyFont="1" applyFill="1" applyBorder="1" applyAlignment="1">
      <alignment horizontal="center"/>
    </xf>
    <xf numFmtId="0" fontId="30" fillId="34" borderId="22" xfId="20" applyFont="1" applyFill="1" applyBorder="1" applyAlignment="1"/>
    <xf numFmtId="0" fontId="30" fillId="34" borderId="0" xfId="20" applyFont="1" applyFill="1" applyBorder="1" applyAlignment="1"/>
    <xf numFmtId="0" fontId="30" fillId="34" borderId="22" xfId="20" applyFont="1" applyFill="1" applyBorder="1" applyAlignment="1">
      <alignment horizontal="center" vertical="center"/>
    </xf>
    <xf numFmtId="0" fontId="30" fillId="34" borderId="21" xfId="20" applyFont="1" applyFill="1" applyBorder="1" applyAlignment="1">
      <alignment horizontal="center" vertical="center"/>
    </xf>
    <xf numFmtId="0" fontId="28" fillId="34" borderId="18" xfId="20" applyFont="1" applyFill="1" applyBorder="1" applyAlignment="1">
      <alignment horizontal="center"/>
    </xf>
    <xf numFmtId="0" fontId="30" fillId="34" borderId="13" xfId="20" applyFont="1" applyFill="1" applyBorder="1" applyAlignment="1">
      <alignment horizontal="center"/>
    </xf>
    <xf numFmtId="0" fontId="34" fillId="34" borderId="13" xfId="20" applyFont="1" applyFill="1" applyBorder="1" applyAlignment="1">
      <alignment horizontal="center"/>
    </xf>
    <xf numFmtId="0" fontId="34" fillId="34" borderId="13" xfId="20" applyFont="1" applyFill="1" applyBorder="1"/>
    <xf numFmtId="10" fontId="30" fillId="34" borderId="0" xfId="20" applyNumberFormat="1" applyFont="1" applyFill="1" applyBorder="1" applyAlignment="1">
      <alignment horizontal="center"/>
    </xf>
    <xf numFmtId="14" fontId="30" fillId="34" borderId="20" xfId="20" applyNumberFormat="1" applyFont="1" applyFill="1" applyBorder="1" applyAlignment="1">
      <alignment horizontal="left"/>
    </xf>
    <xf numFmtId="14" fontId="30" fillId="34" borderId="0" xfId="20" applyNumberFormat="1" applyFont="1" applyFill="1" applyBorder="1" applyAlignment="1">
      <alignment horizontal="center"/>
    </xf>
    <xf numFmtId="166" fontId="30" fillId="34" borderId="0" xfId="20" applyNumberFormat="1" applyFont="1" applyFill="1" applyBorder="1" applyAlignment="1">
      <alignment horizontal="center"/>
    </xf>
    <xf numFmtId="14" fontId="30" fillId="34" borderId="0" xfId="20" applyNumberFormat="1" applyFont="1" applyFill="1" applyAlignment="1">
      <alignment horizontal="center"/>
    </xf>
    <xf numFmtId="166" fontId="30" fillId="34" borderId="0" xfId="20" applyNumberFormat="1" applyFont="1" applyFill="1" applyAlignment="1">
      <alignment horizontal="center"/>
    </xf>
    <xf numFmtId="10" fontId="25" fillId="13" borderId="24" xfId="20" applyNumberFormat="1" applyFont="1" applyBorder="1" applyAlignment="1">
      <alignment horizontal="center"/>
    </xf>
    <xf numFmtId="2" fontId="25" fillId="13" borderId="16" xfId="20" applyNumberFormat="1" applyFont="1" applyBorder="1" applyAlignment="1">
      <alignment horizontal="center"/>
    </xf>
    <xf numFmtId="0" fontId="30" fillId="34" borderId="0" xfId="20" applyFont="1" applyFill="1" applyBorder="1" applyAlignment="1">
      <alignment horizontal="center"/>
    </xf>
    <xf numFmtId="0" fontId="32" fillId="34" borderId="23" xfId="20" applyFont="1" applyFill="1" applyBorder="1"/>
    <xf numFmtId="166" fontId="32" fillId="34" borderId="21" xfId="20" applyNumberFormat="1" applyFont="1" applyFill="1" applyBorder="1"/>
    <xf numFmtId="0" fontId="32" fillId="34" borderId="18" xfId="20" applyFont="1" applyFill="1" applyBorder="1"/>
    <xf numFmtId="0" fontId="30" fillId="34" borderId="61" xfId="20" applyFont="1" applyFill="1" applyBorder="1"/>
    <xf numFmtId="167" fontId="30" fillId="34" borderId="62" xfId="20" applyNumberFormat="1" applyFont="1" applyFill="1" applyBorder="1" applyAlignment="1">
      <alignment horizontal="center"/>
    </xf>
    <xf numFmtId="167" fontId="30" fillId="34" borderId="63" xfId="20" applyNumberFormat="1" applyFont="1" applyFill="1" applyBorder="1" applyAlignment="1">
      <alignment horizontal="center"/>
    </xf>
    <xf numFmtId="10" fontId="30" fillId="34" borderId="0" xfId="45" applyNumberFormat="1" applyFont="1" applyFill="1" applyAlignment="1">
      <alignment horizontal="center"/>
    </xf>
    <xf numFmtId="0" fontId="30" fillId="34" borderId="69" xfId="20" applyFont="1" applyFill="1" applyBorder="1" applyAlignment="1">
      <alignment horizontal="center"/>
    </xf>
    <xf numFmtId="167" fontId="30" fillId="34" borderId="69" xfId="20" applyNumberFormat="1" applyFont="1" applyFill="1" applyBorder="1" applyAlignment="1" applyProtection="1">
      <alignment horizontal="center"/>
    </xf>
    <xf numFmtId="9" fontId="30" fillId="34" borderId="69" xfId="20" applyNumberFormat="1" applyFont="1" applyFill="1" applyBorder="1" applyAlignment="1" applyProtection="1">
      <alignment horizontal="center"/>
    </xf>
    <xf numFmtId="9" fontId="30" fillId="34" borderId="69" xfId="20" applyNumberFormat="1" applyFont="1" applyFill="1" applyBorder="1" applyAlignment="1">
      <alignment horizontal="center"/>
    </xf>
    <xf numFmtId="167" fontId="30" fillId="34" borderId="69" xfId="20" applyNumberFormat="1" applyFont="1" applyFill="1" applyBorder="1" applyAlignment="1">
      <alignment horizontal="center"/>
    </xf>
    <xf numFmtId="1" fontId="30" fillId="34" borderId="69" xfId="20" applyNumberFormat="1" applyFont="1" applyFill="1" applyBorder="1" applyAlignment="1">
      <alignment horizontal="center"/>
    </xf>
    <xf numFmtId="1" fontId="30" fillId="34" borderId="70" xfId="20" applyNumberFormat="1" applyFont="1" applyFill="1" applyBorder="1" applyAlignment="1">
      <alignment horizontal="center"/>
    </xf>
    <xf numFmtId="167" fontId="30" fillId="34" borderId="71" xfId="20" applyNumberFormat="1" applyFont="1" applyFill="1" applyBorder="1" applyAlignment="1">
      <alignment horizontal="center"/>
    </xf>
    <xf numFmtId="0" fontId="30" fillId="34" borderId="20" xfId="20" applyFont="1" applyFill="1" applyBorder="1" applyAlignment="1">
      <alignment horizontal="center"/>
    </xf>
    <xf numFmtId="0" fontId="30" fillId="34" borderId="0" xfId="20" applyFont="1" applyFill="1" applyBorder="1" applyAlignment="1">
      <alignment horizontal="center"/>
    </xf>
    <xf numFmtId="0" fontId="30" fillId="34" borderId="19" xfId="20" applyFont="1" applyFill="1" applyBorder="1" applyAlignment="1">
      <alignment horizontal="center"/>
    </xf>
    <xf numFmtId="0" fontId="32" fillId="34" borderId="16" xfId="20" applyFont="1" applyFill="1" applyBorder="1" applyAlignment="1">
      <alignment horizontal="center" vertical="center"/>
    </xf>
    <xf numFmtId="2" fontId="30" fillId="34" borderId="0" xfId="46" applyNumberFormat="1" applyFont="1" applyFill="1" applyBorder="1" applyAlignment="1">
      <alignment horizontal="center"/>
    </xf>
    <xf numFmtId="0" fontId="32" fillId="34" borderId="23" xfId="20" applyFont="1" applyFill="1" applyBorder="1" applyAlignment="1">
      <alignment horizontal="left"/>
    </xf>
    <xf numFmtId="10" fontId="32" fillId="34" borderId="0" xfId="20" applyNumberFormat="1" applyFont="1" applyFill="1" applyBorder="1" applyAlignment="1">
      <alignment horizontal="center"/>
    </xf>
    <xf numFmtId="0" fontId="32" fillId="34" borderId="0" xfId="20" applyNumberFormat="1" applyFont="1" applyFill="1" applyBorder="1"/>
    <xf numFmtId="10" fontId="32" fillId="34" borderId="0" xfId="20" applyNumberFormat="1" applyFont="1" applyFill="1" applyBorder="1"/>
    <xf numFmtId="0" fontId="32" fillId="34" borderId="20" xfId="20" applyNumberFormat="1" applyFont="1" applyFill="1" applyBorder="1" applyAlignment="1" applyProtection="1"/>
    <xf numFmtId="0" fontId="32" fillId="34" borderId="23" xfId="20" applyNumberFormat="1" applyFont="1" applyFill="1" applyBorder="1" applyAlignment="1" applyProtection="1"/>
    <xf numFmtId="2" fontId="32" fillId="34" borderId="0" xfId="20" applyNumberFormat="1" applyFont="1" applyFill="1" applyBorder="1" applyAlignment="1">
      <alignment horizontal="center"/>
    </xf>
    <xf numFmtId="10" fontId="30" fillId="35" borderId="0" xfId="20" applyNumberFormat="1" applyFont="1" applyFill="1" applyBorder="1" applyAlignment="1">
      <alignment horizontal="center"/>
    </xf>
    <xf numFmtId="4" fontId="30" fillId="34" borderId="0" xfId="20" applyNumberFormat="1" applyFont="1" applyFill="1" applyBorder="1" applyAlignment="1">
      <alignment horizontal="center"/>
    </xf>
    <xf numFmtId="0" fontId="30" fillId="37" borderId="0" xfId="20" applyFont="1" applyFill="1" applyBorder="1" applyAlignment="1">
      <alignment horizontal="center"/>
    </xf>
    <xf numFmtId="0" fontId="30" fillId="38" borderId="0" xfId="20" applyFont="1" applyFill="1" applyBorder="1" applyAlignment="1">
      <alignment horizontal="center"/>
    </xf>
    <xf numFmtId="0" fontId="30" fillId="39" borderId="0" xfId="20" applyFont="1" applyFill="1" applyBorder="1" applyAlignment="1">
      <alignment horizontal="center"/>
    </xf>
    <xf numFmtId="10" fontId="32" fillId="35" borderId="0" xfId="20" applyNumberFormat="1" applyFont="1" applyFill="1" applyBorder="1" applyAlignment="1">
      <alignment horizontal="center"/>
    </xf>
    <xf numFmtId="0" fontId="32" fillId="40" borderId="0" xfId="20" applyFont="1" applyFill="1" applyBorder="1" applyAlignment="1">
      <alignment horizontal="center"/>
    </xf>
    <xf numFmtId="0" fontId="30" fillId="40" borderId="0" xfId="20" applyFont="1" applyFill="1" applyBorder="1" applyAlignment="1">
      <alignment horizontal="center"/>
    </xf>
    <xf numFmtId="0" fontId="30" fillId="40" borderId="69" xfId="20" applyFont="1" applyFill="1" applyBorder="1" applyAlignment="1">
      <alignment horizontal="center"/>
    </xf>
    <xf numFmtId="166" fontId="30" fillId="34" borderId="69" xfId="20" applyNumberFormat="1" applyFont="1" applyFill="1" applyBorder="1" applyAlignment="1">
      <alignment horizontal="center"/>
    </xf>
    <xf numFmtId="164" fontId="30" fillId="34" borderId="28" xfId="20" applyNumberFormat="1" applyFont="1" applyFill="1" applyBorder="1" applyAlignment="1" applyProtection="1">
      <alignment horizontal="center"/>
    </xf>
    <xf numFmtId="4" fontId="38" fillId="0" borderId="0" xfId="0" applyNumberFormat="1" applyFont="1"/>
    <xf numFmtId="164" fontId="25" fillId="34" borderId="0" xfId="20" applyNumberFormat="1" applyFont="1" applyFill="1" applyBorder="1" applyAlignment="1" applyProtection="1">
      <alignment horizontal="center"/>
    </xf>
    <xf numFmtId="167" fontId="39" fillId="34" borderId="24" xfId="20" applyNumberFormat="1" applyFont="1" applyFill="1" applyBorder="1" applyAlignment="1" applyProtection="1">
      <alignment horizontal="center"/>
    </xf>
    <xf numFmtId="9" fontId="25" fillId="34" borderId="69" xfId="20" applyNumberFormat="1" applyFont="1" applyFill="1" applyBorder="1" applyAlignment="1">
      <alignment horizontal="center"/>
    </xf>
    <xf numFmtId="0" fontId="40" fillId="0" borderId="0" xfId="53" applyFont="1"/>
    <xf numFmtId="0" fontId="40" fillId="0" borderId="0" xfId="53" applyFont="1" applyBorder="1"/>
    <xf numFmtId="0" fontId="41" fillId="0" borderId="74" xfId="53" applyFont="1" applyBorder="1"/>
    <xf numFmtId="0" fontId="41" fillId="0" borderId="0" xfId="53" applyFont="1" applyBorder="1"/>
    <xf numFmtId="0" fontId="41" fillId="0" borderId="69" xfId="53" applyFont="1" applyBorder="1"/>
    <xf numFmtId="0" fontId="43" fillId="34" borderId="0" xfId="53" applyFont="1" applyFill="1" applyBorder="1" applyAlignment="1"/>
    <xf numFmtId="0" fontId="40" fillId="0" borderId="31" xfId="53" applyFont="1" applyBorder="1"/>
    <xf numFmtId="0" fontId="40" fillId="0" borderId="75" xfId="53" applyFont="1" applyBorder="1"/>
    <xf numFmtId="0" fontId="41" fillId="34" borderId="0" xfId="53" applyFont="1" applyFill="1" applyBorder="1"/>
    <xf numFmtId="0" fontId="40" fillId="34" borderId="0" xfId="53" applyFont="1" applyFill="1" applyBorder="1" applyAlignment="1"/>
    <xf numFmtId="0" fontId="40" fillId="34" borderId="0" xfId="53" applyFont="1" applyFill="1" applyBorder="1" applyAlignment="1">
      <alignment vertical="center"/>
    </xf>
    <xf numFmtId="0" fontId="31" fillId="34" borderId="0" xfId="53" applyFont="1" applyFill="1" applyBorder="1"/>
    <xf numFmtId="0" fontId="30" fillId="34" borderId="0" xfId="53" applyFont="1" applyFill="1" applyBorder="1" applyAlignment="1"/>
    <xf numFmtId="0" fontId="30" fillId="34" borderId="0" xfId="53" applyFont="1" applyFill="1" applyBorder="1" applyAlignment="1">
      <alignment vertical="center"/>
    </xf>
    <xf numFmtId="0" fontId="41" fillId="34" borderId="0" xfId="53" applyFont="1" applyFill="1" applyBorder="1" applyAlignment="1"/>
    <xf numFmtId="0" fontId="44" fillId="0" borderId="0" xfId="54"/>
    <xf numFmtId="0" fontId="45" fillId="0" borderId="74" xfId="53" applyFont="1" applyBorder="1" applyAlignment="1">
      <alignment horizontal="left" indent="1"/>
    </xf>
    <xf numFmtId="0" fontId="45" fillId="0" borderId="69" xfId="53" applyFont="1" applyBorder="1" applyAlignment="1">
      <alignment horizontal="left" indent="1"/>
    </xf>
    <xf numFmtId="0" fontId="31" fillId="0" borderId="0" xfId="53" applyFont="1" applyBorder="1"/>
    <xf numFmtId="0" fontId="31" fillId="0" borderId="0" xfId="53" applyFont="1" applyBorder="1" applyAlignment="1">
      <alignment horizontal="left" indent="7"/>
    </xf>
    <xf numFmtId="10" fontId="41" fillId="0" borderId="0" xfId="53" applyNumberFormat="1" applyFont="1" applyBorder="1" applyAlignment="1">
      <alignment horizontal="right"/>
    </xf>
    <xf numFmtId="2" fontId="41" fillId="0" borderId="0" xfId="53" applyNumberFormat="1" applyFont="1" applyBorder="1" applyAlignment="1">
      <alignment horizontal="right"/>
    </xf>
    <xf numFmtId="0" fontId="45" fillId="0" borderId="0" xfId="53" applyFont="1" applyBorder="1" applyAlignment="1">
      <alignment horizontal="center"/>
    </xf>
    <xf numFmtId="0" fontId="45" fillId="0" borderId="69" xfId="53" applyFont="1" applyBorder="1" applyAlignment="1">
      <alignment horizontal="center"/>
    </xf>
    <xf numFmtId="0" fontId="41" fillId="0" borderId="30" xfId="53" applyFont="1" applyBorder="1"/>
    <xf numFmtId="0" fontId="41" fillId="0" borderId="77" xfId="53" applyFont="1" applyBorder="1"/>
    <xf numFmtId="0" fontId="40" fillId="0" borderId="0" xfId="53" applyFont="1" applyBorder="1" applyAlignment="1">
      <alignment vertical="center"/>
    </xf>
    <xf numFmtId="0" fontId="40" fillId="0" borderId="0" xfId="53" applyFont="1" applyBorder="1" applyAlignment="1"/>
    <xf numFmtId="0" fontId="34" fillId="34" borderId="13" xfId="20" applyFont="1" applyFill="1" applyBorder="1" applyAlignment="1"/>
    <xf numFmtId="10" fontId="25" fillId="34" borderId="0" xfId="20" applyNumberFormat="1" applyFont="1" applyFill="1" applyBorder="1" applyAlignment="1">
      <alignment horizontal="center"/>
    </xf>
    <xf numFmtId="2" fontId="25" fillId="34" borderId="0" xfId="20" applyNumberFormat="1" applyFont="1" applyFill="1" applyBorder="1" applyAlignment="1">
      <alignment horizontal="center"/>
    </xf>
    <xf numFmtId="166" fontId="40" fillId="0" borderId="0" xfId="0" applyNumberFormat="1" applyFont="1" applyAlignment="1">
      <alignment horizontal="center"/>
    </xf>
    <xf numFmtId="166" fontId="41" fillId="0" borderId="0" xfId="53" applyNumberFormat="1" applyFont="1" applyBorder="1"/>
    <xf numFmtId="9" fontId="41" fillId="0" borderId="0" xfId="53" applyNumberFormat="1" applyFont="1" applyBorder="1"/>
    <xf numFmtId="0" fontId="41" fillId="0" borderId="74" xfId="53" applyFont="1" applyBorder="1" applyAlignment="1"/>
    <xf numFmtId="0" fontId="40" fillId="0" borderId="76" xfId="53" applyFont="1" applyBorder="1"/>
    <xf numFmtId="0" fontId="27" fillId="0" borderId="0" xfId="0" applyFont="1" applyAlignment="1">
      <alignment wrapText="1"/>
    </xf>
    <xf numFmtId="169" fontId="30" fillId="34" borderId="0" xfId="20" applyNumberFormat="1" applyFont="1" applyFill="1" applyBorder="1"/>
    <xf numFmtId="0" fontId="47" fillId="0" borderId="0" xfId="54" applyFont="1" applyBorder="1"/>
    <xf numFmtId="0" fontId="40" fillId="0" borderId="30" xfId="53" applyFont="1" applyBorder="1"/>
    <xf numFmtId="167" fontId="41" fillId="0" borderId="0" xfId="53" applyNumberFormat="1" applyFont="1" applyBorder="1" applyAlignment="1">
      <alignment horizontal="right"/>
    </xf>
    <xf numFmtId="166" fontId="41" fillId="0" borderId="0" xfId="53" applyNumberFormat="1" applyFont="1" applyBorder="1" applyAlignment="1"/>
    <xf numFmtId="0" fontId="31" fillId="0" borderId="69" xfId="0" applyFont="1" applyBorder="1" applyAlignment="1">
      <alignment horizontal="center" vertical="center" wrapText="1"/>
    </xf>
    <xf numFmtId="0" fontId="31" fillId="0" borderId="0" xfId="0" applyFont="1" applyBorder="1" applyAlignment="1">
      <alignment horizontal="center" vertical="center" wrapText="1"/>
    </xf>
    <xf numFmtId="0" fontId="31" fillId="0" borderId="75" xfId="0" applyFont="1" applyBorder="1" applyAlignment="1">
      <alignment horizontal="center" vertical="center" wrapText="1"/>
    </xf>
    <xf numFmtId="0" fontId="40" fillId="0" borderId="74" xfId="53" applyFont="1" applyBorder="1"/>
    <xf numFmtId="0" fontId="40" fillId="0" borderId="73" xfId="53" applyFont="1" applyBorder="1"/>
    <xf numFmtId="0" fontId="30" fillId="34" borderId="0" xfId="20" applyFont="1" applyFill="1" applyBorder="1" applyAlignment="1">
      <alignment horizontal="center"/>
    </xf>
    <xf numFmtId="0" fontId="41" fillId="0" borderId="31" xfId="53" applyFont="1" applyBorder="1"/>
    <xf numFmtId="0" fontId="41" fillId="0" borderId="31" xfId="53" applyFont="1" applyBorder="1" applyAlignment="1"/>
    <xf numFmtId="0" fontId="45" fillId="0" borderId="31" xfId="53" applyFont="1" applyBorder="1" applyAlignment="1">
      <alignment horizontal="left" indent="1"/>
    </xf>
    <xf numFmtId="0" fontId="45" fillId="0" borderId="0" xfId="53" applyFont="1" applyBorder="1" applyAlignment="1">
      <alignment horizontal="left" indent="1"/>
    </xf>
    <xf numFmtId="166" fontId="41" fillId="0" borderId="75" xfId="58" applyNumberFormat="1" applyFont="1" applyBorder="1" applyAlignment="1">
      <alignment horizontal="right"/>
    </xf>
    <xf numFmtId="2" fontId="41" fillId="0" borderId="75" xfId="53" applyNumberFormat="1" applyFont="1" applyBorder="1" applyAlignment="1">
      <alignment horizontal="right"/>
    </xf>
    <xf numFmtId="10" fontId="41" fillId="0" borderId="75" xfId="53" applyNumberFormat="1" applyFont="1" applyBorder="1" applyAlignment="1">
      <alignment horizontal="right"/>
    </xf>
    <xf numFmtId="166" fontId="41" fillId="0" borderId="75" xfId="57" applyNumberFormat="1" applyFont="1" applyBorder="1" applyAlignment="1">
      <alignment horizontal="right"/>
    </xf>
    <xf numFmtId="9" fontId="41" fillId="0" borderId="75" xfId="56" applyNumberFormat="1" applyFont="1" applyBorder="1" applyAlignment="1">
      <alignment horizontal="right"/>
    </xf>
    <xf numFmtId="9" fontId="41" fillId="0" borderId="75" xfId="55" applyFont="1" applyBorder="1" applyAlignment="1">
      <alignment horizontal="right"/>
    </xf>
    <xf numFmtId="166" fontId="41" fillId="0" borderId="75" xfId="55" applyNumberFormat="1" applyFont="1" applyBorder="1" applyAlignment="1">
      <alignment horizontal="right"/>
    </xf>
    <xf numFmtId="0" fontId="44" fillId="0" borderId="75" xfId="54" applyBorder="1"/>
    <xf numFmtId="0" fontId="27" fillId="0" borderId="69" xfId="0" applyFont="1" applyBorder="1" applyAlignment="1">
      <alignment wrapText="1"/>
    </xf>
    <xf numFmtId="0" fontId="40" fillId="0" borderId="69" xfId="53" applyFont="1" applyBorder="1"/>
    <xf numFmtId="0" fontId="3" fillId="0" borderId="69" xfId="44" applyBorder="1"/>
    <xf numFmtId="0" fontId="3" fillId="0" borderId="0" xfId="44" applyBorder="1"/>
    <xf numFmtId="0" fontId="3" fillId="0" borderId="75" xfId="44" applyBorder="1"/>
    <xf numFmtId="3" fontId="32" fillId="34" borderId="14" xfId="20" applyNumberFormat="1" applyFont="1" applyFill="1" applyBorder="1" applyAlignment="1" applyProtection="1">
      <alignment horizontal="center"/>
    </xf>
    <xf numFmtId="0" fontId="30" fillId="34" borderId="18" xfId="20" applyNumberFormat="1" applyFont="1" applyFill="1" applyBorder="1" applyAlignment="1" applyProtection="1">
      <alignment horizontal="center"/>
    </xf>
    <xf numFmtId="0" fontId="3" fillId="0" borderId="69" xfId="44" applyBorder="1" applyAlignment="1"/>
    <xf numFmtId="0" fontId="3" fillId="0" borderId="0" xfId="44" applyBorder="1" applyAlignment="1"/>
    <xf numFmtId="0" fontId="3" fillId="0" borderId="75" xfId="44" applyBorder="1" applyAlignment="1"/>
    <xf numFmtId="0" fontId="3" fillId="0" borderId="69" xfId="44" applyBorder="1" applyAlignment="1">
      <alignment horizontal="center"/>
    </xf>
    <xf numFmtId="0" fontId="31" fillId="0" borderId="69" xfId="0" applyFont="1" applyBorder="1" applyAlignment="1">
      <alignment vertical="center" wrapText="1"/>
    </xf>
    <xf numFmtId="0" fontId="31" fillId="0" borderId="0" xfId="0" applyFont="1" applyBorder="1" applyAlignment="1">
      <alignment vertical="center" wrapText="1"/>
    </xf>
    <xf numFmtId="0" fontId="31" fillId="0" borderId="75" xfId="0" applyFont="1" applyBorder="1" applyAlignment="1">
      <alignment vertical="center" wrapText="1"/>
    </xf>
    <xf numFmtId="0" fontId="53" fillId="0" borderId="0" xfId="54" applyFont="1"/>
    <xf numFmtId="0" fontId="53" fillId="0" borderId="13" xfId="54" applyFont="1" applyBorder="1"/>
    <xf numFmtId="0" fontId="30" fillId="34" borderId="20" xfId="20" applyFont="1" applyFill="1" applyBorder="1" applyAlignment="1">
      <alignment horizontal="center"/>
    </xf>
    <xf numFmtId="0" fontId="30" fillId="34" borderId="0" xfId="20" applyFont="1" applyFill="1" applyBorder="1" applyAlignment="1">
      <alignment horizontal="center"/>
    </xf>
    <xf numFmtId="9" fontId="45" fillId="0" borderId="31" xfId="53" applyNumberFormat="1" applyFont="1" applyBorder="1" applyAlignment="1">
      <alignment horizontal="center" vertical="center"/>
    </xf>
    <xf numFmtId="9" fontId="45" fillId="0" borderId="0" xfId="45" applyFont="1" applyBorder="1" applyAlignment="1">
      <alignment horizontal="center" vertical="center"/>
    </xf>
    <xf numFmtId="0" fontId="42" fillId="0" borderId="31" xfId="53" applyFont="1" applyBorder="1" applyAlignment="1">
      <alignment horizontal="center"/>
    </xf>
    <xf numFmtId="182" fontId="42" fillId="0" borderId="51" xfId="53" applyNumberFormat="1" applyFont="1" applyBorder="1" applyAlignment="1">
      <alignment horizontal="center"/>
    </xf>
    <xf numFmtId="181" fontId="42" fillId="0" borderId="31" xfId="53" applyNumberFormat="1" applyFont="1" applyBorder="1" applyAlignment="1">
      <alignment horizontal="center"/>
    </xf>
    <xf numFmtId="0" fontId="53" fillId="0" borderId="31" xfId="53" applyFont="1" applyBorder="1" applyAlignment="1">
      <alignment horizontal="center"/>
    </xf>
    <xf numFmtId="0" fontId="53" fillId="0" borderId="73" xfId="53" applyFont="1" applyBorder="1" applyAlignment="1">
      <alignment horizontal="center"/>
    </xf>
    <xf numFmtId="0" fontId="54" fillId="34" borderId="0" xfId="20" applyFont="1" applyFill="1" applyBorder="1" applyAlignment="1"/>
    <xf numFmtId="0" fontId="0" fillId="0" borderId="0" xfId="0" pivotButton="1"/>
    <xf numFmtId="0" fontId="0" fillId="0" borderId="0" xfId="0" applyAlignment="1">
      <alignment horizontal="left" indent="1"/>
    </xf>
    <xf numFmtId="0" fontId="0" fillId="0" borderId="0" xfId="0" applyNumberFormat="1"/>
    <xf numFmtId="0" fontId="0" fillId="42" borderId="0" xfId="0" applyFill="1"/>
    <xf numFmtId="0" fontId="18" fillId="42" borderId="0" xfId="0" applyFont="1" applyFill="1" applyAlignment="1">
      <alignment horizontal="center"/>
    </xf>
    <xf numFmtId="0" fontId="0" fillId="42" borderId="0" xfId="0" applyFill="1" applyAlignment="1">
      <alignment horizontal="center"/>
    </xf>
    <xf numFmtId="8" fontId="0" fillId="42" borderId="0" xfId="0" applyNumberFormat="1" applyFill="1" applyAlignment="1">
      <alignment horizontal="center"/>
    </xf>
    <xf numFmtId="10" fontId="0" fillId="42" borderId="0" xfId="0" applyNumberFormat="1" applyFill="1" applyAlignment="1">
      <alignment horizontal="center"/>
    </xf>
    <xf numFmtId="174" fontId="41" fillId="0" borderId="0" xfId="53" applyNumberFormat="1" applyFont="1" applyBorder="1" applyAlignment="1">
      <alignment horizontal="center" vertical="center"/>
    </xf>
    <xf numFmtId="174" fontId="41" fillId="0" borderId="42" xfId="53" applyNumberFormat="1" applyFont="1" applyBorder="1" applyAlignment="1">
      <alignment horizontal="center" vertical="center"/>
    </xf>
    <xf numFmtId="174" fontId="41" fillId="0" borderId="75" xfId="53" applyNumberFormat="1" applyFont="1" applyBorder="1" applyAlignment="1">
      <alignment horizontal="center" vertical="center"/>
    </xf>
    <xf numFmtId="174" fontId="41" fillId="0" borderId="19" xfId="53" applyNumberFormat="1" applyFont="1" applyBorder="1" applyAlignment="1">
      <alignment horizontal="center" vertical="center"/>
    </xf>
    <xf numFmtId="174" fontId="41" fillId="0" borderId="31" xfId="53" applyNumberFormat="1" applyFont="1" applyBorder="1" applyAlignment="1">
      <alignment horizontal="right"/>
    </xf>
    <xf numFmtId="184" fontId="41" fillId="0" borderId="30" xfId="45" applyNumberFormat="1" applyFont="1" applyBorder="1" applyAlignment="1">
      <alignment horizontal="right"/>
    </xf>
    <xf numFmtId="184" fontId="41" fillId="0" borderId="0" xfId="45" applyNumberFormat="1" applyFont="1" applyBorder="1" applyAlignment="1">
      <alignment horizontal="right"/>
    </xf>
    <xf numFmtId="184" fontId="41" fillId="0" borderId="31" xfId="45" applyNumberFormat="1" applyFont="1" applyBorder="1" applyAlignment="1">
      <alignment horizontal="right"/>
    </xf>
    <xf numFmtId="174" fontId="41" fillId="0" borderId="0" xfId="53" applyNumberFormat="1" applyFont="1" applyBorder="1" applyAlignment="1">
      <alignment horizontal="right"/>
    </xf>
    <xf numFmtId="167" fontId="30" fillId="0" borderId="0" xfId="54" applyNumberFormat="1" applyFont="1" applyAlignment="1">
      <alignment horizontal="center"/>
    </xf>
    <xf numFmtId="167" fontId="53" fillId="0" borderId="0" xfId="54" applyNumberFormat="1" applyFont="1" applyAlignment="1">
      <alignment horizontal="center"/>
    </xf>
    <xf numFmtId="183" fontId="40" fillId="0" borderId="0" xfId="54" applyNumberFormat="1" applyFont="1" applyAlignment="1">
      <alignment horizontal="center"/>
    </xf>
    <xf numFmtId="0" fontId="40" fillId="0" borderId="0" xfId="54" applyFont="1"/>
    <xf numFmtId="0" fontId="40" fillId="0" borderId="13" xfId="54" applyFont="1" applyBorder="1"/>
    <xf numFmtId="0" fontId="53" fillId="0" borderId="0" xfId="54" applyFont="1" applyAlignment="1">
      <alignment horizontal="center"/>
    </xf>
    <xf numFmtId="0" fontId="40" fillId="0" borderId="0" xfId="54" applyFont="1" applyAlignment="1">
      <alignment horizontal="center"/>
    </xf>
    <xf numFmtId="2" fontId="40" fillId="0" borderId="0" xfId="54" applyNumberFormat="1" applyFont="1" applyAlignment="1">
      <alignment horizontal="center"/>
    </xf>
    <xf numFmtId="183" fontId="25" fillId="41" borderId="0" xfId="54" applyNumberFormat="1" applyFont="1" applyFill="1" applyAlignment="1">
      <alignment horizontal="center"/>
    </xf>
    <xf numFmtId="169" fontId="30" fillId="0" borderId="0" xfId="54" applyNumberFormat="1" applyFont="1" applyAlignment="1">
      <alignment horizontal="center"/>
    </xf>
    <xf numFmtId="167" fontId="32" fillId="0" borderId="0" xfId="54" applyNumberFormat="1" applyFont="1" applyAlignment="1">
      <alignment horizontal="center"/>
    </xf>
    <xf numFmtId="9" fontId="55" fillId="0" borderId="31" xfId="53" applyNumberFormat="1" applyFont="1" applyBorder="1" applyAlignment="1">
      <alignment horizontal="center" vertical="center"/>
    </xf>
    <xf numFmtId="9" fontId="55" fillId="0" borderId="44" xfId="53" applyNumberFormat="1" applyFont="1" applyBorder="1" applyAlignment="1">
      <alignment horizontal="center" vertical="center"/>
    </xf>
    <xf numFmtId="9" fontId="55" fillId="0" borderId="31" xfId="56" applyNumberFormat="1" applyFont="1" applyBorder="1" applyAlignment="1">
      <alignment horizontal="center" vertical="center"/>
    </xf>
    <xf numFmtId="9" fontId="55" fillId="0" borderId="73" xfId="56" applyNumberFormat="1" applyFont="1" applyBorder="1" applyAlignment="1">
      <alignment horizontal="center" vertical="center"/>
    </xf>
    <xf numFmtId="9" fontId="45" fillId="0" borderId="19" xfId="45" applyFont="1" applyBorder="1" applyAlignment="1">
      <alignment horizontal="center" vertical="center"/>
    </xf>
    <xf numFmtId="9" fontId="55" fillId="0" borderId="0" xfId="55" applyFont="1" applyBorder="1" applyAlignment="1">
      <alignment horizontal="center" vertical="center"/>
    </xf>
    <xf numFmtId="9" fontId="55" fillId="0" borderId="75" xfId="55" applyFont="1" applyBorder="1" applyAlignment="1">
      <alignment horizontal="center" vertical="center"/>
    </xf>
    <xf numFmtId="9" fontId="45" fillId="0" borderId="44" xfId="45" applyFont="1" applyBorder="1" applyAlignment="1">
      <alignment horizontal="center" vertical="center"/>
    </xf>
    <xf numFmtId="9" fontId="45" fillId="0" borderId="31" xfId="45" applyFont="1" applyBorder="1" applyAlignment="1">
      <alignment horizontal="center" vertical="center"/>
    </xf>
    <xf numFmtId="9" fontId="55" fillId="0" borderId="31" xfId="55" applyFont="1" applyBorder="1" applyAlignment="1">
      <alignment horizontal="center" vertical="center"/>
    </xf>
    <xf numFmtId="9" fontId="55" fillId="0" borderId="73" xfId="55" applyFont="1" applyBorder="1" applyAlignment="1">
      <alignment horizontal="center" vertical="center"/>
    </xf>
    <xf numFmtId="9" fontId="55" fillId="0" borderId="0" xfId="45" applyFont="1" applyBorder="1" applyAlignment="1">
      <alignment horizontal="center" vertical="center"/>
    </xf>
    <xf numFmtId="9" fontId="55" fillId="0" borderId="19" xfId="45" applyFont="1" applyBorder="1" applyAlignment="1">
      <alignment horizontal="center" vertical="center"/>
    </xf>
    <xf numFmtId="9" fontId="55" fillId="0" borderId="44" xfId="45" applyFont="1" applyBorder="1" applyAlignment="1">
      <alignment horizontal="center" vertical="center"/>
    </xf>
    <xf numFmtId="9" fontId="55" fillId="0" borderId="31" xfId="45" applyFont="1" applyBorder="1" applyAlignment="1">
      <alignment horizontal="center" vertical="center"/>
    </xf>
    <xf numFmtId="9" fontId="55" fillId="0" borderId="0" xfId="53" applyNumberFormat="1" applyFont="1" applyBorder="1" applyAlignment="1">
      <alignment horizontal="center" vertical="center"/>
    </xf>
    <xf numFmtId="9" fontId="55" fillId="0" borderId="19" xfId="53" applyNumberFormat="1" applyFont="1" applyBorder="1" applyAlignment="1">
      <alignment horizontal="center" vertical="center"/>
    </xf>
    <xf numFmtId="0" fontId="40" fillId="0" borderId="0" xfId="53" applyFont="1" applyAlignment="1">
      <alignment vertical="center"/>
    </xf>
    <xf numFmtId="0" fontId="43" fillId="41" borderId="69" xfId="53" applyFont="1" applyFill="1" applyBorder="1" applyAlignment="1">
      <alignment vertical="center"/>
    </xf>
    <xf numFmtId="0" fontId="43" fillId="41" borderId="0" xfId="53" applyFont="1" applyFill="1" applyBorder="1" applyAlignment="1">
      <alignment vertical="center"/>
    </xf>
    <xf numFmtId="0" fontId="43" fillId="41" borderId="0" xfId="53" applyFont="1" applyFill="1" applyBorder="1" applyAlignment="1">
      <alignment horizontal="right" vertical="center"/>
    </xf>
    <xf numFmtId="0" fontId="40" fillId="41" borderId="0" xfId="53" applyFont="1" applyFill="1" applyAlignment="1">
      <alignment vertical="center"/>
    </xf>
    <xf numFmtId="0" fontId="43" fillId="41" borderId="0" xfId="53" applyFont="1" applyFill="1" applyBorder="1" applyAlignment="1">
      <alignment horizontal="fill" vertical="center"/>
    </xf>
    <xf numFmtId="0" fontId="46" fillId="41" borderId="0" xfId="53" applyFont="1" applyFill="1" applyBorder="1" applyAlignment="1">
      <alignment horizontal="fill" vertical="center"/>
    </xf>
    <xf numFmtId="0" fontId="46" fillId="41" borderId="0" xfId="53" applyFont="1" applyFill="1" applyBorder="1" applyAlignment="1">
      <alignment vertical="center"/>
    </xf>
    <xf numFmtId="0" fontId="51" fillId="34" borderId="20" xfId="20" applyNumberFormat="1" applyFont="1" applyFill="1" applyBorder="1" applyAlignment="1" applyProtection="1"/>
    <xf numFmtId="165" fontId="30" fillId="34" borderId="13" xfId="20" applyNumberFormat="1" applyFont="1" applyFill="1" applyBorder="1" applyAlignment="1" applyProtection="1">
      <alignment horizontal="center"/>
    </xf>
    <xf numFmtId="2" fontId="30" fillId="34" borderId="81" xfId="20" applyNumberFormat="1" applyFont="1" applyFill="1" applyBorder="1" applyAlignment="1" applyProtection="1">
      <alignment horizontal="center"/>
    </xf>
    <xf numFmtId="2" fontId="30" fillId="34" borderId="13" xfId="20" applyNumberFormat="1" applyFont="1" applyFill="1" applyBorder="1" applyAlignment="1" applyProtection="1">
      <alignment horizontal="center"/>
    </xf>
    <xf numFmtId="2" fontId="30" fillId="34" borderId="13" xfId="20" applyNumberFormat="1" applyFont="1" applyFill="1" applyBorder="1" applyAlignment="1">
      <alignment horizontal="center"/>
    </xf>
    <xf numFmtId="0" fontId="18" fillId="42" borderId="0" xfId="0" applyFont="1" applyFill="1" applyAlignment="1"/>
    <xf numFmtId="0" fontId="40" fillId="0" borderId="0" xfId="54" applyFont="1" applyBorder="1"/>
    <xf numFmtId="183" fontId="40" fillId="0" borderId="0" xfId="54" applyNumberFormat="1" applyFont="1" applyBorder="1" applyAlignment="1">
      <alignment horizontal="center"/>
    </xf>
    <xf numFmtId="166" fontId="40" fillId="0" borderId="0" xfId="54" applyNumberFormat="1" applyFont="1" applyBorder="1" applyAlignment="1">
      <alignment horizontal="center"/>
    </xf>
    <xf numFmtId="0" fontId="53" fillId="0" borderId="0" xfId="54" applyFont="1" applyBorder="1"/>
    <xf numFmtId="166" fontId="32" fillId="0" borderId="0" xfId="54" applyNumberFormat="1" applyFont="1" applyAlignment="1">
      <alignment horizontal="center"/>
    </xf>
    <xf numFmtId="0" fontId="32" fillId="34" borderId="24" xfId="20" applyFont="1" applyFill="1" applyBorder="1" applyAlignment="1">
      <alignment horizontal="center" vertical="center"/>
    </xf>
    <xf numFmtId="168" fontId="30" fillId="34" borderId="80" xfId="20" applyNumberFormat="1" applyFont="1" applyFill="1" applyBorder="1" applyAlignment="1">
      <alignment horizontal="center"/>
    </xf>
    <xf numFmtId="0" fontId="28" fillId="34" borderId="0" xfId="20" applyNumberFormat="1" applyFont="1" applyFill="1" applyBorder="1" applyAlignment="1" applyProtection="1">
      <alignment horizontal="center"/>
    </xf>
    <xf numFmtId="0" fontId="56" fillId="34" borderId="0" xfId="51" applyFont="1" applyFill="1"/>
    <xf numFmtId="0" fontId="57" fillId="34" borderId="0" xfId="51" applyFont="1" applyFill="1"/>
    <xf numFmtId="0" fontId="58" fillId="34" borderId="0" xfId="51" applyFont="1" applyFill="1"/>
    <xf numFmtId="0" fontId="59" fillId="34" borderId="0" xfId="51" applyFont="1" applyFill="1"/>
    <xf numFmtId="0" fontId="58" fillId="34" borderId="72" xfId="51" applyFont="1" applyFill="1" applyBorder="1"/>
    <xf numFmtId="170" fontId="58" fillId="34" borderId="0" xfId="51" applyNumberFormat="1" applyFont="1" applyFill="1" applyAlignment="1">
      <alignment horizontal="center"/>
    </xf>
    <xf numFmtId="10" fontId="58" fillId="34" borderId="0" xfId="51" applyNumberFormat="1" applyFont="1" applyFill="1" applyAlignment="1">
      <alignment horizontal="center"/>
    </xf>
    <xf numFmtId="177" fontId="60" fillId="36" borderId="0" xfId="49" applyNumberFormat="1" applyFont="1" applyFill="1" applyBorder="1" applyAlignment="1">
      <alignment horizontal="right"/>
    </xf>
    <xf numFmtId="180" fontId="60" fillId="36" borderId="0" xfId="49" applyNumberFormat="1" applyFont="1" applyFill="1" applyBorder="1"/>
    <xf numFmtId="179" fontId="60" fillId="36" borderId="0" xfId="49" applyNumberFormat="1" applyFont="1" applyFill="1" applyBorder="1"/>
    <xf numFmtId="177" fontId="60" fillId="36" borderId="0" xfId="49" applyNumberFormat="1" applyFont="1" applyFill="1" applyBorder="1" applyAlignment="1">
      <alignment horizontal="center"/>
    </xf>
    <xf numFmtId="0" fontId="57" fillId="34" borderId="0" xfId="51" applyFont="1" applyFill="1" applyAlignment="1">
      <alignment horizontal="center"/>
    </xf>
    <xf numFmtId="0" fontId="57" fillId="34" borderId="72" xfId="51" applyFont="1" applyFill="1" applyBorder="1" applyAlignment="1">
      <alignment horizontal="center"/>
    </xf>
    <xf numFmtId="43" fontId="61" fillId="34" borderId="0" xfId="49" applyFont="1" applyFill="1"/>
    <xf numFmtId="176" fontId="58" fillId="34" borderId="0" xfId="51" applyNumberFormat="1" applyFont="1" applyFill="1" applyAlignment="1">
      <alignment horizontal="left"/>
    </xf>
    <xf numFmtId="3" fontId="58" fillId="34" borderId="0" xfId="51" applyNumberFormat="1" applyFont="1" applyFill="1" applyAlignment="1">
      <alignment horizontal="center"/>
    </xf>
    <xf numFmtId="166" fontId="58" fillId="34" borderId="0" xfId="47" applyNumberFormat="1" applyFont="1" applyFill="1" applyAlignment="1">
      <alignment horizontal="center"/>
    </xf>
    <xf numFmtId="175" fontId="58" fillId="34" borderId="72" xfId="51" applyNumberFormat="1" applyFont="1" applyFill="1" applyBorder="1" applyAlignment="1">
      <alignment horizontal="center"/>
    </xf>
    <xf numFmtId="175" fontId="58" fillId="34" borderId="0" xfId="51" applyNumberFormat="1" applyFont="1" applyFill="1"/>
    <xf numFmtId="3" fontId="57" fillId="34" borderId="0" xfId="51" applyNumberFormat="1" applyFont="1" applyFill="1" applyAlignment="1">
      <alignment horizontal="center"/>
    </xf>
    <xf numFmtId="166" fontId="57" fillId="34" borderId="0" xfId="47" applyNumberFormat="1" applyFont="1" applyFill="1" applyAlignment="1">
      <alignment horizontal="center"/>
    </xf>
    <xf numFmtId="175" fontId="57" fillId="34" borderId="72" xfId="51" applyNumberFormat="1" applyFont="1" applyFill="1" applyBorder="1" applyAlignment="1">
      <alignment horizontal="center"/>
    </xf>
    <xf numFmtId="3" fontId="58" fillId="34" borderId="0" xfId="46" applyNumberFormat="1" applyFont="1" applyFill="1" applyAlignment="1">
      <alignment horizontal="center"/>
    </xf>
    <xf numFmtId="174" fontId="58" fillId="34" borderId="0" xfId="47" applyNumberFormat="1" applyFont="1" applyFill="1" applyAlignment="1">
      <alignment horizontal="center"/>
    </xf>
    <xf numFmtId="0" fontId="58" fillId="34" borderId="0" xfId="51" applyFont="1" applyFill="1" applyBorder="1"/>
    <xf numFmtId="43" fontId="59" fillId="34" borderId="0" xfId="46" applyFont="1" applyFill="1"/>
    <xf numFmtId="3" fontId="58" fillId="34" borderId="0" xfId="51" applyNumberFormat="1" applyFont="1" applyFill="1"/>
    <xf numFmtId="166" fontId="58" fillId="34" borderId="0" xfId="47" applyNumberFormat="1" applyFont="1" applyFill="1"/>
    <xf numFmtId="175" fontId="58" fillId="34" borderId="0" xfId="51" applyNumberFormat="1" applyFont="1" applyFill="1" applyAlignment="1">
      <alignment horizontal="center"/>
    </xf>
    <xf numFmtId="175" fontId="57" fillId="34" borderId="0" xfId="51" applyNumberFormat="1" applyFont="1" applyFill="1" applyAlignment="1">
      <alignment horizontal="center"/>
    </xf>
    <xf numFmtId="176" fontId="58" fillId="34" borderId="0" xfId="51" applyNumberFormat="1" applyFont="1" applyFill="1" applyAlignment="1"/>
    <xf numFmtId="170" fontId="32" fillId="34" borderId="17" xfId="20" applyNumberFormat="1" applyFont="1" applyFill="1" applyBorder="1"/>
    <xf numFmtId="170" fontId="41" fillId="0" borderId="0" xfId="53" applyNumberFormat="1" applyFont="1" applyBorder="1"/>
    <xf numFmtId="0" fontId="48" fillId="0" borderId="69" xfId="53" applyFont="1" applyBorder="1" applyAlignment="1">
      <alignment horizontal="center"/>
    </xf>
    <xf numFmtId="0" fontId="48" fillId="0" borderId="0" xfId="53" applyFont="1" applyBorder="1" applyAlignment="1">
      <alignment horizontal="center"/>
    </xf>
    <xf numFmtId="0" fontId="48" fillId="0" borderId="75" xfId="53" applyFont="1" applyBorder="1" applyAlignment="1">
      <alignment horizontal="center"/>
    </xf>
    <xf numFmtId="0" fontId="49" fillId="0" borderId="69" xfId="53" applyFont="1" applyBorder="1" applyAlignment="1">
      <alignment horizontal="center"/>
    </xf>
    <xf numFmtId="0" fontId="49" fillId="0" borderId="0" xfId="53" applyFont="1" applyBorder="1" applyAlignment="1">
      <alignment horizontal="center"/>
    </xf>
    <xf numFmtId="0" fontId="49" fillId="0" borderId="75" xfId="53" applyFont="1" applyBorder="1" applyAlignment="1">
      <alignment horizontal="center"/>
    </xf>
    <xf numFmtId="0" fontId="43" fillId="41" borderId="77" xfId="53" applyFont="1" applyFill="1" applyBorder="1" applyAlignment="1">
      <alignment horizontal="center" vertical="center"/>
    </xf>
    <xf numFmtId="0" fontId="43" fillId="41" borderId="30" xfId="53" applyFont="1" applyFill="1" applyBorder="1" applyAlignment="1">
      <alignment horizontal="center" vertical="center"/>
    </xf>
    <xf numFmtId="0" fontId="43" fillId="41" borderId="76" xfId="53" applyFont="1" applyFill="1" applyBorder="1" applyAlignment="1">
      <alignment horizontal="center" vertical="center"/>
    </xf>
    <xf numFmtId="0" fontId="43" fillId="41" borderId="0" xfId="53" applyFont="1" applyFill="1" applyBorder="1" applyAlignment="1">
      <alignment horizontal="center" vertical="center"/>
    </xf>
    <xf numFmtId="0" fontId="43" fillId="41" borderId="75" xfId="53" applyFont="1" applyFill="1" applyBorder="1" applyAlignment="1">
      <alignment horizontal="center" vertical="center"/>
    </xf>
    <xf numFmtId="11" fontId="43" fillId="41" borderId="0" xfId="53" applyNumberFormat="1" applyFont="1" applyFill="1" applyBorder="1" applyAlignment="1">
      <alignment horizontal="center" vertical="center"/>
    </xf>
    <xf numFmtId="11" fontId="43" fillId="41" borderId="75" xfId="53" applyNumberFormat="1" applyFont="1" applyFill="1" applyBorder="1" applyAlignment="1">
      <alignment horizontal="center" vertical="center"/>
    </xf>
    <xf numFmtId="0" fontId="50" fillId="0" borderId="69" xfId="53" applyFont="1" applyBorder="1" applyAlignment="1">
      <alignment horizontal="center"/>
    </xf>
    <xf numFmtId="0" fontId="50" fillId="0" borderId="0" xfId="53" applyFont="1" applyBorder="1" applyAlignment="1">
      <alignment horizontal="center"/>
    </xf>
    <xf numFmtId="0" fontId="50" fillId="0" borderId="75" xfId="53" applyFont="1" applyBorder="1" applyAlignment="1">
      <alignment horizontal="center"/>
    </xf>
    <xf numFmtId="0" fontId="42" fillId="34" borderId="0" xfId="53" applyFont="1" applyFill="1" applyBorder="1" applyAlignment="1">
      <alignment horizontal="center"/>
    </xf>
    <xf numFmtId="0" fontId="43" fillId="41" borderId="0" xfId="53" applyFont="1" applyFill="1" applyBorder="1" applyAlignment="1">
      <alignment horizontal="center"/>
    </xf>
    <xf numFmtId="0" fontId="43" fillId="41" borderId="75" xfId="53" applyFont="1" applyFill="1" applyBorder="1" applyAlignment="1">
      <alignment horizontal="center"/>
    </xf>
    <xf numFmtId="0" fontId="43" fillId="34" borderId="0" xfId="53" applyFont="1" applyFill="1" applyBorder="1" applyAlignment="1">
      <alignment horizontal="center"/>
    </xf>
    <xf numFmtId="0" fontId="53" fillId="34" borderId="69" xfId="54" applyFont="1" applyFill="1" applyBorder="1" applyAlignment="1">
      <alignment horizontal="center"/>
    </xf>
    <xf numFmtId="0" fontId="53" fillId="34" borderId="0" xfId="54" applyFont="1" applyFill="1" applyBorder="1" applyAlignment="1">
      <alignment horizontal="center"/>
    </xf>
    <xf numFmtId="0" fontId="39" fillId="34" borderId="0" xfId="54" applyFont="1" applyFill="1" applyBorder="1" applyAlignment="1">
      <alignment horizontal="center"/>
    </xf>
    <xf numFmtId="0" fontId="39" fillId="34" borderId="75" xfId="54" applyFont="1" applyFill="1" applyBorder="1" applyAlignment="1">
      <alignment horizontal="center"/>
    </xf>
    <xf numFmtId="0" fontId="31" fillId="34" borderId="0" xfId="20" applyNumberFormat="1" applyFont="1" applyFill="1" applyBorder="1" applyAlignment="1" applyProtection="1">
      <alignment horizontal="center" vertical="center"/>
    </xf>
    <xf numFmtId="0" fontId="31" fillId="34" borderId="0" xfId="20" applyFont="1" applyFill="1" applyBorder="1" applyAlignment="1">
      <alignment horizontal="center" vertical="center"/>
    </xf>
    <xf numFmtId="0" fontId="31" fillId="34" borderId="13" xfId="20" applyFont="1" applyFill="1" applyBorder="1" applyAlignment="1">
      <alignment horizontal="center" vertical="center"/>
    </xf>
    <xf numFmtId="0" fontId="30" fillId="34" borderId="23" xfId="20" applyFont="1" applyFill="1" applyBorder="1" applyAlignment="1">
      <alignment horizontal="center" vertical="center"/>
    </xf>
    <xf numFmtId="0" fontId="30" fillId="34" borderId="21" xfId="20" applyFont="1" applyFill="1" applyBorder="1" applyAlignment="1">
      <alignment horizontal="center" vertical="center"/>
    </xf>
    <xf numFmtId="0" fontId="28" fillId="34" borderId="0" xfId="20" applyNumberFormat="1" applyFont="1" applyFill="1" applyBorder="1" applyAlignment="1" applyProtection="1">
      <alignment horizontal="center" vertical="center"/>
    </xf>
    <xf numFmtId="0" fontId="26" fillId="13" borderId="61" xfId="20" applyFont="1" applyBorder="1" applyAlignment="1">
      <alignment horizontal="center"/>
    </xf>
    <xf numFmtId="0" fontId="26" fillId="13" borderId="62" xfId="20" applyFont="1" applyBorder="1" applyAlignment="1">
      <alignment horizontal="center"/>
    </xf>
    <xf numFmtId="0" fontId="26" fillId="13" borderId="63" xfId="20" applyFont="1" applyBorder="1" applyAlignment="1">
      <alignment horizontal="center"/>
    </xf>
    <xf numFmtId="0" fontId="30" fillId="34" borderId="20" xfId="20" applyFont="1" applyFill="1" applyBorder="1" applyAlignment="1">
      <alignment horizontal="center"/>
    </xf>
    <xf numFmtId="0" fontId="30" fillId="34" borderId="0" xfId="20" applyFont="1" applyFill="1" applyBorder="1" applyAlignment="1">
      <alignment horizontal="center"/>
    </xf>
    <xf numFmtId="0" fontId="30" fillId="34" borderId="19" xfId="20" applyFont="1" applyFill="1" applyBorder="1" applyAlignment="1">
      <alignment horizontal="center"/>
    </xf>
    <xf numFmtId="0" fontId="26" fillId="13" borderId="61" xfId="20" applyNumberFormat="1" applyFont="1" applyBorder="1" applyAlignment="1" applyProtection="1">
      <alignment horizontal="center"/>
    </xf>
    <xf numFmtId="0" fontId="26" fillId="13" borderId="62" xfId="20" applyNumberFormat="1" applyFont="1" applyBorder="1" applyAlignment="1" applyProtection="1">
      <alignment horizontal="center"/>
    </xf>
    <xf numFmtId="0" fontId="26" fillId="13" borderId="63" xfId="20" applyNumberFormat="1" applyFont="1" applyBorder="1" applyAlignment="1" applyProtection="1">
      <alignment horizontal="center"/>
    </xf>
    <xf numFmtId="0" fontId="30" fillId="34" borderId="0" xfId="20" applyFont="1" applyFill="1" applyAlignment="1">
      <alignment horizontal="left" vertical="center"/>
    </xf>
    <xf numFmtId="0" fontId="35" fillId="13" borderId="0" xfId="20" applyNumberFormat="1" applyFont="1" applyBorder="1" applyAlignment="1" applyProtection="1">
      <alignment horizontal="center" vertical="center"/>
    </xf>
    <xf numFmtId="0" fontId="29" fillId="34" borderId="0" xfId="20" applyNumberFormat="1" applyFont="1" applyFill="1" applyBorder="1" applyAlignment="1" applyProtection="1">
      <alignment horizontal="center" vertical="center"/>
    </xf>
    <xf numFmtId="0" fontId="34" fillId="34" borderId="13" xfId="20" applyFont="1" applyFill="1" applyBorder="1" applyAlignment="1">
      <alignment horizontal="center" vertical="center"/>
    </xf>
    <xf numFmtId="0" fontId="32" fillId="34" borderId="23" xfId="20" applyFont="1" applyFill="1" applyBorder="1" applyAlignment="1">
      <alignment horizontal="center"/>
    </xf>
    <xf numFmtId="0" fontId="32" fillId="34" borderId="21" xfId="20" applyFont="1" applyFill="1" applyBorder="1" applyAlignment="1">
      <alignment horizontal="center"/>
    </xf>
    <xf numFmtId="0" fontId="29" fillId="34" borderId="23" xfId="20" applyNumberFormat="1" applyFont="1" applyFill="1" applyBorder="1" applyAlignment="1" applyProtection="1">
      <alignment horizontal="center" vertical="center"/>
    </xf>
    <xf numFmtId="0" fontId="29" fillId="34" borderId="22" xfId="20" applyNumberFormat="1" applyFont="1" applyFill="1" applyBorder="1" applyAlignment="1" applyProtection="1">
      <alignment horizontal="center" vertical="center"/>
    </xf>
    <xf numFmtId="0" fontId="29" fillId="34" borderId="21" xfId="20" applyNumberFormat="1" applyFont="1" applyFill="1" applyBorder="1" applyAlignment="1" applyProtection="1">
      <alignment horizontal="center" vertical="center"/>
    </xf>
    <xf numFmtId="0" fontId="29" fillId="34" borderId="20" xfId="20" applyNumberFormat="1" applyFont="1" applyFill="1" applyBorder="1" applyAlignment="1" applyProtection="1">
      <alignment horizontal="center" vertical="center"/>
    </xf>
    <xf numFmtId="0" fontId="29" fillId="34" borderId="19" xfId="20" applyNumberFormat="1" applyFont="1" applyFill="1" applyBorder="1" applyAlignment="1" applyProtection="1">
      <alignment horizontal="center" vertical="center"/>
    </xf>
    <xf numFmtId="0" fontId="29" fillId="34" borderId="18" xfId="20" applyNumberFormat="1" applyFont="1" applyFill="1" applyBorder="1" applyAlignment="1" applyProtection="1">
      <alignment horizontal="center" vertical="center"/>
    </xf>
    <xf numFmtId="0" fontId="29" fillId="34" borderId="13" xfId="20" applyNumberFormat="1" applyFont="1" applyFill="1" applyBorder="1" applyAlignment="1" applyProtection="1">
      <alignment horizontal="center" vertical="center"/>
    </xf>
    <xf numFmtId="0" fontId="29" fillId="34" borderId="17" xfId="20" applyNumberFormat="1" applyFont="1" applyFill="1" applyBorder="1" applyAlignment="1" applyProtection="1">
      <alignment horizontal="center" vertical="center"/>
    </xf>
    <xf numFmtId="0" fontId="35" fillId="13" borderId="23" xfId="20" applyNumberFormat="1" applyFont="1" applyBorder="1" applyAlignment="1" applyProtection="1">
      <alignment horizontal="center" vertical="center"/>
    </xf>
    <xf numFmtId="0" fontId="35" fillId="13" borderId="22" xfId="20" applyNumberFormat="1" applyFont="1" applyBorder="1" applyAlignment="1" applyProtection="1">
      <alignment horizontal="center" vertical="center"/>
    </xf>
    <xf numFmtId="0" fontId="35" fillId="13" borderId="21" xfId="20" applyNumberFormat="1" applyFont="1" applyBorder="1" applyAlignment="1" applyProtection="1">
      <alignment horizontal="center" vertical="center"/>
    </xf>
    <xf numFmtId="0" fontId="35" fillId="13" borderId="20" xfId="20" applyNumberFormat="1" applyFont="1" applyBorder="1" applyAlignment="1" applyProtection="1">
      <alignment horizontal="center" vertical="center"/>
    </xf>
    <xf numFmtId="0" fontId="35" fillId="13" borderId="19" xfId="20" applyNumberFormat="1" applyFont="1" applyBorder="1" applyAlignment="1" applyProtection="1">
      <alignment horizontal="center" vertical="center"/>
    </xf>
    <xf numFmtId="0" fontId="35" fillId="13" borderId="18" xfId="20" applyNumberFormat="1" applyFont="1" applyBorder="1" applyAlignment="1" applyProtection="1">
      <alignment horizontal="center" vertical="center"/>
    </xf>
    <xf numFmtId="0" fontId="35" fillId="13" borderId="13" xfId="20" applyNumberFormat="1" applyFont="1" applyBorder="1" applyAlignment="1" applyProtection="1">
      <alignment horizontal="center" vertical="center"/>
    </xf>
    <xf numFmtId="0" fontId="35" fillId="13" borderId="17" xfId="20" applyNumberFormat="1" applyFont="1" applyBorder="1" applyAlignment="1" applyProtection="1">
      <alignment horizontal="center" vertical="center"/>
    </xf>
    <xf numFmtId="0" fontId="31" fillId="34" borderId="0" xfId="20" applyFont="1" applyFill="1" applyBorder="1" applyAlignment="1">
      <alignment horizontal="center"/>
    </xf>
    <xf numFmtId="0" fontId="53" fillId="0" borderId="80" xfId="54" applyFont="1" applyBorder="1" applyAlignment="1">
      <alignment horizontal="center"/>
    </xf>
    <xf numFmtId="0" fontId="53" fillId="0" borderId="79" xfId="54" applyFont="1" applyBorder="1" applyAlignment="1">
      <alignment horizontal="center"/>
    </xf>
    <xf numFmtId="0" fontId="53" fillId="0" borderId="78" xfId="54" applyFont="1" applyBorder="1" applyAlignment="1">
      <alignment horizontal="center"/>
    </xf>
    <xf numFmtId="0" fontId="39" fillId="41" borderId="69" xfId="54" applyFont="1" applyFill="1" applyBorder="1" applyAlignment="1">
      <alignment horizontal="center"/>
    </xf>
    <xf numFmtId="0" fontId="39" fillId="41" borderId="0" xfId="54" applyFont="1" applyFill="1" applyAlignment="1">
      <alignment horizontal="center"/>
    </xf>
    <xf numFmtId="10" fontId="25" fillId="13" borderId="23" xfId="20" applyNumberFormat="1" applyFont="1" applyBorder="1" applyAlignment="1">
      <alignment horizontal="center"/>
    </xf>
    <xf numFmtId="10" fontId="25" fillId="13" borderId="21" xfId="20" applyNumberFormat="1" applyFont="1" applyBorder="1" applyAlignment="1">
      <alignment horizontal="center"/>
    </xf>
    <xf numFmtId="2" fontId="25" fillId="13" borderId="18" xfId="20" applyNumberFormat="1" applyFont="1" applyBorder="1" applyAlignment="1">
      <alignment horizontal="center"/>
    </xf>
    <xf numFmtId="2" fontId="25" fillId="13" borderId="17" xfId="20" applyNumberFormat="1" applyFont="1" applyBorder="1" applyAlignment="1">
      <alignment horizontal="center"/>
    </xf>
    <xf numFmtId="0" fontId="26" fillId="13" borderId="23" xfId="20" applyFont="1" applyBorder="1" applyAlignment="1">
      <alignment horizontal="center" vertical="center"/>
    </xf>
    <xf numFmtId="0" fontId="26" fillId="13" borderId="21" xfId="20" applyFont="1" applyBorder="1" applyAlignment="1">
      <alignment horizontal="center" vertical="center"/>
    </xf>
    <xf numFmtId="0" fontId="26" fillId="13" borderId="18" xfId="20" applyFont="1" applyBorder="1" applyAlignment="1">
      <alignment horizontal="center" vertical="center"/>
    </xf>
    <xf numFmtId="0" fontId="26" fillId="13" borderId="17" xfId="20" applyFont="1" applyBorder="1" applyAlignment="1">
      <alignment horizontal="center" vertical="center"/>
    </xf>
    <xf numFmtId="0" fontId="26" fillId="13" borderId="22" xfId="20" applyFont="1" applyBorder="1" applyAlignment="1">
      <alignment horizontal="center" vertical="center"/>
    </xf>
    <xf numFmtId="0" fontId="26" fillId="13" borderId="13" xfId="20" applyFont="1" applyBorder="1" applyAlignment="1">
      <alignment horizontal="center" vertical="center"/>
    </xf>
    <xf numFmtId="0" fontId="34" fillId="34" borderId="13" xfId="20" applyFont="1" applyFill="1" applyBorder="1" applyAlignment="1">
      <alignment horizontal="center"/>
    </xf>
    <xf numFmtId="0" fontId="34" fillId="34" borderId="17" xfId="20" applyFont="1" applyFill="1" applyBorder="1" applyAlignment="1">
      <alignment horizontal="center"/>
    </xf>
    <xf numFmtId="0" fontId="24" fillId="13" borderId="23" xfId="20" applyFont="1" applyBorder="1" applyAlignment="1">
      <alignment horizontal="center" vertical="center"/>
    </xf>
    <xf numFmtId="0" fontId="24" fillId="13" borderId="22" xfId="20" applyFont="1" applyBorder="1" applyAlignment="1">
      <alignment horizontal="center" vertical="center"/>
    </xf>
    <xf numFmtId="0" fontId="24" fillId="13" borderId="21" xfId="20" applyFont="1" applyBorder="1" applyAlignment="1">
      <alignment horizontal="center" vertical="center"/>
    </xf>
    <xf numFmtId="0" fontId="24" fillId="13" borderId="20" xfId="20" applyFont="1" applyBorder="1" applyAlignment="1">
      <alignment horizontal="center" vertical="center"/>
    </xf>
    <xf numFmtId="0" fontId="24" fillId="13" borderId="0" xfId="20" applyFont="1" applyBorder="1" applyAlignment="1">
      <alignment horizontal="center" vertical="center"/>
    </xf>
    <xf numFmtId="0" fontId="24" fillId="13" borderId="19" xfId="20" applyFont="1" applyBorder="1" applyAlignment="1">
      <alignment horizontal="center" vertical="center"/>
    </xf>
    <xf numFmtId="0" fontId="23" fillId="0" borderId="0" xfId="0" applyFont="1" applyFill="1"/>
    <xf numFmtId="0" fontId="0" fillId="0" borderId="47" xfId="0" applyBorder="1" applyAlignment="1">
      <alignment horizontal="center"/>
    </xf>
    <xf numFmtId="0" fontId="0" fillId="0" borderId="37" xfId="0" applyBorder="1" applyAlignment="1">
      <alignment horizontal="center"/>
    </xf>
    <xf numFmtId="0" fontId="0" fillId="0" borderId="48" xfId="0" applyBorder="1" applyAlignment="1">
      <alignment horizontal="center"/>
    </xf>
    <xf numFmtId="0" fontId="24" fillId="13" borderId="23" xfId="20" applyFont="1" applyBorder="1" applyAlignment="1">
      <alignment horizontal="center"/>
    </xf>
    <xf numFmtId="0" fontId="24" fillId="13" borderId="22" xfId="20" applyFont="1" applyBorder="1" applyAlignment="1">
      <alignment horizontal="center"/>
    </xf>
    <xf numFmtId="0" fontId="24" fillId="13" borderId="21" xfId="20" applyFont="1" applyBorder="1" applyAlignment="1">
      <alignment horizontal="center"/>
    </xf>
    <xf numFmtId="0" fontId="18" fillId="0" borderId="43" xfId="0" applyFont="1" applyBorder="1" applyAlignment="1">
      <alignment horizontal="left"/>
    </xf>
    <xf numFmtId="0" fontId="18" fillId="0" borderId="39" xfId="0" applyFont="1" applyBorder="1" applyAlignment="1">
      <alignment horizontal="left"/>
    </xf>
    <xf numFmtId="0" fontId="18" fillId="0" borderId="41" xfId="0" applyFont="1" applyBorder="1" applyAlignment="1">
      <alignment horizontal="left"/>
    </xf>
    <xf numFmtId="0" fontId="15" fillId="41" borderId="0" xfId="20" applyFont="1" applyFill="1" applyBorder="1" applyAlignment="1">
      <alignment horizontal="center"/>
    </xf>
    <xf numFmtId="0" fontId="0" fillId="0" borderId="61" xfId="0" applyBorder="1" applyAlignment="1">
      <alignment horizontal="center"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18" fillId="0" borderId="13" xfId="0" applyFont="1" applyBorder="1" applyAlignment="1">
      <alignment horizontal="center"/>
    </xf>
    <xf numFmtId="0" fontId="18" fillId="0" borderId="0" xfId="0" applyFont="1" applyAlignment="1">
      <alignment horizontal="center"/>
    </xf>
  </cellXfs>
  <cellStyles count="5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lp_column_header" xfId="26" xr:uid="{00000000-0005-0000-0000-000019000000}"/>
    <cellStyle name="Calculation" xfId="27" builtinId="22" customBuiltin="1"/>
    <cellStyle name="Check Cell" xfId="28" builtinId="23" customBuiltin="1"/>
    <cellStyle name="Comma" xfId="46" builtinId="3"/>
    <cellStyle name="Comma 2" xfId="58" xr:uid="{EE1A16A7-8D46-4DF8-B52B-FA3F3DC1E8DB}"/>
    <cellStyle name="Comma 3" xfId="49" xr:uid="{90318D36-CC02-4A84-8734-405126BDD4F1}"/>
    <cellStyle name="Comma 8" xfId="50" xr:uid="{512403EE-936C-449D-9102-151E8081B773}"/>
    <cellStyle name="Comma 8 2" xfId="52" xr:uid="{7CF5796C-803D-4E61-8C8A-8A2E3F3FBC61}"/>
    <cellStyle name="Currency" xfId="47" builtinId="4"/>
    <cellStyle name="Currency 3" xfId="57" xr:uid="{35A7E457-866D-40E7-B88F-A278A8DA17DE}"/>
    <cellStyle name="Explanatory Text" xfId="29" builtinId="53" customBuiltin="1"/>
    <cellStyle name="fa_column_header_bottom" xfId="30" xr:uid="{00000000-0005-0000-0000-00001E00000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2" xfId="44" xr:uid="{787BDB71-DF82-4C39-8F44-41907ADA735B}"/>
    <cellStyle name="Normal 3" xfId="48" xr:uid="{9FB1B833-B305-402C-94F4-F1D8BF24EDE9}"/>
    <cellStyle name="Normal 3 28" xfId="51" xr:uid="{DE3F4FDF-5162-4BB6-9467-5E89CF93E7BE}"/>
    <cellStyle name="Normal 4" xfId="53" xr:uid="{2298C532-BABE-4B36-9FCD-F7C1C7503339}"/>
    <cellStyle name="Normal 5" xfId="54" xr:uid="{DE5B3CB3-ABC9-430E-B20E-7287910A621D}"/>
    <cellStyle name="Note" xfId="39" builtinId="10" customBuiltin="1"/>
    <cellStyle name="Output" xfId="40" builtinId="21" customBuiltin="1"/>
    <cellStyle name="Percent" xfId="45" builtinId="5"/>
    <cellStyle name="Percent 2" xfId="55" xr:uid="{BEBD1283-A629-4194-AC17-B8C4C73CDB70}"/>
    <cellStyle name="Percent 4" xfId="56" xr:uid="{03C38BFF-8C44-495D-8E55-C1B1362742D5}"/>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0000CC"/>
      <color rgb="FF092D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u="none">
                <a:solidFill>
                  <a:sysClr val="windowText" lastClr="000000"/>
                </a:solidFill>
                <a:latin typeface="Bahnschrift Light" panose="020B0502040204020203" pitchFamily="34" charset="0"/>
              </a:rPr>
              <a:t>5 Year Price Movement</a:t>
            </a:r>
          </a:p>
        </c:rich>
      </c:tx>
      <c:overlay val="0"/>
      <c:spPr>
        <a:noFill/>
        <a:ln w="19050">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Beta!$G$6</c:f>
              <c:strCache>
                <c:ptCount val="1"/>
                <c:pt idx="0">
                  <c:v>Price</c:v>
                </c:pt>
              </c:strCache>
            </c:strRef>
          </c:tx>
          <c:spPr>
            <a:ln w="25400" cap="flat" cmpd="sng" algn="ctr">
              <a:solidFill>
                <a:schemeClr val="accent2"/>
              </a:solidFill>
              <a:prstDash val="solid"/>
              <a:round/>
            </a:ln>
            <a:effectLst/>
          </c:spPr>
          <c:marker>
            <c:symbol val="none"/>
          </c:marker>
          <c:cat>
            <c:numRef>
              <c:f>Beta!$B$7:$B$1264</c:f>
              <c:numCache>
                <c:formatCode>m/d/yy</c:formatCode>
                <c:ptCount val="1258"/>
                <c:pt idx="0">
                  <c:v>42674</c:v>
                </c:pt>
                <c:pt idx="1">
                  <c:v>42675</c:v>
                </c:pt>
                <c:pt idx="2">
                  <c:v>42676</c:v>
                </c:pt>
                <c:pt idx="3">
                  <c:v>42677</c:v>
                </c:pt>
                <c:pt idx="4">
                  <c:v>42678</c:v>
                </c:pt>
                <c:pt idx="5">
                  <c:v>42681</c:v>
                </c:pt>
                <c:pt idx="6">
                  <c:v>42682</c:v>
                </c:pt>
                <c:pt idx="7">
                  <c:v>42683</c:v>
                </c:pt>
                <c:pt idx="8">
                  <c:v>42684</c:v>
                </c:pt>
                <c:pt idx="9">
                  <c:v>42685</c:v>
                </c:pt>
                <c:pt idx="10">
                  <c:v>42688</c:v>
                </c:pt>
                <c:pt idx="11">
                  <c:v>42689</c:v>
                </c:pt>
                <c:pt idx="12">
                  <c:v>42690</c:v>
                </c:pt>
                <c:pt idx="13">
                  <c:v>42691</c:v>
                </c:pt>
                <c:pt idx="14">
                  <c:v>42692</c:v>
                </c:pt>
                <c:pt idx="15">
                  <c:v>42695</c:v>
                </c:pt>
                <c:pt idx="16">
                  <c:v>42696</c:v>
                </c:pt>
                <c:pt idx="17">
                  <c:v>42697</c:v>
                </c:pt>
                <c:pt idx="18">
                  <c:v>42699</c:v>
                </c:pt>
                <c:pt idx="19">
                  <c:v>42702</c:v>
                </c:pt>
                <c:pt idx="20">
                  <c:v>42703</c:v>
                </c:pt>
                <c:pt idx="21">
                  <c:v>42704</c:v>
                </c:pt>
                <c:pt idx="22">
                  <c:v>42705</c:v>
                </c:pt>
                <c:pt idx="23">
                  <c:v>42706</c:v>
                </c:pt>
                <c:pt idx="24">
                  <c:v>42709</c:v>
                </c:pt>
                <c:pt idx="25">
                  <c:v>42710</c:v>
                </c:pt>
                <c:pt idx="26">
                  <c:v>42711</c:v>
                </c:pt>
                <c:pt idx="27">
                  <c:v>42712</c:v>
                </c:pt>
                <c:pt idx="28">
                  <c:v>42713</c:v>
                </c:pt>
                <c:pt idx="29">
                  <c:v>42716</c:v>
                </c:pt>
                <c:pt idx="30">
                  <c:v>42717</c:v>
                </c:pt>
                <c:pt idx="31">
                  <c:v>42718</c:v>
                </c:pt>
                <c:pt idx="32">
                  <c:v>42719</c:v>
                </c:pt>
                <c:pt idx="33">
                  <c:v>42720</c:v>
                </c:pt>
                <c:pt idx="34">
                  <c:v>42723</c:v>
                </c:pt>
                <c:pt idx="35">
                  <c:v>42724</c:v>
                </c:pt>
                <c:pt idx="36">
                  <c:v>42725</c:v>
                </c:pt>
                <c:pt idx="37">
                  <c:v>42726</c:v>
                </c:pt>
                <c:pt idx="38">
                  <c:v>42727</c:v>
                </c:pt>
                <c:pt idx="39">
                  <c:v>42731</c:v>
                </c:pt>
                <c:pt idx="40">
                  <c:v>42732</c:v>
                </c:pt>
                <c:pt idx="41">
                  <c:v>42733</c:v>
                </c:pt>
                <c:pt idx="42">
                  <c:v>42734</c:v>
                </c:pt>
                <c:pt idx="43">
                  <c:v>42738</c:v>
                </c:pt>
                <c:pt idx="44">
                  <c:v>42739</c:v>
                </c:pt>
                <c:pt idx="45">
                  <c:v>42740</c:v>
                </c:pt>
                <c:pt idx="46">
                  <c:v>42741</c:v>
                </c:pt>
                <c:pt idx="47">
                  <c:v>42744</c:v>
                </c:pt>
                <c:pt idx="48">
                  <c:v>42745</c:v>
                </c:pt>
                <c:pt idx="49">
                  <c:v>42746</c:v>
                </c:pt>
                <c:pt idx="50">
                  <c:v>42747</c:v>
                </c:pt>
                <c:pt idx="51">
                  <c:v>42748</c:v>
                </c:pt>
                <c:pt idx="52">
                  <c:v>42752</c:v>
                </c:pt>
                <c:pt idx="53">
                  <c:v>42753</c:v>
                </c:pt>
                <c:pt idx="54">
                  <c:v>42754</c:v>
                </c:pt>
                <c:pt idx="55">
                  <c:v>42755</c:v>
                </c:pt>
                <c:pt idx="56">
                  <c:v>42758</c:v>
                </c:pt>
                <c:pt idx="57">
                  <c:v>42759</c:v>
                </c:pt>
                <c:pt idx="58">
                  <c:v>42760</c:v>
                </c:pt>
                <c:pt idx="59">
                  <c:v>42761</c:v>
                </c:pt>
                <c:pt idx="60">
                  <c:v>42762</c:v>
                </c:pt>
                <c:pt idx="61">
                  <c:v>42765</c:v>
                </c:pt>
                <c:pt idx="62">
                  <c:v>42766</c:v>
                </c:pt>
                <c:pt idx="63">
                  <c:v>42767</c:v>
                </c:pt>
                <c:pt idx="64">
                  <c:v>42768</c:v>
                </c:pt>
                <c:pt idx="65">
                  <c:v>42769</c:v>
                </c:pt>
                <c:pt idx="66">
                  <c:v>42772</c:v>
                </c:pt>
                <c:pt idx="67">
                  <c:v>42773</c:v>
                </c:pt>
                <c:pt idx="68">
                  <c:v>42774</c:v>
                </c:pt>
                <c:pt idx="69">
                  <c:v>42775</c:v>
                </c:pt>
                <c:pt idx="70">
                  <c:v>42776</c:v>
                </c:pt>
                <c:pt idx="71">
                  <c:v>42779</c:v>
                </c:pt>
                <c:pt idx="72">
                  <c:v>42780</c:v>
                </c:pt>
                <c:pt idx="73">
                  <c:v>42781</c:v>
                </c:pt>
                <c:pt idx="74">
                  <c:v>42782</c:v>
                </c:pt>
                <c:pt idx="75">
                  <c:v>42783</c:v>
                </c:pt>
                <c:pt idx="76">
                  <c:v>42787</c:v>
                </c:pt>
                <c:pt idx="77">
                  <c:v>42788</c:v>
                </c:pt>
                <c:pt idx="78">
                  <c:v>42789</c:v>
                </c:pt>
                <c:pt idx="79">
                  <c:v>42790</c:v>
                </c:pt>
                <c:pt idx="80">
                  <c:v>42793</c:v>
                </c:pt>
                <c:pt idx="81">
                  <c:v>42794</c:v>
                </c:pt>
                <c:pt idx="82">
                  <c:v>42795</c:v>
                </c:pt>
                <c:pt idx="83">
                  <c:v>42796</c:v>
                </c:pt>
                <c:pt idx="84">
                  <c:v>42797</c:v>
                </c:pt>
                <c:pt idx="85">
                  <c:v>42800</c:v>
                </c:pt>
                <c:pt idx="86">
                  <c:v>42801</c:v>
                </c:pt>
                <c:pt idx="87">
                  <c:v>42802</c:v>
                </c:pt>
                <c:pt idx="88">
                  <c:v>42803</c:v>
                </c:pt>
                <c:pt idx="89">
                  <c:v>42804</c:v>
                </c:pt>
                <c:pt idx="90">
                  <c:v>42807</c:v>
                </c:pt>
                <c:pt idx="91">
                  <c:v>42808</c:v>
                </c:pt>
                <c:pt idx="92">
                  <c:v>42809</c:v>
                </c:pt>
                <c:pt idx="93">
                  <c:v>42810</c:v>
                </c:pt>
                <c:pt idx="94">
                  <c:v>42811</c:v>
                </c:pt>
                <c:pt idx="95">
                  <c:v>42814</c:v>
                </c:pt>
                <c:pt idx="96">
                  <c:v>42815</c:v>
                </c:pt>
                <c:pt idx="97">
                  <c:v>42816</c:v>
                </c:pt>
                <c:pt idx="98">
                  <c:v>42817</c:v>
                </c:pt>
                <c:pt idx="99">
                  <c:v>42818</c:v>
                </c:pt>
                <c:pt idx="100">
                  <c:v>42821</c:v>
                </c:pt>
                <c:pt idx="101">
                  <c:v>42822</c:v>
                </c:pt>
                <c:pt idx="102">
                  <c:v>42823</c:v>
                </c:pt>
                <c:pt idx="103">
                  <c:v>42824</c:v>
                </c:pt>
                <c:pt idx="104">
                  <c:v>42825</c:v>
                </c:pt>
                <c:pt idx="105">
                  <c:v>42828</c:v>
                </c:pt>
                <c:pt idx="106">
                  <c:v>42829</c:v>
                </c:pt>
                <c:pt idx="107">
                  <c:v>42830</c:v>
                </c:pt>
                <c:pt idx="108">
                  <c:v>42831</c:v>
                </c:pt>
                <c:pt idx="109">
                  <c:v>42832</c:v>
                </c:pt>
                <c:pt idx="110">
                  <c:v>42835</c:v>
                </c:pt>
                <c:pt idx="111">
                  <c:v>42836</c:v>
                </c:pt>
                <c:pt idx="112">
                  <c:v>42837</c:v>
                </c:pt>
                <c:pt idx="113">
                  <c:v>42838</c:v>
                </c:pt>
                <c:pt idx="114">
                  <c:v>42842</c:v>
                </c:pt>
                <c:pt idx="115">
                  <c:v>42843</c:v>
                </c:pt>
                <c:pt idx="116">
                  <c:v>42844</c:v>
                </c:pt>
                <c:pt idx="117">
                  <c:v>42845</c:v>
                </c:pt>
                <c:pt idx="118">
                  <c:v>42846</c:v>
                </c:pt>
                <c:pt idx="119">
                  <c:v>42849</c:v>
                </c:pt>
                <c:pt idx="120">
                  <c:v>42850</c:v>
                </c:pt>
                <c:pt idx="121">
                  <c:v>42851</c:v>
                </c:pt>
                <c:pt idx="122">
                  <c:v>42852</c:v>
                </c:pt>
                <c:pt idx="123">
                  <c:v>42853</c:v>
                </c:pt>
                <c:pt idx="124">
                  <c:v>42856</c:v>
                </c:pt>
                <c:pt idx="125">
                  <c:v>42857</c:v>
                </c:pt>
                <c:pt idx="126">
                  <c:v>42858</c:v>
                </c:pt>
                <c:pt idx="127">
                  <c:v>42859</c:v>
                </c:pt>
                <c:pt idx="128">
                  <c:v>42860</c:v>
                </c:pt>
                <c:pt idx="129">
                  <c:v>42863</c:v>
                </c:pt>
                <c:pt idx="130">
                  <c:v>42864</c:v>
                </c:pt>
                <c:pt idx="131">
                  <c:v>42865</c:v>
                </c:pt>
                <c:pt idx="132">
                  <c:v>42866</c:v>
                </c:pt>
                <c:pt idx="133">
                  <c:v>42867</c:v>
                </c:pt>
                <c:pt idx="134">
                  <c:v>42870</c:v>
                </c:pt>
                <c:pt idx="135">
                  <c:v>42871</c:v>
                </c:pt>
                <c:pt idx="136">
                  <c:v>42872</c:v>
                </c:pt>
                <c:pt idx="137">
                  <c:v>42873</c:v>
                </c:pt>
                <c:pt idx="138">
                  <c:v>42874</c:v>
                </c:pt>
                <c:pt idx="139">
                  <c:v>42877</c:v>
                </c:pt>
                <c:pt idx="140">
                  <c:v>42878</c:v>
                </c:pt>
                <c:pt idx="141">
                  <c:v>42879</c:v>
                </c:pt>
                <c:pt idx="142">
                  <c:v>42880</c:v>
                </c:pt>
                <c:pt idx="143">
                  <c:v>42881</c:v>
                </c:pt>
                <c:pt idx="144">
                  <c:v>42885</c:v>
                </c:pt>
                <c:pt idx="145">
                  <c:v>42886</c:v>
                </c:pt>
                <c:pt idx="146">
                  <c:v>42887</c:v>
                </c:pt>
                <c:pt idx="147">
                  <c:v>42888</c:v>
                </c:pt>
                <c:pt idx="148">
                  <c:v>42891</c:v>
                </c:pt>
                <c:pt idx="149">
                  <c:v>42892</c:v>
                </c:pt>
                <c:pt idx="150">
                  <c:v>42893</c:v>
                </c:pt>
                <c:pt idx="151">
                  <c:v>42894</c:v>
                </c:pt>
                <c:pt idx="152">
                  <c:v>42895</c:v>
                </c:pt>
                <c:pt idx="153">
                  <c:v>42898</c:v>
                </c:pt>
                <c:pt idx="154">
                  <c:v>42899</c:v>
                </c:pt>
                <c:pt idx="155">
                  <c:v>42900</c:v>
                </c:pt>
                <c:pt idx="156">
                  <c:v>42901</c:v>
                </c:pt>
                <c:pt idx="157">
                  <c:v>42902</c:v>
                </c:pt>
                <c:pt idx="158">
                  <c:v>42905</c:v>
                </c:pt>
                <c:pt idx="159">
                  <c:v>42906</c:v>
                </c:pt>
                <c:pt idx="160">
                  <c:v>42907</c:v>
                </c:pt>
                <c:pt idx="161">
                  <c:v>42908</c:v>
                </c:pt>
                <c:pt idx="162">
                  <c:v>42909</c:v>
                </c:pt>
                <c:pt idx="163">
                  <c:v>42912</c:v>
                </c:pt>
                <c:pt idx="164">
                  <c:v>42913</c:v>
                </c:pt>
                <c:pt idx="165">
                  <c:v>42914</c:v>
                </c:pt>
                <c:pt idx="166">
                  <c:v>42915</c:v>
                </c:pt>
                <c:pt idx="167">
                  <c:v>42916</c:v>
                </c:pt>
                <c:pt idx="168">
                  <c:v>42919</c:v>
                </c:pt>
                <c:pt idx="169">
                  <c:v>42921</c:v>
                </c:pt>
                <c:pt idx="170">
                  <c:v>42922</c:v>
                </c:pt>
                <c:pt idx="171">
                  <c:v>42923</c:v>
                </c:pt>
                <c:pt idx="172">
                  <c:v>42926</c:v>
                </c:pt>
                <c:pt idx="173">
                  <c:v>42927</c:v>
                </c:pt>
                <c:pt idx="174">
                  <c:v>42928</c:v>
                </c:pt>
                <c:pt idx="175">
                  <c:v>42929</c:v>
                </c:pt>
                <c:pt idx="176">
                  <c:v>42930</c:v>
                </c:pt>
                <c:pt idx="177">
                  <c:v>42933</c:v>
                </c:pt>
                <c:pt idx="178">
                  <c:v>42934</c:v>
                </c:pt>
                <c:pt idx="179">
                  <c:v>42935</c:v>
                </c:pt>
                <c:pt idx="180">
                  <c:v>42936</c:v>
                </c:pt>
                <c:pt idx="181">
                  <c:v>42937</c:v>
                </c:pt>
                <c:pt idx="182">
                  <c:v>42940</c:v>
                </c:pt>
                <c:pt idx="183">
                  <c:v>42941</c:v>
                </c:pt>
                <c:pt idx="184">
                  <c:v>42942</c:v>
                </c:pt>
                <c:pt idx="185">
                  <c:v>42943</c:v>
                </c:pt>
                <c:pt idx="186">
                  <c:v>42944</c:v>
                </c:pt>
                <c:pt idx="187">
                  <c:v>42947</c:v>
                </c:pt>
                <c:pt idx="188">
                  <c:v>42948</c:v>
                </c:pt>
                <c:pt idx="189">
                  <c:v>42949</c:v>
                </c:pt>
                <c:pt idx="190">
                  <c:v>42950</c:v>
                </c:pt>
                <c:pt idx="191">
                  <c:v>42951</c:v>
                </c:pt>
                <c:pt idx="192">
                  <c:v>42954</c:v>
                </c:pt>
                <c:pt idx="193">
                  <c:v>42955</c:v>
                </c:pt>
                <c:pt idx="194">
                  <c:v>42956</c:v>
                </c:pt>
                <c:pt idx="195">
                  <c:v>42957</c:v>
                </c:pt>
                <c:pt idx="196">
                  <c:v>42958</c:v>
                </c:pt>
                <c:pt idx="197">
                  <c:v>42961</c:v>
                </c:pt>
                <c:pt idx="198">
                  <c:v>42962</c:v>
                </c:pt>
                <c:pt idx="199">
                  <c:v>42963</c:v>
                </c:pt>
                <c:pt idx="200">
                  <c:v>42964</c:v>
                </c:pt>
                <c:pt idx="201">
                  <c:v>42965</c:v>
                </c:pt>
                <c:pt idx="202">
                  <c:v>42968</c:v>
                </c:pt>
                <c:pt idx="203">
                  <c:v>42969</c:v>
                </c:pt>
                <c:pt idx="204">
                  <c:v>42970</c:v>
                </c:pt>
                <c:pt idx="205">
                  <c:v>42971</c:v>
                </c:pt>
                <c:pt idx="206">
                  <c:v>42972</c:v>
                </c:pt>
                <c:pt idx="207">
                  <c:v>42975</c:v>
                </c:pt>
                <c:pt idx="208">
                  <c:v>42976</c:v>
                </c:pt>
                <c:pt idx="209">
                  <c:v>42977</c:v>
                </c:pt>
                <c:pt idx="210">
                  <c:v>42978</c:v>
                </c:pt>
                <c:pt idx="211">
                  <c:v>42979</c:v>
                </c:pt>
                <c:pt idx="212">
                  <c:v>42983</c:v>
                </c:pt>
                <c:pt idx="213">
                  <c:v>42984</c:v>
                </c:pt>
                <c:pt idx="214">
                  <c:v>42985</c:v>
                </c:pt>
                <c:pt idx="215">
                  <c:v>42986</c:v>
                </c:pt>
                <c:pt idx="216">
                  <c:v>42989</c:v>
                </c:pt>
                <c:pt idx="217">
                  <c:v>42990</c:v>
                </c:pt>
                <c:pt idx="218">
                  <c:v>42991</c:v>
                </c:pt>
                <c:pt idx="219">
                  <c:v>42992</c:v>
                </c:pt>
                <c:pt idx="220">
                  <c:v>42993</c:v>
                </c:pt>
                <c:pt idx="221">
                  <c:v>42996</c:v>
                </c:pt>
                <c:pt idx="222">
                  <c:v>42997</c:v>
                </c:pt>
                <c:pt idx="223">
                  <c:v>42998</c:v>
                </c:pt>
                <c:pt idx="224">
                  <c:v>42999</c:v>
                </c:pt>
                <c:pt idx="225">
                  <c:v>43000</c:v>
                </c:pt>
                <c:pt idx="226">
                  <c:v>43003</c:v>
                </c:pt>
                <c:pt idx="227">
                  <c:v>43004</c:v>
                </c:pt>
                <c:pt idx="228">
                  <c:v>43005</c:v>
                </c:pt>
                <c:pt idx="229">
                  <c:v>43006</c:v>
                </c:pt>
                <c:pt idx="230">
                  <c:v>43007</c:v>
                </c:pt>
                <c:pt idx="231">
                  <c:v>43010</c:v>
                </c:pt>
                <c:pt idx="232">
                  <c:v>43011</c:v>
                </c:pt>
                <c:pt idx="233">
                  <c:v>43012</c:v>
                </c:pt>
                <c:pt idx="234">
                  <c:v>43013</c:v>
                </c:pt>
                <c:pt idx="235">
                  <c:v>43014</c:v>
                </c:pt>
                <c:pt idx="236">
                  <c:v>43017</c:v>
                </c:pt>
                <c:pt idx="237">
                  <c:v>43018</c:v>
                </c:pt>
                <c:pt idx="238">
                  <c:v>43019</c:v>
                </c:pt>
                <c:pt idx="239">
                  <c:v>43020</c:v>
                </c:pt>
                <c:pt idx="240">
                  <c:v>43021</c:v>
                </c:pt>
                <c:pt idx="241">
                  <c:v>43024</c:v>
                </c:pt>
                <c:pt idx="242">
                  <c:v>43025</c:v>
                </c:pt>
                <c:pt idx="243">
                  <c:v>43026</c:v>
                </c:pt>
                <c:pt idx="244">
                  <c:v>43027</c:v>
                </c:pt>
                <c:pt idx="245">
                  <c:v>43028</c:v>
                </c:pt>
                <c:pt idx="246">
                  <c:v>43031</c:v>
                </c:pt>
                <c:pt idx="247">
                  <c:v>43032</c:v>
                </c:pt>
                <c:pt idx="248">
                  <c:v>43033</c:v>
                </c:pt>
                <c:pt idx="249">
                  <c:v>43034</c:v>
                </c:pt>
                <c:pt idx="250">
                  <c:v>43035</c:v>
                </c:pt>
                <c:pt idx="251">
                  <c:v>43038</c:v>
                </c:pt>
                <c:pt idx="252">
                  <c:v>43039</c:v>
                </c:pt>
                <c:pt idx="253">
                  <c:v>43040</c:v>
                </c:pt>
                <c:pt idx="254">
                  <c:v>43041</c:v>
                </c:pt>
                <c:pt idx="255">
                  <c:v>43042</c:v>
                </c:pt>
                <c:pt idx="256">
                  <c:v>43045</c:v>
                </c:pt>
                <c:pt idx="257">
                  <c:v>43046</c:v>
                </c:pt>
                <c:pt idx="258">
                  <c:v>43047</c:v>
                </c:pt>
                <c:pt idx="259">
                  <c:v>43048</c:v>
                </c:pt>
                <c:pt idx="260">
                  <c:v>43049</c:v>
                </c:pt>
                <c:pt idx="261">
                  <c:v>43052</c:v>
                </c:pt>
                <c:pt idx="262">
                  <c:v>43053</c:v>
                </c:pt>
                <c:pt idx="263">
                  <c:v>43054</c:v>
                </c:pt>
                <c:pt idx="264">
                  <c:v>43055</c:v>
                </c:pt>
                <c:pt idx="265">
                  <c:v>43056</c:v>
                </c:pt>
                <c:pt idx="266">
                  <c:v>43059</c:v>
                </c:pt>
                <c:pt idx="267">
                  <c:v>43060</c:v>
                </c:pt>
                <c:pt idx="268">
                  <c:v>43061</c:v>
                </c:pt>
                <c:pt idx="269">
                  <c:v>43063</c:v>
                </c:pt>
                <c:pt idx="270">
                  <c:v>43066</c:v>
                </c:pt>
                <c:pt idx="271">
                  <c:v>43067</c:v>
                </c:pt>
                <c:pt idx="272">
                  <c:v>43068</c:v>
                </c:pt>
                <c:pt idx="273">
                  <c:v>43069</c:v>
                </c:pt>
                <c:pt idx="274">
                  <c:v>43070</c:v>
                </c:pt>
                <c:pt idx="275">
                  <c:v>43073</c:v>
                </c:pt>
                <c:pt idx="276">
                  <c:v>43074</c:v>
                </c:pt>
                <c:pt idx="277">
                  <c:v>43075</c:v>
                </c:pt>
                <c:pt idx="278">
                  <c:v>43076</c:v>
                </c:pt>
                <c:pt idx="279">
                  <c:v>43077</c:v>
                </c:pt>
                <c:pt idx="280">
                  <c:v>43080</c:v>
                </c:pt>
                <c:pt idx="281">
                  <c:v>43081</c:v>
                </c:pt>
                <c:pt idx="282">
                  <c:v>43082</c:v>
                </c:pt>
                <c:pt idx="283">
                  <c:v>43083</c:v>
                </c:pt>
                <c:pt idx="284">
                  <c:v>43084</c:v>
                </c:pt>
                <c:pt idx="285">
                  <c:v>43087</c:v>
                </c:pt>
                <c:pt idx="286">
                  <c:v>43088</c:v>
                </c:pt>
                <c:pt idx="287">
                  <c:v>43089</c:v>
                </c:pt>
                <c:pt idx="288">
                  <c:v>43090</c:v>
                </c:pt>
                <c:pt idx="289">
                  <c:v>43091</c:v>
                </c:pt>
                <c:pt idx="290">
                  <c:v>43095</c:v>
                </c:pt>
                <c:pt idx="291">
                  <c:v>43096</c:v>
                </c:pt>
                <c:pt idx="292">
                  <c:v>43097</c:v>
                </c:pt>
                <c:pt idx="293">
                  <c:v>43098</c:v>
                </c:pt>
                <c:pt idx="294">
                  <c:v>43102</c:v>
                </c:pt>
                <c:pt idx="295">
                  <c:v>43103</c:v>
                </c:pt>
                <c:pt idx="296">
                  <c:v>43104</c:v>
                </c:pt>
                <c:pt idx="297">
                  <c:v>43105</c:v>
                </c:pt>
                <c:pt idx="298">
                  <c:v>43108</c:v>
                </c:pt>
                <c:pt idx="299">
                  <c:v>43109</c:v>
                </c:pt>
                <c:pt idx="300">
                  <c:v>43110</c:v>
                </c:pt>
                <c:pt idx="301">
                  <c:v>43111</c:v>
                </c:pt>
                <c:pt idx="302">
                  <c:v>43112</c:v>
                </c:pt>
                <c:pt idx="303">
                  <c:v>43116</c:v>
                </c:pt>
                <c:pt idx="304">
                  <c:v>43117</c:v>
                </c:pt>
                <c:pt idx="305">
                  <c:v>43118</c:v>
                </c:pt>
                <c:pt idx="306">
                  <c:v>43119</c:v>
                </c:pt>
                <c:pt idx="307">
                  <c:v>43122</c:v>
                </c:pt>
                <c:pt idx="308">
                  <c:v>43123</c:v>
                </c:pt>
                <c:pt idx="309">
                  <c:v>43124</c:v>
                </c:pt>
                <c:pt idx="310">
                  <c:v>43125</c:v>
                </c:pt>
                <c:pt idx="311">
                  <c:v>43126</c:v>
                </c:pt>
                <c:pt idx="312">
                  <c:v>43129</c:v>
                </c:pt>
                <c:pt idx="313">
                  <c:v>43130</c:v>
                </c:pt>
                <c:pt idx="314">
                  <c:v>43131</c:v>
                </c:pt>
                <c:pt idx="315">
                  <c:v>43132</c:v>
                </c:pt>
                <c:pt idx="316">
                  <c:v>43133</c:v>
                </c:pt>
                <c:pt idx="317">
                  <c:v>43136</c:v>
                </c:pt>
                <c:pt idx="318">
                  <c:v>43137</c:v>
                </c:pt>
                <c:pt idx="319">
                  <c:v>43138</c:v>
                </c:pt>
                <c:pt idx="320">
                  <c:v>43139</c:v>
                </c:pt>
                <c:pt idx="321">
                  <c:v>43140</c:v>
                </c:pt>
                <c:pt idx="322">
                  <c:v>43143</c:v>
                </c:pt>
                <c:pt idx="323">
                  <c:v>43144</c:v>
                </c:pt>
                <c:pt idx="324">
                  <c:v>43145</c:v>
                </c:pt>
                <c:pt idx="325">
                  <c:v>43146</c:v>
                </c:pt>
                <c:pt idx="326">
                  <c:v>43147</c:v>
                </c:pt>
                <c:pt idx="327">
                  <c:v>43151</c:v>
                </c:pt>
                <c:pt idx="328">
                  <c:v>43152</c:v>
                </c:pt>
                <c:pt idx="329">
                  <c:v>43153</c:v>
                </c:pt>
                <c:pt idx="330">
                  <c:v>43154</c:v>
                </c:pt>
                <c:pt idx="331">
                  <c:v>43157</c:v>
                </c:pt>
                <c:pt idx="332">
                  <c:v>43158</c:v>
                </c:pt>
                <c:pt idx="333">
                  <c:v>43159</c:v>
                </c:pt>
                <c:pt idx="334">
                  <c:v>43160</c:v>
                </c:pt>
                <c:pt idx="335">
                  <c:v>43161</c:v>
                </c:pt>
                <c:pt idx="336">
                  <c:v>43164</c:v>
                </c:pt>
                <c:pt idx="337">
                  <c:v>43165</c:v>
                </c:pt>
                <c:pt idx="338">
                  <c:v>43166</c:v>
                </c:pt>
                <c:pt idx="339">
                  <c:v>43167</c:v>
                </c:pt>
                <c:pt idx="340">
                  <c:v>43168</c:v>
                </c:pt>
                <c:pt idx="341">
                  <c:v>43171</c:v>
                </c:pt>
                <c:pt idx="342">
                  <c:v>43172</c:v>
                </c:pt>
                <c:pt idx="343">
                  <c:v>43173</c:v>
                </c:pt>
                <c:pt idx="344">
                  <c:v>43174</c:v>
                </c:pt>
                <c:pt idx="345">
                  <c:v>43175</c:v>
                </c:pt>
                <c:pt idx="346">
                  <c:v>43178</c:v>
                </c:pt>
                <c:pt idx="347">
                  <c:v>43179</c:v>
                </c:pt>
                <c:pt idx="348">
                  <c:v>43180</c:v>
                </c:pt>
                <c:pt idx="349">
                  <c:v>43181</c:v>
                </c:pt>
                <c:pt idx="350">
                  <c:v>43182</c:v>
                </c:pt>
                <c:pt idx="351">
                  <c:v>43185</c:v>
                </c:pt>
                <c:pt idx="352">
                  <c:v>43186</c:v>
                </c:pt>
                <c:pt idx="353">
                  <c:v>43187</c:v>
                </c:pt>
                <c:pt idx="354">
                  <c:v>43188</c:v>
                </c:pt>
                <c:pt idx="355">
                  <c:v>43192</c:v>
                </c:pt>
                <c:pt idx="356">
                  <c:v>43193</c:v>
                </c:pt>
                <c:pt idx="357">
                  <c:v>43194</c:v>
                </c:pt>
                <c:pt idx="358">
                  <c:v>43195</c:v>
                </c:pt>
                <c:pt idx="359">
                  <c:v>43196</c:v>
                </c:pt>
                <c:pt idx="360">
                  <c:v>43199</c:v>
                </c:pt>
                <c:pt idx="361">
                  <c:v>43200</c:v>
                </c:pt>
                <c:pt idx="362">
                  <c:v>43201</c:v>
                </c:pt>
                <c:pt idx="363">
                  <c:v>43202</c:v>
                </c:pt>
                <c:pt idx="364">
                  <c:v>43203</c:v>
                </c:pt>
                <c:pt idx="365">
                  <c:v>43206</c:v>
                </c:pt>
                <c:pt idx="366">
                  <c:v>43207</c:v>
                </c:pt>
                <c:pt idx="367">
                  <c:v>43208</c:v>
                </c:pt>
                <c:pt idx="368">
                  <c:v>43209</c:v>
                </c:pt>
                <c:pt idx="369">
                  <c:v>43210</c:v>
                </c:pt>
                <c:pt idx="370">
                  <c:v>43213</c:v>
                </c:pt>
                <c:pt idx="371">
                  <c:v>43214</c:v>
                </c:pt>
                <c:pt idx="372">
                  <c:v>43215</c:v>
                </c:pt>
                <c:pt idx="373">
                  <c:v>43216</c:v>
                </c:pt>
                <c:pt idx="374">
                  <c:v>43217</c:v>
                </c:pt>
                <c:pt idx="375">
                  <c:v>43220</c:v>
                </c:pt>
                <c:pt idx="376">
                  <c:v>43221</c:v>
                </c:pt>
                <c:pt idx="377">
                  <c:v>43222</c:v>
                </c:pt>
                <c:pt idx="378">
                  <c:v>43223</c:v>
                </c:pt>
                <c:pt idx="379">
                  <c:v>43224</c:v>
                </c:pt>
                <c:pt idx="380">
                  <c:v>43227</c:v>
                </c:pt>
                <c:pt idx="381">
                  <c:v>43228</c:v>
                </c:pt>
                <c:pt idx="382">
                  <c:v>43229</c:v>
                </c:pt>
                <c:pt idx="383">
                  <c:v>43230</c:v>
                </c:pt>
                <c:pt idx="384">
                  <c:v>43231</c:v>
                </c:pt>
                <c:pt idx="385">
                  <c:v>43234</c:v>
                </c:pt>
                <c:pt idx="386">
                  <c:v>43235</c:v>
                </c:pt>
                <c:pt idx="387">
                  <c:v>43236</c:v>
                </c:pt>
                <c:pt idx="388">
                  <c:v>43237</c:v>
                </c:pt>
                <c:pt idx="389">
                  <c:v>43238</c:v>
                </c:pt>
                <c:pt idx="390">
                  <c:v>43241</c:v>
                </c:pt>
                <c:pt idx="391">
                  <c:v>43242</c:v>
                </c:pt>
                <c:pt idx="392">
                  <c:v>43243</c:v>
                </c:pt>
                <c:pt idx="393">
                  <c:v>43244</c:v>
                </c:pt>
                <c:pt idx="394">
                  <c:v>43245</c:v>
                </c:pt>
                <c:pt idx="395">
                  <c:v>43249</c:v>
                </c:pt>
                <c:pt idx="396">
                  <c:v>43250</c:v>
                </c:pt>
                <c:pt idx="397">
                  <c:v>43251</c:v>
                </c:pt>
                <c:pt idx="398">
                  <c:v>43252</c:v>
                </c:pt>
                <c:pt idx="399">
                  <c:v>43255</c:v>
                </c:pt>
                <c:pt idx="400">
                  <c:v>43256</c:v>
                </c:pt>
                <c:pt idx="401">
                  <c:v>43257</c:v>
                </c:pt>
                <c:pt idx="402">
                  <c:v>43258</c:v>
                </c:pt>
                <c:pt idx="403">
                  <c:v>43259</c:v>
                </c:pt>
                <c:pt idx="404">
                  <c:v>43262</c:v>
                </c:pt>
                <c:pt idx="405">
                  <c:v>43263</c:v>
                </c:pt>
                <c:pt idx="406">
                  <c:v>43264</c:v>
                </c:pt>
                <c:pt idx="407">
                  <c:v>43265</c:v>
                </c:pt>
                <c:pt idx="408">
                  <c:v>43266</c:v>
                </c:pt>
                <c:pt idx="409">
                  <c:v>43269</c:v>
                </c:pt>
                <c:pt idx="410">
                  <c:v>43270</c:v>
                </c:pt>
                <c:pt idx="411">
                  <c:v>43271</c:v>
                </c:pt>
                <c:pt idx="412">
                  <c:v>43272</c:v>
                </c:pt>
                <c:pt idx="413">
                  <c:v>43273</c:v>
                </c:pt>
                <c:pt idx="414">
                  <c:v>43276</c:v>
                </c:pt>
                <c:pt idx="415">
                  <c:v>43277</c:v>
                </c:pt>
                <c:pt idx="416">
                  <c:v>43278</c:v>
                </c:pt>
                <c:pt idx="417">
                  <c:v>43279</c:v>
                </c:pt>
                <c:pt idx="418">
                  <c:v>43280</c:v>
                </c:pt>
                <c:pt idx="419">
                  <c:v>43283</c:v>
                </c:pt>
                <c:pt idx="420">
                  <c:v>43284</c:v>
                </c:pt>
                <c:pt idx="421">
                  <c:v>43286</c:v>
                </c:pt>
                <c:pt idx="422">
                  <c:v>43287</c:v>
                </c:pt>
                <c:pt idx="423">
                  <c:v>43290</c:v>
                </c:pt>
                <c:pt idx="424">
                  <c:v>43291</c:v>
                </c:pt>
                <c:pt idx="425">
                  <c:v>43292</c:v>
                </c:pt>
                <c:pt idx="426">
                  <c:v>43293</c:v>
                </c:pt>
                <c:pt idx="427">
                  <c:v>43294</c:v>
                </c:pt>
                <c:pt idx="428">
                  <c:v>43297</c:v>
                </c:pt>
                <c:pt idx="429">
                  <c:v>43298</c:v>
                </c:pt>
                <c:pt idx="430">
                  <c:v>43299</c:v>
                </c:pt>
                <c:pt idx="431">
                  <c:v>43300</c:v>
                </c:pt>
                <c:pt idx="432">
                  <c:v>43301</c:v>
                </c:pt>
                <c:pt idx="433">
                  <c:v>43304</c:v>
                </c:pt>
                <c:pt idx="434">
                  <c:v>43305</c:v>
                </c:pt>
                <c:pt idx="435">
                  <c:v>43306</c:v>
                </c:pt>
                <c:pt idx="436">
                  <c:v>43307</c:v>
                </c:pt>
                <c:pt idx="437">
                  <c:v>43308</c:v>
                </c:pt>
                <c:pt idx="438">
                  <c:v>43311</c:v>
                </c:pt>
                <c:pt idx="439">
                  <c:v>43312</c:v>
                </c:pt>
                <c:pt idx="440">
                  <c:v>43313</c:v>
                </c:pt>
                <c:pt idx="441">
                  <c:v>43314</c:v>
                </c:pt>
                <c:pt idx="442">
                  <c:v>43315</c:v>
                </c:pt>
                <c:pt idx="443">
                  <c:v>43318</c:v>
                </c:pt>
                <c:pt idx="444">
                  <c:v>43319</c:v>
                </c:pt>
                <c:pt idx="445">
                  <c:v>43320</c:v>
                </c:pt>
                <c:pt idx="446">
                  <c:v>43321</c:v>
                </c:pt>
                <c:pt idx="447">
                  <c:v>43322</c:v>
                </c:pt>
                <c:pt idx="448">
                  <c:v>43325</c:v>
                </c:pt>
                <c:pt idx="449">
                  <c:v>43326</c:v>
                </c:pt>
                <c:pt idx="450">
                  <c:v>43327</c:v>
                </c:pt>
                <c:pt idx="451">
                  <c:v>43328</c:v>
                </c:pt>
                <c:pt idx="452">
                  <c:v>43329</c:v>
                </c:pt>
                <c:pt idx="453">
                  <c:v>43332</c:v>
                </c:pt>
                <c:pt idx="454">
                  <c:v>43333</c:v>
                </c:pt>
                <c:pt idx="455">
                  <c:v>43334</c:v>
                </c:pt>
                <c:pt idx="456">
                  <c:v>43335</c:v>
                </c:pt>
                <c:pt idx="457">
                  <c:v>43336</c:v>
                </c:pt>
                <c:pt idx="458">
                  <c:v>43339</c:v>
                </c:pt>
                <c:pt idx="459">
                  <c:v>43340</c:v>
                </c:pt>
                <c:pt idx="460">
                  <c:v>43341</c:v>
                </c:pt>
                <c:pt idx="461">
                  <c:v>43342</c:v>
                </c:pt>
                <c:pt idx="462">
                  <c:v>43343</c:v>
                </c:pt>
                <c:pt idx="463">
                  <c:v>43347</c:v>
                </c:pt>
                <c:pt idx="464">
                  <c:v>43348</c:v>
                </c:pt>
                <c:pt idx="465">
                  <c:v>43349</c:v>
                </c:pt>
                <c:pt idx="466">
                  <c:v>43350</c:v>
                </c:pt>
                <c:pt idx="467">
                  <c:v>43353</c:v>
                </c:pt>
                <c:pt idx="468">
                  <c:v>43354</c:v>
                </c:pt>
                <c:pt idx="469">
                  <c:v>43355</c:v>
                </c:pt>
                <c:pt idx="470">
                  <c:v>43356</c:v>
                </c:pt>
                <c:pt idx="471">
                  <c:v>43357</c:v>
                </c:pt>
                <c:pt idx="472">
                  <c:v>43360</c:v>
                </c:pt>
                <c:pt idx="473">
                  <c:v>43361</c:v>
                </c:pt>
                <c:pt idx="474">
                  <c:v>43362</c:v>
                </c:pt>
                <c:pt idx="475">
                  <c:v>43363</c:v>
                </c:pt>
                <c:pt idx="476">
                  <c:v>43364</c:v>
                </c:pt>
                <c:pt idx="477">
                  <c:v>43367</c:v>
                </c:pt>
                <c:pt idx="478">
                  <c:v>43368</c:v>
                </c:pt>
                <c:pt idx="479">
                  <c:v>43369</c:v>
                </c:pt>
                <c:pt idx="480">
                  <c:v>43370</c:v>
                </c:pt>
                <c:pt idx="481">
                  <c:v>43371</c:v>
                </c:pt>
                <c:pt idx="482">
                  <c:v>43374</c:v>
                </c:pt>
                <c:pt idx="483">
                  <c:v>43375</c:v>
                </c:pt>
                <c:pt idx="484">
                  <c:v>43376</c:v>
                </c:pt>
                <c:pt idx="485">
                  <c:v>43377</c:v>
                </c:pt>
                <c:pt idx="486">
                  <c:v>43378</c:v>
                </c:pt>
                <c:pt idx="487">
                  <c:v>43381</c:v>
                </c:pt>
                <c:pt idx="488">
                  <c:v>43382</c:v>
                </c:pt>
                <c:pt idx="489">
                  <c:v>43383</c:v>
                </c:pt>
                <c:pt idx="490">
                  <c:v>43384</c:v>
                </c:pt>
                <c:pt idx="491">
                  <c:v>43385</c:v>
                </c:pt>
                <c:pt idx="492">
                  <c:v>43388</c:v>
                </c:pt>
                <c:pt idx="493">
                  <c:v>43389</c:v>
                </c:pt>
                <c:pt idx="494">
                  <c:v>43390</c:v>
                </c:pt>
                <c:pt idx="495">
                  <c:v>43391</c:v>
                </c:pt>
                <c:pt idx="496">
                  <c:v>43392</c:v>
                </c:pt>
                <c:pt idx="497">
                  <c:v>43395</c:v>
                </c:pt>
                <c:pt idx="498">
                  <c:v>43396</c:v>
                </c:pt>
                <c:pt idx="499">
                  <c:v>43397</c:v>
                </c:pt>
                <c:pt idx="500">
                  <c:v>43398</c:v>
                </c:pt>
                <c:pt idx="501">
                  <c:v>43399</c:v>
                </c:pt>
                <c:pt idx="502">
                  <c:v>43402</c:v>
                </c:pt>
                <c:pt idx="503">
                  <c:v>43403</c:v>
                </c:pt>
                <c:pt idx="504">
                  <c:v>43404</c:v>
                </c:pt>
                <c:pt idx="505">
                  <c:v>43405</c:v>
                </c:pt>
                <c:pt idx="506">
                  <c:v>43406</c:v>
                </c:pt>
                <c:pt idx="507">
                  <c:v>43409</c:v>
                </c:pt>
                <c:pt idx="508">
                  <c:v>43410</c:v>
                </c:pt>
                <c:pt idx="509">
                  <c:v>43411</c:v>
                </c:pt>
                <c:pt idx="510">
                  <c:v>43412</c:v>
                </c:pt>
                <c:pt idx="511">
                  <c:v>43413</c:v>
                </c:pt>
                <c:pt idx="512">
                  <c:v>43416</c:v>
                </c:pt>
                <c:pt idx="513">
                  <c:v>43417</c:v>
                </c:pt>
                <c:pt idx="514">
                  <c:v>43418</c:v>
                </c:pt>
                <c:pt idx="515">
                  <c:v>43419</c:v>
                </c:pt>
                <c:pt idx="516">
                  <c:v>43420</c:v>
                </c:pt>
                <c:pt idx="517">
                  <c:v>43423</c:v>
                </c:pt>
                <c:pt idx="518">
                  <c:v>43424</c:v>
                </c:pt>
                <c:pt idx="519">
                  <c:v>43425</c:v>
                </c:pt>
                <c:pt idx="520">
                  <c:v>43427</c:v>
                </c:pt>
                <c:pt idx="521">
                  <c:v>43430</c:v>
                </c:pt>
                <c:pt idx="522">
                  <c:v>43431</c:v>
                </c:pt>
                <c:pt idx="523">
                  <c:v>43432</c:v>
                </c:pt>
                <c:pt idx="524">
                  <c:v>43433</c:v>
                </c:pt>
                <c:pt idx="525">
                  <c:v>43434</c:v>
                </c:pt>
                <c:pt idx="526">
                  <c:v>43437</c:v>
                </c:pt>
                <c:pt idx="527">
                  <c:v>43438</c:v>
                </c:pt>
                <c:pt idx="528">
                  <c:v>43440</c:v>
                </c:pt>
                <c:pt idx="529">
                  <c:v>43441</c:v>
                </c:pt>
                <c:pt idx="530">
                  <c:v>43444</c:v>
                </c:pt>
                <c:pt idx="531">
                  <c:v>43445</c:v>
                </c:pt>
                <c:pt idx="532">
                  <c:v>43446</c:v>
                </c:pt>
                <c:pt idx="533">
                  <c:v>43447</c:v>
                </c:pt>
                <c:pt idx="534">
                  <c:v>43448</c:v>
                </c:pt>
                <c:pt idx="535">
                  <c:v>43451</c:v>
                </c:pt>
                <c:pt idx="536">
                  <c:v>43452</c:v>
                </c:pt>
                <c:pt idx="537">
                  <c:v>43453</c:v>
                </c:pt>
                <c:pt idx="538">
                  <c:v>43454</c:v>
                </c:pt>
                <c:pt idx="539">
                  <c:v>43455</c:v>
                </c:pt>
                <c:pt idx="540">
                  <c:v>43458</c:v>
                </c:pt>
                <c:pt idx="541">
                  <c:v>43460</c:v>
                </c:pt>
                <c:pt idx="542">
                  <c:v>43461</c:v>
                </c:pt>
                <c:pt idx="543">
                  <c:v>43462</c:v>
                </c:pt>
                <c:pt idx="544">
                  <c:v>43465</c:v>
                </c:pt>
                <c:pt idx="545">
                  <c:v>43467</c:v>
                </c:pt>
                <c:pt idx="546">
                  <c:v>43468</c:v>
                </c:pt>
                <c:pt idx="547">
                  <c:v>43469</c:v>
                </c:pt>
                <c:pt idx="548">
                  <c:v>43472</c:v>
                </c:pt>
                <c:pt idx="549">
                  <c:v>43473</c:v>
                </c:pt>
                <c:pt idx="550">
                  <c:v>43474</c:v>
                </c:pt>
                <c:pt idx="551">
                  <c:v>43475</c:v>
                </c:pt>
                <c:pt idx="552">
                  <c:v>43476</c:v>
                </c:pt>
                <c:pt idx="553">
                  <c:v>43479</c:v>
                </c:pt>
                <c:pt idx="554">
                  <c:v>43480</c:v>
                </c:pt>
                <c:pt idx="555">
                  <c:v>43481</c:v>
                </c:pt>
                <c:pt idx="556">
                  <c:v>43482</c:v>
                </c:pt>
                <c:pt idx="557">
                  <c:v>43483</c:v>
                </c:pt>
                <c:pt idx="558">
                  <c:v>43487</c:v>
                </c:pt>
                <c:pt idx="559">
                  <c:v>43488</c:v>
                </c:pt>
                <c:pt idx="560">
                  <c:v>43489</c:v>
                </c:pt>
                <c:pt idx="561">
                  <c:v>43490</c:v>
                </c:pt>
                <c:pt idx="562">
                  <c:v>43493</c:v>
                </c:pt>
                <c:pt idx="563">
                  <c:v>43494</c:v>
                </c:pt>
                <c:pt idx="564">
                  <c:v>43495</c:v>
                </c:pt>
                <c:pt idx="565">
                  <c:v>43496</c:v>
                </c:pt>
                <c:pt idx="566">
                  <c:v>43497</c:v>
                </c:pt>
                <c:pt idx="567">
                  <c:v>43500</c:v>
                </c:pt>
                <c:pt idx="568">
                  <c:v>43501</c:v>
                </c:pt>
                <c:pt idx="569">
                  <c:v>43502</c:v>
                </c:pt>
                <c:pt idx="570">
                  <c:v>43503</c:v>
                </c:pt>
                <c:pt idx="571">
                  <c:v>43504</c:v>
                </c:pt>
                <c:pt idx="572">
                  <c:v>43507</c:v>
                </c:pt>
                <c:pt idx="573">
                  <c:v>43508</c:v>
                </c:pt>
                <c:pt idx="574">
                  <c:v>43509</c:v>
                </c:pt>
                <c:pt idx="575">
                  <c:v>43510</c:v>
                </c:pt>
                <c:pt idx="576">
                  <c:v>43511</c:v>
                </c:pt>
                <c:pt idx="577">
                  <c:v>43515</c:v>
                </c:pt>
                <c:pt idx="578">
                  <c:v>43516</c:v>
                </c:pt>
                <c:pt idx="579">
                  <c:v>43517</c:v>
                </c:pt>
                <c:pt idx="580">
                  <c:v>43518</c:v>
                </c:pt>
                <c:pt idx="581">
                  <c:v>43521</c:v>
                </c:pt>
                <c:pt idx="582">
                  <c:v>43522</c:v>
                </c:pt>
                <c:pt idx="583">
                  <c:v>43523</c:v>
                </c:pt>
                <c:pt idx="584">
                  <c:v>43524</c:v>
                </c:pt>
                <c:pt idx="585">
                  <c:v>43525</c:v>
                </c:pt>
                <c:pt idx="586">
                  <c:v>43528</c:v>
                </c:pt>
                <c:pt idx="587">
                  <c:v>43529</c:v>
                </c:pt>
                <c:pt idx="588">
                  <c:v>43530</c:v>
                </c:pt>
                <c:pt idx="589">
                  <c:v>43531</c:v>
                </c:pt>
                <c:pt idx="590">
                  <c:v>43532</c:v>
                </c:pt>
                <c:pt idx="591">
                  <c:v>43535</c:v>
                </c:pt>
                <c:pt idx="592">
                  <c:v>43536</c:v>
                </c:pt>
                <c:pt idx="593">
                  <c:v>43537</c:v>
                </c:pt>
                <c:pt idx="594">
                  <c:v>43538</c:v>
                </c:pt>
                <c:pt idx="595">
                  <c:v>43539</c:v>
                </c:pt>
                <c:pt idx="596">
                  <c:v>43542</c:v>
                </c:pt>
                <c:pt idx="597">
                  <c:v>43543</c:v>
                </c:pt>
                <c:pt idx="598">
                  <c:v>43544</c:v>
                </c:pt>
                <c:pt idx="599">
                  <c:v>43545</c:v>
                </c:pt>
                <c:pt idx="600">
                  <c:v>43546</c:v>
                </c:pt>
                <c:pt idx="601">
                  <c:v>43549</c:v>
                </c:pt>
                <c:pt idx="602">
                  <c:v>43550</c:v>
                </c:pt>
                <c:pt idx="603">
                  <c:v>43551</c:v>
                </c:pt>
                <c:pt idx="604">
                  <c:v>43552</c:v>
                </c:pt>
                <c:pt idx="605">
                  <c:v>43553</c:v>
                </c:pt>
                <c:pt idx="606">
                  <c:v>43556</c:v>
                </c:pt>
                <c:pt idx="607">
                  <c:v>43557</c:v>
                </c:pt>
                <c:pt idx="608">
                  <c:v>43558</c:v>
                </c:pt>
                <c:pt idx="609">
                  <c:v>43559</c:v>
                </c:pt>
                <c:pt idx="610">
                  <c:v>43560</c:v>
                </c:pt>
                <c:pt idx="611">
                  <c:v>43563</c:v>
                </c:pt>
                <c:pt idx="612">
                  <c:v>43564</c:v>
                </c:pt>
                <c:pt idx="613">
                  <c:v>43565</c:v>
                </c:pt>
                <c:pt idx="614">
                  <c:v>43566</c:v>
                </c:pt>
                <c:pt idx="615">
                  <c:v>43567</c:v>
                </c:pt>
                <c:pt idx="616">
                  <c:v>43570</c:v>
                </c:pt>
                <c:pt idx="617">
                  <c:v>43571</c:v>
                </c:pt>
                <c:pt idx="618">
                  <c:v>43572</c:v>
                </c:pt>
                <c:pt idx="619">
                  <c:v>43573</c:v>
                </c:pt>
                <c:pt idx="620">
                  <c:v>43577</c:v>
                </c:pt>
                <c:pt idx="621">
                  <c:v>43578</c:v>
                </c:pt>
                <c:pt idx="622">
                  <c:v>43579</c:v>
                </c:pt>
                <c:pt idx="623">
                  <c:v>43580</c:v>
                </c:pt>
                <c:pt idx="624">
                  <c:v>43581</c:v>
                </c:pt>
                <c:pt idx="625">
                  <c:v>43584</c:v>
                </c:pt>
                <c:pt idx="626">
                  <c:v>43585</c:v>
                </c:pt>
                <c:pt idx="627">
                  <c:v>43586</c:v>
                </c:pt>
                <c:pt idx="628">
                  <c:v>43587</c:v>
                </c:pt>
                <c:pt idx="629">
                  <c:v>43588</c:v>
                </c:pt>
                <c:pt idx="630">
                  <c:v>43591</c:v>
                </c:pt>
                <c:pt idx="631">
                  <c:v>43592</c:v>
                </c:pt>
                <c:pt idx="632">
                  <c:v>43593</c:v>
                </c:pt>
                <c:pt idx="633">
                  <c:v>43594</c:v>
                </c:pt>
                <c:pt idx="634">
                  <c:v>43595</c:v>
                </c:pt>
                <c:pt idx="635">
                  <c:v>43598</c:v>
                </c:pt>
                <c:pt idx="636">
                  <c:v>43599</c:v>
                </c:pt>
                <c:pt idx="637">
                  <c:v>43600</c:v>
                </c:pt>
                <c:pt idx="638">
                  <c:v>43601</c:v>
                </c:pt>
                <c:pt idx="639">
                  <c:v>43602</c:v>
                </c:pt>
                <c:pt idx="640">
                  <c:v>43605</c:v>
                </c:pt>
                <c:pt idx="641">
                  <c:v>43606</c:v>
                </c:pt>
                <c:pt idx="642">
                  <c:v>43607</c:v>
                </c:pt>
                <c:pt idx="643">
                  <c:v>43608</c:v>
                </c:pt>
                <c:pt idx="644">
                  <c:v>43609</c:v>
                </c:pt>
                <c:pt idx="645">
                  <c:v>43613</c:v>
                </c:pt>
                <c:pt idx="646">
                  <c:v>43614</c:v>
                </c:pt>
                <c:pt idx="647">
                  <c:v>43615</c:v>
                </c:pt>
                <c:pt idx="648">
                  <c:v>43616</c:v>
                </c:pt>
                <c:pt idx="649">
                  <c:v>43619</c:v>
                </c:pt>
                <c:pt idx="650">
                  <c:v>43620</c:v>
                </c:pt>
                <c:pt idx="651">
                  <c:v>43621</c:v>
                </c:pt>
                <c:pt idx="652">
                  <c:v>43622</c:v>
                </c:pt>
                <c:pt idx="653">
                  <c:v>43623</c:v>
                </c:pt>
                <c:pt idx="654">
                  <c:v>43626</c:v>
                </c:pt>
                <c:pt idx="655">
                  <c:v>43627</c:v>
                </c:pt>
                <c:pt idx="656">
                  <c:v>43628</c:v>
                </c:pt>
                <c:pt idx="657">
                  <c:v>43629</c:v>
                </c:pt>
                <c:pt idx="658">
                  <c:v>43630</c:v>
                </c:pt>
                <c:pt idx="659">
                  <c:v>43633</c:v>
                </c:pt>
                <c:pt idx="660">
                  <c:v>43634</c:v>
                </c:pt>
                <c:pt idx="661">
                  <c:v>43635</c:v>
                </c:pt>
                <c:pt idx="662">
                  <c:v>43636</c:v>
                </c:pt>
                <c:pt idx="663">
                  <c:v>43637</c:v>
                </c:pt>
                <c:pt idx="664">
                  <c:v>43640</c:v>
                </c:pt>
                <c:pt idx="665">
                  <c:v>43641</c:v>
                </c:pt>
                <c:pt idx="666">
                  <c:v>43642</c:v>
                </c:pt>
                <c:pt idx="667">
                  <c:v>43643</c:v>
                </c:pt>
                <c:pt idx="668">
                  <c:v>43644</c:v>
                </c:pt>
                <c:pt idx="669">
                  <c:v>43647</c:v>
                </c:pt>
                <c:pt idx="670">
                  <c:v>43648</c:v>
                </c:pt>
                <c:pt idx="671">
                  <c:v>43649</c:v>
                </c:pt>
                <c:pt idx="672">
                  <c:v>43651</c:v>
                </c:pt>
                <c:pt idx="673">
                  <c:v>43654</c:v>
                </c:pt>
                <c:pt idx="674">
                  <c:v>43655</c:v>
                </c:pt>
                <c:pt idx="675">
                  <c:v>43656</c:v>
                </c:pt>
                <c:pt idx="676">
                  <c:v>43657</c:v>
                </c:pt>
                <c:pt idx="677">
                  <c:v>43658</c:v>
                </c:pt>
                <c:pt idx="678">
                  <c:v>43661</c:v>
                </c:pt>
                <c:pt idx="679">
                  <c:v>43662</c:v>
                </c:pt>
                <c:pt idx="680">
                  <c:v>43663</c:v>
                </c:pt>
                <c:pt idx="681">
                  <c:v>43664</c:v>
                </c:pt>
                <c:pt idx="682">
                  <c:v>43665</c:v>
                </c:pt>
                <c:pt idx="683">
                  <c:v>43668</c:v>
                </c:pt>
                <c:pt idx="684">
                  <c:v>43669</c:v>
                </c:pt>
                <c:pt idx="685">
                  <c:v>43670</c:v>
                </c:pt>
                <c:pt idx="686">
                  <c:v>43671</c:v>
                </c:pt>
                <c:pt idx="687">
                  <c:v>43672</c:v>
                </c:pt>
                <c:pt idx="688">
                  <c:v>43675</c:v>
                </c:pt>
                <c:pt idx="689">
                  <c:v>43676</c:v>
                </c:pt>
                <c:pt idx="690">
                  <c:v>43677</c:v>
                </c:pt>
                <c:pt idx="691">
                  <c:v>43678</c:v>
                </c:pt>
                <c:pt idx="692">
                  <c:v>43679</c:v>
                </c:pt>
                <c:pt idx="693">
                  <c:v>43682</c:v>
                </c:pt>
                <c:pt idx="694">
                  <c:v>43683</c:v>
                </c:pt>
                <c:pt idx="695">
                  <c:v>43684</c:v>
                </c:pt>
                <c:pt idx="696">
                  <c:v>43685</c:v>
                </c:pt>
                <c:pt idx="697">
                  <c:v>43686</c:v>
                </c:pt>
                <c:pt idx="698">
                  <c:v>43689</c:v>
                </c:pt>
                <c:pt idx="699">
                  <c:v>43690</c:v>
                </c:pt>
                <c:pt idx="700">
                  <c:v>43691</c:v>
                </c:pt>
                <c:pt idx="701">
                  <c:v>43692</c:v>
                </c:pt>
                <c:pt idx="702">
                  <c:v>43693</c:v>
                </c:pt>
                <c:pt idx="703">
                  <c:v>43696</c:v>
                </c:pt>
                <c:pt idx="704">
                  <c:v>43697</c:v>
                </c:pt>
                <c:pt idx="705">
                  <c:v>43698</c:v>
                </c:pt>
                <c:pt idx="706">
                  <c:v>43699</c:v>
                </c:pt>
                <c:pt idx="707">
                  <c:v>43700</c:v>
                </c:pt>
                <c:pt idx="708">
                  <c:v>43703</c:v>
                </c:pt>
                <c:pt idx="709">
                  <c:v>43704</c:v>
                </c:pt>
                <c:pt idx="710">
                  <c:v>43705</c:v>
                </c:pt>
                <c:pt idx="711">
                  <c:v>43706</c:v>
                </c:pt>
                <c:pt idx="712">
                  <c:v>43707</c:v>
                </c:pt>
                <c:pt idx="713">
                  <c:v>43711</c:v>
                </c:pt>
                <c:pt idx="714">
                  <c:v>43712</c:v>
                </c:pt>
                <c:pt idx="715">
                  <c:v>43713</c:v>
                </c:pt>
                <c:pt idx="716">
                  <c:v>43714</c:v>
                </c:pt>
                <c:pt idx="717">
                  <c:v>43717</c:v>
                </c:pt>
                <c:pt idx="718">
                  <c:v>43718</c:v>
                </c:pt>
                <c:pt idx="719">
                  <c:v>43719</c:v>
                </c:pt>
                <c:pt idx="720">
                  <c:v>43720</c:v>
                </c:pt>
                <c:pt idx="721">
                  <c:v>43721</c:v>
                </c:pt>
                <c:pt idx="722">
                  <c:v>43724</c:v>
                </c:pt>
                <c:pt idx="723">
                  <c:v>43725</c:v>
                </c:pt>
                <c:pt idx="724">
                  <c:v>43726</c:v>
                </c:pt>
                <c:pt idx="725">
                  <c:v>43727</c:v>
                </c:pt>
                <c:pt idx="726">
                  <c:v>43728</c:v>
                </c:pt>
                <c:pt idx="727">
                  <c:v>43731</c:v>
                </c:pt>
                <c:pt idx="728">
                  <c:v>43732</c:v>
                </c:pt>
                <c:pt idx="729">
                  <c:v>43733</c:v>
                </c:pt>
                <c:pt idx="730">
                  <c:v>43734</c:v>
                </c:pt>
                <c:pt idx="731">
                  <c:v>43735</c:v>
                </c:pt>
                <c:pt idx="732">
                  <c:v>43738</c:v>
                </c:pt>
                <c:pt idx="733">
                  <c:v>43739</c:v>
                </c:pt>
                <c:pt idx="734">
                  <c:v>43740</c:v>
                </c:pt>
                <c:pt idx="735">
                  <c:v>43741</c:v>
                </c:pt>
                <c:pt idx="736">
                  <c:v>43742</c:v>
                </c:pt>
                <c:pt idx="737">
                  <c:v>43745</c:v>
                </c:pt>
                <c:pt idx="738">
                  <c:v>43746</c:v>
                </c:pt>
                <c:pt idx="739">
                  <c:v>43747</c:v>
                </c:pt>
                <c:pt idx="740">
                  <c:v>43748</c:v>
                </c:pt>
                <c:pt idx="741">
                  <c:v>43749</c:v>
                </c:pt>
                <c:pt idx="742">
                  <c:v>43752</c:v>
                </c:pt>
                <c:pt idx="743">
                  <c:v>43753</c:v>
                </c:pt>
                <c:pt idx="744">
                  <c:v>43754</c:v>
                </c:pt>
                <c:pt idx="745">
                  <c:v>43755</c:v>
                </c:pt>
                <c:pt idx="746">
                  <c:v>43756</c:v>
                </c:pt>
                <c:pt idx="747">
                  <c:v>43759</c:v>
                </c:pt>
                <c:pt idx="748">
                  <c:v>43760</c:v>
                </c:pt>
                <c:pt idx="749">
                  <c:v>43761</c:v>
                </c:pt>
                <c:pt idx="750">
                  <c:v>43762</c:v>
                </c:pt>
                <c:pt idx="751">
                  <c:v>43763</c:v>
                </c:pt>
                <c:pt idx="752">
                  <c:v>43766</c:v>
                </c:pt>
                <c:pt idx="753">
                  <c:v>43767</c:v>
                </c:pt>
                <c:pt idx="754">
                  <c:v>43768</c:v>
                </c:pt>
                <c:pt idx="755">
                  <c:v>43769</c:v>
                </c:pt>
                <c:pt idx="756">
                  <c:v>43770</c:v>
                </c:pt>
                <c:pt idx="757">
                  <c:v>43773</c:v>
                </c:pt>
                <c:pt idx="758">
                  <c:v>43774</c:v>
                </c:pt>
                <c:pt idx="759">
                  <c:v>43775</c:v>
                </c:pt>
                <c:pt idx="760">
                  <c:v>43776</c:v>
                </c:pt>
                <c:pt idx="761">
                  <c:v>43777</c:v>
                </c:pt>
                <c:pt idx="762">
                  <c:v>43780</c:v>
                </c:pt>
                <c:pt idx="763">
                  <c:v>43781</c:v>
                </c:pt>
                <c:pt idx="764">
                  <c:v>43782</c:v>
                </c:pt>
                <c:pt idx="765">
                  <c:v>43783</c:v>
                </c:pt>
                <c:pt idx="766">
                  <c:v>43784</c:v>
                </c:pt>
                <c:pt idx="767">
                  <c:v>43787</c:v>
                </c:pt>
                <c:pt idx="768">
                  <c:v>43788</c:v>
                </c:pt>
                <c:pt idx="769">
                  <c:v>43789</c:v>
                </c:pt>
                <c:pt idx="770">
                  <c:v>43790</c:v>
                </c:pt>
                <c:pt idx="771">
                  <c:v>43791</c:v>
                </c:pt>
                <c:pt idx="772">
                  <c:v>43794</c:v>
                </c:pt>
                <c:pt idx="773">
                  <c:v>43795</c:v>
                </c:pt>
                <c:pt idx="774">
                  <c:v>43796</c:v>
                </c:pt>
                <c:pt idx="775">
                  <c:v>43798</c:v>
                </c:pt>
                <c:pt idx="776">
                  <c:v>43801</c:v>
                </c:pt>
                <c:pt idx="777">
                  <c:v>43802</c:v>
                </c:pt>
                <c:pt idx="778">
                  <c:v>43803</c:v>
                </c:pt>
                <c:pt idx="779">
                  <c:v>43804</c:v>
                </c:pt>
                <c:pt idx="780">
                  <c:v>43805</c:v>
                </c:pt>
                <c:pt idx="781">
                  <c:v>43808</c:v>
                </c:pt>
                <c:pt idx="782">
                  <c:v>43809</c:v>
                </c:pt>
                <c:pt idx="783">
                  <c:v>43810</c:v>
                </c:pt>
                <c:pt idx="784">
                  <c:v>43811</c:v>
                </c:pt>
                <c:pt idx="785">
                  <c:v>43812</c:v>
                </c:pt>
                <c:pt idx="786">
                  <c:v>43815</c:v>
                </c:pt>
                <c:pt idx="787">
                  <c:v>43816</c:v>
                </c:pt>
                <c:pt idx="788">
                  <c:v>43817</c:v>
                </c:pt>
                <c:pt idx="789">
                  <c:v>43818</c:v>
                </c:pt>
                <c:pt idx="790">
                  <c:v>43819</c:v>
                </c:pt>
                <c:pt idx="791">
                  <c:v>43822</c:v>
                </c:pt>
                <c:pt idx="792">
                  <c:v>43823</c:v>
                </c:pt>
                <c:pt idx="793">
                  <c:v>43825</c:v>
                </c:pt>
                <c:pt idx="794">
                  <c:v>43826</c:v>
                </c:pt>
                <c:pt idx="795">
                  <c:v>43829</c:v>
                </c:pt>
                <c:pt idx="796">
                  <c:v>43830</c:v>
                </c:pt>
                <c:pt idx="797">
                  <c:v>43832</c:v>
                </c:pt>
                <c:pt idx="798">
                  <c:v>43833</c:v>
                </c:pt>
                <c:pt idx="799">
                  <c:v>43836</c:v>
                </c:pt>
                <c:pt idx="800">
                  <c:v>43837</c:v>
                </c:pt>
                <c:pt idx="801">
                  <c:v>43838</c:v>
                </c:pt>
                <c:pt idx="802">
                  <c:v>43839</c:v>
                </c:pt>
                <c:pt idx="803">
                  <c:v>43840</c:v>
                </c:pt>
                <c:pt idx="804">
                  <c:v>43843</c:v>
                </c:pt>
                <c:pt idx="805">
                  <c:v>43844</c:v>
                </c:pt>
                <c:pt idx="806">
                  <c:v>43845</c:v>
                </c:pt>
                <c:pt idx="807">
                  <c:v>43846</c:v>
                </c:pt>
                <c:pt idx="808">
                  <c:v>43847</c:v>
                </c:pt>
                <c:pt idx="809">
                  <c:v>43851</c:v>
                </c:pt>
                <c:pt idx="810">
                  <c:v>43852</c:v>
                </c:pt>
                <c:pt idx="811">
                  <c:v>43853</c:v>
                </c:pt>
                <c:pt idx="812">
                  <c:v>43854</c:v>
                </c:pt>
                <c:pt idx="813">
                  <c:v>43857</c:v>
                </c:pt>
                <c:pt idx="814">
                  <c:v>43858</c:v>
                </c:pt>
                <c:pt idx="815">
                  <c:v>43859</c:v>
                </c:pt>
                <c:pt idx="816">
                  <c:v>43860</c:v>
                </c:pt>
                <c:pt idx="817">
                  <c:v>43861</c:v>
                </c:pt>
                <c:pt idx="818">
                  <c:v>43864</c:v>
                </c:pt>
                <c:pt idx="819">
                  <c:v>43865</c:v>
                </c:pt>
                <c:pt idx="820">
                  <c:v>43866</c:v>
                </c:pt>
                <c:pt idx="821">
                  <c:v>43867</c:v>
                </c:pt>
                <c:pt idx="822">
                  <c:v>43868</c:v>
                </c:pt>
                <c:pt idx="823">
                  <c:v>43871</c:v>
                </c:pt>
                <c:pt idx="824">
                  <c:v>43872</c:v>
                </c:pt>
                <c:pt idx="825">
                  <c:v>43873</c:v>
                </c:pt>
                <c:pt idx="826">
                  <c:v>43874</c:v>
                </c:pt>
                <c:pt idx="827">
                  <c:v>43875</c:v>
                </c:pt>
                <c:pt idx="828">
                  <c:v>43879</c:v>
                </c:pt>
                <c:pt idx="829">
                  <c:v>43880</c:v>
                </c:pt>
                <c:pt idx="830">
                  <c:v>43881</c:v>
                </c:pt>
                <c:pt idx="831">
                  <c:v>43882</c:v>
                </c:pt>
                <c:pt idx="832">
                  <c:v>43885</c:v>
                </c:pt>
                <c:pt idx="833">
                  <c:v>43886</c:v>
                </c:pt>
                <c:pt idx="834">
                  <c:v>43887</c:v>
                </c:pt>
                <c:pt idx="835">
                  <c:v>43888</c:v>
                </c:pt>
                <c:pt idx="836">
                  <c:v>43889</c:v>
                </c:pt>
                <c:pt idx="837">
                  <c:v>43892</c:v>
                </c:pt>
                <c:pt idx="838">
                  <c:v>43893</c:v>
                </c:pt>
                <c:pt idx="839">
                  <c:v>43894</c:v>
                </c:pt>
                <c:pt idx="840">
                  <c:v>43895</c:v>
                </c:pt>
                <c:pt idx="841">
                  <c:v>43896</c:v>
                </c:pt>
                <c:pt idx="842">
                  <c:v>43899</c:v>
                </c:pt>
                <c:pt idx="843">
                  <c:v>43900</c:v>
                </c:pt>
                <c:pt idx="844">
                  <c:v>43901</c:v>
                </c:pt>
                <c:pt idx="845">
                  <c:v>43902</c:v>
                </c:pt>
                <c:pt idx="846">
                  <c:v>43903</c:v>
                </c:pt>
                <c:pt idx="847">
                  <c:v>43906</c:v>
                </c:pt>
                <c:pt idx="848">
                  <c:v>43907</c:v>
                </c:pt>
                <c:pt idx="849">
                  <c:v>43908</c:v>
                </c:pt>
                <c:pt idx="850">
                  <c:v>43909</c:v>
                </c:pt>
                <c:pt idx="851">
                  <c:v>43910</c:v>
                </c:pt>
                <c:pt idx="852">
                  <c:v>43913</c:v>
                </c:pt>
                <c:pt idx="853">
                  <c:v>43914</c:v>
                </c:pt>
                <c:pt idx="854">
                  <c:v>43915</c:v>
                </c:pt>
                <c:pt idx="855">
                  <c:v>43916</c:v>
                </c:pt>
                <c:pt idx="856">
                  <c:v>43917</c:v>
                </c:pt>
                <c:pt idx="857">
                  <c:v>43920</c:v>
                </c:pt>
                <c:pt idx="858">
                  <c:v>43921</c:v>
                </c:pt>
                <c:pt idx="859">
                  <c:v>43922</c:v>
                </c:pt>
                <c:pt idx="860">
                  <c:v>43923</c:v>
                </c:pt>
                <c:pt idx="861">
                  <c:v>43924</c:v>
                </c:pt>
                <c:pt idx="862">
                  <c:v>43927</c:v>
                </c:pt>
                <c:pt idx="863">
                  <c:v>43928</c:v>
                </c:pt>
                <c:pt idx="864">
                  <c:v>43929</c:v>
                </c:pt>
                <c:pt idx="865">
                  <c:v>43930</c:v>
                </c:pt>
                <c:pt idx="866">
                  <c:v>43934</c:v>
                </c:pt>
                <c:pt idx="867">
                  <c:v>43935</c:v>
                </c:pt>
                <c:pt idx="868">
                  <c:v>43936</c:v>
                </c:pt>
                <c:pt idx="869">
                  <c:v>43937</c:v>
                </c:pt>
                <c:pt idx="870">
                  <c:v>43938</c:v>
                </c:pt>
                <c:pt idx="871">
                  <c:v>43941</c:v>
                </c:pt>
                <c:pt idx="872">
                  <c:v>43942</c:v>
                </c:pt>
                <c:pt idx="873">
                  <c:v>43943</c:v>
                </c:pt>
                <c:pt idx="874">
                  <c:v>43944</c:v>
                </c:pt>
                <c:pt idx="875">
                  <c:v>43945</c:v>
                </c:pt>
                <c:pt idx="876">
                  <c:v>43948</c:v>
                </c:pt>
                <c:pt idx="877">
                  <c:v>43949</c:v>
                </c:pt>
                <c:pt idx="878">
                  <c:v>43950</c:v>
                </c:pt>
                <c:pt idx="879">
                  <c:v>43951</c:v>
                </c:pt>
                <c:pt idx="880">
                  <c:v>43952</c:v>
                </c:pt>
                <c:pt idx="881">
                  <c:v>43955</c:v>
                </c:pt>
                <c:pt idx="882">
                  <c:v>43956</c:v>
                </c:pt>
                <c:pt idx="883">
                  <c:v>43957</c:v>
                </c:pt>
                <c:pt idx="884">
                  <c:v>43958</c:v>
                </c:pt>
                <c:pt idx="885">
                  <c:v>43959</c:v>
                </c:pt>
                <c:pt idx="886">
                  <c:v>43962</c:v>
                </c:pt>
                <c:pt idx="887">
                  <c:v>43963</c:v>
                </c:pt>
                <c:pt idx="888">
                  <c:v>43964</c:v>
                </c:pt>
                <c:pt idx="889">
                  <c:v>43965</c:v>
                </c:pt>
                <c:pt idx="890">
                  <c:v>43966</c:v>
                </c:pt>
                <c:pt idx="891">
                  <c:v>43969</c:v>
                </c:pt>
                <c:pt idx="892">
                  <c:v>43970</c:v>
                </c:pt>
                <c:pt idx="893">
                  <c:v>43971</c:v>
                </c:pt>
                <c:pt idx="894">
                  <c:v>43972</c:v>
                </c:pt>
                <c:pt idx="895">
                  <c:v>43973</c:v>
                </c:pt>
                <c:pt idx="896">
                  <c:v>43977</c:v>
                </c:pt>
                <c:pt idx="897">
                  <c:v>43978</c:v>
                </c:pt>
                <c:pt idx="898">
                  <c:v>43979</c:v>
                </c:pt>
                <c:pt idx="899">
                  <c:v>43980</c:v>
                </c:pt>
                <c:pt idx="900">
                  <c:v>43983</c:v>
                </c:pt>
                <c:pt idx="901">
                  <c:v>43984</c:v>
                </c:pt>
                <c:pt idx="902">
                  <c:v>43985</c:v>
                </c:pt>
                <c:pt idx="903">
                  <c:v>43986</c:v>
                </c:pt>
                <c:pt idx="904">
                  <c:v>43987</c:v>
                </c:pt>
                <c:pt idx="905">
                  <c:v>43990</c:v>
                </c:pt>
                <c:pt idx="906">
                  <c:v>43991</c:v>
                </c:pt>
                <c:pt idx="907">
                  <c:v>43992</c:v>
                </c:pt>
                <c:pt idx="908">
                  <c:v>43993</c:v>
                </c:pt>
                <c:pt idx="909">
                  <c:v>43994</c:v>
                </c:pt>
                <c:pt idx="910">
                  <c:v>43997</c:v>
                </c:pt>
                <c:pt idx="911">
                  <c:v>43998</c:v>
                </c:pt>
                <c:pt idx="912">
                  <c:v>43999</c:v>
                </c:pt>
                <c:pt idx="913">
                  <c:v>44000</c:v>
                </c:pt>
                <c:pt idx="914">
                  <c:v>44001</c:v>
                </c:pt>
                <c:pt idx="915">
                  <c:v>44004</c:v>
                </c:pt>
                <c:pt idx="916">
                  <c:v>44005</c:v>
                </c:pt>
                <c:pt idx="917">
                  <c:v>44006</c:v>
                </c:pt>
                <c:pt idx="918">
                  <c:v>44007</c:v>
                </c:pt>
                <c:pt idx="919">
                  <c:v>44008</c:v>
                </c:pt>
                <c:pt idx="920">
                  <c:v>44011</c:v>
                </c:pt>
                <c:pt idx="921">
                  <c:v>44012</c:v>
                </c:pt>
                <c:pt idx="922">
                  <c:v>44013</c:v>
                </c:pt>
                <c:pt idx="923">
                  <c:v>44014</c:v>
                </c:pt>
                <c:pt idx="924">
                  <c:v>44018</c:v>
                </c:pt>
                <c:pt idx="925">
                  <c:v>44019</c:v>
                </c:pt>
                <c:pt idx="926">
                  <c:v>44020</c:v>
                </c:pt>
                <c:pt idx="927">
                  <c:v>44021</c:v>
                </c:pt>
                <c:pt idx="928">
                  <c:v>44022</c:v>
                </c:pt>
                <c:pt idx="929">
                  <c:v>44025</c:v>
                </c:pt>
                <c:pt idx="930">
                  <c:v>44026</c:v>
                </c:pt>
                <c:pt idx="931">
                  <c:v>44027</c:v>
                </c:pt>
                <c:pt idx="932">
                  <c:v>44028</c:v>
                </c:pt>
                <c:pt idx="933">
                  <c:v>44029</c:v>
                </c:pt>
                <c:pt idx="934">
                  <c:v>44032</c:v>
                </c:pt>
                <c:pt idx="935">
                  <c:v>44033</c:v>
                </c:pt>
                <c:pt idx="936">
                  <c:v>44034</c:v>
                </c:pt>
                <c:pt idx="937">
                  <c:v>44035</c:v>
                </c:pt>
                <c:pt idx="938">
                  <c:v>44036</c:v>
                </c:pt>
                <c:pt idx="939">
                  <c:v>44039</c:v>
                </c:pt>
                <c:pt idx="940">
                  <c:v>44040</c:v>
                </c:pt>
                <c:pt idx="941">
                  <c:v>44041</c:v>
                </c:pt>
                <c:pt idx="942">
                  <c:v>44042</c:v>
                </c:pt>
                <c:pt idx="943">
                  <c:v>44043</c:v>
                </c:pt>
                <c:pt idx="944">
                  <c:v>44046</c:v>
                </c:pt>
                <c:pt idx="945">
                  <c:v>44047</c:v>
                </c:pt>
                <c:pt idx="946">
                  <c:v>44048</c:v>
                </c:pt>
                <c:pt idx="947">
                  <c:v>44049</c:v>
                </c:pt>
                <c:pt idx="948">
                  <c:v>44050</c:v>
                </c:pt>
                <c:pt idx="949">
                  <c:v>44053</c:v>
                </c:pt>
                <c:pt idx="950">
                  <c:v>44054</c:v>
                </c:pt>
                <c:pt idx="951">
                  <c:v>44055</c:v>
                </c:pt>
                <c:pt idx="952">
                  <c:v>44056</c:v>
                </c:pt>
                <c:pt idx="953">
                  <c:v>44057</c:v>
                </c:pt>
                <c:pt idx="954">
                  <c:v>44060</c:v>
                </c:pt>
                <c:pt idx="955">
                  <c:v>44061</c:v>
                </c:pt>
                <c:pt idx="956">
                  <c:v>44062</c:v>
                </c:pt>
                <c:pt idx="957">
                  <c:v>44063</c:v>
                </c:pt>
                <c:pt idx="958">
                  <c:v>44064</c:v>
                </c:pt>
                <c:pt idx="959">
                  <c:v>44067</c:v>
                </c:pt>
                <c:pt idx="960">
                  <c:v>44068</c:v>
                </c:pt>
                <c:pt idx="961">
                  <c:v>44069</c:v>
                </c:pt>
                <c:pt idx="962">
                  <c:v>44070</c:v>
                </c:pt>
                <c:pt idx="963">
                  <c:v>44071</c:v>
                </c:pt>
                <c:pt idx="964">
                  <c:v>44074</c:v>
                </c:pt>
                <c:pt idx="965">
                  <c:v>44075</c:v>
                </c:pt>
                <c:pt idx="966">
                  <c:v>44076</c:v>
                </c:pt>
                <c:pt idx="967">
                  <c:v>44077</c:v>
                </c:pt>
                <c:pt idx="968">
                  <c:v>44078</c:v>
                </c:pt>
                <c:pt idx="969">
                  <c:v>44082</c:v>
                </c:pt>
                <c:pt idx="970">
                  <c:v>44083</c:v>
                </c:pt>
                <c:pt idx="971">
                  <c:v>44084</c:v>
                </c:pt>
                <c:pt idx="972">
                  <c:v>44085</c:v>
                </c:pt>
                <c:pt idx="973">
                  <c:v>44088</c:v>
                </c:pt>
                <c:pt idx="974">
                  <c:v>44089</c:v>
                </c:pt>
                <c:pt idx="975">
                  <c:v>44090</c:v>
                </c:pt>
                <c:pt idx="976">
                  <c:v>44091</c:v>
                </c:pt>
                <c:pt idx="977">
                  <c:v>44092</c:v>
                </c:pt>
                <c:pt idx="978">
                  <c:v>44095</c:v>
                </c:pt>
                <c:pt idx="979">
                  <c:v>44096</c:v>
                </c:pt>
                <c:pt idx="980">
                  <c:v>44097</c:v>
                </c:pt>
                <c:pt idx="981">
                  <c:v>44098</c:v>
                </c:pt>
                <c:pt idx="982">
                  <c:v>44099</c:v>
                </c:pt>
                <c:pt idx="983">
                  <c:v>44102</c:v>
                </c:pt>
                <c:pt idx="984">
                  <c:v>44103</c:v>
                </c:pt>
                <c:pt idx="985">
                  <c:v>44104</c:v>
                </c:pt>
                <c:pt idx="986">
                  <c:v>44105</c:v>
                </c:pt>
                <c:pt idx="987">
                  <c:v>44106</c:v>
                </c:pt>
                <c:pt idx="988">
                  <c:v>44109</c:v>
                </c:pt>
                <c:pt idx="989">
                  <c:v>44110</c:v>
                </c:pt>
                <c:pt idx="990">
                  <c:v>44111</c:v>
                </c:pt>
                <c:pt idx="991">
                  <c:v>44112</c:v>
                </c:pt>
                <c:pt idx="992">
                  <c:v>44113</c:v>
                </c:pt>
                <c:pt idx="993">
                  <c:v>44116</c:v>
                </c:pt>
                <c:pt idx="994">
                  <c:v>44117</c:v>
                </c:pt>
                <c:pt idx="995">
                  <c:v>44118</c:v>
                </c:pt>
                <c:pt idx="996">
                  <c:v>44119</c:v>
                </c:pt>
                <c:pt idx="997">
                  <c:v>44120</c:v>
                </c:pt>
                <c:pt idx="998">
                  <c:v>44123</c:v>
                </c:pt>
                <c:pt idx="999">
                  <c:v>44124</c:v>
                </c:pt>
                <c:pt idx="1000">
                  <c:v>44125</c:v>
                </c:pt>
                <c:pt idx="1001">
                  <c:v>44126</c:v>
                </c:pt>
                <c:pt idx="1002">
                  <c:v>44127</c:v>
                </c:pt>
                <c:pt idx="1003">
                  <c:v>44130</c:v>
                </c:pt>
                <c:pt idx="1004">
                  <c:v>44131</c:v>
                </c:pt>
                <c:pt idx="1005">
                  <c:v>44132</c:v>
                </c:pt>
                <c:pt idx="1006">
                  <c:v>44133</c:v>
                </c:pt>
                <c:pt idx="1007">
                  <c:v>44134</c:v>
                </c:pt>
                <c:pt idx="1008">
                  <c:v>44137</c:v>
                </c:pt>
                <c:pt idx="1009">
                  <c:v>44138</c:v>
                </c:pt>
                <c:pt idx="1010">
                  <c:v>44139</c:v>
                </c:pt>
                <c:pt idx="1011">
                  <c:v>44140</c:v>
                </c:pt>
                <c:pt idx="1012">
                  <c:v>44141</c:v>
                </c:pt>
                <c:pt idx="1013">
                  <c:v>44144</c:v>
                </c:pt>
                <c:pt idx="1014">
                  <c:v>44145</c:v>
                </c:pt>
                <c:pt idx="1015">
                  <c:v>44146</c:v>
                </c:pt>
                <c:pt idx="1016">
                  <c:v>44147</c:v>
                </c:pt>
                <c:pt idx="1017">
                  <c:v>44148</c:v>
                </c:pt>
                <c:pt idx="1018">
                  <c:v>44151</c:v>
                </c:pt>
                <c:pt idx="1019">
                  <c:v>44152</c:v>
                </c:pt>
                <c:pt idx="1020">
                  <c:v>44153</c:v>
                </c:pt>
                <c:pt idx="1021">
                  <c:v>44154</c:v>
                </c:pt>
                <c:pt idx="1022">
                  <c:v>44155</c:v>
                </c:pt>
                <c:pt idx="1023">
                  <c:v>44158</c:v>
                </c:pt>
                <c:pt idx="1024">
                  <c:v>44159</c:v>
                </c:pt>
                <c:pt idx="1025">
                  <c:v>44160</c:v>
                </c:pt>
                <c:pt idx="1026">
                  <c:v>44162</c:v>
                </c:pt>
                <c:pt idx="1027">
                  <c:v>44165</c:v>
                </c:pt>
                <c:pt idx="1028">
                  <c:v>44166</c:v>
                </c:pt>
                <c:pt idx="1029">
                  <c:v>44167</c:v>
                </c:pt>
                <c:pt idx="1030">
                  <c:v>44168</c:v>
                </c:pt>
                <c:pt idx="1031">
                  <c:v>44169</c:v>
                </c:pt>
                <c:pt idx="1032">
                  <c:v>44172</c:v>
                </c:pt>
                <c:pt idx="1033">
                  <c:v>44173</c:v>
                </c:pt>
                <c:pt idx="1034">
                  <c:v>44174</c:v>
                </c:pt>
                <c:pt idx="1035">
                  <c:v>44175</c:v>
                </c:pt>
                <c:pt idx="1036">
                  <c:v>44176</c:v>
                </c:pt>
                <c:pt idx="1037">
                  <c:v>44179</c:v>
                </c:pt>
                <c:pt idx="1038">
                  <c:v>44180</c:v>
                </c:pt>
                <c:pt idx="1039">
                  <c:v>44181</c:v>
                </c:pt>
                <c:pt idx="1040">
                  <c:v>44182</c:v>
                </c:pt>
                <c:pt idx="1041">
                  <c:v>44183</c:v>
                </c:pt>
                <c:pt idx="1042">
                  <c:v>44186</c:v>
                </c:pt>
                <c:pt idx="1043">
                  <c:v>44187</c:v>
                </c:pt>
                <c:pt idx="1044">
                  <c:v>44188</c:v>
                </c:pt>
                <c:pt idx="1045">
                  <c:v>44189</c:v>
                </c:pt>
                <c:pt idx="1046">
                  <c:v>44193</c:v>
                </c:pt>
                <c:pt idx="1047">
                  <c:v>44194</c:v>
                </c:pt>
                <c:pt idx="1048">
                  <c:v>44195</c:v>
                </c:pt>
                <c:pt idx="1049">
                  <c:v>44196</c:v>
                </c:pt>
                <c:pt idx="1050">
                  <c:v>44200</c:v>
                </c:pt>
                <c:pt idx="1051">
                  <c:v>44201</c:v>
                </c:pt>
                <c:pt idx="1052">
                  <c:v>44202</c:v>
                </c:pt>
                <c:pt idx="1053">
                  <c:v>44203</c:v>
                </c:pt>
                <c:pt idx="1054">
                  <c:v>44204</c:v>
                </c:pt>
                <c:pt idx="1055">
                  <c:v>44207</c:v>
                </c:pt>
                <c:pt idx="1056">
                  <c:v>44208</c:v>
                </c:pt>
                <c:pt idx="1057">
                  <c:v>44209</c:v>
                </c:pt>
                <c:pt idx="1058">
                  <c:v>44210</c:v>
                </c:pt>
                <c:pt idx="1059">
                  <c:v>44211</c:v>
                </c:pt>
                <c:pt idx="1060">
                  <c:v>44215</c:v>
                </c:pt>
                <c:pt idx="1061">
                  <c:v>44216</c:v>
                </c:pt>
                <c:pt idx="1062">
                  <c:v>44217</c:v>
                </c:pt>
                <c:pt idx="1063">
                  <c:v>44218</c:v>
                </c:pt>
                <c:pt idx="1064">
                  <c:v>44221</c:v>
                </c:pt>
                <c:pt idx="1065">
                  <c:v>44222</c:v>
                </c:pt>
                <c:pt idx="1066">
                  <c:v>44223</c:v>
                </c:pt>
                <c:pt idx="1067">
                  <c:v>44224</c:v>
                </c:pt>
                <c:pt idx="1068">
                  <c:v>44225</c:v>
                </c:pt>
                <c:pt idx="1069">
                  <c:v>44228</c:v>
                </c:pt>
                <c:pt idx="1070">
                  <c:v>44229</c:v>
                </c:pt>
                <c:pt idx="1071">
                  <c:v>44230</c:v>
                </c:pt>
                <c:pt idx="1072">
                  <c:v>44231</c:v>
                </c:pt>
                <c:pt idx="1073">
                  <c:v>44232</c:v>
                </c:pt>
                <c:pt idx="1074">
                  <c:v>44235</c:v>
                </c:pt>
                <c:pt idx="1075">
                  <c:v>44236</c:v>
                </c:pt>
                <c:pt idx="1076">
                  <c:v>44237</c:v>
                </c:pt>
                <c:pt idx="1077">
                  <c:v>44238</c:v>
                </c:pt>
                <c:pt idx="1078">
                  <c:v>44239</c:v>
                </c:pt>
                <c:pt idx="1079">
                  <c:v>44243</c:v>
                </c:pt>
                <c:pt idx="1080">
                  <c:v>44244</c:v>
                </c:pt>
                <c:pt idx="1081">
                  <c:v>44245</c:v>
                </c:pt>
                <c:pt idx="1082">
                  <c:v>44246</c:v>
                </c:pt>
                <c:pt idx="1083">
                  <c:v>44249</c:v>
                </c:pt>
                <c:pt idx="1084">
                  <c:v>44250</c:v>
                </c:pt>
                <c:pt idx="1085">
                  <c:v>44251</c:v>
                </c:pt>
                <c:pt idx="1086">
                  <c:v>44252</c:v>
                </c:pt>
                <c:pt idx="1087">
                  <c:v>44253</c:v>
                </c:pt>
                <c:pt idx="1088">
                  <c:v>44256</c:v>
                </c:pt>
                <c:pt idx="1089">
                  <c:v>44257</c:v>
                </c:pt>
                <c:pt idx="1090">
                  <c:v>44258</c:v>
                </c:pt>
                <c:pt idx="1091">
                  <c:v>44259</c:v>
                </c:pt>
                <c:pt idx="1092">
                  <c:v>44260</c:v>
                </c:pt>
                <c:pt idx="1093">
                  <c:v>44263</c:v>
                </c:pt>
                <c:pt idx="1094">
                  <c:v>44264</c:v>
                </c:pt>
                <c:pt idx="1095">
                  <c:v>44265</c:v>
                </c:pt>
                <c:pt idx="1096">
                  <c:v>44266</c:v>
                </c:pt>
                <c:pt idx="1097">
                  <c:v>44267</c:v>
                </c:pt>
                <c:pt idx="1098">
                  <c:v>44270</c:v>
                </c:pt>
                <c:pt idx="1099">
                  <c:v>44271</c:v>
                </c:pt>
                <c:pt idx="1100">
                  <c:v>44272</c:v>
                </c:pt>
                <c:pt idx="1101">
                  <c:v>44273</c:v>
                </c:pt>
                <c:pt idx="1102">
                  <c:v>44274</c:v>
                </c:pt>
                <c:pt idx="1103">
                  <c:v>44277</c:v>
                </c:pt>
                <c:pt idx="1104">
                  <c:v>44278</c:v>
                </c:pt>
                <c:pt idx="1105">
                  <c:v>44279</c:v>
                </c:pt>
                <c:pt idx="1106">
                  <c:v>44280</c:v>
                </c:pt>
                <c:pt idx="1107">
                  <c:v>44281</c:v>
                </c:pt>
                <c:pt idx="1108">
                  <c:v>44284</c:v>
                </c:pt>
                <c:pt idx="1109">
                  <c:v>44285</c:v>
                </c:pt>
                <c:pt idx="1110">
                  <c:v>44286</c:v>
                </c:pt>
                <c:pt idx="1111">
                  <c:v>44287</c:v>
                </c:pt>
                <c:pt idx="1112">
                  <c:v>44291</c:v>
                </c:pt>
                <c:pt idx="1113">
                  <c:v>44292</c:v>
                </c:pt>
                <c:pt idx="1114">
                  <c:v>44293</c:v>
                </c:pt>
                <c:pt idx="1115">
                  <c:v>44294</c:v>
                </c:pt>
                <c:pt idx="1116">
                  <c:v>44295</c:v>
                </c:pt>
                <c:pt idx="1117">
                  <c:v>44298</c:v>
                </c:pt>
                <c:pt idx="1118">
                  <c:v>44299</c:v>
                </c:pt>
                <c:pt idx="1119">
                  <c:v>44300</c:v>
                </c:pt>
                <c:pt idx="1120">
                  <c:v>44301</c:v>
                </c:pt>
                <c:pt idx="1121">
                  <c:v>44302</c:v>
                </c:pt>
                <c:pt idx="1122">
                  <c:v>44305</c:v>
                </c:pt>
                <c:pt idx="1123">
                  <c:v>44306</c:v>
                </c:pt>
                <c:pt idx="1124">
                  <c:v>44307</c:v>
                </c:pt>
                <c:pt idx="1125">
                  <c:v>44308</c:v>
                </c:pt>
                <c:pt idx="1126">
                  <c:v>44309</c:v>
                </c:pt>
                <c:pt idx="1127">
                  <c:v>44312</c:v>
                </c:pt>
                <c:pt idx="1128">
                  <c:v>44313</c:v>
                </c:pt>
                <c:pt idx="1129">
                  <c:v>44314</c:v>
                </c:pt>
                <c:pt idx="1130">
                  <c:v>44315</c:v>
                </c:pt>
                <c:pt idx="1131">
                  <c:v>44316</c:v>
                </c:pt>
                <c:pt idx="1132">
                  <c:v>44319</c:v>
                </c:pt>
                <c:pt idx="1133">
                  <c:v>44320</c:v>
                </c:pt>
                <c:pt idx="1134">
                  <c:v>44321</c:v>
                </c:pt>
                <c:pt idx="1135">
                  <c:v>44322</c:v>
                </c:pt>
                <c:pt idx="1136">
                  <c:v>44323</c:v>
                </c:pt>
                <c:pt idx="1137">
                  <c:v>44326</c:v>
                </c:pt>
                <c:pt idx="1138">
                  <c:v>44327</c:v>
                </c:pt>
                <c:pt idx="1139">
                  <c:v>44328</c:v>
                </c:pt>
                <c:pt idx="1140">
                  <c:v>44329</c:v>
                </c:pt>
                <c:pt idx="1141">
                  <c:v>44330</c:v>
                </c:pt>
                <c:pt idx="1142">
                  <c:v>44333</c:v>
                </c:pt>
                <c:pt idx="1143">
                  <c:v>44334</c:v>
                </c:pt>
                <c:pt idx="1144">
                  <c:v>44335</c:v>
                </c:pt>
                <c:pt idx="1145">
                  <c:v>44336</c:v>
                </c:pt>
                <c:pt idx="1146">
                  <c:v>44337</c:v>
                </c:pt>
                <c:pt idx="1147">
                  <c:v>44340</c:v>
                </c:pt>
                <c:pt idx="1148">
                  <c:v>44341</c:v>
                </c:pt>
                <c:pt idx="1149">
                  <c:v>44342</c:v>
                </c:pt>
                <c:pt idx="1150">
                  <c:v>44343</c:v>
                </c:pt>
                <c:pt idx="1151">
                  <c:v>44344</c:v>
                </c:pt>
                <c:pt idx="1152">
                  <c:v>44348</c:v>
                </c:pt>
                <c:pt idx="1153">
                  <c:v>44349</c:v>
                </c:pt>
                <c:pt idx="1154">
                  <c:v>44350</c:v>
                </c:pt>
                <c:pt idx="1155">
                  <c:v>44351</c:v>
                </c:pt>
                <c:pt idx="1156">
                  <c:v>44354</c:v>
                </c:pt>
                <c:pt idx="1157">
                  <c:v>44355</c:v>
                </c:pt>
                <c:pt idx="1158">
                  <c:v>44356</c:v>
                </c:pt>
                <c:pt idx="1159">
                  <c:v>44357</c:v>
                </c:pt>
                <c:pt idx="1160">
                  <c:v>44358</c:v>
                </c:pt>
                <c:pt idx="1161">
                  <c:v>44361</c:v>
                </c:pt>
                <c:pt idx="1162">
                  <c:v>44362</c:v>
                </c:pt>
                <c:pt idx="1163">
                  <c:v>44363</c:v>
                </c:pt>
                <c:pt idx="1164">
                  <c:v>44364</c:v>
                </c:pt>
                <c:pt idx="1165">
                  <c:v>44365</c:v>
                </c:pt>
                <c:pt idx="1166">
                  <c:v>44368</c:v>
                </c:pt>
                <c:pt idx="1167">
                  <c:v>44369</c:v>
                </c:pt>
                <c:pt idx="1168">
                  <c:v>44370</c:v>
                </c:pt>
                <c:pt idx="1169">
                  <c:v>44371</c:v>
                </c:pt>
                <c:pt idx="1170">
                  <c:v>44372</c:v>
                </c:pt>
                <c:pt idx="1171">
                  <c:v>44375</c:v>
                </c:pt>
                <c:pt idx="1172">
                  <c:v>44376</c:v>
                </c:pt>
                <c:pt idx="1173">
                  <c:v>44377</c:v>
                </c:pt>
                <c:pt idx="1174">
                  <c:v>44378</c:v>
                </c:pt>
                <c:pt idx="1175">
                  <c:v>44379</c:v>
                </c:pt>
                <c:pt idx="1176">
                  <c:v>44383</c:v>
                </c:pt>
                <c:pt idx="1177">
                  <c:v>44384</c:v>
                </c:pt>
                <c:pt idx="1178">
                  <c:v>44385</c:v>
                </c:pt>
                <c:pt idx="1179">
                  <c:v>44386</c:v>
                </c:pt>
                <c:pt idx="1180">
                  <c:v>44389</c:v>
                </c:pt>
                <c:pt idx="1181">
                  <c:v>44390</c:v>
                </c:pt>
                <c:pt idx="1182">
                  <c:v>44391</c:v>
                </c:pt>
                <c:pt idx="1183">
                  <c:v>44392</c:v>
                </c:pt>
                <c:pt idx="1184">
                  <c:v>44393</c:v>
                </c:pt>
                <c:pt idx="1185">
                  <c:v>44396</c:v>
                </c:pt>
                <c:pt idx="1186">
                  <c:v>44397</c:v>
                </c:pt>
                <c:pt idx="1187">
                  <c:v>44398</c:v>
                </c:pt>
                <c:pt idx="1188">
                  <c:v>44399</c:v>
                </c:pt>
                <c:pt idx="1189">
                  <c:v>44400</c:v>
                </c:pt>
                <c:pt idx="1190">
                  <c:v>44403</c:v>
                </c:pt>
                <c:pt idx="1191">
                  <c:v>44404</c:v>
                </c:pt>
                <c:pt idx="1192">
                  <c:v>44405</c:v>
                </c:pt>
                <c:pt idx="1193">
                  <c:v>44406</c:v>
                </c:pt>
                <c:pt idx="1194">
                  <c:v>44407</c:v>
                </c:pt>
                <c:pt idx="1195">
                  <c:v>44410</c:v>
                </c:pt>
                <c:pt idx="1196">
                  <c:v>44411</c:v>
                </c:pt>
                <c:pt idx="1197">
                  <c:v>44412</c:v>
                </c:pt>
                <c:pt idx="1198">
                  <c:v>44413</c:v>
                </c:pt>
                <c:pt idx="1199">
                  <c:v>44414</c:v>
                </c:pt>
                <c:pt idx="1200">
                  <c:v>44417</c:v>
                </c:pt>
                <c:pt idx="1201">
                  <c:v>44418</c:v>
                </c:pt>
                <c:pt idx="1202">
                  <c:v>44419</c:v>
                </c:pt>
                <c:pt idx="1203">
                  <c:v>44420</c:v>
                </c:pt>
                <c:pt idx="1204">
                  <c:v>44421</c:v>
                </c:pt>
                <c:pt idx="1205">
                  <c:v>44424</c:v>
                </c:pt>
                <c:pt idx="1206">
                  <c:v>44425</c:v>
                </c:pt>
                <c:pt idx="1207">
                  <c:v>44426</c:v>
                </c:pt>
                <c:pt idx="1208">
                  <c:v>44427</c:v>
                </c:pt>
                <c:pt idx="1209">
                  <c:v>44428</c:v>
                </c:pt>
                <c:pt idx="1210">
                  <c:v>44431</c:v>
                </c:pt>
                <c:pt idx="1211">
                  <c:v>44432</c:v>
                </c:pt>
                <c:pt idx="1212">
                  <c:v>44433</c:v>
                </c:pt>
                <c:pt idx="1213">
                  <c:v>44434</c:v>
                </c:pt>
                <c:pt idx="1214">
                  <c:v>44435</c:v>
                </c:pt>
                <c:pt idx="1215">
                  <c:v>44438</c:v>
                </c:pt>
                <c:pt idx="1216">
                  <c:v>44439</c:v>
                </c:pt>
                <c:pt idx="1217">
                  <c:v>44440</c:v>
                </c:pt>
                <c:pt idx="1218">
                  <c:v>44441</c:v>
                </c:pt>
                <c:pt idx="1219">
                  <c:v>44442</c:v>
                </c:pt>
                <c:pt idx="1220">
                  <c:v>44446</c:v>
                </c:pt>
                <c:pt idx="1221">
                  <c:v>44447</c:v>
                </c:pt>
                <c:pt idx="1222">
                  <c:v>44448</c:v>
                </c:pt>
                <c:pt idx="1223">
                  <c:v>44449</c:v>
                </c:pt>
                <c:pt idx="1224">
                  <c:v>44452</c:v>
                </c:pt>
                <c:pt idx="1225">
                  <c:v>44453</c:v>
                </c:pt>
                <c:pt idx="1226">
                  <c:v>44454</c:v>
                </c:pt>
                <c:pt idx="1227">
                  <c:v>44455</c:v>
                </c:pt>
                <c:pt idx="1228">
                  <c:v>44456</c:v>
                </c:pt>
                <c:pt idx="1229">
                  <c:v>44459</c:v>
                </c:pt>
                <c:pt idx="1230">
                  <c:v>44460</c:v>
                </c:pt>
                <c:pt idx="1231">
                  <c:v>44461</c:v>
                </c:pt>
                <c:pt idx="1232">
                  <c:v>44462</c:v>
                </c:pt>
                <c:pt idx="1233">
                  <c:v>44463</c:v>
                </c:pt>
                <c:pt idx="1234">
                  <c:v>44466</c:v>
                </c:pt>
                <c:pt idx="1235">
                  <c:v>44467</c:v>
                </c:pt>
                <c:pt idx="1236">
                  <c:v>44468</c:v>
                </c:pt>
                <c:pt idx="1237">
                  <c:v>44469</c:v>
                </c:pt>
                <c:pt idx="1238">
                  <c:v>44470</c:v>
                </c:pt>
                <c:pt idx="1239">
                  <c:v>44473</c:v>
                </c:pt>
                <c:pt idx="1240">
                  <c:v>44474</c:v>
                </c:pt>
                <c:pt idx="1241">
                  <c:v>44475</c:v>
                </c:pt>
                <c:pt idx="1242">
                  <c:v>44476</c:v>
                </c:pt>
                <c:pt idx="1243">
                  <c:v>44477</c:v>
                </c:pt>
                <c:pt idx="1244">
                  <c:v>44480</c:v>
                </c:pt>
                <c:pt idx="1245">
                  <c:v>44481</c:v>
                </c:pt>
                <c:pt idx="1246">
                  <c:v>44482</c:v>
                </c:pt>
                <c:pt idx="1247">
                  <c:v>44483</c:v>
                </c:pt>
                <c:pt idx="1248">
                  <c:v>44484</c:v>
                </c:pt>
                <c:pt idx="1249">
                  <c:v>44487</c:v>
                </c:pt>
                <c:pt idx="1250">
                  <c:v>44488</c:v>
                </c:pt>
                <c:pt idx="1251">
                  <c:v>44489</c:v>
                </c:pt>
                <c:pt idx="1252">
                  <c:v>44490</c:v>
                </c:pt>
                <c:pt idx="1253">
                  <c:v>44491</c:v>
                </c:pt>
                <c:pt idx="1254">
                  <c:v>44494</c:v>
                </c:pt>
                <c:pt idx="1255">
                  <c:v>44495</c:v>
                </c:pt>
                <c:pt idx="1256">
                  <c:v>44496</c:v>
                </c:pt>
                <c:pt idx="1257">
                  <c:v>44497</c:v>
                </c:pt>
              </c:numCache>
            </c:numRef>
          </c:cat>
          <c:val>
            <c:numRef>
              <c:f>Beta!$G$7:$G$1264</c:f>
              <c:numCache>
                <c:formatCode>"$"#,##0.00</c:formatCode>
                <c:ptCount val="1258"/>
                <c:pt idx="0">
                  <c:v>100.82047300000001</c:v>
                </c:pt>
                <c:pt idx="1">
                  <c:v>99.169083000000001</c:v>
                </c:pt>
                <c:pt idx="2">
                  <c:v>99.302718999999996</c:v>
                </c:pt>
                <c:pt idx="3">
                  <c:v>97.154961</c:v>
                </c:pt>
                <c:pt idx="4">
                  <c:v>97.832695000000001</c:v>
                </c:pt>
                <c:pt idx="5">
                  <c:v>99.989990000000006</c:v>
                </c:pt>
                <c:pt idx="6">
                  <c:v>100.047264</c:v>
                </c:pt>
                <c:pt idx="7">
                  <c:v>98.959068000000002</c:v>
                </c:pt>
                <c:pt idx="8">
                  <c:v>96.792229000000006</c:v>
                </c:pt>
                <c:pt idx="9">
                  <c:v>95.694489000000004</c:v>
                </c:pt>
                <c:pt idx="10">
                  <c:v>94.692192000000006</c:v>
                </c:pt>
                <c:pt idx="11">
                  <c:v>95.474922000000007</c:v>
                </c:pt>
                <c:pt idx="12">
                  <c:v>96.124022999999994</c:v>
                </c:pt>
                <c:pt idx="13">
                  <c:v>97.899512999999999</c:v>
                </c:pt>
                <c:pt idx="14">
                  <c:v>99.837265000000002</c:v>
                </c:pt>
                <c:pt idx="15">
                  <c:v>100.314537</c:v>
                </c:pt>
                <c:pt idx="16">
                  <c:v>100.534088</c:v>
                </c:pt>
                <c:pt idx="17">
                  <c:v>100.32409699999999</c:v>
                </c:pt>
                <c:pt idx="18">
                  <c:v>99.407714999999996</c:v>
                </c:pt>
                <c:pt idx="19">
                  <c:v>98.920890999999997</c:v>
                </c:pt>
                <c:pt idx="20">
                  <c:v>99.073623999999995</c:v>
                </c:pt>
                <c:pt idx="21">
                  <c:v>98.443611000000004</c:v>
                </c:pt>
                <c:pt idx="22">
                  <c:v>95.446297000000001</c:v>
                </c:pt>
                <c:pt idx="23">
                  <c:v>95.245841999999996</c:v>
                </c:pt>
                <c:pt idx="24">
                  <c:v>98.243149000000003</c:v>
                </c:pt>
                <c:pt idx="25">
                  <c:v>98.042686000000003</c:v>
                </c:pt>
                <c:pt idx="26">
                  <c:v>98.844527999999997</c:v>
                </c:pt>
                <c:pt idx="27">
                  <c:v>98.424530000000004</c:v>
                </c:pt>
                <c:pt idx="28">
                  <c:v>97.994956999999999</c:v>
                </c:pt>
                <c:pt idx="29">
                  <c:v>98.224074999999999</c:v>
                </c:pt>
                <c:pt idx="30">
                  <c:v>99.884995000000004</c:v>
                </c:pt>
                <c:pt idx="31">
                  <c:v>98.920890999999997</c:v>
                </c:pt>
                <c:pt idx="32">
                  <c:v>100.257271</c:v>
                </c:pt>
                <c:pt idx="33">
                  <c:v>101.41229199999999</c:v>
                </c:pt>
                <c:pt idx="34">
                  <c:v>105.21144099999999</c:v>
                </c:pt>
                <c:pt idx="35">
                  <c:v>104.724609</c:v>
                </c:pt>
                <c:pt idx="36">
                  <c:v>105.049156</c:v>
                </c:pt>
                <c:pt idx="37">
                  <c:v>104.98234600000001</c:v>
                </c:pt>
                <c:pt idx="38">
                  <c:v>105.69826500000001</c:v>
                </c:pt>
                <c:pt idx="39">
                  <c:v>106.44280999999999</c:v>
                </c:pt>
                <c:pt idx="40">
                  <c:v>105.74597900000001</c:v>
                </c:pt>
                <c:pt idx="41">
                  <c:v>106.10871899999999</c:v>
                </c:pt>
                <c:pt idx="42">
                  <c:v>107.101456</c:v>
                </c:pt>
                <c:pt idx="43">
                  <c:v>105.430977</c:v>
                </c:pt>
                <c:pt idx="44">
                  <c:v>104.925056</c:v>
                </c:pt>
                <c:pt idx="45">
                  <c:v>106.185081</c:v>
                </c:pt>
                <c:pt idx="46">
                  <c:v>106.07053399999999</c:v>
                </c:pt>
                <c:pt idx="47">
                  <c:v>107.37827299999999</c:v>
                </c:pt>
                <c:pt idx="48">
                  <c:v>107.531021</c:v>
                </c:pt>
                <c:pt idx="49">
                  <c:v>108.32328800000001</c:v>
                </c:pt>
                <c:pt idx="50">
                  <c:v>109.55468</c:v>
                </c:pt>
                <c:pt idx="51">
                  <c:v>110.06059999999999</c:v>
                </c:pt>
                <c:pt idx="52">
                  <c:v>110.64286800000001</c:v>
                </c:pt>
                <c:pt idx="53">
                  <c:v>117.382057</c:v>
                </c:pt>
                <c:pt idx="54">
                  <c:v>116.322502</c:v>
                </c:pt>
                <c:pt idx="55">
                  <c:v>116.50386</c:v>
                </c:pt>
                <c:pt idx="56">
                  <c:v>116.61840100000001</c:v>
                </c:pt>
                <c:pt idx="57">
                  <c:v>116.98114</c:v>
                </c:pt>
                <c:pt idx="58">
                  <c:v>117.200684</c:v>
                </c:pt>
                <c:pt idx="59">
                  <c:v>115.625671</c:v>
                </c:pt>
                <c:pt idx="60">
                  <c:v>116.23658</c:v>
                </c:pt>
                <c:pt idx="61">
                  <c:v>116.179298</c:v>
                </c:pt>
                <c:pt idx="62">
                  <c:v>115.883392</c:v>
                </c:pt>
                <c:pt idx="63">
                  <c:v>115.79748499999999</c:v>
                </c:pt>
                <c:pt idx="64">
                  <c:v>117.162498</c:v>
                </c:pt>
                <c:pt idx="65">
                  <c:v>117.42023500000001</c:v>
                </c:pt>
                <c:pt idx="66">
                  <c:v>116.67568199999999</c:v>
                </c:pt>
                <c:pt idx="67">
                  <c:v>117.65888200000001</c:v>
                </c:pt>
                <c:pt idx="68">
                  <c:v>118.451149</c:v>
                </c:pt>
                <c:pt idx="69">
                  <c:v>118.86161</c:v>
                </c:pt>
                <c:pt idx="70">
                  <c:v>119.17662</c:v>
                </c:pt>
                <c:pt idx="71">
                  <c:v>120.751633</c:v>
                </c:pt>
                <c:pt idx="72">
                  <c:v>120.513008</c:v>
                </c:pt>
                <c:pt idx="73">
                  <c:v>121.477127</c:v>
                </c:pt>
                <c:pt idx="74">
                  <c:v>121.486656</c:v>
                </c:pt>
                <c:pt idx="75">
                  <c:v>121.114372</c:v>
                </c:pt>
                <c:pt idx="76">
                  <c:v>121.79209899999999</c:v>
                </c:pt>
                <c:pt idx="77">
                  <c:v>118.202972</c:v>
                </c:pt>
                <c:pt idx="78">
                  <c:v>118.155235</c:v>
                </c:pt>
                <c:pt idx="79">
                  <c:v>116.962051</c:v>
                </c:pt>
                <c:pt idx="80">
                  <c:v>117.31523900000001</c:v>
                </c:pt>
                <c:pt idx="81">
                  <c:v>116.160217</c:v>
                </c:pt>
                <c:pt idx="82">
                  <c:v>117.85934399999999</c:v>
                </c:pt>
                <c:pt idx="83">
                  <c:v>116.04567</c:v>
                </c:pt>
                <c:pt idx="84">
                  <c:v>117.391609</c:v>
                </c:pt>
                <c:pt idx="85">
                  <c:v>116.07431</c:v>
                </c:pt>
                <c:pt idx="86">
                  <c:v>114.527924</c:v>
                </c:pt>
                <c:pt idx="87">
                  <c:v>115.262939</c:v>
                </c:pt>
                <c:pt idx="88">
                  <c:v>115.740211</c:v>
                </c:pt>
                <c:pt idx="89">
                  <c:v>119.319801</c:v>
                </c:pt>
                <c:pt idx="90">
                  <c:v>118.54660800000001</c:v>
                </c:pt>
                <c:pt idx="91">
                  <c:v>118.355705</c:v>
                </c:pt>
                <c:pt idx="92">
                  <c:v>120.341179</c:v>
                </c:pt>
                <c:pt idx="93">
                  <c:v>120.45573400000001</c:v>
                </c:pt>
                <c:pt idx="94">
                  <c:v>122.08802</c:v>
                </c:pt>
                <c:pt idx="95">
                  <c:v>122.441216</c:v>
                </c:pt>
                <c:pt idx="96">
                  <c:v>120.579819</c:v>
                </c:pt>
                <c:pt idx="97">
                  <c:v>123.061668</c:v>
                </c:pt>
                <c:pt idx="98">
                  <c:v>123.348045</c:v>
                </c:pt>
                <c:pt idx="99">
                  <c:v>126.23081999999999</c:v>
                </c:pt>
                <c:pt idx="100">
                  <c:v>126.669899</c:v>
                </c:pt>
                <c:pt idx="101">
                  <c:v>127.710358</c:v>
                </c:pt>
                <c:pt idx="102">
                  <c:v>126.870369</c:v>
                </c:pt>
                <c:pt idx="103">
                  <c:v>126.603088</c:v>
                </c:pt>
                <c:pt idx="104">
                  <c:v>126.76535800000001</c:v>
                </c:pt>
                <c:pt idx="105">
                  <c:v>126.173523</c:v>
                </c:pt>
                <c:pt idx="106">
                  <c:v>126.708099</c:v>
                </c:pt>
                <c:pt idx="107">
                  <c:v>125.07579</c:v>
                </c:pt>
                <c:pt idx="108">
                  <c:v>125.028038</c:v>
                </c:pt>
                <c:pt idx="109">
                  <c:v>125.21895600000001</c:v>
                </c:pt>
                <c:pt idx="110">
                  <c:v>124.006691</c:v>
                </c:pt>
                <c:pt idx="111">
                  <c:v>123.91124000000001</c:v>
                </c:pt>
                <c:pt idx="112">
                  <c:v>123.147583</c:v>
                </c:pt>
                <c:pt idx="113">
                  <c:v>122.54621899999999</c:v>
                </c:pt>
                <c:pt idx="114">
                  <c:v>124.254868</c:v>
                </c:pt>
                <c:pt idx="115">
                  <c:v>124.71305099999999</c:v>
                </c:pt>
                <c:pt idx="116">
                  <c:v>121.123924</c:v>
                </c:pt>
                <c:pt idx="117">
                  <c:v>124.140327</c:v>
                </c:pt>
                <c:pt idx="118">
                  <c:v>124.121223</c:v>
                </c:pt>
                <c:pt idx="119">
                  <c:v>127.39537</c:v>
                </c:pt>
                <c:pt idx="120">
                  <c:v>128.13992300000001</c:v>
                </c:pt>
                <c:pt idx="121">
                  <c:v>126.440826</c:v>
                </c:pt>
                <c:pt idx="122">
                  <c:v>126.908531</c:v>
                </c:pt>
                <c:pt idx="123">
                  <c:v>127.108116</c:v>
                </c:pt>
                <c:pt idx="124">
                  <c:v>128.081772</c:v>
                </c:pt>
                <c:pt idx="125">
                  <c:v>130.13516200000001</c:v>
                </c:pt>
                <c:pt idx="126">
                  <c:v>129.34466599999999</c:v>
                </c:pt>
                <c:pt idx="127">
                  <c:v>130.20263700000001</c:v>
                </c:pt>
                <c:pt idx="128">
                  <c:v>130.95460499999999</c:v>
                </c:pt>
                <c:pt idx="129">
                  <c:v>128.47705099999999</c:v>
                </c:pt>
                <c:pt idx="130">
                  <c:v>130.10626199999999</c:v>
                </c:pt>
                <c:pt idx="131">
                  <c:v>128.987976</c:v>
                </c:pt>
                <c:pt idx="132">
                  <c:v>129.335037</c:v>
                </c:pt>
                <c:pt idx="133">
                  <c:v>130.56899999999999</c:v>
                </c:pt>
                <c:pt idx="134">
                  <c:v>130.85820000000001</c:v>
                </c:pt>
                <c:pt idx="135">
                  <c:v>132.32354699999999</c:v>
                </c:pt>
                <c:pt idx="136">
                  <c:v>128.03355400000001</c:v>
                </c:pt>
                <c:pt idx="137">
                  <c:v>129.18077099999999</c:v>
                </c:pt>
                <c:pt idx="138">
                  <c:v>130.00019800000001</c:v>
                </c:pt>
                <c:pt idx="139">
                  <c:v>129.38322400000001</c:v>
                </c:pt>
                <c:pt idx="140">
                  <c:v>129.09402499999999</c:v>
                </c:pt>
                <c:pt idx="141">
                  <c:v>128.68911700000001</c:v>
                </c:pt>
                <c:pt idx="142">
                  <c:v>130.03877299999999</c:v>
                </c:pt>
                <c:pt idx="143">
                  <c:v>129.37359599999999</c:v>
                </c:pt>
                <c:pt idx="144">
                  <c:v>128.61199999999999</c:v>
                </c:pt>
                <c:pt idx="145">
                  <c:v>127.24308000000001</c:v>
                </c:pt>
                <c:pt idx="146">
                  <c:v>128.997604</c:v>
                </c:pt>
                <c:pt idx="147">
                  <c:v>129.855591</c:v>
                </c:pt>
                <c:pt idx="148">
                  <c:v>128.371002</c:v>
                </c:pt>
                <c:pt idx="149">
                  <c:v>127.85041</c:v>
                </c:pt>
                <c:pt idx="150">
                  <c:v>129.171143</c:v>
                </c:pt>
                <c:pt idx="151">
                  <c:v>130.15446499999999</c:v>
                </c:pt>
                <c:pt idx="152">
                  <c:v>125.353554</c:v>
                </c:pt>
                <c:pt idx="153">
                  <c:v>124.437721</c:v>
                </c:pt>
                <c:pt idx="154">
                  <c:v>127.185219</c:v>
                </c:pt>
                <c:pt idx="155">
                  <c:v>125.469246</c:v>
                </c:pt>
                <c:pt idx="156">
                  <c:v>122.991669</c:v>
                </c:pt>
                <c:pt idx="157">
                  <c:v>124.967941</c:v>
                </c:pt>
                <c:pt idx="158">
                  <c:v>126.722481</c:v>
                </c:pt>
                <c:pt idx="159">
                  <c:v>123.86895</c:v>
                </c:pt>
                <c:pt idx="160">
                  <c:v>125.739166</c:v>
                </c:pt>
                <c:pt idx="161">
                  <c:v>125.343925</c:v>
                </c:pt>
                <c:pt idx="162">
                  <c:v>129.79774499999999</c:v>
                </c:pt>
                <c:pt idx="163">
                  <c:v>128.96868900000001</c:v>
                </c:pt>
                <c:pt idx="164">
                  <c:v>127.609398</c:v>
                </c:pt>
                <c:pt idx="165">
                  <c:v>130.13516200000001</c:v>
                </c:pt>
                <c:pt idx="166">
                  <c:v>124.939018</c:v>
                </c:pt>
                <c:pt idx="167">
                  <c:v>125.623497</c:v>
                </c:pt>
                <c:pt idx="168">
                  <c:v>125.006508</c:v>
                </c:pt>
                <c:pt idx="169">
                  <c:v>126.75140399999999</c:v>
                </c:pt>
                <c:pt idx="170">
                  <c:v>126.500755</c:v>
                </c:pt>
                <c:pt idx="171">
                  <c:v>128.110703</c:v>
                </c:pt>
                <c:pt idx="172">
                  <c:v>129.96165500000001</c:v>
                </c:pt>
                <c:pt idx="173">
                  <c:v>130.93533300000001</c:v>
                </c:pt>
                <c:pt idx="174">
                  <c:v>132.111435</c:v>
                </c:pt>
                <c:pt idx="175">
                  <c:v>131.92828399999999</c:v>
                </c:pt>
                <c:pt idx="176">
                  <c:v>134.88786300000001</c:v>
                </c:pt>
                <c:pt idx="177">
                  <c:v>135.177063</c:v>
                </c:pt>
                <c:pt idx="178">
                  <c:v>138.09809899999999</c:v>
                </c:pt>
                <c:pt idx="179">
                  <c:v>145.212692</c:v>
                </c:pt>
                <c:pt idx="180">
                  <c:v>148.28796399999999</c:v>
                </c:pt>
                <c:pt idx="181">
                  <c:v>148.74104299999999</c:v>
                </c:pt>
                <c:pt idx="182">
                  <c:v>148.21086099999999</c:v>
                </c:pt>
                <c:pt idx="183">
                  <c:v>147.237167</c:v>
                </c:pt>
                <c:pt idx="184">
                  <c:v>148.97242700000001</c:v>
                </c:pt>
                <c:pt idx="185">
                  <c:v>147.72882100000001</c:v>
                </c:pt>
                <c:pt idx="186">
                  <c:v>147.04437300000001</c:v>
                </c:pt>
                <c:pt idx="187">
                  <c:v>144.923508</c:v>
                </c:pt>
                <c:pt idx="188">
                  <c:v>145.49224899999999</c:v>
                </c:pt>
                <c:pt idx="189">
                  <c:v>145.588684</c:v>
                </c:pt>
                <c:pt idx="190">
                  <c:v>146.69731100000001</c:v>
                </c:pt>
                <c:pt idx="191">
                  <c:v>147.43962099999999</c:v>
                </c:pt>
                <c:pt idx="192">
                  <c:v>148.86637899999999</c:v>
                </c:pt>
                <c:pt idx="193">
                  <c:v>147.622803</c:v>
                </c:pt>
                <c:pt idx="194">
                  <c:v>148.03729200000001</c:v>
                </c:pt>
                <c:pt idx="195">
                  <c:v>144.778885</c:v>
                </c:pt>
                <c:pt idx="196">
                  <c:v>145.75254799999999</c:v>
                </c:pt>
                <c:pt idx="197">
                  <c:v>147.121475</c:v>
                </c:pt>
                <c:pt idx="198">
                  <c:v>146.976868</c:v>
                </c:pt>
                <c:pt idx="199">
                  <c:v>148.14334099999999</c:v>
                </c:pt>
                <c:pt idx="200">
                  <c:v>145.231979</c:v>
                </c:pt>
                <c:pt idx="201">
                  <c:v>146.78405799999999</c:v>
                </c:pt>
                <c:pt idx="202">
                  <c:v>146.13816800000001</c:v>
                </c:pt>
                <c:pt idx="203">
                  <c:v>148.81817599999999</c:v>
                </c:pt>
                <c:pt idx="204">
                  <c:v>147.88305700000001</c:v>
                </c:pt>
                <c:pt idx="205">
                  <c:v>147.93128999999999</c:v>
                </c:pt>
                <c:pt idx="206">
                  <c:v>148.67358400000001</c:v>
                </c:pt>
                <c:pt idx="207">
                  <c:v>148.577179</c:v>
                </c:pt>
                <c:pt idx="208">
                  <c:v>149.57012900000001</c:v>
                </c:pt>
                <c:pt idx="209">
                  <c:v>149.242355</c:v>
                </c:pt>
                <c:pt idx="210">
                  <c:v>150.68841599999999</c:v>
                </c:pt>
                <c:pt idx="211">
                  <c:v>151.623535</c:v>
                </c:pt>
                <c:pt idx="212">
                  <c:v>149.242355</c:v>
                </c:pt>
                <c:pt idx="213">
                  <c:v>150.852295</c:v>
                </c:pt>
                <c:pt idx="214">
                  <c:v>155.07476800000001</c:v>
                </c:pt>
                <c:pt idx="215">
                  <c:v>153.97576900000001</c:v>
                </c:pt>
                <c:pt idx="216">
                  <c:v>156.92572000000001</c:v>
                </c:pt>
                <c:pt idx="217">
                  <c:v>155.54716500000001</c:v>
                </c:pt>
                <c:pt idx="218">
                  <c:v>154.31320199999999</c:v>
                </c:pt>
                <c:pt idx="219">
                  <c:v>155.624268</c:v>
                </c:pt>
                <c:pt idx="220">
                  <c:v>156.569031</c:v>
                </c:pt>
                <c:pt idx="221">
                  <c:v>160.98431400000001</c:v>
                </c:pt>
                <c:pt idx="222">
                  <c:v>162.237549</c:v>
                </c:pt>
                <c:pt idx="223">
                  <c:v>159.24906899999999</c:v>
                </c:pt>
                <c:pt idx="224">
                  <c:v>159.808212</c:v>
                </c:pt>
                <c:pt idx="225">
                  <c:v>159.99137899999999</c:v>
                </c:pt>
                <c:pt idx="226">
                  <c:v>156.18341100000001</c:v>
                </c:pt>
                <c:pt idx="227">
                  <c:v>157.00285299999999</c:v>
                </c:pt>
                <c:pt idx="228">
                  <c:v>160.93611100000001</c:v>
                </c:pt>
                <c:pt idx="229">
                  <c:v>164.35844399999999</c:v>
                </c:pt>
                <c:pt idx="230">
                  <c:v>165.04290800000001</c:v>
                </c:pt>
                <c:pt idx="231">
                  <c:v>164.56088299999999</c:v>
                </c:pt>
                <c:pt idx="232">
                  <c:v>164.32952900000001</c:v>
                </c:pt>
                <c:pt idx="233">
                  <c:v>165.033264</c:v>
                </c:pt>
                <c:pt idx="234">
                  <c:v>162.459305</c:v>
                </c:pt>
                <c:pt idx="235">
                  <c:v>163.346191</c:v>
                </c:pt>
                <c:pt idx="236">
                  <c:v>164.021027</c:v>
                </c:pt>
                <c:pt idx="237">
                  <c:v>165.023605</c:v>
                </c:pt>
                <c:pt idx="238">
                  <c:v>166.681747</c:v>
                </c:pt>
                <c:pt idx="239">
                  <c:v>167.36621099999999</c:v>
                </c:pt>
                <c:pt idx="240">
                  <c:v>169.959473</c:v>
                </c:pt>
                <c:pt idx="241">
                  <c:v>170.23904400000001</c:v>
                </c:pt>
                <c:pt idx="242">
                  <c:v>169.99804700000001</c:v>
                </c:pt>
                <c:pt idx="243">
                  <c:v>165.55384799999999</c:v>
                </c:pt>
                <c:pt idx="244">
                  <c:v>169.68956</c:v>
                </c:pt>
                <c:pt idx="245">
                  <c:v>168.91833500000001</c:v>
                </c:pt>
                <c:pt idx="246">
                  <c:v>171.665863</c:v>
                </c:pt>
                <c:pt idx="247">
                  <c:v>172.012878</c:v>
                </c:pt>
                <c:pt idx="248">
                  <c:v>170.981369</c:v>
                </c:pt>
                <c:pt idx="249">
                  <c:v>171.42482000000001</c:v>
                </c:pt>
                <c:pt idx="250">
                  <c:v>172.49490399999999</c:v>
                </c:pt>
                <c:pt idx="251">
                  <c:v>171.53085300000001</c:v>
                </c:pt>
                <c:pt idx="252">
                  <c:v>174.24945099999999</c:v>
                </c:pt>
                <c:pt idx="253">
                  <c:v>174.876068</c:v>
                </c:pt>
                <c:pt idx="254">
                  <c:v>175.69548</c:v>
                </c:pt>
                <c:pt idx="255">
                  <c:v>177.94172699999999</c:v>
                </c:pt>
                <c:pt idx="256">
                  <c:v>178.26947000000001</c:v>
                </c:pt>
                <c:pt idx="257">
                  <c:v>176.91982999999999</c:v>
                </c:pt>
                <c:pt idx="258">
                  <c:v>174.98211699999999</c:v>
                </c:pt>
                <c:pt idx="259">
                  <c:v>171.60798600000001</c:v>
                </c:pt>
                <c:pt idx="260">
                  <c:v>173.14080799999999</c:v>
                </c:pt>
                <c:pt idx="261">
                  <c:v>172.41778600000001</c:v>
                </c:pt>
                <c:pt idx="262">
                  <c:v>173.854187</c:v>
                </c:pt>
                <c:pt idx="263">
                  <c:v>171.51158100000001</c:v>
                </c:pt>
                <c:pt idx="264">
                  <c:v>175.25202899999999</c:v>
                </c:pt>
                <c:pt idx="265">
                  <c:v>173.844528</c:v>
                </c:pt>
                <c:pt idx="266">
                  <c:v>175.00138899999999</c:v>
                </c:pt>
                <c:pt idx="267">
                  <c:v>178.70327800000001</c:v>
                </c:pt>
                <c:pt idx="268">
                  <c:v>176.418533</c:v>
                </c:pt>
                <c:pt idx="269">
                  <c:v>179.667328</c:v>
                </c:pt>
                <c:pt idx="270">
                  <c:v>178.07666</c:v>
                </c:pt>
                <c:pt idx="271">
                  <c:v>177.66213999999999</c:v>
                </c:pt>
                <c:pt idx="272">
                  <c:v>166.238327</c:v>
                </c:pt>
                <c:pt idx="273">
                  <c:v>169.20755</c:v>
                </c:pt>
                <c:pt idx="274">
                  <c:v>166.228668</c:v>
                </c:pt>
                <c:pt idx="275">
                  <c:v>163.24015800000001</c:v>
                </c:pt>
                <c:pt idx="276">
                  <c:v>164.36807300000001</c:v>
                </c:pt>
                <c:pt idx="277">
                  <c:v>164.53196700000001</c:v>
                </c:pt>
                <c:pt idx="278">
                  <c:v>165.97799699999999</c:v>
                </c:pt>
                <c:pt idx="279">
                  <c:v>165.79484600000001</c:v>
                </c:pt>
                <c:pt idx="280">
                  <c:v>168.83157299999999</c:v>
                </c:pt>
                <c:pt idx="281">
                  <c:v>165.96839900000001</c:v>
                </c:pt>
                <c:pt idx="282">
                  <c:v>167.12522899999999</c:v>
                </c:pt>
                <c:pt idx="283">
                  <c:v>165.727386</c:v>
                </c:pt>
                <c:pt idx="284">
                  <c:v>167.549408</c:v>
                </c:pt>
                <c:pt idx="285">
                  <c:v>170.02697800000001</c:v>
                </c:pt>
                <c:pt idx="286">
                  <c:v>170.66322299999999</c:v>
                </c:pt>
                <c:pt idx="287">
                  <c:v>168.87013200000001</c:v>
                </c:pt>
                <c:pt idx="288">
                  <c:v>168.262787</c:v>
                </c:pt>
                <c:pt idx="289">
                  <c:v>168.91833500000001</c:v>
                </c:pt>
                <c:pt idx="290">
                  <c:v>166.86492899999999</c:v>
                </c:pt>
                <c:pt idx="291">
                  <c:v>167.78076200000001</c:v>
                </c:pt>
                <c:pt idx="292">
                  <c:v>167.93499800000001</c:v>
                </c:pt>
                <c:pt idx="293">
                  <c:v>167.56869499999999</c:v>
                </c:pt>
                <c:pt idx="294">
                  <c:v>171.33807400000001</c:v>
                </c:pt>
                <c:pt idx="295">
                  <c:v>172.639511</c:v>
                </c:pt>
                <c:pt idx="296">
                  <c:v>174.24945099999999</c:v>
                </c:pt>
                <c:pt idx="297">
                  <c:v>176.29319799999999</c:v>
                </c:pt>
                <c:pt idx="298">
                  <c:v>177.218658</c:v>
                </c:pt>
                <c:pt idx="299">
                  <c:v>176.26426699999999</c:v>
                </c:pt>
                <c:pt idx="300">
                  <c:v>174.210892</c:v>
                </c:pt>
                <c:pt idx="301">
                  <c:v>172.12855500000001</c:v>
                </c:pt>
                <c:pt idx="302">
                  <c:v>174.36514299999999</c:v>
                </c:pt>
                <c:pt idx="303">
                  <c:v>179.67695599999999</c:v>
                </c:pt>
                <c:pt idx="304">
                  <c:v>192.016617</c:v>
                </c:pt>
                <c:pt idx="305">
                  <c:v>196.04629499999999</c:v>
                </c:pt>
                <c:pt idx="306">
                  <c:v>198.12858600000001</c:v>
                </c:pt>
                <c:pt idx="307">
                  <c:v>198.14788799999999</c:v>
                </c:pt>
                <c:pt idx="308">
                  <c:v>198.04184000000001</c:v>
                </c:pt>
                <c:pt idx="309">
                  <c:v>194.976212</c:v>
                </c:pt>
                <c:pt idx="310">
                  <c:v>193.60728499999999</c:v>
                </c:pt>
                <c:pt idx="311">
                  <c:v>199.08300800000001</c:v>
                </c:pt>
                <c:pt idx="312">
                  <c:v>196.682571</c:v>
                </c:pt>
                <c:pt idx="313">
                  <c:v>193.028854</c:v>
                </c:pt>
                <c:pt idx="314">
                  <c:v>195.660675</c:v>
                </c:pt>
                <c:pt idx="315">
                  <c:v>194.17605599999999</c:v>
                </c:pt>
                <c:pt idx="316">
                  <c:v>187.57243299999999</c:v>
                </c:pt>
                <c:pt idx="317">
                  <c:v>179.966171</c:v>
                </c:pt>
                <c:pt idx="318">
                  <c:v>187.12893700000001</c:v>
                </c:pt>
                <c:pt idx="319">
                  <c:v>180.41926599999999</c:v>
                </c:pt>
                <c:pt idx="320">
                  <c:v>173.429993</c:v>
                </c:pt>
                <c:pt idx="321">
                  <c:v>177.06442300000001</c:v>
                </c:pt>
                <c:pt idx="322">
                  <c:v>179.63838200000001</c:v>
                </c:pt>
                <c:pt idx="323">
                  <c:v>178.57797199999999</c:v>
                </c:pt>
                <c:pt idx="324">
                  <c:v>184.458572</c:v>
                </c:pt>
                <c:pt idx="325">
                  <c:v>187.89054899999999</c:v>
                </c:pt>
                <c:pt idx="326">
                  <c:v>185.31655900000001</c:v>
                </c:pt>
                <c:pt idx="327">
                  <c:v>188.48825099999999</c:v>
                </c:pt>
                <c:pt idx="328">
                  <c:v>187.418182</c:v>
                </c:pt>
                <c:pt idx="329">
                  <c:v>186.33843999999999</c:v>
                </c:pt>
                <c:pt idx="330">
                  <c:v>189.74151599999999</c:v>
                </c:pt>
                <c:pt idx="331">
                  <c:v>193.616928</c:v>
                </c:pt>
                <c:pt idx="332">
                  <c:v>190.339203</c:v>
                </c:pt>
                <c:pt idx="333">
                  <c:v>188.36293000000001</c:v>
                </c:pt>
                <c:pt idx="334">
                  <c:v>185.02735899999999</c:v>
                </c:pt>
                <c:pt idx="335">
                  <c:v>186.60839799999999</c:v>
                </c:pt>
                <c:pt idx="336">
                  <c:v>191.216476</c:v>
                </c:pt>
                <c:pt idx="337">
                  <c:v>195.544983</c:v>
                </c:pt>
                <c:pt idx="338">
                  <c:v>198.63954200000001</c:v>
                </c:pt>
                <c:pt idx="339">
                  <c:v>197.64660599999999</c:v>
                </c:pt>
                <c:pt idx="340">
                  <c:v>201.87870799999999</c:v>
                </c:pt>
                <c:pt idx="341">
                  <c:v>203.70074500000001</c:v>
                </c:pt>
                <c:pt idx="342">
                  <c:v>200.538681</c:v>
                </c:pt>
                <c:pt idx="343">
                  <c:v>203.92243999999999</c:v>
                </c:pt>
                <c:pt idx="344">
                  <c:v>206.727814</c:v>
                </c:pt>
                <c:pt idx="345">
                  <c:v>206.361481</c:v>
                </c:pt>
                <c:pt idx="346">
                  <c:v>205.09858700000001</c:v>
                </c:pt>
                <c:pt idx="347">
                  <c:v>204.95401000000001</c:v>
                </c:pt>
                <c:pt idx="348">
                  <c:v>206.04333500000001</c:v>
                </c:pt>
                <c:pt idx="349">
                  <c:v>197.35739100000001</c:v>
                </c:pt>
                <c:pt idx="350">
                  <c:v>191.94914199999999</c:v>
                </c:pt>
                <c:pt idx="351">
                  <c:v>199.98919699999999</c:v>
                </c:pt>
                <c:pt idx="352">
                  <c:v>193.08668499999999</c:v>
                </c:pt>
                <c:pt idx="353">
                  <c:v>187.53385900000001</c:v>
                </c:pt>
                <c:pt idx="354">
                  <c:v>191.418915</c:v>
                </c:pt>
                <c:pt idx="355">
                  <c:v>186.10708600000001</c:v>
                </c:pt>
                <c:pt idx="356">
                  <c:v>192.25761399999999</c:v>
                </c:pt>
                <c:pt idx="357">
                  <c:v>191.129715</c:v>
                </c:pt>
                <c:pt idx="358">
                  <c:v>191.534592</c:v>
                </c:pt>
                <c:pt idx="359">
                  <c:v>187.63024899999999</c:v>
                </c:pt>
                <c:pt idx="360">
                  <c:v>191.389984</c:v>
                </c:pt>
                <c:pt idx="361">
                  <c:v>198.15754699999999</c:v>
                </c:pt>
                <c:pt idx="362">
                  <c:v>198.15754699999999</c:v>
                </c:pt>
                <c:pt idx="363">
                  <c:v>198.82270800000001</c:v>
                </c:pt>
                <c:pt idx="364">
                  <c:v>198.25393700000001</c:v>
                </c:pt>
                <c:pt idx="365">
                  <c:v>199.26617400000001</c:v>
                </c:pt>
                <c:pt idx="366">
                  <c:v>205.0504</c:v>
                </c:pt>
                <c:pt idx="367">
                  <c:v>198.899857</c:v>
                </c:pt>
                <c:pt idx="368">
                  <c:v>188.08337399999999</c:v>
                </c:pt>
                <c:pt idx="369">
                  <c:v>186.078171</c:v>
                </c:pt>
                <c:pt idx="370">
                  <c:v>184.43931599999999</c:v>
                </c:pt>
                <c:pt idx="371">
                  <c:v>187.07110599999999</c:v>
                </c:pt>
                <c:pt idx="372">
                  <c:v>184.76707500000001</c:v>
                </c:pt>
                <c:pt idx="373">
                  <c:v>188.642471</c:v>
                </c:pt>
                <c:pt idx="374">
                  <c:v>186.491165</c:v>
                </c:pt>
                <c:pt idx="375">
                  <c:v>183.28166200000001</c:v>
                </c:pt>
                <c:pt idx="376">
                  <c:v>186.189682</c:v>
                </c:pt>
                <c:pt idx="377">
                  <c:v>185.11982699999999</c:v>
                </c:pt>
                <c:pt idx="378">
                  <c:v>187.46373</c:v>
                </c:pt>
                <c:pt idx="379">
                  <c:v>190.14804100000001</c:v>
                </c:pt>
                <c:pt idx="380">
                  <c:v>189.535324</c:v>
                </c:pt>
                <c:pt idx="381">
                  <c:v>188.553009</c:v>
                </c:pt>
                <c:pt idx="382">
                  <c:v>192.521118</c:v>
                </c:pt>
                <c:pt idx="383">
                  <c:v>195.555588</c:v>
                </c:pt>
                <c:pt idx="384">
                  <c:v>193.34780900000001</c:v>
                </c:pt>
                <c:pt idx="385">
                  <c:v>196.401703</c:v>
                </c:pt>
                <c:pt idx="386">
                  <c:v>194.44682299999999</c:v>
                </c:pt>
                <c:pt idx="387">
                  <c:v>197.31591800000001</c:v>
                </c:pt>
                <c:pt idx="388">
                  <c:v>196.82965100000001</c:v>
                </c:pt>
                <c:pt idx="389">
                  <c:v>191.927841</c:v>
                </c:pt>
                <c:pt idx="390">
                  <c:v>196.95607000000001</c:v>
                </c:pt>
                <c:pt idx="391">
                  <c:v>196.985229</c:v>
                </c:pt>
                <c:pt idx="392">
                  <c:v>194.70941199999999</c:v>
                </c:pt>
                <c:pt idx="393">
                  <c:v>195.32212799999999</c:v>
                </c:pt>
                <c:pt idx="394">
                  <c:v>195.584732</c:v>
                </c:pt>
                <c:pt idx="395">
                  <c:v>190.23558</c:v>
                </c:pt>
                <c:pt idx="396">
                  <c:v>191.69444300000001</c:v>
                </c:pt>
                <c:pt idx="397">
                  <c:v>191.25676000000001</c:v>
                </c:pt>
                <c:pt idx="398">
                  <c:v>196.61567700000001</c:v>
                </c:pt>
                <c:pt idx="399">
                  <c:v>198.32737700000001</c:v>
                </c:pt>
                <c:pt idx="400">
                  <c:v>203.57929999999999</c:v>
                </c:pt>
                <c:pt idx="401">
                  <c:v>207.75166300000001</c:v>
                </c:pt>
                <c:pt idx="402">
                  <c:v>201.867569</c:v>
                </c:pt>
                <c:pt idx="403">
                  <c:v>201.76059000000001</c:v>
                </c:pt>
                <c:pt idx="404">
                  <c:v>204.10449199999999</c:v>
                </c:pt>
                <c:pt idx="405">
                  <c:v>203.59875500000001</c:v>
                </c:pt>
                <c:pt idx="406">
                  <c:v>207.88780199999999</c:v>
                </c:pt>
                <c:pt idx="407">
                  <c:v>209.96911600000001</c:v>
                </c:pt>
                <c:pt idx="408">
                  <c:v>208.92846700000001</c:v>
                </c:pt>
                <c:pt idx="409">
                  <c:v>205.310486</c:v>
                </c:pt>
                <c:pt idx="410">
                  <c:v>200.52542099999999</c:v>
                </c:pt>
                <c:pt idx="411">
                  <c:v>199.864059</c:v>
                </c:pt>
                <c:pt idx="412">
                  <c:v>198.63862599999999</c:v>
                </c:pt>
                <c:pt idx="413">
                  <c:v>200.710205</c:v>
                </c:pt>
                <c:pt idx="414">
                  <c:v>191.25676000000001</c:v>
                </c:pt>
                <c:pt idx="415">
                  <c:v>192.540558</c:v>
                </c:pt>
                <c:pt idx="416">
                  <c:v>188.582199</c:v>
                </c:pt>
                <c:pt idx="417">
                  <c:v>188.27098100000001</c:v>
                </c:pt>
                <c:pt idx="418">
                  <c:v>192.540558</c:v>
                </c:pt>
                <c:pt idx="419">
                  <c:v>189.895172</c:v>
                </c:pt>
                <c:pt idx="420">
                  <c:v>186.218842</c:v>
                </c:pt>
                <c:pt idx="421">
                  <c:v>190.61488299999999</c:v>
                </c:pt>
                <c:pt idx="422">
                  <c:v>191.90841699999999</c:v>
                </c:pt>
                <c:pt idx="423">
                  <c:v>193.64930699999999</c:v>
                </c:pt>
                <c:pt idx="424">
                  <c:v>193.96054100000001</c:v>
                </c:pt>
                <c:pt idx="425">
                  <c:v>188.28068500000001</c:v>
                </c:pt>
                <c:pt idx="426">
                  <c:v>193.86326600000001</c:v>
                </c:pt>
                <c:pt idx="427">
                  <c:v>193.72711200000001</c:v>
                </c:pt>
                <c:pt idx="428">
                  <c:v>194.59269699999999</c:v>
                </c:pt>
                <c:pt idx="429">
                  <c:v>198.73587000000001</c:v>
                </c:pt>
                <c:pt idx="430">
                  <c:v>211.923981</c:v>
                </c:pt>
                <c:pt idx="431">
                  <c:v>209.35640000000001</c:v>
                </c:pt>
                <c:pt idx="432">
                  <c:v>213.78161600000001</c:v>
                </c:pt>
                <c:pt idx="433">
                  <c:v>214.72500600000001</c:v>
                </c:pt>
                <c:pt idx="434">
                  <c:v>207.83917199999999</c:v>
                </c:pt>
                <c:pt idx="435">
                  <c:v>212.96466100000001</c:v>
                </c:pt>
                <c:pt idx="436">
                  <c:v>210.70825199999999</c:v>
                </c:pt>
                <c:pt idx="437">
                  <c:v>207.45015000000001</c:v>
                </c:pt>
                <c:pt idx="438">
                  <c:v>208.617233</c:v>
                </c:pt>
                <c:pt idx="439">
                  <c:v>208.13093599999999</c:v>
                </c:pt>
                <c:pt idx="440">
                  <c:v>208.04342700000001</c:v>
                </c:pt>
                <c:pt idx="441">
                  <c:v>209.90103099999999</c:v>
                </c:pt>
                <c:pt idx="442">
                  <c:v>208.88954200000001</c:v>
                </c:pt>
                <c:pt idx="443">
                  <c:v>207.71275299999999</c:v>
                </c:pt>
                <c:pt idx="444">
                  <c:v>207.703003</c:v>
                </c:pt>
                <c:pt idx="445">
                  <c:v>207.158356</c:v>
                </c:pt>
                <c:pt idx="446">
                  <c:v>203.433426</c:v>
                </c:pt>
                <c:pt idx="447">
                  <c:v>198.29823300000001</c:v>
                </c:pt>
                <c:pt idx="448">
                  <c:v>199.08599899999999</c:v>
                </c:pt>
                <c:pt idx="449">
                  <c:v>199.97103899999999</c:v>
                </c:pt>
                <c:pt idx="450">
                  <c:v>191.73335299999999</c:v>
                </c:pt>
                <c:pt idx="451">
                  <c:v>192.43360899999999</c:v>
                </c:pt>
                <c:pt idx="452">
                  <c:v>191.95701600000001</c:v>
                </c:pt>
                <c:pt idx="453">
                  <c:v>194.01889</c:v>
                </c:pt>
                <c:pt idx="454">
                  <c:v>194.991455</c:v>
                </c:pt>
                <c:pt idx="455">
                  <c:v>195.30268899999999</c:v>
                </c:pt>
                <c:pt idx="456">
                  <c:v>194.06750500000001</c:v>
                </c:pt>
                <c:pt idx="457">
                  <c:v>197.41317699999999</c:v>
                </c:pt>
                <c:pt idx="458">
                  <c:v>202.86932400000001</c:v>
                </c:pt>
                <c:pt idx="459">
                  <c:v>201.021423</c:v>
                </c:pt>
                <c:pt idx="460">
                  <c:v>201.147873</c:v>
                </c:pt>
                <c:pt idx="461">
                  <c:v>199.572281</c:v>
                </c:pt>
                <c:pt idx="462">
                  <c:v>199.42640700000001</c:v>
                </c:pt>
                <c:pt idx="463">
                  <c:v>194.00914</c:v>
                </c:pt>
                <c:pt idx="464">
                  <c:v>189.76873800000001</c:v>
                </c:pt>
                <c:pt idx="465">
                  <c:v>179.39134200000001</c:v>
                </c:pt>
                <c:pt idx="466">
                  <c:v>175.90954600000001</c:v>
                </c:pt>
                <c:pt idx="467">
                  <c:v>180.57789600000001</c:v>
                </c:pt>
                <c:pt idx="468">
                  <c:v>178.34098800000001</c:v>
                </c:pt>
                <c:pt idx="469">
                  <c:v>170.56037900000001</c:v>
                </c:pt>
                <c:pt idx="470">
                  <c:v>177.00855999999999</c:v>
                </c:pt>
                <c:pt idx="471">
                  <c:v>179.294128</c:v>
                </c:pt>
                <c:pt idx="472">
                  <c:v>178.06866500000001</c:v>
                </c:pt>
                <c:pt idx="473">
                  <c:v>181.453247</c:v>
                </c:pt>
                <c:pt idx="474">
                  <c:v>183.865219</c:v>
                </c:pt>
                <c:pt idx="475">
                  <c:v>186.238327</c:v>
                </c:pt>
                <c:pt idx="476">
                  <c:v>183.26220699999999</c:v>
                </c:pt>
                <c:pt idx="477">
                  <c:v>186.218842</c:v>
                </c:pt>
                <c:pt idx="478">
                  <c:v>184.99340799999999</c:v>
                </c:pt>
                <c:pt idx="479">
                  <c:v>183.62207000000001</c:v>
                </c:pt>
                <c:pt idx="480">
                  <c:v>183.56372099999999</c:v>
                </c:pt>
                <c:pt idx="481">
                  <c:v>182.86348000000001</c:v>
                </c:pt>
                <c:pt idx="482">
                  <c:v>184.86695900000001</c:v>
                </c:pt>
                <c:pt idx="483">
                  <c:v>184.94476299999999</c:v>
                </c:pt>
                <c:pt idx="484">
                  <c:v>186.54951500000001</c:v>
                </c:pt>
                <c:pt idx="485">
                  <c:v>182.318817</c:v>
                </c:pt>
                <c:pt idx="486">
                  <c:v>178.74945099999999</c:v>
                </c:pt>
                <c:pt idx="487">
                  <c:v>176.69734199999999</c:v>
                </c:pt>
                <c:pt idx="488">
                  <c:v>177.93249499999999</c:v>
                </c:pt>
                <c:pt idx="489">
                  <c:v>167.205017</c:v>
                </c:pt>
                <c:pt idx="490">
                  <c:v>167.068848</c:v>
                </c:pt>
                <c:pt idx="491">
                  <c:v>169.50029000000001</c:v>
                </c:pt>
                <c:pt idx="492">
                  <c:v>168.59579500000001</c:v>
                </c:pt>
                <c:pt idx="493">
                  <c:v>176.73623699999999</c:v>
                </c:pt>
                <c:pt idx="494">
                  <c:v>179.93600499999999</c:v>
                </c:pt>
                <c:pt idx="495">
                  <c:v>171.601044</c:v>
                </c:pt>
                <c:pt idx="496">
                  <c:v>170.939697</c:v>
                </c:pt>
                <c:pt idx="497">
                  <c:v>171.49408</c:v>
                </c:pt>
                <c:pt idx="498">
                  <c:v>168.206772</c:v>
                </c:pt>
                <c:pt idx="499">
                  <c:v>153.82240300000001</c:v>
                </c:pt>
                <c:pt idx="500">
                  <c:v>164.40399199999999</c:v>
                </c:pt>
                <c:pt idx="501">
                  <c:v>161.651611</c:v>
                </c:pt>
                <c:pt idx="502">
                  <c:v>158.889511</c:v>
                </c:pt>
                <c:pt idx="503">
                  <c:v>164.11222799999999</c:v>
                </c:pt>
                <c:pt idx="504">
                  <c:v>167.632935</c:v>
                </c:pt>
                <c:pt idx="505">
                  <c:v>170.900803</c:v>
                </c:pt>
                <c:pt idx="506">
                  <c:v>170.19082599999999</c:v>
                </c:pt>
                <c:pt idx="507">
                  <c:v>168.11923200000001</c:v>
                </c:pt>
                <c:pt idx="508">
                  <c:v>172.56388899999999</c:v>
                </c:pt>
                <c:pt idx="509">
                  <c:v>172.554169</c:v>
                </c:pt>
                <c:pt idx="510">
                  <c:v>170.19082599999999</c:v>
                </c:pt>
                <c:pt idx="511">
                  <c:v>170.686813</c:v>
                </c:pt>
                <c:pt idx="512">
                  <c:v>164.365082</c:v>
                </c:pt>
                <c:pt idx="513">
                  <c:v>166.20327800000001</c:v>
                </c:pt>
                <c:pt idx="514">
                  <c:v>167.992783</c:v>
                </c:pt>
                <c:pt idx="515">
                  <c:v>171.941452</c:v>
                </c:pt>
                <c:pt idx="516">
                  <c:v>164.355377</c:v>
                </c:pt>
                <c:pt idx="517">
                  <c:v>159.103455</c:v>
                </c:pt>
                <c:pt idx="518">
                  <c:v>156.90545700000001</c:v>
                </c:pt>
                <c:pt idx="519">
                  <c:v>159.41468800000001</c:v>
                </c:pt>
                <c:pt idx="520">
                  <c:v>159.17155500000001</c:v>
                </c:pt>
                <c:pt idx="521">
                  <c:v>162.83813499999999</c:v>
                </c:pt>
                <c:pt idx="522">
                  <c:v>162.81871000000001</c:v>
                </c:pt>
                <c:pt idx="523">
                  <c:v>169.52948000000001</c:v>
                </c:pt>
                <c:pt idx="524">
                  <c:v>166.81601000000001</c:v>
                </c:pt>
                <c:pt idx="525">
                  <c:v>166.65065000000001</c:v>
                </c:pt>
                <c:pt idx="526">
                  <c:v>172.78758199999999</c:v>
                </c:pt>
                <c:pt idx="527">
                  <c:v>164.98753400000001</c:v>
                </c:pt>
                <c:pt idx="528">
                  <c:v>161.787766</c:v>
                </c:pt>
                <c:pt idx="529">
                  <c:v>155.15481600000001</c:v>
                </c:pt>
                <c:pt idx="530">
                  <c:v>156.983261</c:v>
                </c:pt>
                <c:pt idx="531">
                  <c:v>157.04162600000001</c:v>
                </c:pt>
                <c:pt idx="532">
                  <c:v>160.688751</c:v>
                </c:pt>
                <c:pt idx="533">
                  <c:v>159.58976699999999</c:v>
                </c:pt>
                <c:pt idx="534">
                  <c:v>156.61367799999999</c:v>
                </c:pt>
                <c:pt idx="535">
                  <c:v>156.19546500000001</c:v>
                </c:pt>
                <c:pt idx="536">
                  <c:v>158.12117000000001</c:v>
                </c:pt>
                <c:pt idx="537">
                  <c:v>149.659775</c:v>
                </c:pt>
                <c:pt idx="538">
                  <c:v>148.49267599999999</c:v>
                </c:pt>
                <c:pt idx="539">
                  <c:v>144.37867700000001</c:v>
                </c:pt>
                <c:pt idx="540">
                  <c:v>141.03301999999999</c:v>
                </c:pt>
                <c:pt idx="541">
                  <c:v>148.72610499999999</c:v>
                </c:pt>
                <c:pt idx="542">
                  <c:v>150.15576200000001</c:v>
                </c:pt>
                <c:pt idx="543">
                  <c:v>150.83659399999999</c:v>
                </c:pt>
                <c:pt idx="544">
                  <c:v>151.352036</c:v>
                </c:pt>
                <c:pt idx="545">
                  <c:v>152.013397</c:v>
                </c:pt>
                <c:pt idx="546">
                  <c:v>143.62977599999999</c:v>
                </c:pt>
                <c:pt idx="547">
                  <c:v>149.84457399999999</c:v>
                </c:pt>
                <c:pt idx="548">
                  <c:v>153.268021</c:v>
                </c:pt>
                <c:pt idx="549">
                  <c:v>152.13983200000001</c:v>
                </c:pt>
                <c:pt idx="550">
                  <c:v>158.45182800000001</c:v>
                </c:pt>
                <c:pt idx="551">
                  <c:v>158.15036000000001</c:v>
                </c:pt>
                <c:pt idx="552">
                  <c:v>157.576538</c:v>
                </c:pt>
                <c:pt idx="553">
                  <c:v>154.33786000000001</c:v>
                </c:pt>
                <c:pt idx="554">
                  <c:v>154.86305200000001</c:v>
                </c:pt>
                <c:pt idx="555">
                  <c:v>152.96650700000001</c:v>
                </c:pt>
                <c:pt idx="556">
                  <c:v>153.219391</c:v>
                </c:pt>
                <c:pt idx="557">
                  <c:v>158.23786899999999</c:v>
                </c:pt>
                <c:pt idx="558">
                  <c:v>155.125641</c:v>
                </c:pt>
                <c:pt idx="559">
                  <c:v>157.67378199999999</c:v>
                </c:pt>
                <c:pt idx="560">
                  <c:v>164.267853</c:v>
                </c:pt>
                <c:pt idx="561">
                  <c:v>171.81501800000001</c:v>
                </c:pt>
                <c:pt idx="562">
                  <c:v>169.37384</c:v>
                </c:pt>
                <c:pt idx="563">
                  <c:v>169.82124300000001</c:v>
                </c:pt>
                <c:pt idx="564">
                  <c:v>172.33049</c:v>
                </c:pt>
                <c:pt idx="565">
                  <c:v>170.22972100000001</c:v>
                </c:pt>
                <c:pt idx="566">
                  <c:v>173.51702900000001</c:v>
                </c:pt>
                <c:pt idx="567">
                  <c:v>174.635468</c:v>
                </c:pt>
                <c:pt idx="568">
                  <c:v>176.629257</c:v>
                </c:pt>
                <c:pt idx="569">
                  <c:v>181.735275</c:v>
                </c:pt>
                <c:pt idx="570">
                  <c:v>176.13325499999999</c:v>
                </c:pt>
                <c:pt idx="571">
                  <c:v>176.10406499999999</c:v>
                </c:pt>
                <c:pt idx="572">
                  <c:v>173.624008</c:v>
                </c:pt>
                <c:pt idx="573">
                  <c:v>177.77690100000001</c:v>
                </c:pt>
                <c:pt idx="574">
                  <c:v>177.310059</c:v>
                </c:pt>
                <c:pt idx="575">
                  <c:v>179.27465799999999</c:v>
                </c:pt>
                <c:pt idx="576">
                  <c:v>179.31355300000001</c:v>
                </c:pt>
                <c:pt idx="577">
                  <c:v>177.45594800000001</c:v>
                </c:pt>
                <c:pt idx="578">
                  <c:v>178.80783099999999</c:v>
                </c:pt>
                <c:pt idx="579">
                  <c:v>177.52401699999999</c:v>
                </c:pt>
                <c:pt idx="580">
                  <c:v>179.81930500000001</c:v>
                </c:pt>
                <c:pt idx="581">
                  <c:v>181.86170999999999</c:v>
                </c:pt>
                <c:pt idx="582">
                  <c:v>180.27642800000001</c:v>
                </c:pt>
                <c:pt idx="583">
                  <c:v>179.07041899999999</c:v>
                </c:pt>
                <c:pt idx="584">
                  <c:v>177.854691</c:v>
                </c:pt>
                <c:pt idx="585">
                  <c:v>180.033264</c:v>
                </c:pt>
                <c:pt idx="586">
                  <c:v>180.56819200000001</c:v>
                </c:pt>
                <c:pt idx="587">
                  <c:v>179.469177</c:v>
                </c:pt>
                <c:pt idx="588">
                  <c:v>176.19160500000001</c:v>
                </c:pt>
                <c:pt idx="589">
                  <c:v>172.65141299999999</c:v>
                </c:pt>
                <c:pt idx="590">
                  <c:v>173.935226</c:v>
                </c:pt>
                <c:pt idx="591">
                  <c:v>176.12350499999999</c:v>
                </c:pt>
                <c:pt idx="592">
                  <c:v>177.50456199999999</c:v>
                </c:pt>
                <c:pt idx="593">
                  <c:v>177.52401699999999</c:v>
                </c:pt>
                <c:pt idx="594">
                  <c:v>178.263184</c:v>
                </c:pt>
                <c:pt idx="595">
                  <c:v>187.52207899999999</c:v>
                </c:pt>
                <c:pt idx="596">
                  <c:v>185.411621</c:v>
                </c:pt>
                <c:pt idx="597">
                  <c:v>185.57693499999999</c:v>
                </c:pt>
                <c:pt idx="598">
                  <c:v>185.89790300000001</c:v>
                </c:pt>
                <c:pt idx="599">
                  <c:v>189.02958699999999</c:v>
                </c:pt>
                <c:pt idx="600">
                  <c:v>182.60086100000001</c:v>
                </c:pt>
                <c:pt idx="601">
                  <c:v>181.21983299999999</c:v>
                </c:pt>
                <c:pt idx="602">
                  <c:v>182.15348800000001</c:v>
                </c:pt>
                <c:pt idx="603">
                  <c:v>179.01208500000001</c:v>
                </c:pt>
                <c:pt idx="604">
                  <c:v>179.148224</c:v>
                </c:pt>
                <c:pt idx="605">
                  <c:v>182.892639</c:v>
                </c:pt>
                <c:pt idx="606">
                  <c:v>187.20114100000001</c:v>
                </c:pt>
                <c:pt idx="607">
                  <c:v>188.523865</c:v>
                </c:pt>
                <c:pt idx="608">
                  <c:v>192.31691000000001</c:v>
                </c:pt>
                <c:pt idx="609">
                  <c:v>192.93933100000001</c:v>
                </c:pt>
                <c:pt idx="610">
                  <c:v>195.86677599999999</c:v>
                </c:pt>
                <c:pt idx="611">
                  <c:v>197.97726399999999</c:v>
                </c:pt>
                <c:pt idx="612">
                  <c:v>196.041855</c:v>
                </c:pt>
                <c:pt idx="613">
                  <c:v>194.31066899999999</c:v>
                </c:pt>
                <c:pt idx="614">
                  <c:v>192.482224</c:v>
                </c:pt>
                <c:pt idx="615">
                  <c:v>197.257553</c:v>
                </c:pt>
                <c:pt idx="616">
                  <c:v>194.35926799999999</c:v>
                </c:pt>
                <c:pt idx="617">
                  <c:v>198.03559899999999</c:v>
                </c:pt>
                <c:pt idx="618">
                  <c:v>197.78276099999999</c:v>
                </c:pt>
                <c:pt idx="619">
                  <c:v>200.26280199999999</c:v>
                </c:pt>
                <c:pt idx="620">
                  <c:v>199.873795</c:v>
                </c:pt>
                <c:pt idx="621">
                  <c:v>199.65983600000001</c:v>
                </c:pt>
                <c:pt idx="622">
                  <c:v>199.776535</c:v>
                </c:pt>
                <c:pt idx="623">
                  <c:v>200.55458100000001</c:v>
                </c:pt>
                <c:pt idx="624">
                  <c:v>203.87643399999999</c:v>
                </c:pt>
                <c:pt idx="625">
                  <c:v>203.099121</c:v>
                </c:pt>
                <c:pt idx="626">
                  <c:v>205.47045900000001</c:v>
                </c:pt>
                <c:pt idx="627">
                  <c:v>203.07942199999999</c:v>
                </c:pt>
                <c:pt idx="628">
                  <c:v>202.626801</c:v>
                </c:pt>
                <c:pt idx="629">
                  <c:v>205.332718</c:v>
                </c:pt>
                <c:pt idx="630">
                  <c:v>201.878998</c:v>
                </c:pt>
                <c:pt idx="631">
                  <c:v>197.47087099999999</c:v>
                </c:pt>
                <c:pt idx="632">
                  <c:v>198.19899000000001</c:v>
                </c:pt>
                <c:pt idx="633">
                  <c:v>195.798126</c:v>
                </c:pt>
                <c:pt idx="634">
                  <c:v>195.552155</c:v>
                </c:pt>
                <c:pt idx="635">
                  <c:v>187.38528400000001</c:v>
                </c:pt>
                <c:pt idx="636">
                  <c:v>194.863373</c:v>
                </c:pt>
                <c:pt idx="637">
                  <c:v>197.41184999999999</c:v>
                </c:pt>
                <c:pt idx="638">
                  <c:v>198.89759799999999</c:v>
                </c:pt>
                <c:pt idx="639">
                  <c:v>197.97267199999999</c:v>
                </c:pt>
                <c:pt idx="640">
                  <c:v>187.42465200000001</c:v>
                </c:pt>
                <c:pt idx="641">
                  <c:v>190.64218099999999</c:v>
                </c:pt>
                <c:pt idx="642">
                  <c:v>188.45779400000001</c:v>
                </c:pt>
                <c:pt idx="643">
                  <c:v>187.562378</c:v>
                </c:pt>
                <c:pt idx="644">
                  <c:v>186.755539</c:v>
                </c:pt>
                <c:pt idx="645">
                  <c:v>187.926468</c:v>
                </c:pt>
                <c:pt idx="646">
                  <c:v>185.53544600000001</c:v>
                </c:pt>
                <c:pt idx="647">
                  <c:v>186.84410099999999</c:v>
                </c:pt>
                <c:pt idx="648">
                  <c:v>185.033615</c:v>
                </c:pt>
                <c:pt idx="649">
                  <c:v>183.98075900000001</c:v>
                </c:pt>
                <c:pt idx="650">
                  <c:v>187.404968</c:v>
                </c:pt>
                <c:pt idx="651">
                  <c:v>186.361954</c:v>
                </c:pt>
                <c:pt idx="652">
                  <c:v>189.66807600000001</c:v>
                </c:pt>
                <c:pt idx="653">
                  <c:v>193.46614099999999</c:v>
                </c:pt>
                <c:pt idx="654">
                  <c:v>195.079849</c:v>
                </c:pt>
                <c:pt idx="655">
                  <c:v>196.89033499999999</c:v>
                </c:pt>
                <c:pt idx="656">
                  <c:v>193.66296399999999</c:v>
                </c:pt>
                <c:pt idx="657">
                  <c:v>194.75514200000001</c:v>
                </c:pt>
                <c:pt idx="658">
                  <c:v>188.93992600000001</c:v>
                </c:pt>
                <c:pt idx="659">
                  <c:v>186.59811400000001</c:v>
                </c:pt>
                <c:pt idx="660">
                  <c:v>191.596619</c:v>
                </c:pt>
                <c:pt idx="661">
                  <c:v>193.66296399999999</c:v>
                </c:pt>
                <c:pt idx="662">
                  <c:v>198.42532299999999</c:v>
                </c:pt>
                <c:pt idx="663">
                  <c:v>199.02552800000001</c:v>
                </c:pt>
                <c:pt idx="664">
                  <c:v>199.54702800000001</c:v>
                </c:pt>
                <c:pt idx="665">
                  <c:v>195.84733600000001</c:v>
                </c:pt>
                <c:pt idx="666">
                  <c:v>201.111526</c:v>
                </c:pt>
                <c:pt idx="667">
                  <c:v>201.70188899999999</c:v>
                </c:pt>
                <c:pt idx="668">
                  <c:v>204.59472700000001</c:v>
                </c:pt>
                <c:pt idx="669">
                  <c:v>211.52181999999999</c:v>
                </c:pt>
                <c:pt idx="670">
                  <c:v>210.98062100000001</c:v>
                </c:pt>
                <c:pt idx="671">
                  <c:v>210.40008499999999</c:v>
                </c:pt>
                <c:pt idx="672">
                  <c:v>206.38552899999999</c:v>
                </c:pt>
                <c:pt idx="673">
                  <c:v>204.69314600000001</c:v>
                </c:pt>
                <c:pt idx="674">
                  <c:v>203.29591400000001</c:v>
                </c:pt>
                <c:pt idx="675">
                  <c:v>204.781677</c:v>
                </c:pt>
                <c:pt idx="676">
                  <c:v>205.39175399999999</c:v>
                </c:pt>
                <c:pt idx="677">
                  <c:v>204.84072900000001</c:v>
                </c:pt>
                <c:pt idx="678">
                  <c:v>203.443512</c:v>
                </c:pt>
                <c:pt idx="679">
                  <c:v>201.71173099999999</c:v>
                </c:pt>
                <c:pt idx="680">
                  <c:v>214.17851300000001</c:v>
                </c:pt>
                <c:pt idx="681">
                  <c:v>223.014465</c:v>
                </c:pt>
                <c:pt idx="682">
                  <c:v>220.033051</c:v>
                </c:pt>
                <c:pt idx="683">
                  <c:v>224.086975</c:v>
                </c:pt>
                <c:pt idx="684">
                  <c:v>226.51736500000001</c:v>
                </c:pt>
                <c:pt idx="685">
                  <c:v>230.305588</c:v>
                </c:pt>
                <c:pt idx="686">
                  <c:v>226.35993999999999</c:v>
                </c:pt>
                <c:pt idx="687">
                  <c:v>227.14709500000001</c:v>
                </c:pt>
                <c:pt idx="688">
                  <c:v>227.26516699999999</c:v>
                </c:pt>
                <c:pt idx="689">
                  <c:v>224.677368</c:v>
                </c:pt>
                <c:pt idx="690">
                  <c:v>219.236053</c:v>
                </c:pt>
                <c:pt idx="691">
                  <c:v>217.88803100000001</c:v>
                </c:pt>
                <c:pt idx="692">
                  <c:v>216.38256799999999</c:v>
                </c:pt>
                <c:pt idx="693">
                  <c:v>208.72737100000001</c:v>
                </c:pt>
                <c:pt idx="694">
                  <c:v>211.44309999999999</c:v>
                </c:pt>
                <c:pt idx="695">
                  <c:v>212.240082</c:v>
                </c:pt>
                <c:pt idx="696">
                  <c:v>216.50062600000001</c:v>
                </c:pt>
                <c:pt idx="697">
                  <c:v>212.525452</c:v>
                </c:pt>
                <c:pt idx="698">
                  <c:v>211.01016200000001</c:v>
                </c:pt>
                <c:pt idx="699">
                  <c:v>215.683975</c:v>
                </c:pt>
                <c:pt idx="700">
                  <c:v>205.37207000000001</c:v>
                </c:pt>
                <c:pt idx="701">
                  <c:v>206.49375900000001</c:v>
                </c:pt>
                <c:pt idx="702">
                  <c:v>209.435822</c:v>
                </c:pt>
                <c:pt idx="703">
                  <c:v>212.230255</c:v>
                </c:pt>
                <c:pt idx="704">
                  <c:v>211.246307</c:v>
                </c:pt>
                <c:pt idx="705">
                  <c:v>213.548767</c:v>
                </c:pt>
                <c:pt idx="706">
                  <c:v>211.80714399999999</c:v>
                </c:pt>
                <c:pt idx="707">
                  <c:v>207.12352000000001</c:v>
                </c:pt>
                <c:pt idx="708">
                  <c:v>210.55754099999999</c:v>
                </c:pt>
                <c:pt idx="709">
                  <c:v>210.63626099999999</c:v>
                </c:pt>
                <c:pt idx="710">
                  <c:v>212.28930700000001</c:v>
                </c:pt>
                <c:pt idx="711">
                  <c:v>216.215317</c:v>
                </c:pt>
                <c:pt idx="712">
                  <c:v>219.03926100000001</c:v>
                </c:pt>
                <c:pt idx="713">
                  <c:v>216.49079900000001</c:v>
                </c:pt>
                <c:pt idx="714">
                  <c:v>223.624527</c:v>
                </c:pt>
                <c:pt idx="715">
                  <c:v>233.28698700000001</c:v>
                </c:pt>
                <c:pt idx="716">
                  <c:v>234.73341400000001</c:v>
                </c:pt>
                <c:pt idx="717">
                  <c:v>237.459</c:v>
                </c:pt>
                <c:pt idx="718">
                  <c:v>237.793533</c:v>
                </c:pt>
                <c:pt idx="719">
                  <c:v>241.306274</c:v>
                </c:pt>
                <c:pt idx="720">
                  <c:v>242.87077300000001</c:v>
                </c:pt>
                <c:pt idx="721">
                  <c:v>244.99610899999999</c:v>
                </c:pt>
                <c:pt idx="722">
                  <c:v>242.26071200000001</c:v>
                </c:pt>
                <c:pt idx="723">
                  <c:v>244.12042199999999</c:v>
                </c:pt>
                <c:pt idx="724">
                  <c:v>245.78327899999999</c:v>
                </c:pt>
                <c:pt idx="725">
                  <c:v>245.58648700000001</c:v>
                </c:pt>
                <c:pt idx="726">
                  <c:v>241.84742700000001</c:v>
                </c:pt>
                <c:pt idx="727">
                  <c:v>244.494293</c:v>
                </c:pt>
                <c:pt idx="728">
                  <c:v>242.437836</c:v>
                </c:pt>
                <c:pt idx="729">
                  <c:v>243.55952500000001</c:v>
                </c:pt>
                <c:pt idx="730">
                  <c:v>244.06135599999999</c:v>
                </c:pt>
                <c:pt idx="731">
                  <c:v>239.80081200000001</c:v>
                </c:pt>
                <c:pt idx="732">
                  <c:v>244.43525700000001</c:v>
                </c:pt>
                <c:pt idx="733">
                  <c:v>241.453857</c:v>
                </c:pt>
                <c:pt idx="734">
                  <c:v>236.43566899999999</c:v>
                </c:pt>
                <c:pt idx="735">
                  <c:v>240.430542</c:v>
                </c:pt>
                <c:pt idx="736">
                  <c:v>242.093414</c:v>
                </c:pt>
                <c:pt idx="737">
                  <c:v>243.45129399999999</c:v>
                </c:pt>
                <c:pt idx="738">
                  <c:v>238.19695999999999</c:v>
                </c:pt>
                <c:pt idx="739">
                  <c:v>242.319748</c:v>
                </c:pt>
                <c:pt idx="740">
                  <c:v>247.456039</c:v>
                </c:pt>
                <c:pt idx="741">
                  <c:v>255.829498</c:v>
                </c:pt>
                <c:pt idx="742">
                  <c:v>257.44323700000001</c:v>
                </c:pt>
                <c:pt idx="743">
                  <c:v>263.24859600000002</c:v>
                </c:pt>
                <c:pt idx="744">
                  <c:v>250.388229</c:v>
                </c:pt>
                <c:pt idx="745">
                  <c:v>249.68959000000001</c:v>
                </c:pt>
                <c:pt idx="746">
                  <c:v>250.33902</c:v>
                </c:pt>
                <c:pt idx="747">
                  <c:v>256.25262500000002</c:v>
                </c:pt>
                <c:pt idx="748">
                  <c:v>251.195053</c:v>
                </c:pt>
                <c:pt idx="749">
                  <c:v>253.52706900000001</c:v>
                </c:pt>
                <c:pt idx="750">
                  <c:v>260.71978799999999</c:v>
                </c:pt>
                <c:pt idx="751">
                  <c:v>259.75552399999998</c:v>
                </c:pt>
                <c:pt idx="752">
                  <c:v>262.23507699999999</c:v>
                </c:pt>
                <c:pt idx="753">
                  <c:v>260.35574300000002</c:v>
                </c:pt>
                <c:pt idx="754">
                  <c:v>261.38885499999998</c:v>
                </c:pt>
                <c:pt idx="755">
                  <c:v>257.76791400000002</c:v>
                </c:pt>
                <c:pt idx="756">
                  <c:v>266.25949100000003</c:v>
                </c:pt>
                <c:pt idx="757">
                  <c:v>269.96533199999999</c:v>
                </c:pt>
                <c:pt idx="758">
                  <c:v>268.60159299999998</c:v>
                </c:pt>
                <c:pt idx="759">
                  <c:v>265.577606</c:v>
                </c:pt>
                <c:pt idx="760">
                  <c:v>264.50045799999998</c:v>
                </c:pt>
                <c:pt idx="761">
                  <c:v>264.14468399999998</c:v>
                </c:pt>
                <c:pt idx="762">
                  <c:v>263.58136000000002</c:v>
                </c:pt>
                <c:pt idx="763">
                  <c:v>264.44113199999998</c:v>
                </c:pt>
                <c:pt idx="764">
                  <c:v>266.74371300000001</c:v>
                </c:pt>
                <c:pt idx="765">
                  <c:v>266.55593900000002</c:v>
                </c:pt>
                <c:pt idx="766">
                  <c:v>271.73431399999998</c:v>
                </c:pt>
                <c:pt idx="767">
                  <c:v>270.25195300000001</c:v>
                </c:pt>
                <c:pt idx="768">
                  <c:v>268.35452299999997</c:v>
                </c:pt>
                <c:pt idx="769">
                  <c:v>265.70608499999997</c:v>
                </c:pt>
                <c:pt idx="770">
                  <c:v>263.88769500000001</c:v>
                </c:pt>
                <c:pt idx="771">
                  <c:v>263.08728000000002</c:v>
                </c:pt>
                <c:pt idx="772">
                  <c:v>267.95922899999999</c:v>
                </c:pt>
                <c:pt idx="773">
                  <c:v>268.27548200000001</c:v>
                </c:pt>
                <c:pt idx="774">
                  <c:v>268.28539999999998</c:v>
                </c:pt>
                <c:pt idx="775">
                  <c:v>267.43548600000003</c:v>
                </c:pt>
                <c:pt idx="776">
                  <c:v>262.46469100000002</c:v>
                </c:pt>
                <c:pt idx="777">
                  <c:v>261.72348</c:v>
                </c:pt>
                <c:pt idx="778">
                  <c:v>266.58560199999999</c:v>
                </c:pt>
                <c:pt idx="779">
                  <c:v>270.617615</c:v>
                </c:pt>
                <c:pt idx="780">
                  <c:v>276.794037</c:v>
                </c:pt>
                <c:pt idx="781">
                  <c:v>274.25427200000001</c:v>
                </c:pt>
                <c:pt idx="782">
                  <c:v>275.82556199999999</c:v>
                </c:pt>
                <c:pt idx="783">
                  <c:v>280.69757099999998</c:v>
                </c:pt>
                <c:pt idx="784">
                  <c:v>283.859894</c:v>
                </c:pt>
                <c:pt idx="785">
                  <c:v>286.47872899999999</c:v>
                </c:pt>
                <c:pt idx="786">
                  <c:v>289.522491</c:v>
                </c:pt>
                <c:pt idx="787">
                  <c:v>291.370453</c:v>
                </c:pt>
                <c:pt idx="788">
                  <c:v>288.722015</c:v>
                </c:pt>
                <c:pt idx="789">
                  <c:v>288.38604700000002</c:v>
                </c:pt>
                <c:pt idx="790">
                  <c:v>290.13519300000002</c:v>
                </c:pt>
                <c:pt idx="791">
                  <c:v>292.65518200000002</c:v>
                </c:pt>
                <c:pt idx="792">
                  <c:v>291.45941199999999</c:v>
                </c:pt>
                <c:pt idx="793">
                  <c:v>292.85281400000002</c:v>
                </c:pt>
                <c:pt idx="794">
                  <c:v>293.17895499999997</c:v>
                </c:pt>
                <c:pt idx="795">
                  <c:v>291.41989100000001</c:v>
                </c:pt>
                <c:pt idx="796">
                  <c:v>292.45751999999999</c:v>
                </c:pt>
                <c:pt idx="797">
                  <c:v>299.26641799999999</c:v>
                </c:pt>
                <c:pt idx="798">
                  <c:v>294.44387799999998</c:v>
                </c:pt>
                <c:pt idx="799">
                  <c:v>292.10174599999999</c:v>
                </c:pt>
                <c:pt idx="800">
                  <c:v>295.27401700000001</c:v>
                </c:pt>
                <c:pt idx="801">
                  <c:v>298.33752399999997</c:v>
                </c:pt>
                <c:pt idx="802">
                  <c:v>297.833527</c:v>
                </c:pt>
                <c:pt idx="803">
                  <c:v>292.69473299999999</c:v>
                </c:pt>
                <c:pt idx="804">
                  <c:v>297.90267899999998</c:v>
                </c:pt>
                <c:pt idx="805">
                  <c:v>298.98971599999999</c:v>
                </c:pt>
                <c:pt idx="806">
                  <c:v>296.54879799999998</c:v>
                </c:pt>
                <c:pt idx="807">
                  <c:v>297.53701799999999</c:v>
                </c:pt>
                <c:pt idx="808">
                  <c:v>296.50930799999998</c:v>
                </c:pt>
                <c:pt idx="809">
                  <c:v>294.88857999999999</c:v>
                </c:pt>
                <c:pt idx="810">
                  <c:v>292.76388500000002</c:v>
                </c:pt>
                <c:pt idx="811">
                  <c:v>290.85659800000002</c:v>
                </c:pt>
                <c:pt idx="812">
                  <c:v>292.348816</c:v>
                </c:pt>
                <c:pt idx="813">
                  <c:v>280.934753</c:v>
                </c:pt>
                <c:pt idx="814">
                  <c:v>286.76531999999997</c:v>
                </c:pt>
                <c:pt idx="815">
                  <c:v>292.65518200000002</c:v>
                </c:pt>
                <c:pt idx="816">
                  <c:v>290.91592400000002</c:v>
                </c:pt>
                <c:pt idx="817">
                  <c:v>277.35732999999999</c:v>
                </c:pt>
                <c:pt idx="818">
                  <c:v>284.76907299999999</c:v>
                </c:pt>
                <c:pt idx="819">
                  <c:v>295.70880099999999</c:v>
                </c:pt>
                <c:pt idx="820">
                  <c:v>302.71536300000002</c:v>
                </c:pt>
                <c:pt idx="821">
                  <c:v>305.90734900000001</c:v>
                </c:pt>
                <c:pt idx="822">
                  <c:v>301.38125600000001</c:v>
                </c:pt>
                <c:pt idx="823">
                  <c:v>306.03585800000002</c:v>
                </c:pt>
                <c:pt idx="824">
                  <c:v>312.29135100000002</c:v>
                </c:pt>
                <c:pt idx="825">
                  <c:v>313.70452899999998</c:v>
                </c:pt>
                <c:pt idx="826">
                  <c:v>313.51675399999999</c:v>
                </c:pt>
                <c:pt idx="827">
                  <c:v>312.57794200000001</c:v>
                </c:pt>
                <c:pt idx="828">
                  <c:v>305.541718</c:v>
                </c:pt>
                <c:pt idx="829">
                  <c:v>313.65515099999999</c:v>
                </c:pt>
                <c:pt idx="830">
                  <c:v>309.78125</c:v>
                </c:pt>
                <c:pt idx="831">
                  <c:v>302.39913899999999</c:v>
                </c:pt>
                <c:pt idx="832">
                  <c:v>286.98272700000001</c:v>
                </c:pt>
                <c:pt idx="833">
                  <c:v>281.24108899999999</c:v>
                </c:pt>
                <c:pt idx="834">
                  <c:v>282.950714</c:v>
                </c:pt>
                <c:pt idx="835">
                  <c:v>273.96768200000002</c:v>
                </c:pt>
                <c:pt idx="836">
                  <c:v>273.45382699999999</c:v>
                </c:pt>
                <c:pt idx="837">
                  <c:v>284.106964</c:v>
                </c:pt>
                <c:pt idx="838">
                  <c:v>280.95446800000002</c:v>
                </c:pt>
                <c:pt idx="839">
                  <c:v>298.06079099999999</c:v>
                </c:pt>
                <c:pt idx="840">
                  <c:v>284.85803199999998</c:v>
                </c:pt>
                <c:pt idx="841">
                  <c:v>284.71966600000002</c:v>
                </c:pt>
                <c:pt idx="842">
                  <c:v>260.80444299999999</c:v>
                </c:pt>
                <c:pt idx="843">
                  <c:v>276.46792599999998</c:v>
                </c:pt>
                <c:pt idx="844">
                  <c:v>261.031769</c:v>
                </c:pt>
                <c:pt idx="845">
                  <c:v>237.916977</c:v>
                </c:pt>
                <c:pt idx="846">
                  <c:v>253.926346</c:v>
                </c:pt>
                <c:pt idx="847">
                  <c:v>226.66099500000001</c:v>
                </c:pt>
                <c:pt idx="848">
                  <c:v>235.53533899999999</c:v>
                </c:pt>
                <c:pt idx="849">
                  <c:v>194.67193599999999</c:v>
                </c:pt>
                <c:pt idx="850">
                  <c:v>211.51139800000001</c:v>
                </c:pt>
                <c:pt idx="851">
                  <c:v>213.557053</c:v>
                </c:pt>
                <c:pt idx="852">
                  <c:v>230.40640300000001</c:v>
                </c:pt>
                <c:pt idx="853">
                  <c:v>257.14798000000002</c:v>
                </c:pt>
                <c:pt idx="854">
                  <c:v>258.98608400000001</c:v>
                </c:pt>
                <c:pt idx="855">
                  <c:v>272.65335099999999</c:v>
                </c:pt>
                <c:pt idx="856">
                  <c:v>249.64729299999999</c:v>
                </c:pt>
                <c:pt idx="857">
                  <c:v>264.87597699999998</c:v>
                </c:pt>
                <c:pt idx="858">
                  <c:v>258.56118800000002</c:v>
                </c:pt>
                <c:pt idx="859">
                  <c:v>246.07977299999999</c:v>
                </c:pt>
                <c:pt idx="860">
                  <c:v>244.370148</c:v>
                </c:pt>
                <c:pt idx="861">
                  <c:v>241.73156700000001</c:v>
                </c:pt>
                <c:pt idx="862">
                  <c:v>267.93948399999999</c:v>
                </c:pt>
                <c:pt idx="863">
                  <c:v>269.382294</c:v>
                </c:pt>
                <c:pt idx="864">
                  <c:v>275.30178799999999</c:v>
                </c:pt>
                <c:pt idx="865">
                  <c:v>273.55264299999999</c:v>
                </c:pt>
                <c:pt idx="866">
                  <c:v>270.87454200000002</c:v>
                </c:pt>
                <c:pt idx="867">
                  <c:v>285.53002900000001</c:v>
                </c:pt>
                <c:pt idx="868">
                  <c:v>279.16577100000001</c:v>
                </c:pt>
                <c:pt idx="869">
                  <c:v>288.95916699999998</c:v>
                </c:pt>
                <c:pt idx="870">
                  <c:v>292.17095899999998</c:v>
                </c:pt>
                <c:pt idx="871">
                  <c:v>288.14880399999998</c:v>
                </c:pt>
                <c:pt idx="872">
                  <c:v>277.78228799999999</c:v>
                </c:pt>
                <c:pt idx="873">
                  <c:v>291.49896200000001</c:v>
                </c:pt>
                <c:pt idx="874">
                  <c:v>285.99447600000002</c:v>
                </c:pt>
                <c:pt idx="875">
                  <c:v>289.86611900000003</c:v>
                </c:pt>
                <c:pt idx="876">
                  <c:v>288.93246499999998</c:v>
                </c:pt>
                <c:pt idx="877">
                  <c:v>289.44897500000002</c:v>
                </c:pt>
                <c:pt idx="878">
                  <c:v>301.65585299999998</c:v>
                </c:pt>
                <c:pt idx="879">
                  <c:v>286.47918700000002</c:v>
                </c:pt>
                <c:pt idx="880">
                  <c:v>277.17257699999999</c:v>
                </c:pt>
                <c:pt idx="881">
                  <c:v>281.26470899999998</c:v>
                </c:pt>
                <c:pt idx="882">
                  <c:v>286.39974999999998</c:v>
                </c:pt>
                <c:pt idx="883">
                  <c:v>289.92572000000001</c:v>
                </c:pt>
                <c:pt idx="884">
                  <c:v>297.56372099999999</c:v>
                </c:pt>
                <c:pt idx="885">
                  <c:v>302.34118699999999</c:v>
                </c:pt>
                <c:pt idx="886">
                  <c:v>302.33126800000002</c:v>
                </c:pt>
                <c:pt idx="887">
                  <c:v>294.62374899999998</c:v>
                </c:pt>
                <c:pt idx="888">
                  <c:v>292.23998999999998</c:v>
                </c:pt>
                <c:pt idx="889">
                  <c:v>300.503693</c:v>
                </c:pt>
                <c:pt idx="890">
                  <c:v>290.56143200000002</c:v>
                </c:pt>
                <c:pt idx="891">
                  <c:v>302.82788099999999</c:v>
                </c:pt>
                <c:pt idx="892">
                  <c:v>304.17865</c:v>
                </c:pt>
                <c:pt idx="893">
                  <c:v>323.43753099999998</c:v>
                </c:pt>
                <c:pt idx="894">
                  <c:v>316.83248900000001</c:v>
                </c:pt>
                <c:pt idx="895">
                  <c:v>317.19998199999998</c:v>
                </c:pt>
                <c:pt idx="896">
                  <c:v>317.696594</c:v>
                </c:pt>
                <c:pt idx="897">
                  <c:v>316.37560999999999</c:v>
                </c:pt>
                <c:pt idx="898">
                  <c:v>317.80587800000001</c:v>
                </c:pt>
                <c:pt idx="899">
                  <c:v>327.28137199999998</c:v>
                </c:pt>
                <c:pt idx="900">
                  <c:v>324.520172</c:v>
                </c:pt>
                <c:pt idx="901">
                  <c:v>332.46606400000002</c:v>
                </c:pt>
                <c:pt idx="902">
                  <c:v>343.957764</c:v>
                </c:pt>
                <c:pt idx="903">
                  <c:v>350.72170999999997</c:v>
                </c:pt>
                <c:pt idx="904">
                  <c:v>354.80392499999999</c:v>
                </c:pt>
                <c:pt idx="905">
                  <c:v>346.88784800000002</c:v>
                </c:pt>
                <c:pt idx="906">
                  <c:v>346.967285</c:v>
                </c:pt>
                <c:pt idx="907">
                  <c:v>345.56683299999997</c:v>
                </c:pt>
                <c:pt idx="908">
                  <c:v>330.63851899999997</c:v>
                </c:pt>
                <c:pt idx="909">
                  <c:v>340.74963400000001</c:v>
                </c:pt>
                <c:pt idx="910">
                  <c:v>347.64273100000003</c:v>
                </c:pt>
                <c:pt idx="911">
                  <c:v>349.66888399999999</c:v>
                </c:pt>
                <c:pt idx="912">
                  <c:v>359.95883199999997</c:v>
                </c:pt>
                <c:pt idx="913">
                  <c:v>356.452698</c:v>
                </c:pt>
                <c:pt idx="914">
                  <c:v>358.23062099999999</c:v>
                </c:pt>
                <c:pt idx="915">
                  <c:v>361.82611100000003</c:v>
                </c:pt>
                <c:pt idx="916">
                  <c:v>364.16021699999999</c:v>
                </c:pt>
                <c:pt idx="917">
                  <c:v>359.13443000000001</c:v>
                </c:pt>
                <c:pt idx="918">
                  <c:v>364.070831</c:v>
                </c:pt>
                <c:pt idx="919">
                  <c:v>359.31323200000003</c:v>
                </c:pt>
                <c:pt idx="920">
                  <c:v>362.34258999999997</c:v>
                </c:pt>
                <c:pt idx="921">
                  <c:v>365.54080199999999</c:v>
                </c:pt>
                <c:pt idx="922">
                  <c:v>365.10379</c:v>
                </c:pt>
                <c:pt idx="923">
                  <c:v>370.69570900000002</c:v>
                </c:pt>
                <c:pt idx="924">
                  <c:v>382.85290500000002</c:v>
                </c:pt>
                <c:pt idx="925">
                  <c:v>379.43618800000002</c:v>
                </c:pt>
                <c:pt idx="926">
                  <c:v>389.27917500000001</c:v>
                </c:pt>
                <c:pt idx="927">
                  <c:v>392.05029300000001</c:v>
                </c:pt>
                <c:pt idx="928">
                  <c:v>393.17263800000001</c:v>
                </c:pt>
                <c:pt idx="929">
                  <c:v>385.99154700000003</c:v>
                </c:pt>
                <c:pt idx="930">
                  <c:v>394.14599600000003</c:v>
                </c:pt>
                <c:pt idx="931">
                  <c:v>372.89074699999998</c:v>
                </c:pt>
                <c:pt idx="932">
                  <c:v>382.614532</c:v>
                </c:pt>
                <c:pt idx="933">
                  <c:v>380.99557499999997</c:v>
                </c:pt>
                <c:pt idx="934">
                  <c:v>388.832245</c:v>
                </c:pt>
                <c:pt idx="935">
                  <c:v>381.22403000000003</c:v>
                </c:pt>
                <c:pt idx="936">
                  <c:v>389.94464099999999</c:v>
                </c:pt>
                <c:pt idx="937">
                  <c:v>381.63125600000001</c:v>
                </c:pt>
                <c:pt idx="938">
                  <c:v>365.19317599999999</c:v>
                </c:pt>
                <c:pt idx="939">
                  <c:v>379.19781499999999</c:v>
                </c:pt>
                <c:pt idx="940">
                  <c:v>373.81448399999999</c:v>
                </c:pt>
                <c:pt idx="941">
                  <c:v>362.15386999999998</c:v>
                </c:pt>
                <c:pt idx="942">
                  <c:v>360.27667200000002</c:v>
                </c:pt>
                <c:pt idx="943">
                  <c:v>351.327606</c:v>
                </c:pt>
                <c:pt idx="944">
                  <c:v>364.130402</c:v>
                </c:pt>
                <c:pt idx="945">
                  <c:v>367.82522599999999</c:v>
                </c:pt>
                <c:pt idx="946">
                  <c:v>366.01757800000001</c:v>
                </c:pt>
                <c:pt idx="947">
                  <c:v>366.73269699999997</c:v>
                </c:pt>
                <c:pt idx="948">
                  <c:v>363.594086</c:v>
                </c:pt>
                <c:pt idx="949">
                  <c:v>362.93853799999999</c:v>
                </c:pt>
                <c:pt idx="950">
                  <c:v>358.866241</c:v>
                </c:pt>
                <c:pt idx="951">
                  <c:v>372.27496300000001</c:v>
                </c:pt>
                <c:pt idx="952">
                  <c:v>372.22531099999998</c:v>
                </c:pt>
                <c:pt idx="953">
                  <c:v>368.590057</c:v>
                </c:pt>
                <c:pt idx="954">
                  <c:v>375.94992100000002</c:v>
                </c:pt>
                <c:pt idx="955">
                  <c:v>374.66867100000002</c:v>
                </c:pt>
                <c:pt idx="956">
                  <c:v>372.40408300000001</c:v>
                </c:pt>
                <c:pt idx="957">
                  <c:v>369.65283199999999</c:v>
                </c:pt>
                <c:pt idx="958">
                  <c:v>369.60311899999999</c:v>
                </c:pt>
                <c:pt idx="959">
                  <c:v>375.43344100000002</c:v>
                </c:pt>
                <c:pt idx="960">
                  <c:v>378.254211</c:v>
                </c:pt>
                <c:pt idx="961">
                  <c:v>383.309845</c:v>
                </c:pt>
                <c:pt idx="962">
                  <c:v>373.67541499999999</c:v>
                </c:pt>
                <c:pt idx="963">
                  <c:v>376.90344199999998</c:v>
                </c:pt>
                <c:pt idx="964">
                  <c:v>371.64923099999999</c:v>
                </c:pt>
                <c:pt idx="965">
                  <c:v>384.28320300000001</c:v>
                </c:pt>
                <c:pt idx="966">
                  <c:v>395.79480000000001</c:v>
                </c:pt>
                <c:pt idx="967">
                  <c:v>373.61584499999998</c:v>
                </c:pt>
                <c:pt idx="968">
                  <c:v>364.93496699999997</c:v>
                </c:pt>
                <c:pt idx="969">
                  <c:v>345.00067100000001</c:v>
                </c:pt>
                <c:pt idx="970">
                  <c:v>356.939392</c:v>
                </c:pt>
                <c:pt idx="971">
                  <c:v>354.585419</c:v>
                </c:pt>
                <c:pt idx="972">
                  <c:v>356.80035400000003</c:v>
                </c:pt>
                <c:pt idx="973">
                  <c:v>365.45144699999997</c:v>
                </c:pt>
                <c:pt idx="974">
                  <c:v>367.745789</c:v>
                </c:pt>
                <c:pt idx="975">
                  <c:v>359.92904700000003</c:v>
                </c:pt>
                <c:pt idx="976">
                  <c:v>364.25952100000001</c:v>
                </c:pt>
                <c:pt idx="977">
                  <c:v>363.862213</c:v>
                </c:pt>
                <c:pt idx="978">
                  <c:v>360.167419</c:v>
                </c:pt>
                <c:pt idx="979">
                  <c:v>362.173767</c:v>
                </c:pt>
                <c:pt idx="980">
                  <c:v>355.14160199999998</c:v>
                </c:pt>
                <c:pt idx="981">
                  <c:v>357.72406000000001</c:v>
                </c:pt>
                <c:pt idx="982">
                  <c:v>358.041901</c:v>
                </c:pt>
                <c:pt idx="983">
                  <c:v>368.55032299999999</c:v>
                </c:pt>
                <c:pt idx="984">
                  <c:v>371.47042800000003</c:v>
                </c:pt>
                <c:pt idx="985">
                  <c:v>366.7724</c:v>
                </c:pt>
                <c:pt idx="986">
                  <c:v>379.42626999999999</c:v>
                </c:pt>
                <c:pt idx="987">
                  <c:v>367.49749800000001</c:v>
                </c:pt>
                <c:pt idx="988">
                  <c:v>379.52557400000001</c:v>
                </c:pt>
                <c:pt idx="989">
                  <c:v>367.60672</c:v>
                </c:pt>
                <c:pt idx="990">
                  <c:v>373.25824</c:v>
                </c:pt>
                <c:pt idx="991">
                  <c:v>378.31384300000002</c:v>
                </c:pt>
                <c:pt idx="992">
                  <c:v>386.359039</c:v>
                </c:pt>
                <c:pt idx="993">
                  <c:v>396.34106400000002</c:v>
                </c:pt>
                <c:pt idx="994">
                  <c:v>402.40976000000001</c:v>
                </c:pt>
                <c:pt idx="995">
                  <c:v>395.33789100000001</c:v>
                </c:pt>
                <c:pt idx="996">
                  <c:v>383.955444</c:v>
                </c:pt>
                <c:pt idx="997">
                  <c:v>384.28320300000001</c:v>
                </c:pt>
                <c:pt idx="998">
                  <c:v>382.70394900000002</c:v>
                </c:pt>
                <c:pt idx="999">
                  <c:v>382.35629299999999</c:v>
                </c:pt>
                <c:pt idx="1000">
                  <c:v>380.40957600000002</c:v>
                </c:pt>
                <c:pt idx="1001">
                  <c:v>372.96026599999999</c:v>
                </c:pt>
                <c:pt idx="1002">
                  <c:v>375.99960299999998</c:v>
                </c:pt>
                <c:pt idx="1003">
                  <c:v>365.004456</c:v>
                </c:pt>
                <c:pt idx="1004">
                  <c:v>363.89205900000002</c:v>
                </c:pt>
                <c:pt idx="1005">
                  <c:v>360.40576199999998</c:v>
                </c:pt>
                <c:pt idx="1006">
                  <c:v>368.351654</c:v>
                </c:pt>
                <c:pt idx="1007">
                  <c:v>358.76693699999998</c:v>
                </c:pt>
                <c:pt idx="1008">
                  <c:v>364.14721700000001</c:v>
                </c:pt>
                <c:pt idx="1009">
                  <c:v>370.97729500000003</c:v>
                </c:pt>
                <c:pt idx="1010">
                  <c:v>381.885468</c:v>
                </c:pt>
                <c:pt idx="1011">
                  <c:v>397.03125</c:v>
                </c:pt>
                <c:pt idx="1012">
                  <c:v>405.05783100000002</c:v>
                </c:pt>
                <c:pt idx="1013">
                  <c:v>405.14755200000002</c:v>
                </c:pt>
                <c:pt idx="1014">
                  <c:v>398.13803100000001</c:v>
                </c:pt>
                <c:pt idx="1015">
                  <c:v>416.83346599999999</c:v>
                </c:pt>
                <c:pt idx="1016">
                  <c:v>411.51898199999999</c:v>
                </c:pt>
                <c:pt idx="1017">
                  <c:v>418.368988</c:v>
                </c:pt>
                <c:pt idx="1018">
                  <c:v>425.26886000000002</c:v>
                </c:pt>
                <c:pt idx="1019">
                  <c:v>425.23895299999998</c:v>
                </c:pt>
                <c:pt idx="1020">
                  <c:v>422.57669099999998</c:v>
                </c:pt>
                <c:pt idx="1021">
                  <c:v>422.12799100000001</c:v>
                </c:pt>
                <c:pt idx="1022">
                  <c:v>422.35732999999999</c:v>
                </c:pt>
                <c:pt idx="1023">
                  <c:v>425.90698200000003</c:v>
                </c:pt>
                <c:pt idx="1024">
                  <c:v>423.03537</c:v>
                </c:pt>
                <c:pt idx="1025">
                  <c:v>422.247681</c:v>
                </c:pt>
                <c:pt idx="1026">
                  <c:v>436.49606299999999</c:v>
                </c:pt>
                <c:pt idx="1027">
                  <c:v>436.45620700000001</c:v>
                </c:pt>
                <c:pt idx="1028">
                  <c:v>447.93270899999999</c:v>
                </c:pt>
                <c:pt idx="1029">
                  <c:v>449.687592</c:v>
                </c:pt>
                <c:pt idx="1030">
                  <c:v>451.58206200000001</c:v>
                </c:pt>
                <c:pt idx="1031">
                  <c:v>463.038635</c:v>
                </c:pt>
                <c:pt idx="1032">
                  <c:v>468.36309799999998</c:v>
                </c:pt>
                <c:pt idx="1033">
                  <c:v>467.20645100000002</c:v>
                </c:pt>
                <c:pt idx="1034">
                  <c:v>451.57208300000002</c:v>
                </c:pt>
                <c:pt idx="1035">
                  <c:v>456.46777300000002</c:v>
                </c:pt>
                <c:pt idx="1036">
                  <c:v>451.312836</c:v>
                </c:pt>
                <c:pt idx="1037">
                  <c:v>451.671783</c:v>
                </c:pt>
                <c:pt idx="1038">
                  <c:v>467.934326</c:v>
                </c:pt>
                <c:pt idx="1039">
                  <c:v>470.15783699999997</c:v>
                </c:pt>
                <c:pt idx="1040">
                  <c:v>475.91104100000001</c:v>
                </c:pt>
                <c:pt idx="1041">
                  <c:v>475.85122699999999</c:v>
                </c:pt>
                <c:pt idx="1042">
                  <c:v>470.88571200000001</c:v>
                </c:pt>
                <c:pt idx="1043">
                  <c:v>474.79431199999999</c:v>
                </c:pt>
                <c:pt idx="1044">
                  <c:v>473.238831</c:v>
                </c:pt>
                <c:pt idx="1045">
                  <c:v>481.68420400000002</c:v>
                </c:pt>
                <c:pt idx="1046">
                  <c:v>478.842468</c:v>
                </c:pt>
                <c:pt idx="1047">
                  <c:v>482.60153200000002</c:v>
                </c:pt>
                <c:pt idx="1048">
                  <c:v>488.48434400000002</c:v>
                </c:pt>
                <c:pt idx="1049">
                  <c:v>486.30072000000001</c:v>
                </c:pt>
                <c:pt idx="1050">
                  <c:v>498.544983</c:v>
                </c:pt>
                <c:pt idx="1051">
                  <c:v>503.88937399999998</c:v>
                </c:pt>
                <c:pt idx="1052">
                  <c:v>488.79345699999999</c:v>
                </c:pt>
                <c:pt idx="1053">
                  <c:v>499.97082499999999</c:v>
                </c:pt>
                <c:pt idx="1054">
                  <c:v>507.25955199999999</c:v>
                </c:pt>
                <c:pt idx="1055">
                  <c:v>506.47186299999998</c:v>
                </c:pt>
                <c:pt idx="1056">
                  <c:v>512.43444799999997</c:v>
                </c:pt>
                <c:pt idx="1057">
                  <c:v>512.56408699999997</c:v>
                </c:pt>
                <c:pt idx="1058">
                  <c:v>543.06506300000001</c:v>
                </c:pt>
                <c:pt idx="1059">
                  <c:v>525.964966</c:v>
                </c:pt>
                <c:pt idx="1060">
                  <c:v>547.90093999999999</c:v>
                </c:pt>
                <c:pt idx="1061">
                  <c:v>547.78131099999996</c:v>
                </c:pt>
                <c:pt idx="1062">
                  <c:v>569.07910200000003</c:v>
                </c:pt>
                <c:pt idx="1063">
                  <c:v>567.79290800000001</c:v>
                </c:pt>
                <c:pt idx="1064">
                  <c:v>565.95825200000002</c:v>
                </c:pt>
                <c:pt idx="1065">
                  <c:v>547.40240500000004</c:v>
                </c:pt>
                <c:pt idx="1066">
                  <c:v>523.10333300000002</c:v>
                </c:pt>
                <c:pt idx="1067">
                  <c:v>545.62756300000001</c:v>
                </c:pt>
                <c:pt idx="1068">
                  <c:v>532.60553000000004</c:v>
                </c:pt>
                <c:pt idx="1069">
                  <c:v>552.77673300000004</c:v>
                </c:pt>
                <c:pt idx="1070">
                  <c:v>551.88928199999998</c:v>
                </c:pt>
                <c:pt idx="1071">
                  <c:v>541.33007799999996</c:v>
                </c:pt>
                <c:pt idx="1072">
                  <c:v>553.823669</c:v>
                </c:pt>
                <c:pt idx="1073">
                  <c:v>551.20129399999996</c:v>
                </c:pt>
                <c:pt idx="1074">
                  <c:v>562.35876499999995</c:v>
                </c:pt>
                <c:pt idx="1075">
                  <c:v>563.85437000000002</c:v>
                </c:pt>
                <c:pt idx="1076">
                  <c:v>565.24035600000002</c:v>
                </c:pt>
                <c:pt idx="1077">
                  <c:v>589.78869599999996</c:v>
                </c:pt>
                <c:pt idx="1078">
                  <c:v>596.24981700000001</c:v>
                </c:pt>
                <c:pt idx="1079">
                  <c:v>601.38488800000005</c:v>
                </c:pt>
                <c:pt idx="1080">
                  <c:v>585.87017800000001</c:v>
                </c:pt>
                <c:pt idx="1081">
                  <c:v>580.78497300000004</c:v>
                </c:pt>
                <c:pt idx="1082">
                  <c:v>592.67028800000003</c:v>
                </c:pt>
                <c:pt idx="1083">
                  <c:v>576.81652799999995</c:v>
                </c:pt>
                <c:pt idx="1084">
                  <c:v>574.39361599999995</c:v>
                </c:pt>
                <c:pt idx="1085">
                  <c:v>593.278503</c:v>
                </c:pt>
                <c:pt idx="1086">
                  <c:v>558.14105199999995</c:v>
                </c:pt>
                <c:pt idx="1087">
                  <c:v>565.43975799999998</c:v>
                </c:pt>
                <c:pt idx="1088">
                  <c:v>581.85186799999997</c:v>
                </c:pt>
                <c:pt idx="1089">
                  <c:v>561.50128199999995</c:v>
                </c:pt>
                <c:pt idx="1090">
                  <c:v>542.01806599999998</c:v>
                </c:pt>
                <c:pt idx="1091">
                  <c:v>509.01443499999999</c:v>
                </c:pt>
                <c:pt idx="1092">
                  <c:v>525.50628700000004</c:v>
                </c:pt>
                <c:pt idx="1093">
                  <c:v>500.72860700000001</c:v>
                </c:pt>
                <c:pt idx="1094">
                  <c:v>537.95001200000002</c:v>
                </c:pt>
                <c:pt idx="1095">
                  <c:v>521.80712900000003</c:v>
                </c:pt>
                <c:pt idx="1096">
                  <c:v>542.81579599999998</c:v>
                </c:pt>
                <c:pt idx="1097">
                  <c:v>536.06549099999995</c:v>
                </c:pt>
                <c:pt idx="1098">
                  <c:v>545.59765600000003</c:v>
                </c:pt>
                <c:pt idx="1099">
                  <c:v>547.78131099999996</c:v>
                </c:pt>
                <c:pt idx="1100">
                  <c:v>557.94164999999998</c:v>
                </c:pt>
                <c:pt idx="1101">
                  <c:v>537.62097200000005</c:v>
                </c:pt>
                <c:pt idx="1102">
                  <c:v>545.82696499999997</c:v>
                </c:pt>
                <c:pt idx="1103">
                  <c:v>574.31384300000002</c:v>
                </c:pt>
                <c:pt idx="1104">
                  <c:v>557.243652</c:v>
                </c:pt>
                <c:pt idx="1105">
                  <c:v>576.89636199999995</c:v>
                </c:pt>
                <c:pt idx="1106">
                  <c:v>582.30053699999996</c:v>
                </c:pt>
                <c:pt idx="1107">
                  <c:v>623.849243</c:v>
                </c:pt>
                <c:pt idx="1108">
                  <c:v>606.23071300000004</c:v>
                </c:pt>
                <c:pt idx="1109">
                  <c:v>599.54022199999997</c:v>
                </c:pt>
                <c:pt idx="1110">
                  <c:v>615.56347700000003</c:v>
                </c:pt>
                <c:pt idx="1111">
                  <c:v>635.24603300000001</c:v>
                </c:pt>
                <c:pt idx="1112">
                  <c:v>638.62616000000003</c:v>
                </c:pt>
                <c:pt idx="1113">
                  <c:v>626.17248500000005</c:v>
                </c:pt>
                <c:pt idx="1114">
                  <c:v>624.73669400000006</c:v>
                </c:pt>
                <c:pt idx="1115">
                  <c:v>638.01794400000006</c:v>
                </c:pt>
                <c:pt idx="1116">
                  <c:v>632.47412099999997</c:v>
                </c:pt>
                <c:pt idx="1117">
                  <c:v>628.59545900000001</c:v>
                </c:pt>
                <c:pt idx="1118">
                  <c:v>627.28924600000005</c:v>
                </c:pt>
                <c:pt idx="1119">
                  <c:v>629.15380900000002</c:v>
                </c:pt>
                <c:pt idx="1120">
                  <c:v>640.22155799999996</c:v>
                </c:pt>
                <c:pt idx="1121">
                  <c:v>643.81103499999995</c:v>
                </c:pt>
                <c:pt idx="1122">
                  <c:v>628.27636700000005</c:v>
                </c:pt>
                <c:pt idx="1123">
                  <c:v>615.14471400000002</c:v>
                </c:pt>
                <c:pt idx="1124">
                  <c:v>653.58252000000005</c:v>
                </c:pt>
                <c:pt idx="1125">
                  <c:v>645.20696999999996</c:v>
                </c:pt>
                <c:pt idx="1126">
                  <c:v>668.95764199999996</c:v>
                </c:pt>
                <c:pt idx="1127">
                  <c:v>668.489014</c:v>
                </c:pt>
                <c:pt idx="1128">
                  <c:v>670.85211200000003</c:v>
                </c:pt>
                <c:pt idx="1129">
                  <c:v>663.40386999999998</c:v>
                </c:pt>
                <c:pt idx="1130">
                  <c:v>660.55212400000005</c:v>
                </c:pt>
                <c:pt idx="1131">
                  <c:v>646.21398899999997</c:v>
                </c:pt>
                <c:pt idx="1132">
                  <c:v>654.42999299999997</c:v>
                </c:pt>
                <c:pt idx="1133">
                  <c:v>629</c:v>
                </c:pt>
                <c:pt idx="1134">
                  <c:v>641.88000499999998</c:v>
                </c:pt>
                <c:pt idx="1135">
                  <c:v>644.34002699999996</c:v>
                </c:pt>
                <c:pt idx="1136">
                  <c:v>658.57000700000003</c:v>
                </c:pt>
                <c:pt idx="1137">
                  <c:v>627.26000999999997</c:v>
                </c:pt>
                <c:pt idx="1138">
                  <c:v>630.65997300000004</c:v>
                </c:pt>
                <c:pt idx="1139">
                  <c:v>601.88000499999998</c:v>
                </c:pt>
                <c:pt idx="1140">
                  <c:v>623.09002699999996</c:v>
                </c:pt>
                <c:pt idx="1141">
                  <c:v>647.76000999999997</c:v>
                </c:pt>
                <c:pt idx="1142">
                  <c:v>635.34997599999997</c:v>
                </c:pt>
                <c:pt idx="1143">
                  <c:v>632.19000200000005</c:v>
                </c:pt>
                <c:pt idx="1144">
                  <c:v>630.78002900000001</c:v>
                </c:pt>
                <c:pt idx="1145">
                  <c:v>648.77002000000005</c:v>
                </c:pt>
                <c:pt idx="1146">
                  <c:v>639.21997099999999</c:v>
                </c:pt>
                <c:pt idx="1147">
                  <c:v>658.95001200000002</c:v>
                </c:pt>
                <c:pt idx="1148">
                  <c:v>672.28997800000002</c:v>
                </c:pt>
                <c:pt idx="1149">
                  <c:v>665.77002000000005</c:v>
                </c:pt>
                <c:pt idx="1150">
                  <c:v>665.09002699999996</c:v>
                </c:pt>
                <c:pt idx="1151">
                  <c:v>675.46997099999999</c:v>
                </c:pt>
                <c:pt idx="1152">
                  <c:v>671.79998799999998</c:v>
                </c:pt>
                <c:pt idx="1153">
                  <c:v>674.09002699999996</c:v>
                </c:pt>
                <c:pt idx="1154">
                  <c:v>665.89001499999995</c:v>
                </c:pt>
                <c:pt idx="1155">
                  <c:v>683.29998799999998</c:v>
                </c:pt>
                <c:pt idx="1156">
                  <c:v>681.97997999999995</c:v>
                </c:pt>
                <c:pt idx="1157">
                  <c:v>680.72997999999995</c:v>
                </c:pt>
                <c:pt idx="1158">
                  <c:v>682.59002699999996</c:v>
                </c:pt>
                <c:pt idx="1159">
                  <c:v>699.94000200000005</c:v>
                </c:pt>
                <c:pt idx="1160">
                  <c:v>697.03002900000001</c:v>
                </c:pt>
                <c:pt idx="1161">
                  <c:v>709.330017</c:v>
                </c:pt>
                <c:pt idx="1162">
                  <c:v>701.78002900000001</c:v>
                </c:pt>
                <c:pt idx="1163">
                  <c:v>699.04998799999998</c:v>
                </c:pt>
                <c:pt idx="1164">
                  <c:v>698.830017</c:v>
                </c:pt>
                <c:pt idx="1165">
                  <c:v>671.07000700000003</c:v>
                </c:pt>
                <c:pt idx="1166">
                  <c:v>680.65002400000003</c:v>
                </c:pt>
                <c:pt idx="1167">
                  <c:v>685.80999799999995</c:v>
                </c:pt>
                <c:pt idx="1168">
                  <c:v>681.65002400000003</c:v>
                </c:pt>
                <c:pt idx="1169">
                  <c:v>695</c:v>
                </c:pt>
                <c:pt idx="1170">
                  <c:v>686.21002199999998</c:v>
                </c:pt>
                <c:pt idx="1171">
                  <c:v>704.10998500000005</c:v>
                </c:pt>
                <c:pt idx="1172">
                  <c:v>703.67999299999997</c:v>
                </c:pt>
                <c:pt idx="1173">
                  <c:v>690.84002699999996</c:v>
                </c:pt>
                <c:pt idx="1174">
                  <c:v>679.30999799999995</c:v>
                </c:pt>
                <c:pt idx="1175">
                  <c:v>687.53997800000002</c:v>
                </c:pt>
                <c:pt idx="1176">
                  <c:v>685.86999500000002</c:v>
                </c:pt>
                <c:pt idx="1177">
                  <c:v>690.17999299999997</c:v>
                </c:pt>
                <c:pt idx="1178">
                  <c:v>673.69000200000005</c:v>
                </c:pt>
                <c:pt idx="1179">
                  <c:v>691.35998500000005</c:v>
                </c:pt>
                <c:pt idx="1180">
                  <c:v>707.80999799999995</c:v>
                </c:pt>
                <c:pt idx="1181">
                  <c:v>706.419983</c:v>
                </c:pt>
                <c:pt idx="1182">
                  <c:v>716.51000999999997</c:v>
                </c:pt>
                <c:pt idx="1183">
                  <c:v>703.94000200000005</c:v>
                </c:pt>
                <c:pt idx="1184">
                  <c:v>687.419983</c:v>
                </c:pt>
                <c:pt idx="1185">
                  <c:v>684</c:v>
                </c:pt>
                <c:pt idx="1186">
                  <c:v>684.04998799999998</c:v>
                </c:pt>
                <c:pt idx="1187">
                  <c:v>721</c:v>
                </c:pt>
                <c:pt idx="1188">
                  <c:v>729.919983</c:v>
                </c:pt>
                <c:pt idx="1189">
                  <c:v>748.14001499999995</c:v>
                </c:pt>
                <c:pt idx="1190">
                  <c:v>754.09002699999996</c:v>
                </c:pt>
                <c:pt idx="1191">
                  <c:v>745.59997599999997</c:v>
                </c:pt>
                <c:pt idx="1192">
                  <c:v>759.85998500000005</c:v>
                </c:pt>
                <c:pt idx="1193">
                  <c:v>765.71002199999998</c:v>
                </c:pt>
                <c:pt idx="1194">
                  <c:v>766.73999000000003</c:v>
                </c:pt>
                <c:pt idx="1195">
                  <c:v>769.65002400000003</c:v>
                </c:pt>
                <c:pt idx="1196">
                  <c:v>779.53002900000001</c:v>
                </c:pt>
                <c:pt idx="1197">
                  <c:v>795.47997999999995</c:v>
                </c:pt>
                <c:pt idx="1198">
                  <c:v>794.75</c:v>
                </c:pt>
                <c:pt idx="1199">
                  <c:v>783.28002900000001</c:v>
                </c:pt>
                <c:pt idx="1200">
                  <c:v>788.67999299999997</c:v>
                </c:pt>
                <c:pt idx="1201">
                  <c:v>789.28997800000002</c:v>
                </c:pt>
                <c:pt idx="1202">
                  <c:v>789.21997099999999</c:v>
                </c:pt>
                <c:pt idx="1203">
                  <c:v>781.07000700000003</c:v>
                </c:pt>
                <c:pt idx="1204">
                  <c:v>788.96002199999998</c:v>
                </c:pt>
                <c:pt idx="1205">
                  <c:v>787.34997599999997</c:v>
                </c:pt>
                <c:pt idx="1206">
                  <c:v>776.55999799999995</c:v>
                </c:pt>
                <c:pt idx="1207">
                  <c:v>772.45001200000002</c:v>
                </c:pt>
                <c:pt idx="1208">
                  <c:v>781.51000999999997</c:v>
                </c:pt>
                <c:pt idx="1209">
                  <c:v>788.17999299999997</c:v>
                </c:pt>
                <c:pt idx="1210">
                  <c:v>811.61999500000002</c:v>
                </c:pt>
                <c:pt idx="1211">
                  <c:v>805.60998500000005</c:v>
                </c:pt>
                <c:pt idx="1212">
                  <c:v>807.86999500000002</c:v>
                </c:pt>
                <c:pt idx="1213">
                  <c:v>810.94000200000005</c:v>
                </c:pt>
                <c:pt idx="1214">
                  <c:v>832.919983</c:v>
                </c:pt>
                <c:pt idx="1215">
                  <c:v>839.59002699999996</c:v>
                </c:pt>
                <c:pt idx="1216">
                  <c:v>833.03997800000002</c:v>
                </c:pt>
                <c:pt idx="1217">
                  <c:v>842.169983</c:v>
                </c:pt>
                <c:pt idx="1218">
                  <c:v>861.28002900000001</c:v>
                </c:pt>
                <c:pt idx="1219">
                  <c:v>858.10998500000005</c:v>
                </c:pt>
                <c:pt idx="1220">
                  <c:v>861.77002000000005</c:v>
                </c:pt>
                <c:pt idx="1221">
                  <c:v>857.98999000000003</c:v>
                </c:pt>
                <c:pt idx="1222">
                  <c:v>853.5</c:v>
                </c:pt>
                <c:pt idx="1223">
                  <c:v>858.86999500000002</c:v>
                </c:pt>
                <c:pt idx="1224">
                  <c:v>871.23999000000003</c:v>
                </c:pt>
                <c:pt idx="1225">
                  <c:v>888.07000700000003</c:v>
                </c:pt>
                <c:pt idx="1226">
                  <c:v>889.330017</c:v>
                </c:pt>
                <c:pt idx="1227">
                  <c:v>887.30999799999995</c:v>
                </c:pt>
                <c:pt idx="1228">
                  <c:v>859.84997599999997</c:v>
                </c:pt>
                <c:pt idx="1229">
                  <c:v>840.73999000000003</c:v>
                </c:pt>
                <c:pt idx="1230">
                  <c:v>854.72997999999995</c:v>
                </c:pt>
                <c:pt idx="1231">
                  <c:v>864.73999000000003</c:v>
                </c:pt>
                <c:pt idx="1232">
                  <c:v>879.78002900000001</c:v>
                </c:pt>
                <c:pt idx="1233">
                  <c:v>868.82000700000003</c:v>
                </c:pt>
                <c:pt idx="1234">
                  <c:v>835.30999799999995</c:v>
                </c:pt>
                <c:pt idx="1235">
                  <c:v>780.169983</c:v>
                </c:pt>
                <c:pt idx="1236">
                  <c:v>750.419983</c:v>
                </c:pt>
                <c:pt idx="1237">
                  <c:v>745.10998500000005</c:v>
                </c:pt>
                <c:pt idx="1238">
                  <c:v>741.80999799999995</c:v>
                </c:pt>
                <c:pt idx="1239">
                  <c:v>712.94000200000005</c:v>
                </c:pt>
                <c:pt idx="1240">
                  <c:v>732.86999500000002</c:v>
                </c:pt>
                <c:pt idx="1241">
                  <c:v>732.5</c:v>
                </c:pt>
                <c:pt idx="1242">
                  <c:v>746.82000700000003</c:v>
                </c:pt>
                <c:pt idx="1243">
                  <c:v>730.27002000000005</c:v>
                </c:pt>
                <c:pt idx="1244">
                  <c:v>721.89001499999995</c:v>
                </c:pt>
                <c:pt idx="1245">
                  <c:v>725.04998799999998</c:v>
                </c:pt>
                <c:pt idx="1246">
                  <c:v>744.419983</c:v>
                </c:pt>
                <c:pt idx="1247">
                  <c:v>778.28997800000002</c:v>
                </c:pt>
                <c:pt idx="1248">
                  <c:v>789.40002400000003</c:v>
                </c:pt>
                <c:pt idx="1249">
                  <c:v>788.21997099999999</c:v>
                </c:pt>
                <c:pt idx="1250">
                  <c:v>800.96002199999998</c:v>
                </c:pt>
                <c:pt idx="1251">
                  <c:v>767.70001200000002</c:v>
                </c:pt>
                <c:pt idx="1252">
                  <c:v>787.55999799999995</c:v>
                </c:pt>
                <c:pt idx="1253">
                  <c:v>800.96997099999999</c:v>
                </c:pt>
                <c:pt idx="1254">
                  <c:v>788.44000200000005</c:v>
                </c:pt>
                <c:pt idx="1255">
                  <c:v>791.22997999999995</c:v>
                </c:pt>
                <c:pt idx="1256">
                  <c:v>801</c:v>
                </c:pt>
                <c:pt idx="1257">
                  <c:v>813.19000200000005</c:v>
                </c:pt>
              </c:numCache>
            </c:numRef>
          </c:val>
          <c:smooth val="0"/>
          <c:extLst>
            <c:ext xmlns:c16="http://schemas.microsoft.com/office/drawing/2014/chart" uri="{C3380CC4-5D6E-409C-BE32-E72D297353CC}">
              <c16:uniqueId val="{00000000-306C-450A-8B79-D2F5DBD1CA0C}"/>
            </c:ext>
          </c:extLst>
        </c:ser>
        <c:dLbls>
          <c:showLegendKey val="0"/>
          <c:showVal val="0"/>
          <c:showCatName val="0"/>
          <c:showSerName val="0"/>
          <c:showPercent val="0"/>
          <c:showBubbleSize val="0"/>
        </c:dLbls>
        <c:smooth val="0"/>
        <c:axId val="1943370655"/>
        <c:axId val="536532815"/>
      </c:lineChart>
      <c:dateAx>
        <c:axId val="1943370655"/>
        <c:scaling>
          <c:orientation val="minMax"/>
        </c:scaling>
        <c:delete val="0"/>
        <c:axPos val="b"/>
        <c:numFmt formatCode="yyyy" sourceLinked="0"/>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Bahnschrift Light" panose="020B0502040204020203" pitchFamily="34" charset="0"/>
                <a:ea typeface="+mn-ea"/>
                <a:cs typeface="+mn-cs"/>
              </a:defRPr>
            </a:pPr>
            <a:endParaRPr lang="en-US"/>
          </a:p>
        </c:txPr>
        <c:crossAx val="536532815"/>
        <c:crosses val="autoZero"/>
        <c:auto val="1"/>
        <c:lblOffset val="100"/>
        <c:baseTimeUnit val="days"/>
        <c:majorUnit val="1"/>
        <c:majorTimeUnit val="years"/>
        <c:minorUnit val="1"/>
        <c:minorTimeUnit val="years"/>
      </c:dateAx>
      <c:valAx>
        <c:axId val="536532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Bahnschrift Light" panose="020B0502040204020203" pitchFamily="34" charset="0"/>
                <a:ea typeface="+mn-ea"/>
                <a:cs typeface="+mn-cs"/>
              </a:defRPr>
            </a:pPr>
            <a:endParaRPr lang="en-US"/>
          </a:p>
        </c:txPr>
        <c:crossAx val="1943370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'Historical Multiples'!$B$17</c:f>
              <c:strCache>
                <c:ptCount val="1"/>
                <c:pt idx="0">
                  <c:v>P/E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dLbl>
              <c:idx val="5"/>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Bahnschrift Condensed" panose="020B0502040204020203" pitchFamily="34" charset="0"/>
                        <a:ea typeface="+mn-ea"/>
                        <a:cs typeface="+mn-cs"/>
                      </a:defRPr>
                    </a:pPr>
                    <a:fld id="{A5085159-5892-40F6-A5DE-7BB44C8DD8EF}" type="VALUE">
                      <a:rPr lang="en-US">
                        <a:solidFill>
                          <a:schemeClr val="accent1"/>
                        </a:solidFill>
                      </a:rPr>
                      <a:pPr>
                        <a:defRPr/>
                      </a:pPr>
                      <a:t>[VALUE]</a:t>
                    </a:fld>
                    <a:endParaRPr lang="en-US"/>
                  </a:p>
                </c:rich>
              </c:tx>
              <c:spPr>
                <a:solidFill>
                  <a:schemeClr val="lt1"/>
                </a:solidFill>
                <a:ln w="9575">
                  <a:solidFill>
                    <a:schemeClr val="tx1"/>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Bahnschrift Condensed"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dlblFieldTable/>
                  <c15:showDataLabelsRange val="0"/>
                </c:ext>
                <c:ext xmlns:c16="http://schemas.microsoft.com/office/drawing/2014/chart" uri="{C3380CC4-5D6E-409C-BE32-E72D297353CC}">
                  <c16:uniqueId val="{00000004-3503-4E5F-82F1-3CA913EC9410}"/>
                </c:ext>
              </c:extLst>
            </c:dLbl>
            <c:spPr>
              <a:noFill/>
              <a:ln>
                <a:noFill/>
              </a:ln>
              <a:effectLst/>
            </c:spPr>
            <c:txPr>
              <a:bodyPr rot="0" spcFirstLastPara="1" vertOverflow="ellipsis" vert="horz" wrap="square" anchor="ctr" anchorCtr="1"/>
              <a:lstStyle/>
              <a:p>
                <a:pPr>
                  <a:defRPr sz="1200" b="1" i="0" u="none" strike="noStrike" kern="1200" baseline="0">
                    <a:solidFill>
                      <a:schemeClr val="accent1"/>
                    </a:solidFill>
                    <a:latin typeface="Bahnschrift Condensed" panose="020B05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'Historical Multiples'!$C$5:$M$5</c:f>
              <c:numCache>
                <c:formatCode>General</c:formatCode>
                <c:ptCount val="11"/>
                <c:pt idx="1">
                  <c:v>2017</c:v>
                </c:pt>
                <c:pt idx="2">
                  <c:v>2018</c:v>
                </c:pt>
                <c:pt idx="3">
                  <c:v>2019</c:v>
                </c:pt>
                <c:pt idx="4">
                  <c:v>2020</c:v>
                </c:pt>
                <c:pt idx="5">
                  <c:v>2021</c:v>
                </c:pt>
                <c:pt idx="6">
                  <c:v>2022</c:v>
                </c:pt>
                <c:pt idx="7">
                  <c:v>2023</c:v>
                </c:pt>
                <c:pt idx="8">
                  <c:v>2024</c:v>
                </c:pt>
                <c:pt idx="9">
                  <c:v>2025</c:v>
                </c:pt>
                <c:pt idx="10">
                  <c:v>2026</c:v>
                </c:pt>
              </c:numCache>
            </c:numRef>
          </c:cat>
          <c:val>
            <c:numRef>
              <c:f>'Historical Multiples'!$C$17:$M$17</c:f>
              <c:numCache>
                <c:formatCode>#.#\x</c:formatCode>
                <c:ptCount val="11"/>
                <c:pt idx="1">
                  <c:v>38.751184447706521</c:v>
                </c:pt>
                <c:pt idx="2">
                  <c:v>26.003528532753876</c:v>
                </c:pt>
                <c:pt idx="3">
                  <c:v>52.173037203249095</c:v>
                </c:pt>
                <c:pt idx="4">
                  <c:v>57.591042497517229</c:v>
                </c:pt>
                <c:pt idx="5">
                  <c:v>61.966487293255007</c:v>
                </c:pt>
                <c:pt idx="6">
                  <c:v>50.203740510723243</c:v>
                </c:pt>
                <c:pt idx="7">
                  <c:v>46.593889159955374</c:v>
                </c:pt>
                <c:pt idx="8">
                  <c:v>45.13849980268693</c:v>
                </c:pt>
                <c:pt idx="9">
                  <c:v>44.939645544714651</c:v>
                </c:pt>
                <c:pt idx="10">
                  <c:v>44.741980318891102</c:v>
                </c:pt>
              </c:numCache>
            </c:numRef>
          </c:val>
          <c:smooth val="0"/>
          <c:extLst>
            <c:ext xmlns:c16="http://schemas.microsoft.com/office/drawing/2014/chart" uri="{C3380CC4-5D6E-409C-BE32-E72D297353CC}">
              <c16:uniqueId val="{00000000-3503-4E5F-82F1-3CA913EC9410}"/>
            </c:ext>
          </c:extLst>
        </c:ser>
        <c:ser>
          <c:idx val="1"/>
          <c:order val="1"/>
          <c:tx>
            <c:strRef>
              <c:f>'Historical Multiples'!$B$18</c:f>
              <c:strCache>
                <c:ptCount val="1"/>
                <c:pt idx="0">
                  <c:v>EV/Sales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dLbl>
              <c:idx val="5"/>
              <c:spPr>
                <a:solidFill>
                  <a:schemeClr val="lt1"/>
                </a:solidFill>
                <a:ln w="9575">
                  <a:solidFill>
                    <a:sysClr val="windowText" lastClr="000000"/>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accent2"/>
                      </a:solidFill>
                      <a:latin typeface="Bahnschrift Condensed"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 xmlns:c16="http://schemas.microsoft.com/office/drawing/2014/chart" uri="{C3380CC4-5D6E-409C-BE32-E72D297353CC}">
                  <c16:uniqueId val="{00000006-3503-4E5F-82F1-3CA913EC9410}"/>
                </c:ext>
              </c:extLst>
            </c:dLbl>
            <c:spPr>
              <a:noFill/>
              <a:ln>
                <a:noFill/>
              </a:ln>
              <a:effectLst/>
            </c:spPr>
            <c:txPr>
              <a:bodyPr rot="0" spcFirstLastPara="1" vertOverflow="ellipsis" vert="horz" wrap="square" anchor="ctr" anchorCtr="1"/>
              <a:lstStyle/>
              <a:p>
                <a:pPr>
                  <a:defRPr sz="1200" b="1" i="0" u="none" strike="noStrike" kern="1200" baseline="0">
                    <a:solidFill>
                      <a:schemeClr val="accent2"/>
                    </a:solidFill>
                    <a:latin typeface="Bahnschrift Condensed" panose="020B05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'Historical Multiples'!$C$5:$M$5</c:f>
              <c:numCache>
                <c:formatCode>General</c:formatCode>
                <c:ptCount val="11"/>
                <c:pt idx="1">
                  <c:v>2017</c:v>
                </c:pt>
                <c:pt idx="2">
                  <c:v>2018</c:v>
                </c:pt>
                <c:pt idx="3">
                  <c:v>2019</c:v>
                </c:pt>
                <c:pt idx="4">
                  <c:v>2020</c:v>
                </c:pt>
                <c:pt idx="5">
                  <c:v>2021</c:v>
                </c:pt>
                <c:pt idx="6">
                  <c:v>2022</c:v>
                </c:pt>
                <c:pt idx="7">
                  <c:v>2023</c:v>
                </c:pt>
                <c:pt idx="8">
                  <c:v>2024</c:v>
                </c:pt>
                <c:pt idx="9">
                  <c:v>2025</c:v>
                </c:pt>
                <c:pt idx="10">
                  <c:v>2026</c:v>
                </c:pt>
              </c:numCache>
            </c:numRef>
          </c:cat>
          <c:val>
            <c:numRef>
              <c:f>'Historical Multiples'!$C$18:$M$18</c:f>
              <c:numCache>
                <c:formatCode>#.#\x</c:formatCode>
                <c:ptCount val="11"/>
                <c:pt idx="1">
                  <c:v>7.3655970820632435</c:v>
                </c:pt>
                <c:pt idx="2">
                  <c:v>5.105522722789182</c:v>
                </c:pt>
                <c:pt idx="3">
                  <c:v>9.3972337084560493</c:v>
                </c:pt>
                <c:pt idx="4">
                  <c:v>12.62254758637947</c:v>
                </c:pt>
                <c:pt idx="5">
                  <c:v>16.06864584749778</c:v>
                </c:pt>
                <c:pt idx="6">
                  <c:v>14.496930358164605</c:v>
                </c:pt>
                <c:pt idx="7">
                  <c:v>13.419607320735301</c:v>
                </c:pt>
                <c:pt idx="8">
                  <c:v>13.3609867868382</c:v>
                </c:pt>
                <c:pt idx="9">
                  <c:v>13.232203878760858</c:v>
                </c:pt>
                <c:pt idx="10">
                  <c:v>13.103850510895064</c:v>
                </c:pt>
              </c:numCache>
            </c:numRef>
          </c:val>
          <c:smooth val="0"/>
          <c:extLst>
            <c:ext xmlns:c16="http://schemas.microsoft.com/office/drawing/2014/chart" uri="{C3380CC4-5D6E-409C-BE32-E72D297353CC}">
              <c16:uniqueId val="{00000001-3503-4E5F-82F1-3CA913EC9410}"/>
            </c:ext>
          </c:extLst>
        </c:ser>
        <c:ser>
          <c:idx val="2"/>
          <c:order val="2"/>
          <c:tx>
            <c:strRef>
              <c:f>'Historical Multiples'!$B$19</c:f>
              <c:strCache>
                <c:ptCount val="1"/>
                <c:pt idx="0">
                  <c:v>EV/EBITDA</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dLbl>
              <c:idx val="5"/>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Bahnschrift Condensed" panose="020B0502040204020203" pitchFamily="34" charset="0"/>
                        <a:ea typeface="+mn-ea"/>
                        <a:cs typeface="+mn-cs"/>
                      </a:defRPr>
                    </a:pPr>
                    <a:fld id="{947CB555-568D-47EC-879A-AD8AFCC413A4}" type="VALUE">
                      <a:rPr lang="en-US" b="1">
                        <a:solidFill>
                          <a:schemeClr val="accent3"/>
                        </a:solidFill>
                      </a:rPr>
                      <a:pPr>
                        <a:defRPr/>
                      </a:pPr>
                      <a:t>[VALUE]</a:t>
                    </a:fld>
                    <a:endParaRPr lang="en-US"/>
                  </a:p>
                </c:rich>
              </c:tx>
              <c:spPr>
                <a:solidFill>
                  <a:schemeClr val="lt1"/>
                </a:solidFill>
                <a:ln w="9575">
                  <a:solidFill>
                    <a:schemeClr val="tx1"/>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Bahnschrift Condensed"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dlblFieldTable/>
                  <c15:showDataLabelsRange val="0"/>
                </c:ext>
                <c:ext xmlns:c16="http://schemas.microsoft.com/office/drawing/2014/chart" uri="{C3380CC4-5D6E-409C-BE32-E72D297353CC}">
                  <c16:uniqueId val="{00000005-3503-4E5F-82F1-3CA913EC9410}"/>
                </c:ext>
              </c:extLst>
            </c:dLbl>
            <c:spPr>
              <a:noFill/>
              <a:ln>
                <a:noFill/>
              </a:ln>
              <a:effectLst/>
            </c:spPr>
            <c:txPr>
              <a:bodyPr rot="0" spcFirstLastPara="1" vertOverflow="ellipsis" vert="horz" wrap="square" anchor="ctr" anchorCtr="1"/>
              <a:lstStyle/>
              <a:p>
                <a:pPr>
                  <a:defRPr sz="1200" b="1" i="0" u="none" strike="noStrike" kern="1200" baseline="0">
                    <a:solidFill>
                      <a:schemeClr val="accent3"/>
                    </a:solidFill>
                    <a:latin typeface="Bahnschrift Condensed" panose="020B05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'Historical Multiples'!$C$5:$M$5</c:f>
              <c:numCache>
                <c:formatCode>General</c:formatCode>
                <c:ptCount val="11"/>
                <c:pt idx="1">
                  <c:v>2017</c:v>
                </c:pt>
                <c:pt idx="2">
                  <c:v>2018</c:v>
                </c:pt>
                <c:pt idx="3">
                  <c:v>2019</c:v>
                </c:pt>
                <c:pt idx="4">
                  <c:v>2020</c:v>
                </c:pt>
                <c:pt idx="5">
                  <c:v>2021</c:v>
                </c:pt>
                <c:pt idx="6">
                  <c:v>2022</c:v>
                </c:pt>
                <c:pt idx="7">
                  <c:v>2023</c:v>
                </c:pt>
                <c:pt idx="8">
                  <c:v>2024</c:v>
                </c:pt>
                <c:pt idx="9">
                  <c:v>2025</c:v>
                </c:pt>
                <c:pt idx="10">
                  <c:v>2026</c:v>
                </c:pt>
              </c:numCache>
            </c:numRef>
          </c:cat>
          <c:val>
            <c:numRef>
              <c:f>'Historical Multiples'!$C$19:$M$19</c:f>
              <c:numCache>
                <c:formatCode>#.#\x</c:formatCode>
                <c:ptCount val="11"/>
                <c:pt idx="1">
                  <c:v>27.752968347583259</c:v>
                </c:pt>
                <c:pt idx="2">
                  <c:v>18.838834769990907</c:v>
                </c:pt>
                <c:pt idx="3">
                  <c:v>39.896084230591242</c:v>
                </c:pt>
                <c:pt idx="4">
                  <c:v>43.282197664712982</c:v>
                </c:pt>
                <c:pt idx="5">
                  <c:v>46.188362503005727</c:v>
                </c:pt>
                <c:pt idx="6">
                  <c:v>35.762262762693759</c:v>
                </c:pt>
                <c:pt idx="7">
                  <c:v>32.305367400024991</c:v>
                </c:pt>
                <c:pt idx="8">
                  <c:v>32.587772650824881</c:v>
                </c:pt>
                <c:pt idx="9">
                  <c:v>32.273667996977693</c:v>
                </c:pt>
                <c:pt idx="10">
                  <c:v>31.960611002183075</c:v>
                </c:pt>
              </c:numCache>
            </c:numRef>
          </c:val>
          <c:smooth val="0"/>
          <c:extLst>
            <c:ext xmlns:c16="http://schemas.microsoft.com/office/drawing/2014/chart" uri="{C3380CC4-5D6E-409C-BE32-E72D297353CC}">
              <c16:uniqueId val="{00000002-3503-4E5F-82F1-3CA913EC9410}"/>
            </c:ext>
          </c:extLst>
        </c:ser>
        <c:dLbls>
          <c:showLegendKey val="0"/>
          <c:showVal val="0"/>
          <c:showCatName val="0"/>
          <c:showSerName val="0"/>
          <c:showPercent val="0"/>
          <c:showBubbleSize val="0"/>
        </c:dLbls>
        <c:marker val="1"/>
        <c:smooth val="0"/>
        <c:axId val="1206546656"/>
        <c:axId val="1216556528"/>
      </c:lineChart>
      <c:catAx>
        <c:axId val="12065466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Bahnschrift Condensed" panose="020B0502040204020203" pitchFamily="34" charset="0"/>
                <a:ea typeface="+mn-ea"/>
                <a:cs typeface="+mn-cs"/>
              </a:defRPr>
            </a:pPr>
            <a:endParaRPr lang="en-US"/>
          </a:p>
        </c:txPr>
        <c:crossAx val="1216556528"/>
        <c:crosses val="autoZero"/>
        <c:auto val="1"/>
        <c:lblAlgn val="ctr"/>
        <c:lblOffset val="100"/>
        <c:noMultiLvlLbl val="0"/>
      </c:catAx>
      <c:valAx>
        <c:axId val="1216556528"/>
        <c:scaling>
          <c:orientation val="minMax"/>
          <c:max val="7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Bahnschrift Condensed" panose="020B0502040204020203" pitchFamily="34" charset="0"/>
                    <a:ea typeface="+mn-ea"/>
                    <a:cs typeface="+mn-cs"/>
                  </a:defRPr>
                </a:pPr>
                <a:r>
                  <a:rPr lang="en-US">
                    <a:solidFill>
                      <a:sysClr val="windowText" lastClr="000000"/>
                    </a:solidFill>
                  </a:rPr>
                  <a:t>Price Multiple</a:t>
                </a:r>
              </a:p>
            </c:rich>
          </c:tx>
          <c:layout>
            <c:manualLayout>
              <c:xMode val="edge"/>
              <c:yMode val="edge"/>
              <c:x val="4.1820419824327897E-3"/>
              <c:y val="0.3736740886380240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Bahnschrift Condensed" panose="020B0502040204020203" pitchFamily="34" charset="0"/>
                  <a:ea typeface="+mn-ea"/>
                  <a:cs typeface="+mn-cs"/>
                </a:defRPr>
              </a:pPr>
              <a:endParaRPr lang="en-US"/>
            </a:p>
          </c:txPr>
        </c:title>
        <c:numFmt formatCode="##\x"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Bahnschrift Condensed" panose="020B0502040204020203" pitchFamily="34" charset="0"/>
                <a:ea typeface="+mn-ea"/>
                <a:cs typeface="+mn-cs"/>
              </a:defRPr>
            </a:pPr>
            <a:endParaRPr lang="en-US"/>
          </a:p>
        </c:txPr>
        <c:crossAx val="1206546656"/>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Bahnschrift Condensed" panose="020B0502040204020203" pitchFamily="34" charset="0"/>
              <a:ea typeface="+mn-ea"/>
              <a:cs typeface="+mn-cs"/>
            </a:defRPr>
          </a:pPr>
          <a:endParaRPr lang="en-US"/>
        </a:p>
      </c:txPr>
    </c:legend>
    <c:plotVisOnly val="1"/>
    <c:dispBlanksAs val="gap"/>
    <c:showDLblsOverMax val="0"/>
  </c:chart>
  <c:spPr>
    <a:solidFill>
      <a:schemeClr val="lt1"/>
    </a:solidFill>
    <a:ln w="9525" cap="flat" cmpd="sng" algn="ctr">
      <a:solidFill>
        <a:sysClr val="windowText" lastClr="000000"/>
      </a:solidFill>
      <a:round/>
    </a:ln>
    <a:effectLst/>
  </c:spPr>
  <c:txPr>
    <a:bodyPr/>
    <a:lstStyle/>
    <a:p>
      <a:pPr>
        <a:defRPr sz="1200">
          <a:latin typeface="Bahnschrift Condensed" panose="020B0502040204020203" pitchFamily="34"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[ASML Operating Model 11-18-21.xlsx]Supply Chain PivotData!PivotTable1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ASML</a:t>
            </a:r>
            <a:r>
              <a:rPr lang="en-US" baseline="0"/>
              <a:t> / Customer Relationship Analysis (% of ASML Revenue &amp; % of Customer Capex)</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'Supply Chain PivotData'!$B$1</c:f>
              <c:strCache>
                <c:ptCount val="1"/>
                <c:pt idx="0">
                  <c:v>Customer as % of ASML Revenue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'Supply Chain PivotData'!$A$2:$A$16</c:f>
              <c:multiLvlStrCache>
                <c:ptCount val="10"/>
                <c:lvl>
                  <c:pt idx="0">
                    <c:v>Kioxia Holdings</c:v>
                  </c:pt>
                  <c:pt idx="1">
                    <c:v>Samsung</c:v>
                  </c:pt>
                  <c:pt idx="2">
                    <c:v>SK Hynix</c:v>
                  </c:pt>
                  <c:pt idx="3">
                    <c:v>Nanya Technology</c:v>
                  </c:pt>
                  <c:pt idx="4">
                    <c:v>Semiconductor Manufacturing International</c:v>
                  </c:pt>
                  <c:pt idx="5">
                    <c:v>Shanghai Huahong Group</c:v>
                  </c:pt>
                  <c:pt idx="6">
                    <c:v>Taiwan Semiconductor Manufacturing Corp</c:v>
                  </c:pt>
                  <c:pt idx="7">
                    <c:v>United Microelectronics</c:v>
                  </c:pt>
                  <c:pt idx="8">
                    <c:v>Intel</c:v>
                  </c:pt>
                  <c:pt idx="9">
                    <c:v>Micron</c:v>
                  </c:pt>
                </c:lvl>
                <c:lvl>
                  <c:pt idx="0">
                    <c:v>Japan</c:v>
                  </c:pt>
                  <c:pt idx="1">
                    <c:v>South Korea</c:v>
                  </c:pt>
                  <c:pt idx="3">
                    <c:v>Taiwan</c:v>
                  </c:pt>
                  <c:pt idx="8">
                    <c:v>United States</c:v>
                  </c:pt>
                </c:lvl>
              </c:multiLvlStrCache>
            </c:multiLvlStrRef>
          </c:cat>
          <c:val>
            <c:numRef>
              <c:f>'Supply Chain PivotData'!$B$2:$B$16</c:f>
              <c:numCache>
                <c:formatCode>General</c:formatCode>
                <c:ptCount val="10"/>
                <c:pt idx="0">
                  <c:v>5.3E-3</c:v>
                </c:pt>
                <c:pt idx="1">
                  <c:v>0.20050000000000001</c:v>
                </c:pt>
                <c:pt idx="2">
                  <c:v>9.9099999999999994E-2</c:v>
                </c:pt>
                <c:pt idx="3">
                  <c:v>8.0000000000000004E-4</c:v>
                </c:pt>
                <c:pt idx="4">
                  <c:v>1.29E-2</c:v>
                </c:pt>
                <c:pt idx="5">
                  <c:v>8.3000000000000001E-3</c:v>
                </c:pt>
                <c:pt idx="6">
                  <c:v>0.39779999999999999</c:v>
                </c:pt>
                <c:pt idx="7">
                  <c:v>5.7999999999999996E-3</c:v>
                </c:pt>
                <c:pt idx="8">
                  <c:v>8.0299999999999996E-2</c:v>
                </c:pt>
                <c:pt idx="9">
                  <c:v>3.9199999999999999E-2</c:v>
                </c:pt>
              </c:numCache>
            </c:numRef>
          </c:val>
          <c:extLst>
            <c:ext xmlns:c16="http://schemas.microsoft.com/office/drawing/2014/chart" uri="{C3380CC4-5D6E-409C-BE32-E72D297353CC}">
              <c16:uniqueId val="{00000000-2728-44BF-91E1-855B7A4E271C}"/>
            </c:ext>
          </c:extLst>
        </c:ser>
        <c:ser>
          <c:idx val="1"/>
          <c:order val="1"/>
          <c:tx>
            <c:strRef>
              <c:f>'Supply Chain PivotData'!$C$1</c:f>
              <c:strCache>
                <c:ptCount val="1"/>
                <c:pt idx="0">
                  <c:v>ASML as % of Customer Capex </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'Supply Chain PivotData'!$A$2:$A$16</c:f>
              <c:multiLvlStrCache>
                <c:ptCount val="10"/>
                <c:lvl>
                  <c:pt idx="0">
                    <c:v>Kioxia Holdings</c:v>
                  </c:pt>
                  <c:pt idx="1">
                    <c:v>Samsung</c:v>
                  </c:pt>
                  <c:pt idx="2">
                    <c:v>SK Hynix</c:v>
                  </c:pt>
                  <c:pt idx="3">
                    <c:v>Nanya Technology</c:v>
                  </c:pt>
                  <c:pt idx="4">
                    <c:v>Semiconductor Manufacturing International</c:v>
                  </c:pt>
                  <c:pt idx="5">
                    <c:v>Shanghai Huahong Group</c:v>
                  </c:pt>
                  <c:pt idx="6">
                    <c:v>Taiwan Semiconductor Manufacturing Corp</c:v>
                  </c:pt>
                  <c:pt idx="7">
                    <c:v>United Microelectronics</c:v>
                  </c:pt>
                  <c:pt idx="8">
                    <c:v>Intel</c:v>
                  </c:pt>
                  <c:pt idx="9">
                    <c:v>Micron</c:v>
                  </c:pt>
                </c:lvl>
                <c:lvl>
                  <c:pt idx="0">
                    <c:v>Japan</c:v>
                  </c:pt>
                  <c:pt idx="1">
                    <c:v>South Korea</c:v>
                  </c:pt>
                  <c:pt idx="3">
                    <c:v>Taiwan</c:v>
                  </c:pt>
                  <c:pt idx="8">
                    <c:v>United States</c:v>
                  </c:pt>
                </c:lvl>
              </c:multiLvlStrCache>
            </c:multiLvlStrRef>
          </c:cat>
          <c:val>
            <c:numRef>
              <c:f>'Supply Chain PivotData'!$C$2:$C$16</c:f>
              <c:numCache>
                <c:formatCode>General</c:formatCode>
                <c:ptCount val="10"/>
                <c:pt idx="0">
                  <c:v>0.121</c:v>
                </c:pt>
                <c:pt idx="1">
                  <c:v>0.10489999999999999</c:v>
                </c:pt>
                <c:pt idx="2">
                  <c:v>0.24199999999999999</c:v>
                </c:pt>
                <c:pt idx="3">
                  <c:v>0.1104</c:v>
                </c:pt>
                <c:pt idx="4">
                  <c:v>0.121</c:v>
                </c:pt>
                <c:pt idx="5">
                  <c:v>0.1171</c:v>
                </c:pt>
                <c:pt idx="6">
                  <c:v>0.36299999999999999</c:v>
                </c:pt>
                <c:pt idx="7">
                  <c:v>0.121</c:v>
                </c:pt>
                <c:pt idx="8">
                  <c:v>0.1118</c:v>
                </c:pt>
                <c:pt idx="9">
                  <c:v>0.121</c:v>
                </c:pt>
              </c:numCache>
            </c:numRef>
          </c:val>
          <c:extLst>
            <c:ext xmlns:c16="http://schemas.microsoft.com/office/drawing/2014/chart" uri="{C3380CC4-5D6E-409C-BE32-E72D297353CC}">
              <c16:uniqueId val="{00000001-2728-44BF-91E1-855B7A4E271C}"/>
            </c:ext>
          </c:extLst>
        </c:ser>
        <c:dLbls>
          <c:dLblPos val="inEnd"/>
          <c:showLegendKey val="0"/>
          <c:showVal val="1"/>
          <c:showCatName val="0"/>
          <c:showSerName val="0"/>
          <c:showPercent val="0"/>
          <c:showBubbleSize val="0"/>
        </c:dLbls>
        <c:gapWidth val="315"/>
        <c:overlap val="-40"/>
        <c:axId val="1216181968"/>
        <c:axId val="1216549456"/>
      </c:barChart>
      <c:catAx>
        <c:axId val="12161819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6549456"/>
        <c:crosses val="autoZero"/>
        <c:auto val="1"/>
        <c:lblAlgn val="ctr"/>
        <c:lblOffset val="100"/>
        <c:noMultiLvlLbl val="0"/>
      </c:catAx>
      <c:valAx>
        <c:axId val="1216549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6181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[ASML Operating Model 11-18-21.xlsx]Supply Chain PivotData!PivotTable2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ASML / Supplier Relationship</a:t>
            </a:r>
            <a:r>
              <a:rPr lang="en-US" baseline="0"/>
              <a:t> Analysis (% of ASML COGS &amp; % of Supplier Revenue)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dLbl>
          <c:idx val="0"/>
          <c:layout>
            <c:manualLayout>
              <c:x val="2.9562982304343326E-3"/>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dLbl>
          <c:idx val="0"/>
          <c:layout>
            <c:manualLayout>
              <c:x val="-3.9417309739125279E-3"/>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'Supply Chain PivotData'!$B$18</c:f>
              <c:strCache>
                <c:ptCount val="1"/>
                <c:pt idx="0">
                  <c:v>% of ASML COGS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2"/>
            <c:invertIfNegative val="0"/>
            <c:bubble3D val="0"/>
            <c:extLst>
              <c:ext xmlns:c16="http://schemas.microsoft.com/office/drawing/2014/chart" uri="{C3380CC4-5D6E-409C-BE32-E72D297353CC}">
                <c16:uniqueId val="{00000003-F918-4F55-9C6B-526B8129B97D}"/>
              </c:ext>
            </c:extLst>
          </c:dPt>
          <c:dLbls>
            <c:dLbl>
              <c:idx val="2"/>
              <c:layout>
                <c:manualLayout>
                  <c:x val="-3.941730973912527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18-4F55-9C6B-526B8129B97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'Supply Chain PivotData'!$A$19:$A$40</c:f>
              <c:multiLvlStrCache>
                <c:ptCount val="14"/>
                <c:lvl>
                  <c:pt idx="0">
                    <c:v>Intervest Offices &amp; Warehouses NV</c:v>
                  </c:pt>
                  <c:pt idx="1">
                    <c:v>VAT Group</c:v>
                  </c:pt>
                  <c:pt idx="2">
                    <c:v>Alten SA </c:v>
                  </c:pt>
                  <c:pt idx="3">
                    <c:v>Capgemini SE</c:v>
                  </c:pt>
                  <c:pt idx="4">
                    <c:v>Carl Zeiss SMT AG </c:v>
                  </c:pt>
                  <c:pt idx="5">
                    <c:v>Nikon </c:v>
                  </c:pt>
                  <c:pt idx="6">
                    <c:v>Sinbon Electronics </c:v>
                  </c:pt>
                  <c:pt idx="7">
                    <c:v>Benchmark Electronics</c:v>
                  </c:pt>
                  <c:pt idx="8">
                    <c:v>Brooks Automation </c:v>
                  </c:pt>
                  <c:pt idx="9">
                    <c:v>Entegris Inc</c:v>
                  </c:pt>
                  <c:pt idx="10">
                    <c:v>II-VI Inc</c:v>
                  </c:pt>
                  <c:pt idx="11">
                    <c:v>Lumentum Holdings </c:v>
                  </c:pt>
                  <c:pt idx="12">
                    <c:v>MKS Instruments</c:v>
                  </c:pt>
                  <c:pt idx="13">
                    <c:v>Ultra Clean Holdings</c:v>
                  </c:pt>
                </c:lvl>
                <c:lvl>
                  <c:pt idx="0">
                    <c:v>Belgium</c:v>
                  </c:pt>
                  <c:pt idx="1">
                    <c:v>China</c:v>
                  </c:pt>
                  <c:pt idx="2">
                    <c:v>France</c:v>
                  </c:pt>
                  <c:pt idx="4">
                    <c:v>Germany</c:v>
                  </c:pt>
                  <c:pt idx="5">
                    <c:v>Japan</c:v>
                  </c:pt>
                  <c:pt idx="6">
                    <c:v>Taiwan</c:v>
                  </c:pt>
                  <c:pt idx="7">
                    <c:v>United States</c:v>
                  </c:pt>
                </c:lvl>
              </c:multiLvlStrCache>
            </c:multiLvlStrRef>
          </c:cat>
          <c:val>
            <c:numRef>
              <c:f>'Supply Chain PivotData'!$B$19:$B$40</c:f>
              <c:numCache>
                <c:formatCode>General</c:formatCode>
                <c:ptCount val="14"/>
                <c:pt idx="0">
                  <c:v>3.3999999999999998E-3</c:v>
                </c:pt>
                <c:pt idx="1">
                  <c:v>5.8999999999999999E-3</c:v>
                </c:pt>
                <c:pt idx="2">
                  <c:v>4.0000000000000002E-4</c:v>
                </c:pt>
                <c:pt idx="3">
                  <c:v>3.5000000000000001E-3</c:v>
                </c:pt>
                <c:pt idx="4">
                  <c:v>0.21340000000000001</c:v>
                </c:pt>
                <c:pt idx="5">
                  <c:v>4.8599999999999997E-2</c:v>
                </c:pt>
                <c:pt idx="6">
                  <c:v>1.1999999999999999E-3</c:v>
                </c:pt>
                <c:pt idx="7">
                  <c:v>6.0000000000000001E-3</c:v>
                </c:pt>
                <c:pt idx="8">
                  <c:v>4.7999999999999996E-3</c:v>
                </c:pt>
                <c:pt idx="9">
                  <c:v>8.5000000000000006E-3</c:v>
                </c:pt>
                <c:pt idx="10">
                  <c:v>5.4999999999999997E-3</c:v>
                </c:pt>
                <c:pt idx="11">
                  <c:v>2.3999999999999998E-3</c:v>
                </c:pt>
                <c:pt idx="12">
                  <c:v>1.4E-2</c:v>
                </c:pt>
                <c:pt idx="13">
                  <c:v>5.4999999999999997E-3</c:v>
                </c:pt>
              </c:numCache>
            </c:numRef>
          </c:val>
          <c:extLst>
            <c:ext xmlns:c16="http://schemas.microsoft.com/office/drawing/2014/chart" uri="{C3380CC4-5D6E-409C-BE32-E72D297353CC}">
              <c16:uniqueId val="{00000000-F918-4F55-9C6B-526B8129B97D}"/>
            </c:ext>
          </c:extLst>
        </c:ser>
        <c:ser>
          <c:idx val="1"/>
          <c:order val="1"/>
          <c:tx>
            <c:strRef>
              <c:f>'Supply Chain PivotData'!$C$18</c:f>
              <c:strCache>
                <c:ptCount val="1"/>
                <c:pt idx="0">
                  <c:v>% of Supplier's Revenue </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3"/>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2-F918-4F55-9C6B-526B8129B97D}"/>
              </c:ext>
            </c:extLst>
          </c:dPt>
          <c:dLbls>
            <c:dLbl>
              <c:idx val="3"/>
              <c:layout>
                <c:manualLayout>
                  <c:x val="2.956298230434332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18-4F55-9C6B-526B8129B97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'Supply Chain PivotData'!$A$19:$A$40</c:f>
              <c:multiLvlStrCache>
                <c:ptCount val="14"/>
                <c:lvl>
                  <c:pt idx="0">
                    <c:v>Intervest Offices &amp; Warehouses NV</c:v>
                  </c:pt>
                  <c:pt idx="1">
                    <c:v>VAT Group</c:v>
                  </c:pt>
                  <c:pt idx="2">
                    <c:v>Alten SA </c:v>
                  </c:pt>
                  <c:pt idx="3">
                    <c:v>Capgemini SE</c:v>
                  </c:pt>
                  <c:pt idx="4">
                    <c:v>Carl Zeiss SMT AG </c:v>
                  </c:pt>
                  <c:pt idx="5">
                    <c:v>Nikon </c:v>
                  </c:pt>
                  <c:pt idx="6">
                    <c:v>Sinbon Electronics </c:v>
                  </c:pt>
                  <c:pt idx="7">
                    <c:v>Benchmark Electronics</c:v>
                  </c:pt>
                  <c:pt idx="8">
                    <c:v>Brooks Automation </c:v>
                  </c:pt>
                  <c:pt idx="9">
                    <c:v>Entegris Inc</c:v>
                  </c:pt>
                  <c:pt idx="10">
                    <c:v>II-VI Inc</c:v>
                  </c:pt>
                  <c:pt idx="11">
                    <c:v>Lumentum Holdings </c:v>
                  </c:pt>
                  <c:pt idx="12">
                    <c:v>MKS Instruments</c:v>
                  </c:pt>
                  <c:pt idx="13">
                    <c:v>Ultra Clean Holdings</c:v>
                  </c:pt>
                </c:lvl>
                <c:lvl>
                  <c:pt idx="0">
                    <c:v>Belgium</c:v>
                  </c:pt>
                  <c:pt idx="1">
                    <c:v>China</c:v>
                  </c:pt>
                  <c:pt idx="2">
                    <c:v>France</c:v>
                  </c:pt>
                  <c:pt idx="4">
                    <c:v>Germany</c:v>
                  </c:pt>
                  <c:pt idx="5">
                    <c:v>Japan</c:v>
                  </c:pt>
                  <c:pt idx="6">
                    <c:v>Taiwan</c:v>
                  </c:pt>
                  <c:pt idx="7">
                    <c:v>United States</c:v>
                  </c:pt>
                </c:lvl>
              </c:multiLvlStrCache>
            </c:multiLvlStrRef>
          </c:cat>
          <c:val>
            <c:numRef>
              <c:f>'Supply Chain PivotData'!$C$19:$C$40</c:f>
              <c:numCache>
                <c:formatCode>General</c:formatCode>
                <c:ptCount val="14"/>
                <c:pt idx="0">
                  <c:v>0.03</c:v>
                </c:pt>
                <c:pt idx="1">
                  <c:v>8.3799999999999999E-2</c:v>
                </c:pt>
                <c:pt idx="2">
                  <c:v>1.5E-3</c:v>
                </c:pt>
                <c:pt idx="3">
                  <c:v>1E-4</c:v>
                </c:pt>
                <c:pt idx="4">
                  <c:v>0.62129999999999996</c:v>
                </c:pt>
                <c:pt idx="5">
                  <c:v>1.17E-2</c:v>
                </c:pt>
                <c:pt idx="6">
                  <c:v>1.3599999999999999E-2</c:v>
                </c:pt>
                <c:pt idx="7">
                  <c:v>3.0700000000000002E-2</c:v>
                </c:pt>
                <c:pt idx="8">
                  <c:v>4.5499999999999999E-2</c:v>
                </c:pt>
                <c:pt idx="9">
                  <c:v>3.5299999999999998E-2</c:v>
                </c:pt>
                <c:pt idx="10">
                  <c:v>1.61E-2</c:v>
                </c:pt>
                <c:pt idx="11">
                  <c:v>1.46E-2</c:v>
                </c:pt>
                <c:pt idx="12">
                  <c:v>5.6899999999999999E-2</c:v>
                </c:pt>
                <c:pt idx="13">
                  <c:v>2.9700000000000001E-2</c:v>
                </c:pt>
              </c:numCache>
            </c:numRef>
          </c:val>
          <c:extLst>
            <c:ext xmlns:c16="http://schemas.microsoft.com/office/drawing/2014/chart" uri="{C3380CC4-5D6E-409C-BE32-E72D297353CC}">
              <c16:uniqueId val="{00000001-F918-4F55-9C6B-526B8129B97D}"/>
            </c:ext>
          </c:extLst>
        </c:ser>
        <c:dLbls>
          <c:showLegendKey val="0"/>
          <c:showVal val="0"/>
          <c:showCatName val="0"/>
          <c:showSerName val="0"/>
          <c:showPercent val="0"/>
          <c:showBubbleSize val="0"/>
        </c:dLbls>
        <c:gapWidth val="315"/>
        <c:overlap val="-40"/>
        <c:axId val="1216101168"/>
        <c:axId val="1205058096"/>
      </c:barChart>
      <c:catAx>
        <c:axId val="12161011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5058096"/>
        <c:crosses val="autoZero"/>
        <c:auto val="1"/>
        <c:lblAlgn val="ctr"/>
        <c:lblOffset val="100"/>
        <c:noMultiLvlLbl val="0"/>
      </c:catAx>
      <c:valAx>
        <c:axId val="12050580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610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2.xml"/><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23</xdr:col>
      <xdr:colOff>0</xdr:colOff>
      <xdr:row>9</xdr:row>
      <xdr:rowOff>0</xdr:rowOff>
    </xdr:from>
    <xdr:ext cx="304800" cy="337014"/>
    <xdr:sp macro="" textlink="">
      <xdr:nvSpPr>
        <xdr:cNvPr id="2" name="AutoShape 5" descr="Image result for visa logo">
          <a:extLst>
            <a:ext uri="{FF2B5EF4-FFF2-40B4-BE49-F238E27FC236}">
              <a16:creationId xmlns:a16="http://schemas.microsoft.com/office/drawing/2014/main" id="{80BF46CA-B8AE-45F8-A05F-627CA71D576F}"/>
            </a:ext>
          </a:extLst>
        </xdr:cNvPr>
        <xdr:cNvSpPr>
          <a:spLocks noChangeAspect="1" noChangeArrowheads="1"/>
        </xdr:cNvSpPr>
      </xdr:nvSpPr>
      <xdr:spPr bwMode="auto">
        <a:xfrm>
          <a:off x="12192000" y="647700"/>
          <a:ext cx="304800" cy="33701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10</xdr:row>
      <xdr:rowOff>0</xdr:rowOff>
    </xdr:from>
    <xdr:ext cx="304800" cy="337015"/>
    <xdr:sp macro="" textlink="">
      <xdr:nvSpPr>
        <xdr:cNvPr id="3" name="AutoShape 6" descr="Image result for visa logo">
          <a:extLst>
            <a:ext uri="{FF2B5EF4-FFF2-40B4-BE49-F238E27FC236}">
              <a16:creationId xmlns:a16="http://schemas.microsoft.com/office/drawing/2014/main" id="{4BC415A0-D4ED-4ADC-B046-086D5C7D0A80}"/>
            </a:ext>
          </a:extLst>
        </xdr:cNvPr>
        <xdr:cNvSpPr>
          <a:spLocks noChangeAspect="1" noChangeArrowheads="1"/>
        </xdr:cNvSpPr>
      </xdr:nvSpPr>
      <xdr:spPr bwMode="auto">
        <a:xfrm>
          <a:off x="12192000" y="971550"/>
          <a:ext cx="304800" cy="337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10</xdr:row>
      <xdr:rowOff>0</xdr:rowOff>
    </xdr:from>
    <xdr:ext cx="304800" cy="337015"/>
    <xdr:sp macro="" textlink="">
      <xdr:nvSpPr>
        <xdr:cNvPr id="4" name="AutoShape 7" descr="Image result for visa logo">
          <a:extLst>
            <a:ext uri="{FF2B5EF4-FFF2-40B4-BE49-F238E27FC236}">
              <a16:creationId xmlns:a16="http://schemas.microsoft.com/office/drawing/2014/main" id="{D87677B0-3193-4C34-BA08-4E5EC1D0DA4F}"/>
            </a:ext>
          </a:extLst>
        </xdr:cNvPr>
        <xdr:cNvSpPr>
          <a:spLocks noChangeAspect="1" noChangeArrowheads="1"/>
        </xdr:cNvSpPr>
      </xdr:nvSpPr>
      <xdr:spPr bwMode="auto">
        <a:xfrm>
          <a:off x="12192000" y="971550"/>
          <a:ext cx="304800" cy="337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10</xdr:row>
      <xdr:rowOff>0</xdr:rowOff>
    </xdr:from>
    <xdr:ext cx="304800" cy="337015"/>
    <xdr:sp macro="" textlink="">
      <xdr:nvSpPr>
        <xdr:cNvPr id="5" name="AutoShape 9" descr="Image result for visa logo">
          <a:extLst>
            <a:ext uri="{FF2B5EF4-FFF2-40B4-BE49-F238E27FC236}">
              <a16:creationId xmlns:a16="http://schemas.microsoft.com/office/drawing/2014/main" id="{19A66141-468D-4C75-ABD6-E7A142B199C8}"/>
            </a:ext>
          </a:extLst>
        </xdr:cNvPr>
        <xdr:cNvSpPr>
          <a:spLocks noChangeAspect="1" noChangeArrowheads="1"/>
        </xdr:cNvSpPr>
      </xdr:nvSpPr>
      <xdr:spPr bwMode="auto">
        <a:xfrm>
          <a:off x="12192000" y="971550"/>
          <a:ext cx="304800" cy="337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324971</xdr:colOff>
      <xdr:row>2</xdr:row>
      <xdr:rowOff>33616</xdr:rowOff>
    </xdr:from>
    <xdr:ext cx="2286000" cy="2050677"/>
    <xdr:pic>
      <xdr:nvPicPr>
        <xdr:cNvPr id="6" name="Picture 5">
          <a:extLst>
            <a:ext uri="{FF2B5EF4-FFF2-40B4-BE49-F238E27FC236}">
              <a16:creationId xmlns:a16="http://schemas.microsoft.com/office/drawing/2014/main" id="{9836B210-8583-4A7B-8CCC-C7F28F226F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4265" y="403410"/>
          <a:ext cx="2286000" cy="2050677"/>
        </a:xfrm>
        <a:prstGeom prst="rect">
          <a:avLst/>
        </a:prstGeom>
      </xdr:spPr>
    </xdr:pic>
    <xdr:clientData/>
  </xdr:oneCellAnchor>
  <xdr:oneCellAnchor>
    <xdr:from>
      <xdr:col>23</xdr:col>
      <xdr:colOff>0</xdr:colOff>
      <xdr:row>9</xdr:row>
      <xdr:rowOff>0</xdr:rowOff>
    </xdr:from>
    <xdr:ext cx="304800" cy="298450"/>
    <xdr:sp macro="" textlink="">
      <xdr:nvSpPr>
        <xdr:cNvPr id="7" name="AutoShape 5" descr="Image result for visa logo">
          <a:extLst>
            <a:ext uri="{FF2B5EF4-FFF2-40B4-BE49-F238E27FC236}">
              <a16:creationId xmlns:a16="http://schemas.microsoft.com/office/drawing/2014/main" id="{AEDE6DF0-2736-412A-B379-B94AC11CFDC4}"/>
            </a:ext>
          </a:extLst>
        </xdr:cNvPr>
        <xdr:cNvSpPr>
          <a:spLocks noChangeAspect="1" noChangeArrowheads="1"/>
        </xdr:cNvSpPr>
      </xdr:nvSpPr>
      <xdr:spPr bwMode="auto">
        <a:xfrm>
          <a:off x="12192000" y="485775"/>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0</xdr:colOff>
      <xdr:row>13</xdr:row>
      <xdr:rowOff>0</xdr:rowOff>
    </xdr:from>
    <xdr:to>
      <xdr:col>27</xdr:col>
      <xdr:colOff>0</xdr:colOff>
      <xdr:row>26</xdr:row>
      <xdr:rowOff>79375</xdr:rowOff>
    </xdr:to>
    <xdr:sp macro="" textlink="">
      <xdr:nvSpPr>
        <xdr:cNvPr id="8" name="TextBox 7">
          <a:extLst>
            <a:ext uri="{FF2B5EF4-FFF2-40B4-BE49-F238E27FC236}">
              <a16:creationId xmlns:a16="http://schemas.microsoft.com/office/drawing/2014/main" id="{A2B25DBA-4487-41ED-8F7E-E90EA67C6FEF}"/>
            </a:ext>
          </a:extLst>
        </xdr:cNvPr>
        <xdr:cNvSpPr txBox="1"/>
      </xdr:nvSpPr>
      <xdr:spPr>
        <a:xfrm>
          <a:off x="9326563" y="2791354"/>
          <a:ext cx="9657291" cy="248708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0">
              <a:effectLst/>
              <a:latin typeface="Bahnschrift Light" panose="020B0502040204020203" pitchFamily="34" charset="0"/>
            </a:rPr>
            <a:t>ASML Holdings N.V. develops, produces, and markets semiconductor manufacturing equipment, specifically machines for the production of chips through lithography. ASML Holding is one of the world's largest makers of semiconductor manufacturing equipment, specializing in photolithography systems used to imprint circuitry patterns onto silicon wafers. ASML's products include EUV (extreme ultraviolet) lithography systems, DUV (deep ultraviolet) lithography systems, refurbished systems, and metrology and inspection systems. </a:t>
          </a:r>
        </a:p>
        <a:p>
          <a:pPr rtl="0" eaLnBrk="1" latinLnBrk="0" hangingPunct="1"/>
          <a:endParaRPr lang="en-US" sz="1400" b="0">
            <a:effectLst/>
            <a:latin typeface="Bahnschrift Light" panose="020B0502040204020203" pitchFamily="34" charset="0"/>
          </a:endParaRPr>
        </a:p>
        <a:p>
          <a:pPr rtl="0" eaLnBrk="1" latinLnBrk="0" hangingPunct="1"/>
          <a:r>
            <a:rPr lang="en-US" sz="1400" b="0">
              <a:effectLst/>
              <a:latin typeface="Bahnschrift Light" panose="020B0502040204020203" pitchFamily="34" charset="0"/>
            </a:rPr>
            <a:t>Headquartered in Veldhoven, the Netherlands, ASML staffs some 60 offices in more than 15 countries. More than 70% of its revenue comes from chip manufacturers in Asia and its customers include the world's biggest chipmakers. The company was founded in 1984 and has produced versions of its flagship TWINSCAN systems since 2001. Currently</a:t>
          </a:r>
          <a:r>
            <a:rPr lang="en-US" sz="1400" b="0" baseline="0">
              <a:effectLst/>
              <a:latin typeface="Bahnschrift Light" panose="020B0502040204020203" pitchFamily="34" charset="0"/>
            </a:rPr>
            <a:t>,  ASML's EUV lithography sales account for 90% of the EUV lithography market, and almost 17% of the global semiconductor equipment market.</a:t>
          </a:r>
          <a:endParaRPr lang="en-US" sz="1400" b="0">
            <a:effectLst/>
            <a:latin typeface="Bahnschrift Light" panose="020B0502040204020203" pitchFamily="34" charset="0"/>
          </a:endParaRPr>
        </a:p>
      </xdr:txBody>
    </xdr:sp>
    <xdr:clientData/>
  </xdr:twoCellAnchor>
  <xdr:twoCellAnchor>
    <xdr:from>
      <xdr:col>11</xdr:col>
      <xdr:colOff>44823</xdr:colOff>
      <xdr:row>28</xdr:row>
      <xdr:rowOff>0</xdr:rowOff>
    </xdr:from>
    <xdr:to>
      <xdr:col>27</xdr:col>
      <xdr:colOff>0</xdr:colOff>
      <xdr:row>71</xdr:row>
      <xdr:rowOff>0</xdr:rowOff>
    </xdr:to>
    <xdr:sp macro="" textlink="">
      <xdr:nvSpPr>
        <xdr:cNvPr id="9" name="TextBox 8">
          <a:extLst>
            <a:ext uri="{FF2B5EF4-FFF2-40B4-BE49-F238E27FC236}">
              <a16:creationId xmlns:a16="http://schemas.microsoft.com/office/drawing/2014/main" id="{601CD8F7-4D6D-494D-A0FE-50C2C76A3DE5}"/>
            </a:ext>
          </a:extLst>
        </xdr:cNvPr>
        <xdr:cNvSpPr txBox="1"/>
      </xdr:nvSpPr>
      <xdr:spPr>
        <a:xfrm>
          <a:off x="9356911" y="5647765"/>
          <a:ext cx="9558618" cy="842682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u="sng" baseline="0">
              <a:effectLst/>
              <a:latin typeface="Bahnschrift Light" panose="020B0502040204020203" pitchFamily="34" charset="0"/>
            </a:rPr>
            <a:t>Chip Technology Boosting Tool Sales</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Bahnschrift Light" panose="020B0502040204020203" pitchFamily="34" charset="0"/>
              <a:ea typeface="+mn-ea"/>
              <a:cs typeface="+mn-cs"/>
            </a:rPr>
            <a:t>ASML's extreme-ultraviolet lithography (EUV) gear, considered the most advanced of chipmaking tools, can give manufacturers an edge in next-generation chip production. An industry shift now underway to smaller technology nodes in chips (5- and 3-nanometer) and universal EUV-system adoption by all DRAM chipmakers bode well for ASML's long-term growth.</a:t>
          </a:r>
          <a:r>
            <a:rPr lang="en-US" sz="1400" b="0" i="0" baseline="0">
              <a:solidFill>
                <a:schemeClr val="dk1"/>
              </a:solidFill>
              <a:effectLst/>
              <a:latin typeface="Bahnschrift Light" panose="020B0502040204020203" pitchFamily="34" charset="0"/>
              <a:ea typeface="+mn-ea"/>
              <a:cs typeface="+mn-cs"/>
            </a:rPr>
            <a:t> </a:t>
          </a:r>
          <a:r>
            <a:rPr lang="en-US" sz="1400" b="0" i="0">
              <a:solidFill>
                <a:schemeClr val="dk1"/>
              </a:solidFill>
              <a:effectLst/>
              <a:latin typeface="Bahnschrift Light" panose="020B0502040204020203" pitchFamily="34" charset="0"/>
              <a:ea typeface="+mn-ea"/>
              <a:cs typeface="+mn-cs"/>
            </a:rPr>
            <a:t>Demand for ASML's EUV equipment will increase as TSMC and Samsung shift from 5nm to 3nm and 2nm process technology. Shipments of ASML's EUV model NEX3600D will expand to</a:t>
          </a:r>
          <a:r>
            <a:rPr lang="en-US" sz="1400" b="0" i="0" baseline="0">
              <a:solidFill>
                <a:schemeClr val="dk1"/>
              </a:solidFill>
              <a:effectLst/>
              <a:latin typeface="Bahnschrift Light" panose="020B0502040204020203" pitchFamily="34" charset="0"/>
              <a:ea typeface="+mn-ea"/>
              <a:cs typeface="+mn-cs"/>
            </a:rPr>
            <a:t> accommodate</a:t>
          </a:r>
          <a:r>
            <a:rPr lang="en-US" sz="1400" b="0" i="0">
              <a:solidFill>
                <a:schemeClr val="dk1"/>
              </a:solidFill>
              <a:effectLst/>
              <a:latin typeface="Bahnschrift Light" panose="020B0502040204020203" pitchFamily="34" charset="0"/>
              <a:ea typeface="+mn-ea"/>
              <a:cs typeface="+mn-cs"/>
            </a:rPr>
            <a:t> 3nm generation chips this year. The 3600D model improves productivity by 15-20% over the current 3400C model, and its selling price can be expected to rise by about 15%. According to ASML, one EUV lithography tool is needed for each layer in a typical logic chip factory. The number of layers (or photo passes) for EUV process may be 14-15 in 5nm processes, but 20-25 in 3nm processes.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Bahnschrift Light" panose="020B0502040204020203"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0" i="0" u="sng">
              <a:solidFill>
                <a:schemeClr val="dk1"/>
              </a:solidFill>
              <a:effectLst/>
              <a:latin typeface="Bahnschrift Light" panose="020B0502040204020203" pitchFamily="34" charset="0"/>
              <a:ea typeface="+mn-ea"/>
              <a:cs typeface="+mn-cs"/>
            </a:rPr>
            <a:t>ASML</a:t>
          </a:r>
          <a:r>
            <a:rPr lang="en-US" sz="1400" b="0" i="0" u="sng" baseline="0">
              <a:solidFill>
                <a:schemeClr val="dk1"/>
              </a:solidFill>
              <a:effectLst/>
              <a:latin typeface="Bahnschrift Light" panose="020B0502040204020203" pitchFamily="34" charset="0"/>
              <a:ea typeface="+mn-ea"/>
              <a:cs typeface="+mn-cs"/>
            </a:rPr>
            <a:t> Sales Expansion With TSMC, Samsung, and Apple</a:t>
          </a:r>
          <a:endParaRPr lang="en-US" sz="1400" b="0" i="0" u="sng">
            <a:solidFill>
              <a:schemeClr val="dk1"/>
            </a:solidFill>
            <a:effectLst/>
            <a:latin typeface="Bahnschrift Light" panose="020B0502040204020203"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Bahnschrift Light" panose="020B0502040204020203" pitchFamily="34" charset="0"/>
              <a:ea typeface="+mn-ea"/>
              <a:cs typeface="+mn-cs"/>
            </a:rPr>
            <a:t>ASML's EUV exposure equipment is key to TSMC and Samsung Electronics' chip development for new iPhones and products, and the only maker of the $150-$200 million EUV tools could grow sales strongly.</a:t>
          </a:r>
          <a:r>
            <a:rPr lang="en-US" sz="1400" b="0" i="0" baseline="0">
              <a:solidFill>
                <a:schemeClr val="dk1"/>
              </a:solidFill>
              <a:effectLst/>
              <a:latin typeface="Bahnschrift Light" panose="020B0502040204020203" pitchFamily="34" charset="0"/>
              <a:ea typeface="+mn-ea"/>
              <a:cs typeface="+mn-cs"/>
            </a:rPr>
            <a:t> </a:t>
          </a:r>
          <a:r>
            <a:rPr lang="en-US" sz="1400" b="0" i="0">
              <a:solidFill>
                <a:schemeClr val="dk1"/>
              </a:solidFill>
              <a:effectLst/>
              <a:latin typeface="Bahnschrift Light" panose="020B0502040204020203" pitchFamily="34" charset="0"/>
              <a:ea typeface="+mn-ea"/>
              <a:cs typeface="+mn-cs"/>
            </a:rPr>
            <a:t>ASML's current flagship EUV tool the NXE 3400C is used for 5-nanometer technology. It plans to launch a new NXE 3600D in 2021, which could improve the throughput by 18.5% for</a:t>
          </a:r>
          <a:r>
            <a:rPr lang="en-US" sz="1400" b="0" i="0" baseline="0">
              <a:solidFill>
                <a:schemeClr val="dk1"/>
              </a:solidFill>
              <a:effectLst/>
              <a:latin typeface="Bahnschrift Light" panose="020B0502040204020203" pitchFamily="34" charset="0"/>
              <a:ea typeface="+mn-ea"/>
              <a:cs typeface="+mn-cs"/>
            </a:rPr>
            <a:t> </a:t>
          </a:r>
          <a:r>
            <a:rPr lang="en-US" sz="1400" b="0" i="0">
              <a:solidFill>
                <a:schemeClr val="dk1"/>
              </a:solidFill>
              <a:effectLst/>
              <a:latin typeface="Bahnschrift Light" panose="020B0502040204020203" pitchFamily="34" charset="0"/>
              <a:ea typeface="+mn-ea"/>
              <a:cs typeface="+mn-cs"/>
            </a:rPr>
            <a:t>3 nanometer technology. TSMC has started to supply cutting-edge chips, the A14 for iPhone 12s, and the N5 using 5-nm technology. N5P, which can improve performance by 5% or power efficiency by 10%, may follow and be used in the iPhone 13. N4, which uses EUV more in the production process, may appear after that. TSMC announced that N3, using 3-nm technology, could improve chip performance by 10-15% or power efficiency by 25-30% vs. N5. After that, ASML plans to introduce an upgraded NXE 3600D and a next-generation EUV tool called the High NA system.</a:t>
          </a:r>
          <a:r>
            <a:rPr lang="en-US" sz="1400" b="0" i="0" baseline="0">
              <a:solidFill>
                <a:schemeClr val="dk1"/>
              </a:solidFill>
              <a:effectLst/>
              <a:latin typeface="Bahnschrift Light" panose="020B0502040204020203" pitchFamily="34" charset="0"/>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Bahnschrift Light" panose="020B0502040204020203"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0" i="0" u="sng" baseline="0">
              <a:solidFill>
                <a:schemeClr val="dk1"/>
              </a:solidFill>
              <a:effectLst/>
              <a:latin typeface="Bahnschrift Light" panose="020B0502040204020203" pitchFamily="34" charset="0"/>
              <a:ea typeface="+mn-ea"/>
              <a:cs typeface="+mn-cs"/>
            </a:rPr>
            <a:t>Explosion of EUV Machine Technology</a:t>
          </a:r>
        </a:p>
        <a:p>
          <a:pPr algn="l"/>
          <a:r>
            <a:rPr lang="en-US" sz="1400" b="0" i="0">
              <a:solidFill>
                <a:schemeClr val="dk1"/>
              </a:solidFill>
              <a:effectLst/>
              <a:latin typeface="Bahnschrift Light" panose="020B0502040204020203" pitchFamily="34" charset="0"/>
              <a:ea typeface="+mn-ea"/>
              <a:cs typeface="+mn-cs"/>
            </a:rPr>
            <a:t>Manufacturing technology for advanced chips is shifting to 5- and 3 nanometer, which will boost demand for EUV</a:t>
          </a:r>
          <a:r>
            <a:rPr lang="en-US" sz="1400" b="0" i="0" baseline="0">
              <a:solidFill>
                <a:schemeClr val="dk1"/>
              </a:solidFill>
              <a:effectLst/>
              <a:latin typeface="Bahnschrift Light" panose="020B0502040204020203" pitchFamily="34" charset="0"/>
              <a:ea typeface="+mn-ea"/>
              <a:cs typeface="+mn-cs"/>
            </a:rPr>
            <a:t> </a:t>
          </a:r>
          <a:r>
            <a:rPr lang="en-US" sz="1400" b="0" i="0">
              <a:solidFill>
                <a:schemeClr val="dk1"/>
              </a:solidFill>
              <a:effectLst/>
              <a:latin typeface="Bahnschrift Light" panose="020B0502040204020203" pitchFamily="34" charset="0"/>
              <a:ea typeface="+mn-ea"/>
              <a:cs typeface="+mn-cs"/>
            </a:rPr>
            <a:t>exposure equipment in 2021. Record-high spending in 2021 by TSMC, as well as planned capacity boosts at memory chipmakers such as Samsung and SK Hynix, will create more orders for EUV-lithography gear. Rising use of application processors with artificial intelligence and graphics processing units for deep learning will also bode well for long-term growth of EUV orders.</a:t>
          </a:r>
        </a:p>
        <a:p>
          <a:endParaRPr lang="en-US" sz="1100" b="0" i="0">
            <a:solidFill>
              <a:schemeClr val="dk1"/>
            </a:solidFill>
            <a:effectLst/>
            <a:latin typeface="Bahnschrift Light" panose="020B0502040204020203" pitchFamily="34" charset="0"/>
            <a:ea typeface="+mn-ea"/>
            <a:cs typeface="+mn-cs"/>
          </a:endParaRPr>
        </a:p>
        <a:p>
          <a:pPr algn="ctr"/>
          <a:r>
            <a:rPr lang="en-US" sz="1400" b="0" i="0" u="sng">
              <a:solidFill>
                <a:schemeClr val="dk1"/>
              </a:solidFill>
              <a:effectLst/>
              <a:latin typeface="Bahnschrift Light" panose="020B0502040204020203" pitchFamily="34" charset="0"/>
              <a:ea typeface="+mn-ea"/>
              <a:cs typeface="+mn-cs"/>
            </a:rPr>
            <a:t>Monopoly</a:t>
          </a:r>
          <a:r>
            <a:rPr lang="en-US" sz="1400" b="0" i="0" u="sng" baseline="0">
              <a:solidFill>
                <a:schemeClr val="dk1"/>
              </a:solidFill>
              <a:effectLst/>
              <a:latin typeface="Bahnschrift Light" panose="020B0502040204020203" pitchFamily="34" charset="0"/>
              <a:ea typeface="+mn-ea"/>
              <a:cs typeface="+mn-cs"/>
            </a:rPr>
            <a:t> in EUV Market with Industry Leading R&amp;D</a:t>
          </a:r>
        </a:p>
        <a:p>
          <a:pPr algn="l"/>
          <a:r>
            <a:rPr lang="en-US" sz="1400" b="0" i="0">
              <a:solidFill>
                <a:schemeClr val="dk1"/>
              </a:solidFill>
              <a:effectLst/>
              <a:latin typeface="Bahnschrift Light" panose="020B0502040204020203" pitchFamily="34" charset="0"/>
              <a:ea typeface="+mn-ea"/>
              <a:cs typeface="+mn-cs"/>
            </a:rPr>
            <a:t>ASML, which has surpassed Applied Materials with the highest R&amp;D expenditure in the chip-making tool industry since 2019, will continue its path to 95%</a:t>
          </a:r>
          <a:r>
            <a:rPr lang="en-US" sz="1400" b="0" i="0" baseline="0">
              <a:solidFill>
                <a:schemeClr val="dk1"/>
              </a:solidFill>
              <a:effectLst/>
              <a:latin typeface="Bahnschrift Light" panose="020B0502040204020203" pitchFamily="34" charset="0"/>
              <a:ea typeface="+mn-ea"/>
              <a:cs typeface="+mn-cs"/>
            </a:rPr>
            <a:t> market share for the EUV lithography market as existing competitors cease and the cost of entry to the industry grows</a:t>
          </a:r>
          <a:r>
            <a:rPr lang="en-US" sz="1400" b="0" i="0">
              <a:solidFill>
                <a:schemeClr val="dk1"/>
              </a:solidFill>
              <a:effectLst/>
              <a:latin typeface="Bahnschrift Light" panose="020B0502040204020203" pitchFamily="34" charset="0"/>
              <a:ea typeface="+mn-ea"/>
              <a:cs typeface="+mn-cs"/>
            </a:rPr>
            <a:t>. The technical difficulty in the development and production of the next generation of chip-exposure equipment is increasing, and R&amp;D is critical for a competitive advantage. Nikon, a competitor in argon fluoride-exposure equipment used for chip production before the arrival of 10-nm technology, has withdrawn from the EUV-equipment business. New entrants are unlikely to emerge in the advanced semiconductor exposure-equipment market, as entry requires considerable development costs.</a:t>
          </a:r>
          <a:endParaRPr lang="en-US" sz="1400" b="0" i="0" u="sng">
            <a:solidFill>
              <a:schemeClr val="dk1"/>
            </a:solidFill>
            <a:effectLst/>
            <a:latin typeface="Bahnschrift Light" panose="020B0502040204020203" pitchFamily="34" charset="0"/>
            <a:ea typeface="+mn-ea"/>
            <a:cs typeface="+mn-cs"/>
          </a:endParaRPr>
        </a:p>
        <a:p>
          <a:r>
            <a:rPr lang="en-US" sz="1100" b="0" i="0">
              <a:solidFill>
                <a:schemeClr val="dk1"/>
              </a:solidFill>
              <a:effectLst/>
              <a:latin typeface="Bahnschrift Light" panose="020B0502040204020203" pitchFamily="34" charset="0"/>
              <a:ea typeface="+mn-ea"/>
              <a:cs typeface="+mn-cs"/>
            </a:rPr>
            <a:t> </a:t>
          </a:r>
        </a:p>
      </xdr:txBody>
    </xdr:sp>
    <xdr:clientData/>
  </xdr:twoCellAnchor>
  <xdr:twoCellAnchor>
    <xdr:from>
      <xdr:col>4</xdr:col>
      <xdr:colOff>56029</xdr:colOff>
      <xdr:row>19</xdr:row>
      <xdr:rowOff>22411</xdr:rowOff>
    </xdr:from>
    <xdr:to>
      <xdr:col>10</xdr:col>
      <xdr:colOff>694765</xdr:colOff>
      <xdr:row>31</xdr:row>
      <xdr:rowOff>168088</xdr:rowOff>
    </xdr:to>
    <xdr:graphicFrame macro="">
      <xdr:nvGraphicFramePr>
        <xdr:cNvPr id="44" name="Chart 43">
          <a:extLst>
            <a:ext uri="{FF2B5EF4-FFF2-40B4-BE49-F238E27FC236}">
              <a16:creationId xmlns:a16="http://schemas.microsoft.com/office/drawing/2014/main" id="{F37D2582-9652-4818-84AA-4C0DAAA3B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23</xdr:col>
      <xdr:colOff>0</xdr:colOff>
      <xdr:row>7</xdr:row>
      <xdr:rowOff>0</xdr:rowOff>
    </xdr:from>
    <xdr:ext cx="304800" cy="298450"/>
    <xdr:sp macro="" textlink="">
      <xdr:nvSpPr>
        <xdr:cNvPr id="45" name="AutoShape 5" descr="Image result for visa logo">
          <a:extLst>
            <a:ext uri="{FF2B5EF4-FFF2-40B4-BE49-F238E27FC236}">
              <a16:creationId xmlns:a16="http://schemas.microsoft.com/office/drawing/2014/main" id="{C875CD1C-802E-4627-A715-825C72EA4A9F}"/>
            </a:ext>
          </a:extLst>
        </xdr:cNvPr>
        <xdr:cNvSpPr>
          <a:spLocks noChangeAspect="1" noChangeArrowheads="1"/>
        </xdr:cNvSpPr>
      </xdr:nvSpPr>
      <xdr:spPr bwMode="auto">
        <a:xfrm>
          <a:off x="14992350" y="828675"/>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7</xdr:row>
      <xdr:rowOff>0</xdr:rowOff>
    </xdr:from>
    <xdr:ext cx="304800" cy="337014"/>
    <xdr:sp macro="" textlink="">
      <xdr:nvSpPr>
        <xdr:cNvPr id="49" name="AutoShape 5" descr="Image result for visa logo">
          <a:extLst>
            <a:ext uri="{FF2B5EF4-FFF2-40B4-BE49-F238E27FC236}">
              <a16:creationId xmlns:a16="http://schemas.microsoft.com/office/drawing/2014/main" id="{974D9CBE-6F6B-412A-8E8E-A21FFFA09077}"/>
            </a:ext>
          </a:extLst>
        </xdr:cNvPr>
        <xdr:cNvSpPr>
          <a:spLocks noChangeAspect="1" noChangeArrowheads="1"/>
        </xdr:cNvSpPr>
      </xdr:nvSpPr>
      <xdr:spPr bwMode="auto">
        <a:xfrm>
          <a:off x="14992350" y="971550"/>
          <a:ext cx="304800" cy="33701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7</xdr:row>
      <xdr:rowOff>0</xdr:rowOff>
    </xdr:from>
    <xdr:ext cx="304800" cy="298450"/>
    <xdr:sp macro="" textlink="">
      <xdr:nvSpPr>
        <xdr:cNvPr id="50" name="AutoShape 5" descr="Image result for visa logo">
          <a:extLst>
            <a:ext uri="{FF2B5EF4-FFF2-40B4-BE49-F238E27FC236}">
              <a16:creationId xmlns:a16="http://schemas.microsoft.com/office/drawing/2014/main" id="{8866FA1F-4A7E-4078-8E47-584B3C665D0E}"/>
            </a:ext>
          </a:extLst>
        </xdr:cNvPr>
        <xdr:cNvSpPr>
          <a:spLocks noChangeAspect="1" noChangeArrowheads="1"/>
        </xdr:cNvSpPr>
      </xdr:nvSpPr>
      <xdr:spPr bwMode="auto">
        <a:xfrm>
          <a:off x="14992350" y="971550"/>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3</xdr:row>
      <xdr:rowOff>0</xdr:rowOff>
    </xdr:from>
    <xdr:ext cx="304800" cy="298450"/>
    <xdr:sp macro="" textlink="">
      <xdr:nvSpPr>
        <xdr:cNvPr id="51" name="AutoShape 5" descr="Image result for visa logo">
          <a:extLst>
            <a:ext uri="{FF2B5EF4-FFF2-40B4-BE49-F238E27FC236}">
              <a16:creationId xmlns:a16="http://schemas.microsoft.com/office/drawing/2014/main" id="{C2974DAA-39D1-490C-8EE1-97C97E699B98}"/>
            </a:ext>
          </a:extLst>
        </xdr:cNvPr>
        <xdr:cNvSpPr>
          <a:spLocks noChangeAspect="1" noChangeArrowheads="1"/>
        </xdr:cNvSpPr>
      </xdr:nvSpPr>
      <xdr:spPr bwMode="auto">
        <a:xfrm>
          <a:off x="14992350" y="790575"/>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7</xdr:row>
      <xdr:rowOff>0</xdr:rowOff>
    </xdr:from>
    <xdr:ext cx="304800" cy="337014"/>
    <xdr:sp macro="" textlink="">
      <xdr:nvSpPr>
        <xdr:cNvPr id="52" name="AutoShape 5" descr="Image result for visa logo">
          <a:extLst>
            <a:ext uri="{FF2B5EF4-FFF2-40B4-BE49-F238E27FC236}">
              <a16:creationId xmlns:a16="http://schemas.microsoft.com/office/drawing/2014/main" id="{2D598BEB-D61B-46B9-996C-B2EE6C4D5128}"/>
            </a:ext>
          </a:extLst>
        </xdr:cNvPr>
        <xdr:cNvSpPr>
          <a:spLocks noChangeAspect="1" noChangeArrowheads="1"/>
        </xdr:cNvSpPr>
      </xdr:nvSpPr>
      <xdr:spPr bwMode="auto">
        <a:xfrm>
          <a:off x="14992350" y="1162050"/>
          <a:ext cx="304800" cy="33701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7</xdr:row>
      <xdr:rowOff>0</xdr:rowOff>
    </xdr:from>
    <xdr:ext cx="304800" cy="298450"/>
    <xdr:sp macro="" textlink="">
      <xdr:nvSpPr>
        <xdr:cNvPr id="53" name="AutoShape 5" descr="Image result for visa logo">
          <a:extLst>
            <a:ext uri="{FF2B5EF4-FFF2-40B4-BE49-F238E27FC236}">
              <a16:creationId xmlns:a16="http://schemas.microsoft.com/office/drawing/2014/main" id="{941DB137-0C53-46F8-8E37-712416AF3247}"/>
            </a:ext>
          </a:extLst>
        </xdr:cNvPr>
        <xdr:cNvSpPr>
          <a:spLocks noChangeAspect="1" noChangeArrowheads="1"/>
        </xdr:cNvSpPr>
      </xdr:nvSpPr>
      <xdr:spPr bwMode="auto">
        <a:xfrm>
          <a:off x="14992350" y="1162050"/>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6</xdr:row>
      <xdr:rowOff>0</xdr:rowOff>
    </xdr:from>
    <xdr:ext cx="304800" cy="298450"/>
    <xdr:sp macro="" textlink="">
      <xdr:nvSpPr>
        <xdr:cNvPr id="54" name="AutoShape 5" descr="Image result for visa logo">
          <a:extLst>
            <a:ext uri="{FF2B5EF4-FFF2-40B4-BE49-F238E27FC236}">
              <a16:creationId xmlns:a16="http://schemas.microsoft.com/office/drawing/2014/main" id="{89007859-D5B8-4E04-AEFD-82989E7DB437}"/>
            </a:ext>
          </a:extLst>
        </xdr:cNvPr>
        <xdr:cNvSpPr>
          <a:spLocks noChangeAspect="1" noChangeArrowheads="1"/>
        </xdr:cNvSpPr>
      </xdr:nvSpPr>
      <xdr:spPr bwMode="auto">
        <a:xfrm>
          <a:off x="14992350" y="981075"/>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6</xdr:row>
      <xdr:rowOff>0</xdr:rowOff>
    </xdr:from>
    <xdr:ext cx="304800" cy="337014"/>
    <xdr:sp macro="" textlink="">
      <xdr:nvSpPr>
        <xdr:cNvPr id="55" name="AutoShape 5" descr="Image result for visa logo">
          <a:extLst>
            <a:ext uri="{FF2B5EF4-FFF2-40B4-BE49-F238E27FC236}">
              <a16:creationId xmlns:a16="http://schemas.microsoft.com/office/drawing/2014/main" id="{B87B38BF-F918-46E9-B7B9-F99281B7108F}"/>
            </a:ext>
          </a:extLst>
        </xdr:cNvPr>
        <xdr:cNvSpPr>
          <a:spLocks noChangeAspect="1" noChangeArrowheads="1"/>
        </xdr:cNvSpPr>
      </xdr:nvSpPr>
      <xdr:spPr bwMode="auto">
        <a:xfrm>
          <a:off x="14992350" y="981075"/>
          <a:ext cx="304800" cy="33701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6</xdr:row>
      <xdr:rowOff>0</xdr:rowOff>
    </xdr:from>
    <xdr:ext cx="304800" cy="298450"/>
    <xdr:sp macro="" textlink="">
      <xdr:nvSpPr>
        <xdr:cNvPr id="56" name="AutoShape 5" descr="Image result for visa logo">
          <a:extLst>
            <a:ext uri="{FF2B5EF4-FFF2-40B4-BE49-F238E27FC236}">
              <a16:creationId xmlns:a16="http://schemas.microsoft.com/office/drawing/2014/main" id="{BB394474-09B2-4E7B-A753-72776BE6CCEC}"/>
            </a:ext>
          </a:extLst>
        </xdr:cNvPr>
        <xdr:cNvSpPr>
          <a:spLocks noChangeAspect="1" noChangeArrowheads="1"/>
        </xdr:cNvSpPr>
      </xdr:nvSpPr>
      <xdr:spPr bwMode="auto">
        <a:xfrm>
          <a:off x="14992350" y="981075"/>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3</xdr:row>
      <xdr:rowOff>0</xdr:rowOff>
    </xdr:from>
    <xdr:ext cx="304800" cy="337014"/>
    <xdr:sp macro="" textlink="">
      <xdr:nvSpPr>
        <xdr:cNvPr id="57" name="AutoShape 5" descr="Image result for visa logo">
          <a:extLst>
            <a:ext uri="{FF2B5EF4-FFF2-40B4-BE49-F238E27FC236}">
              <a16:creationId xmlns:a16="http://schemas.microsoft.com/office/drawing/2014/main" id="{A1B35098-8B52-45FF-9A08-AB0CAED3D468}"/>
            </a:ext>
          </a:extLst>
        </xdr:cNvPr>
        <xdr:cNvSpPr>
          <a:spLocks noChangeAspect="1" noChangeArrowheads="1"/>
        </xdr:cNvSpPr>
      </xdr:nvSpPr>
      <xdr:spPr bwMode="auto">
        <a:xfrm>
          <a:off x="14992350" y="1362075"/>
          <a:ext cx="304800" cy="33701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4</xdr:row>
      <xdr:rowOff>0</xdr:rowOff>
    </xdr:from>
    <xdr:ext cx="304800" cy="337015"/>
    <xdr:sp macro="" textlink="">
      <xdr:nvSpPr>
        <xdr:cNvPr id="58" name="AutoShape 6" descr="Image result for visa logo">
          <a:extLst>
            <a:ext uri="{FF2B5EF4-FFF2-40B4-BE49-F238E27FC236}">
              <a16:creationId xmlns:a16="http://schemas.microsoft.com/office/drawing/2014/main" id="{720723AA-5A20-463E-A290-88E9FD753E39}"/>
            </a:ext>
          </a:extLst>
        </xdr:cNvPr>
        <xdr:cNvSpPr>
          <a:spLocks noChangeAspect="1" noChangeArrowheads="1"/>
        </xdr:cNvSpPr>
      </xdr:nvSpPr>
      <xdr:spPr bwMode="auto">
        <a:xfrm>
          <a:off x="14992350" y="1552575"/>
          <a:ext cx="304800" cy="337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4</xdr:row>
      <xdr:rowOff>0</xdr:rowOff>
    </xdr:from>
    <xdr:ext cx="304800" cy="337015"/>
    <xdr:sp macro="" textlink="">
      <xdr:nvSpPr>
        <xdr:cNvPr id="59" name="AutoShape 7" descr="Image result for visa logo">
          <a:extLst>
            <a:ext uri="{FF2B5EF4-FFF2-40B4-BE49-F238E27FC236}">
              <a16:creationId xmlns:a16="http://schemas.microsoft.com/office/drawing/2014/main" id="{A7CC8E36-B23F-4A4B-88A2-4F7093C5074A}"/>
            </a:ext>
          </a:extLst>
        </xdr:cNvPr>
        <xdr:cNvSpPr>
          <a:spLocks noChangeAspect="1" noChangeArrowheads="1"/>
        </xdr:cNvSpPr>
      </xdr:nvSpPr>
      <xdr:spPr bwMode="auto">
        <a:xfrm>
          <a:off x="14992350" y="1552575"/>
          <a:ext cx="304800" cy="337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4</xdr:row>
      <xdr:rowOff>0</xdr:rowOff>
    </xdr:from>
    <xdr:ext cx="304800" cy="337015"/>
    <xdr:sp macro="" textlink="">
      <xdr:nvSpPr>
        <xdr:cNvPr id="60" name="AutoShape 9" descr="Image result for visa logo">
          <a:extLst>
            <a:ext uri="{FF2B5EF4-FFF2-40B4-BE49-F238E27FC236}">
              <a16:creationId xmlns:a16="http://schemas.microsoft.com/office/drawing/2014/main" id="{41CB9A04-28AF-44B3-8129-8776CCADB0B9}"/>
            </a:ext>
          </a:extLst>
        </xdr:cNvPr>
        <xdr:cNvSpPr>
          <a:spLocks noChangeAspect="1" noChangeArrowheads="1"/>
        </xdr:cNvSpPr>
      </xdr:nvSpPr>
      <xdr:spPr bwMode="auto">
        <a:xfrm>
          <a:off x="14992350" y="1552575"/>
          <a:ext cx="304800" cy="337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3</xdr:row>
      <xdr:rowOff>0</xdr:rowOff>
    </xdr:from>
    <xdr:ext cx="304800" cy="298450"/>
    <xdr:sp macro="" textlink="">
      <xdr:nvSpPr>
        <xdr:cNvPr id="61" name="AutoShape 5" descr="Image result for visa logo">
          <a:extLst>
            <a:ext uri="{FF2B5EF4-FFF2-40B4-BE49-F238E27FC236}">
              <a16:creationId xmlns:a16="http://schemas.microsoft.com/office/drawing/2014/main" id="{5E633B08-6269-41A8-A824-6596FED5E8E1}"/>
            </a:ext>
          </a:extLst>
        </xdr:cNvPr>
        <xdr:cNvSpPr>
          <a:spLocks noChangeAspect="1" noChangeArrowheads="1"/>
        </xdr:cNvSpPr>
      </xdr:nvSpPr>
      <xdr:spPr bwMode="auto">
        <a:xfrm>
          <a:off x="14992350" y="1362075"/>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0</xdr:row>
      <xdr:rowOff>65383</xdr:rowOff>
    </xdr:from>
    <xdr:to>
      <xdr:col>27</xdr:col>
      <xdr:colOff>0</xdr:colOff>
      <xdr:row>11</xdr:row>
      <xdr:rowOff>168088</xdr:rowOff>
    </xdr:to>
    <xdr:pic>
      <xdr:nvPicPr>
        <xdr:cNvPr id="66" name="Picture 65">
          <a:extLst>
            <a:ext uri="{FF2B5EF4-FFF2-40B4-BE49-F238E27FC236}">
              <a16:creationId xmlns:a16="http://schemas.microsoft.com/office/drawing/2014/main" id="{142CADEB-FDB5-42A7-9BAA-4BDF97F13BC9}"/>
            </a:ext>
          </a:extLst>
        </xdr:cNvPr>
        <xdr:cNvPicPr>
          <a:picLocks noChangeAspect="1"/>
        </xdr:cNvPicPr>
      </xdr:nvPicPr>
      <xdr:blipFill>
        <a:blip xmlns:r="http://schemas.openxmlformats.org/officeDocument/2006/relationships" r:embed="rId3" cstate="print">
          <a:duotone>
            <a:schemeClr val="accent2">
              <a:shade val="45000"/>
              <a:satMod val="135000"/>
            </a:schemeClr>
            <a:prstClr val="white"/>
          </a:duotone>
          <a:extLst>
            <a:ext uri="{BEBA8EAE-BF5A-486C-A8C5-ECC9F3942E4B}">
              <a14:imgProps xmlns:a14="http://schemas.microsoft.com/office/drawing/2010/main">
                <a14:imgLayer r:embed="rId4">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1295529" y="65383"/>
          <a:ext cx="5972736" cy="2511970"/>
        </a:xfrm>
        <a:prstGeom prst="rect">
          <a:avLst/>
        </a:prstGeom>
      </xdr:spPr>
    </xdr:pic>
    <xdr:clientData/>
  </xdr:twoCellAnchor>
  <xdr:oneCellAnchor>
    <xdr:from>
      <xdr:col>23</xdr:col>
      <xdr:colOff>0</xdr:colOff>
      <xdr:row>5</xdr:row>
      <xdr:rowOff>0</xdr:rowOff>
    </xdr:from>
    <xdr:ext cx="304800" cy="298450"/>
    <xdr:sp macro="" textlink="">
      <xdr:nvSpPr>
        <xdr:cNvPr id="28" name="AutoShape 5" descr="Image result for visa logo">
          <a:extLst>
            <a:ext uri="{FF2B5EF4-FFF2-40B4-BE49-F238E27FC236}">
              <a16:creationId xmlns:a16="http://schemas.microsoft.com/office/drawing/2014/main" id="{184C4B94-FF44-4701-8B65-961A306653B1}"/>
            </a:ext>
          </a:extLst>
        </xdr:cNvPr>
        <xdr:cNvSpPr>
          <a:spLocks noChangeAspect="1" noChangeArrowheads="1"/>
        </xdr:cNvSpPr>
      </xdr:nvSpPr>
      <xdr:spPr bwMode="auto">
        <a:xfrm>
          <a:off x="16551088" y="1288676"/>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5</xdr:row>
      <xdr:rowOff>0</xdr:rowOff>
    </xdr:from>
    <xdr:ext cx="304800" cy="337014"/>
    <xdr:sp macro="" textlink="">
      <xdr:nvSpPr>
        <xdr:cNvPr id="29" name="AutoShape 5" descr="Image result for visa logo">
          <a:extLst>
            <a:ext uri="{FF2B5EF4-FFF2-40B4-BE49-F238E27FC236}">
              <a16:creationId xmlns:a16="http://schemas.microsoft.com/office/drawing/2014/main" id="{DAEC409B-C48C-4D8C-BE09-FC31532C9C2B}"/>
            </a:ext>
          </a:extLst>
        </xdr:cNvPr>
        <xdr:cNvSpPr>
          <a:spLocks noChangeAspect="1" noChangeArrowheads="1"/>
        </xdr:cNvSpPr>
      </xdr:nvSpPr>
      <xdr:spPr bwMode="auto">
        <a:xfrm>
          <a:off x="16551088" y="1288676"/>
          <a:ext cx="304800" cy="33701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5</xdr:row>
      <xdr:rowOff>0</xdr:rowOff>
    </xdr:from>
    <xdr:ext cx="304800" cy="298450"/>
    <xdr:sp macro="" textlink="">
      <xdr:nvSpPr>
        <xdr:cNvPr id="30" name="AutoShape 5" descr="Image result for visa logo">
          <a:extLst>
            <a:ext uri="{FF2B5EF4-FFF2-40B4-BE49-F238E27FC236}">
              <a16:creationId xmlns:a16="http://schemas.microsoft.com/office/drawing/2014/main" id="{9969DEEF-E317-4934-A53E-858942B1A943}"/>
            </a:ext>
          </a:extLst>
        </xdr:cNvPr>
        <xdr:cNvSpPr>
          <a:spLocks noChangeAspect="1" noChangeArrowheads="1"/>
        </xdr:cNvSpPr>
      </xdr:nvSpPr>
      <xdr:spPr bwMode="auto">
        <a:xfrm>
          <a:off x="16551088" y="1288676"/>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xdr:col>
      <xdr:colOff>0</xdr:colOff>
      <xdr:row>46</xdr:row>
      <xdr:rowOff>0</xdr:rowOff>
    </xdr:from>
    <xdr:to>
      <xdr:col>11</xdr:col>
      <xdr:colOff>0</xdr:colOff>
      <xdr:row>71</xdr:row>
      <xdr:rowOff>0</xdr:rowOff>
    </xdr:to>
    <xdr:graphicFrame macro="">
      <xdr:nvGraphicFramePr>
        <xdr:cNvPr id="31" name="Chart 30">
          <a:extLst>
            <a:ext uri="{FF2B5EF4-FFF2-40B4-BE49-F238E27FC236}">
              <a16:creationId xmlns:a16="http://schemas.microsoft.com/office/drawing/2014/main" id="{24C1DADA-4B50-464A-939E-598F7AD71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171450</xdr:colOff>
      <xdr:row>66</xdr:row>
      <xdr:rowOff>85725</xdr:rowOff>
    </xdr:from>
    <xdr:to>
      <xdr:col>5</xdr:col>
      <xdr:colOff>581025</xdr:colOff>
      <xdr:row>67</xdr:row>
      <xdr:rowOff>123825</xdr:rowOff>
    </xdr:to>
    <xdr:sp macro="" textlink="">
      <xdr:nvSpPr>
        <xdr:cNvPr id="10" name="TextBox 9">
          <a:extLst>
            <a:ext uri="{FF2B5EF4-FFF2-40B4-BE49-F238E27FC236}">
              <a16:creationId xmlns:a16="http://schemas.microsoft.com/office/drawing/2014/main" id="{1113CBB9-A91F-4FBE-8D99-414DBB59E5CB}"/>
            </a:ext>
          </a:extLst>
        </xdr:cNvPr>
        <xdr:cNvSpPr txBox="1"/>
      </xdr:nvSpPr>
      <xdr:spPr>
        <a:xfrm>
          <a:off x="4019550" y="13039725"/>
          <a:ext cx="1104900" cy="21907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Bahnschrift Condensed" panose="020B0502040204020203" pitchFamily="34" charset="0"/>
            </a:rPr>
            <a:t>Current</a:t>
          </a:r>
          <a:endParaRPr lang="en-US" sz="1100">
            <a:latin typeface="Bahnschrift Condensed" panose="020B0502040204020203"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0.47858</cdr:x>
      <cdr:y>0.31961</cdr:y>
    </cdr:from>
    <cdr:to>
      <cdr:x>0.47962</cdr:x>
      <cdr:y>0.63137</cdr:y>
    </cdr:to>
    <cdr:cxnSp macro="">
      <cdr:nvCxnSpPr>
        <cdr:cNvPr id="3" name="Straight Connector 2">
          <a:extLst xmlns:a="http://schemas.openxmlformats.org/drawingml/2006/main">
            <a:ext uri="{FF2B5EF4-FFF2-40B4-BE49-F238E27FC236}">
              <a16:creationId xmlns:a16="http://schemas.microsoft.com/office/drawing/2014/main" id="{AB75664C-540D-4BF9-B9FA-DA3442E52D1A}"/>
            </a:ext>
          </a:extLst>
        </cdr:cNvPr>
        <cdr:cNvCxnSpPr/>
      </cdr:nvCxnSpPr>
      <cdr:spPr>
        <a:xfrm xmlns:a="http://schemas.openxmlformats.org/drawingml/2006/main" flipH="1" flipV="1">
          <a:off x="4362450" y="1552576"/>
          <a:ext cx="9525" cy="15144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0.47858</cdr:x>
      <cdr:y>0.12664</cdr:y>
    </cdr:from>
    <cdr:to>
      <cdr:x>0.4786</cdr:x>
      <cdr:y>0.25294</cdr:y>
    </cdr:to>
    <cdr:cxnSp macro="">
      <cdr:nvCxnSpPr>
        <cdr:cNvPr id="14" name="Straight Connector 13">
          <a:extLst xmlns:a="http://schemas.openxmlformats.org/drawingml/2006/main">
            <a:ext uri="{FF2B5EF4-FFF2-40B4-BE49-F238E27FC236}">
              <a16:creationId xmlns:a16="http://schemas.microsoft.com/office/drawing/2014/main" id="{B002AF50-F868-48CA-8418-1790F97F2112}"/>
            </a:ext>
          </a:extLst>
        </cdr:cNvPr>
        <cdr:cNvCxnSpPr/>
      </cdr:nvCxnSpPr>
      <cdr:spPr>
        <a:xfrm xmlns:a="http://schemas.openxmlformats.org/drawingml/2006/main" flipH="1">
          <a:off x="4497695" y="613834"/>
          <a:ext cx="222" cy="61220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0.47962</cdr:x>
      <cdr:y>0.69608</cdr:y>
    </cdr:from>
    <cdr:to>
      <cdr:x>0.4799</cdr:x>
      <cdr:y>0.81873</cdr:y>
    </cdr:to>
    <cdr:cxnSp macro="">
      <cdr:nvCxnSpPr>
        <cdr:cNvPr id="18" name="Straight Connector 17">
          <a:extLst xmlns:a="http://schemas.openxmlformats.org/drawingml/2006/main">
            <a:ext uri="{FF2B5EF4-FFF2-40B4-BE49-F238E27FC236}">
              <a16:creationId xmlns:a16="http://schemas.microsoft.com/office/drawing/2014/main" id="{43765989-76E8-4F0A-A077-7F14CA4B6D88}"/>
            </a:ext>
          </a:extLst>
        </cdr:cNvPr>
        <cdr:cNvCxnSpPr/>
      </cdr:nvCxnSpPr>
      <cdr:spPr>
        <a:xfrm xmlns:a="http://schemas.openxmlformats.org/drawingml/2006/main" flipH="1" flipV="1">
          <a:off x="4371623" y="3376276"/>
          <a:ext cx="2550" cy="59491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14</xdr:col>
      <xdr:colOff>0</xdr:colOff>
      <xdr:row>3</xdr:row>
      <xdr:rowOff>1</xdr:rowOff>
    </xdr:from>
    <xdr:to>
      <xdr:col>22</xdr:col>
      <xdr:colOff>0</xdr:colOff>
      <xdr:row>24</xdr:row>
      <xdr:rowOff>1</xdr:rowOff>
    </xdr:to>
    <xdr:pic>
      <xdr:nvPicPr>
        <xdr:cNvPr id="5" name="Picture 4">
          <a:extLst>
            <a:ext uri="{FF2B5EF4-FFF2-40B4-BE49-F238E27FC236}">
              <a16:creationId xmlns:a16="http://schemas.microsoft.com/office/drawing/2014/main" id="{94324E21-40A2-4C83-BAF7-C23F8F65B856}"/>
            </a:ext>
          </a:extLst>
        </xdr:cNvPr>
        <xdr:cNvPicPr>
          <a:picLocks noChangeAspect="1"/>
        </xdr:cNvPicPr>
      </xdr:nvPicPr>
      <xdr:blipFill>
        <a:blip xmlns:r="http://schemas.openxmlformats.org/officeDocument/2006/relationships" r:embed="rId1"/>
        <a:stretch>
          <a:fillRect/>
        </a:stretch>
      </xdr:blipFill>
      <xdr:spPr>
        <a:xfrm>
          <a:off x="10949609" y="554936"/>
          <a:ext cx="7901608" cy="3826565"/>
        </a:xfrm>
        <a:prstGeom prst="rect">
          <a:avLst/>
        </a:prstGeom>
      </xdr:spPr>
    </xdr:pic>
    <xdr:clientData/>
  </xdr:twoCellAnchor>
  <xdr:twoCellAnchor editAs="oneCell">
    <xdr:from>
      <xdr:col>14</xdr:col>
      <xdr:colOff>0</xdr:colOff>
      <xdr:row>28</xdr:row>
      <xdr:rowOff>0</xdr:rowOff>
    </xdr:from>
    <xdr:to>
      <xdr:col>22</xdr:col>
      <xdr:colOff>7206</xdr:colOff>
      <xdr:row>49</xdr:row>
      <xdr:rowOff>0</xdr:rowOff>
    </xdr:to>
    <xdr:pic>
      <xdr:nvPicPr>
        <xdr:cNvPr id="6" name="Picture 5">
          <a:extLst>
            <a:ext uri="{FF2B5EF4-FFF2-40B4-BE49-F238E27FC236}">
              <a16:creationId xmlns:a16="http://schemas.microsoft.com/office/drawing/2014/main" id="{8D3F1F1C-B7E2-4012-A32C-AABE04FD3EB4}"/>
            </a:ext>
          </a:extLst>
        </xdr:cNvPr>
        <xdr:cNvPicPr>
          <a:picLocks noChangeAspect="1"/>
        </xdr:cNvPicPr>
      </xdr:nvPicPr>
      <xdr:blipFill>
        <a:blip xmlns:r="http://schemas.openxmlformats.org/officeDocument/2006/relationships" r:embed="rId2"/>
        <a:stretch>
          <a:fillRect/>
        </a:stretch>
      </xdr:blipFill>
      <xdr:spPr>
        <a:xfrm>
          <a:off x="10306050" y="5086350"/>
          <a:ext cx="7893906" cy="3800475"/>
        </a:xfrm>
        <a:prstGeom prst="rect">
          <a:avLst/>
        </a:prstGeom>
      </xdr:spPr>
    </xdr:pic>
    <xdr:clientData/>
  </xdr:twoCellAnchor>
  <xdr:twoCellAnchor editAs="oneCell">
    <xdr:from>
      <xdr:col>1</xdr:col>
      <xdr:colOff>0</xdr:colOff>
      <xdr:row>28</xdr:row>
      <xdr:rowOff>0</xdr:rowOff>
    </xdr:from>
    <xdr:to>
      <xdr:col>10</xdr:col>
      <xdr:colOff>0</xdr:colOff>
      <xdr:row>49</xdr:row>
      <xdr:rowOff>0</xdr:rowOff>
    </xdr:to>
    <xdr:pic>
      <xdr:nvPicPr>
        <xdr:cNvPr id="7" name="Picture 6">
          <a:extLst>
            <a:ext uri="{FF2B5EF4-FFF2-40B4-BE49-F238E27FC236}">
              <a16:creationId xmlns:a16="http://schemas.microsoft.com/office/drawing/2014/main" id="{E7B1F01D-871B-4CA7-A76A-2B3FE4EF0E36}"/>
            </a:ext>
          </a:extLst>
        </xdr:cNvPr>
        <xdr:cNvPicPr>
          <a:picLocks noChangeAspect="1"/>
        </xdr:cNvPicPr>
      </xdr:nvPicPr>
      <xdr:blipFill>
        <a:blip xmlns:r="http://schemas.openxmlformats.org/officeDocument/2006/relationships" r:embed="rId3"/>
        <a:stretch>
          <a:fillRect/>
        </a:stretch>
      </xdr:blipFill>
      <xdr:spPr>
        <a:xfrm>
          <a:off x="100853" y="5042647"/>
          <a:ext cx="8359588" cy="37651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258537</xdr:colOff>
      <xdr:row>20</xdr:row>
      <xdr:rowOff>0</xdr:rowOff>
    </xdr:from>
    <xdr:to>
      <xdr:col>18</xdr:col>
      <xdr:colOff>1</xdr:colOff>
      <xdr:row>28</xdr:row>
      <xdr:rowOff>0</xdr:rowOff>
    </xdr:to>
    <xdr:sp macro="" textlink="">
      <xdr:nvSpPr>
        <xdr:cNvPr id="10" name="TextBox 9">
          <a:extLst>
            <a:ext uri="{FF2B5EF4-FFF2-40B4-BE49-F238E27FC236}">
              <a16:creationId xmlns:a16="http://schemas.microsoft.com/office/drawing/2014/main" id="{63488FCF-F604-4D47-ADE7-20BDFE9D63B0}"/>
            </a:ext>
          </a:extLst>
        </xdr:cNvPr>
        <xdr:cNvSpPr txBox="1"/>
      </xdr:nvSpPr>
      <xdr:spPr>
        <a:xfrm>
          <a:off x="10992798" y="3760304"/>
          <a:ext cx="6682290" cy="173106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u="sng">
              <a:latin typeface="Bahnschrift Light" panose="020B0502040204020203" pitchFamily="34" charset="0"/>
            </a:rPr>
            <a:t>Pictured - IBM &amp; SUNY Polytech Engineers Work on the $200 Million ASML NXE:3400 EUV Lithography System in Albany, New York </a:t>
          </a:r>
        </a:p>
        <a:p>
          <a:pPr algn="ctr"/>
          <a:endParaRPr lang="en-US" sz="900" i="1" u="sng">
            <a:latin typeface="Bahnschrift Light" panose="020B0502040204020203" pitchFamily="34" charset="0"/>
          </a:endParaRPr>
        </a:p>
        <a:p>
          <a:pPr algn="ctr"/>
          <a:endParaRPr lang="en-US" sz="500" i="1">
            <a:latin typeface="Bahnschrift Light" panose="020B0502040204020203"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Bahnschrift Light" panose="020B0502040204020203" pitchFamily="34" charset="0"/>
              <a:ea typeface="+mn-ea"/>
              <a:cs typeface="+mn-cs"/>
            </a:rPr>
            <a:t>IBM research unveiled a new 2nm chip with nanosheet technology this month that will serve as the underpinning of its future process technology. IBM displayed a full 300mm wafer produced on the 2nm nanosheet process at its Albany, New York facilities. </a:t>
          </a:r>
          <a:endParaRPr lang="en-US" sz="1400">
            <a:effectLst/>
            <a:latin typeface="Bahnschrift Light" panose="020B0502040204020203" pitchFamily="34" charset="0"/>
          </a:endParaRPr>
        </a:p>
        <a:p>
          <a:pPr algn="ctr"/>
          <a:endParaRPr lang="en-US" sz="1200" i="1">
            <a:latin typeface="Bahnschrift Light" panose="020B0502040204020203" pitchFamily="34" charset="0"/>
          </a:endParaRPr>
        </a:p>
      </xdr:txBody>
    </xdr:sp>
    <xdr:clientData/>
  </xdr:twoCellAnchor>
  <xdr:twoCellAnchor editAs="oneCell">
    <xdr:from>
      <xdr:col>7</xdr:col>
      <xdr:colOff>242036</xdr:colOff>
      <xdr:row>0</xdr:row>
      <xdr:rowOff>40021</xdr:rowOff>
    </xdr:from>
    <xdr:to>
      <xdr:col>18</xdr:col>
      <xdr:colOff>0</xdr:colOff>
      <xdr:row>19</xdr:row>
      <xdr:rowOff>13607</xdr:rowOff>
    </xdr:to>
    <xdr:pic>
      <xdr:nvPicPr>
        <xdr:cNvPr id="11" name="Picture 10" descr="Technicians work on a new $200 million lithography tool purchased by IBM from ASML Friday, Feb. 14, 2014, at NanoFab X in Albany N.Y. The tool utilizes extreme ultraviolet light to print micro circuitry designs on processors. Extreme ultraviolet lithography (EUVL) is an emerging technology believed to be capable of producing computer chips which are 100 times faster than anything currently in production. Memory chips produced with EUVL could see a potential 1,000 times increase in storage capability. (Will Waldron/Times Union) ORG XMIT: MER2014021414401528">
          <a:extLst>
            <a:ext uri="{FF2B5EF4-FFF2-40B4-BE49-F238E27FC236}">
              <a16:creationId xmlns:a16="http://schemas.microsoft.com/office/drawing/2014/main" id="{CE54393E-4392-4C67-A6FE-900FB7A588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6297" y="40021"/>
          <a:ext cx="6698790" cy="3535108"/>
        </a:xfrm>
        <a:prstGeom prst="rect">
          <a:avLst/>
        </a:prstGeom>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132522</xdr:rowOff>
    </xdr:from>
    <xdr:to>
      <xdr:col>17</xdr:col>
      <xdr:colOff>1</xdr:colOff>
      <xdr:row>39</xdr:row>
      <xdr:rowOff>0</xdr:rowOff>
    </xdr:to>
    <xdr:pic>
      <xdr:nvPicPr>
        <xdr:cNvPr id="12" name="Picture 11" descr="https://sunypoly.edu/sites/default/files/inline-images/euv%2Btool.jpg">
          <a:extLst>
            <a:ext uri="{FF2B5EF4-FFF2-40B4-BE49-F238E27FC236}">
              <a16:creationId xmlns:a16="http://schemas.microsoft.com/office/drawing/2014/main" id="{F28FA51E-E7CE-4634-A5D3-A0B67CBBF7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53875" y="5428422"/>
          <a:ext cx="5076826" cy="22201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28</xdr:row>
      <xdr:rowOff>57150</xdr:rowOff>
    </xdr:to>
    <xdr:graphicFrame macro="">
      <xdr:nvGraphicFramePr>
        <xdr:cNvPr id="2" name="Chart 1">
          <a:extLst>
            <a:ext uri="{FF2B5EF4-FFF2-40B4-BE49-F238E27FC236}">
              <a16:creationId xmlns:a16="http://schemas.microsoft.com/office/drawing/2014/main" id="{0419CE82-AC26-41F7-84A5-2856482F7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28575</xdr:rowOff>
    </xdr:from>
    <xdr:to>
      <xdr:col>9</xdr:col>
      <xdr:colOff>3472</xdr:colOff>
      <xdr:row>51</xdr:row>
      <xdr:rowOff>123825</xdr:rowOff>
    </xdr:to>
    <xdr:graphicFrame macro="">
      <xdr:nvGraphicFramePr>
        <xdr:cNvPr id="3" name="Chart 2">
          <a:extLst>
            <a:ext uri="{FF2B5EF4-FFF2-40B4-BE49-F238E27FC236}">
              <a16:creationId xmlns:a16="http://schemas.microsoft.com/office/drawing/2014/main" id="{62E22287-A6E3-412D-811A-2C46F8089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504825</xdr:colOff>
      <xdr:row>4</xdr:row>
      <xdr:rowOff>104775</xdr:rowOff>
    </xdr:from>
    <xdr:to>
      <xdr:col>5</xdr:col>
      <xdr:colOff>0</xdr:colOff>
      <xdr:row>7</xdr:row>
      <xdr:rowOff>59531</xdr:rowOff>
    </xdr:to>
    <xdr:grpSp>
      <xdr:nvGrpSpPr>
        <xdr:cNvPr id="2" name="Group 1">
          <a:extLst>
            <a:ext uri="{FF2B5EF4-FFF2-40B4-BE49-F238E27FC236}">
              <a16:creationId xmlns:a16="http://schemas.microsoft.com/office/drawing/2014/main" id="{E27B05D7-EC7F-46F3-88EC-3E233C00FDA0}"/>
            </a:ext>
          </a:extLst>
        </xdr:cNvPr>
        <xdr:cNvGrpSpPr/>
      </xdr:nvGrpSpPr>
      <xdr:grpSpPr>
        <a:xfrm>
          <a:off x="4773979" y="847237"/>
          <a:ext cx="2113329" cy="433448"/>
          <a:chOff x="6834277" y="1348704"/>
          <a:chExt cx="1670143" cy="468259"/>
        </a:xfrm>
        <a:solidFill>
          <a:schemeClr val="accent2"/>
        </a:solidFill>
      </xdr:grpSpPr>
      <xdr:sp macro="" textlink="">
        <xdr:nvSpPr>
          <xdr:cNvPr id="3" name="Freeform 10">
            <a:extLst>
              <a:ext uri="{FF2B5EF4-FFF2-40B4-BE49-F238E27FC236}">
                <a16:creationId xmlns:a16="http://schemas.microsoft.com/office/drawing/2014/main" id="{E21B751E-C25A-4861-9A66-447EECAB39E4}"/>
              </a:ext>
            </a:extLst>
          </xdr:cNvPr>
          <xdr:cNvSpPr/>
        </xdr:nvSpPr>
        <xdr:spPr>
          <a:xfrm>
            <a:off x="6834277" y="1361500"/>
            <a:ext cx="417231" cy="446740"/>
          </a:xfrm>
          <a:custGeom>
            <a:avLst/>
            <a:gdLst>
              <a:gd name="connsiteX0" fmla="*/ 0 w 1097756"/>
              <a:gd name="connsiteY0" fmla="*/ 0 h 1181100"/>
              <a:gd name="connsiteX1" fmla="*/ 745331 w 1097756"/>
              <a:gd name="connsiteY1" fmla="*/ 0 h 1181100"/>
              <a:gd name="connsiteX2" fmla="*/ 1097756 w 1097756"/>
              <a:gd name="connsiteY2" fmla="*/ 1178718 h 1181100"/>
              <a:gd name="connsiteX3" fmla="*/ 523875 w 1097756"/>
              <a:gd name="connsiteY3" fmla="*/ 1181100 h 1181100"/>
              <a:gd name="connsiteX4" fmla="*/ 0 w 1097756"/>
              <a:gd name="connsiteY4" fmla="*/ 0 h 1181100"/>
              <a:gd name="connsiteX0" fmla="*/ 0 w 1400175"/>
              <a:gd name="connsiteY0" fmla="*/ 0 h 2197893"/>
              <a:gd name="connsiteX1" fmla="*/ 745331 w 1400175"/>
              <a:gd name="connsiteY1" fmla="*/ 0 h 2197893"/>
              <a:gd name="connsiteX2" fmla="*/ 1400175 w 1400175"/>
              <a:gd name="connsiteY2" fmla="*/ 2197893 h 2197893"/>
              <a:gd name="connsiteX3" fmla="*/ 523875 w 1400175"/>
              <a:gd name="connsiteY3" fmla="*/ 1181100 h 2197893"/>
              <a:gd name="connsiteX4" fmla="*/ 0 w 1400175"/>
              <a:gd name="connsiteY4" fmla="*/ 0 h 2197893"/>
              <a:gd name="connsiteX0" fmla="*/ 0 w 1400175"/>
              <a:gd name="connsiteY0" fmla="*/ 0 h 2197893"/>
              <a:gd name="connsiteX1" fmla="*/ 745331 w 1400175"/>
              <a:gd name="connsiteY1" fmla="*/ 0 h 2197893"/>
              <a:gd name="connsiteX2" fmla="*/ 1400175 w 1400175"/>
              <a:gd name="connsiteY2" fmla="*/ 2197893 h 2197893"/>
              <a:gd name="connsiteX3" fmla="*/ 1047750 w 1400175"/>
              <a:gd name="connsiteY3" fmla="*/ 1790700 h 2197893"/>
              <a:gd name="connsiteX4" fmla="*/ 523875 w 1400175"/>
              <a:gd name="connsiteY4" fmla="*/ 1181100 h 2197893"/>
              <a:gd name="connsiteX5" fmla="*/ 0 w 1400175"/>
              <a:gd name="connsiteY5" fmla="*/ 0 h 2197893"/>
              <a:gd name="connsiteX0" fmla="*/ 0 w 1400175"/>
              <a:gd name="connsiteY0" fmla="*/ 0 h 2197893"/>
              <a:gd name="connsiteX1" fmla="*/ 745331 w 1400175"/>
              <a:gd name="connsiteY1" fmla="*/ 0 h 2197893"/>
              <a:gd name="connsiteX2" fmla="*/ 1400175 w 1400175"/>
              <a:gd name="connsiteY2" fmla="*/ 2197893 h 2197893"/>
              <a:gd name="connsiteX3" fmla="*/ 750094 w 1400175"/>
              <a:gd name="connsiteY3" fmla="*/ 2193131 h 2197893"/>
              <a:gd name="connsiteX4" fmla="*/ 523875 w 1400175"/>
              <a:gd name="connsiteY4" fmla="*/ 1181100 h 2197893"/>
              <a:gd name="connsiteX5" fmla="*/ 0 w 1400175"/>
              <a:gd name="connsiteY5"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523875 w 1400175"/>
              <a:gd name="connsiteY4" fmla="*/ 1181100 h 2197893"/>
              <a:gd name="connsiteX5" fmla="*/ 0 w 1400175"/>
              <a:gd name="connsiteY5"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0 w 1400175"/>
              <a:gd name="connsiteY5"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230981 w 1400175"/>
              <a:gd name="connsiteY5" fmla="*/ 295275 h 2197893"/>
              <a:gd name="connsiteX6" fmla="*/ 0 w 1400175"/>
              <a:gd name="connsiteY6"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95262 w 1400175"/>
              <a:gd name="connsiteY5" fmla="*/ 1204913 h 2197893"/>
              <a:gd name="connsiteX6" fmla="*/ 0 w 1400175"/>
              <a:gd name="connsiteY6"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73830 w 1400175"/>
              <a:gd name="connsiteY5" fmla="*/ 1383507 h 2197893"/>
              <a:gd name="connsiteX6" fmla="*/ 0 w 1400175"/>
              <a:gd name="connsiteY6"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73830 w 1400175"/>
              <a:gd name="connsiteY5" fmla="*/ 1383507 h 2197893"/>
              <a:gd name="connsiteX6" fmla="*/ 135731 w 1400175"/>
              <a:gd name="connsiteY6" fmla="*/ 1102518 h 2197893"/>
              <a:gd name="connsiteX7" fmla="*/ 0 w 1400175"/>
              <a:gd name="connsiteY7"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73830 w 1400175"/>
              <a:gd name="connsiteY5" fmla="*/ 1383507 h 2197893"/>
              <a:gd name="connsiteX6" fmla="*/ 609600 w 1400175"/>
              <a:gd name="connsiteY6" fmla="*/ 1385887 h 2197893"/>
              <a:gd name="connsiteX7" fmla="*/ 0 w 1400175"/>
              <a:gd name="connsiteY7"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73830 w 1400175"/>
              <a:gd name="connsiteY5" fmla="*/ 1383507 h 2197893"/>
              <a:gd name="connsiteX6" fmla="*/ 609600 w 1400175"/>
              <a:gd name="connsiteY6" fmla="*/ 1385887 h 2197893"/>
              <a:gd name="connsiteX7" fmla="*/ 378619 w 1400175"/>
              <a:gd name="connsiteY7" fmla="*/ 862012 h 2197893"/>
              <a:gd name="connsiteX8" fmla="*/ 0 w 1400175"/>
              <a:gd name="connsiteY8"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73830 w 1400175"/>
              <a:gd name="connsiteY5" fmla="*/ 1383507 h 2197893"/>
              <a:gd name="connsiteX6" fmla="*/ 609600 w 1400175"/>
              <a:gd name="connsiteY6" fmla="*/ 1385887 h 2197893"/>
              <a:gd name="connsiteX7" fmla="*/ 692944 w 1400175"/>
              <a:gd name="connsiteY7" fmla="*/ 1797843 h 2197893"/>
              <a:gd name="connsiteX8" fmla="*/ 0 w 1400175"/>
              <a:gd name="connsiteY8"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73830 w 1400175"/>
              <a:gd name="connsiteY5" fmla="*/ 1383507 h 2197893"/>
              <a:gd name="connsiteX6" fmla="*/ 609600 w 1400175"/>
              <a:gd name="connsiteY6" fmla="*/ 1385887 h 2197893"/>
              <a:gd name="connsiteX7" fmla="*/ 692944 w 1400175"/>
              <a:gd name="connsiteY7" fmla="*/ 1797843 h 2197893"/>
              <a:gd name="connsiteX8" fmla="*/ 426244 w 1400175"/>
              <a:gd name="connsiteY8" fmla="*/ 1112043 h 2197893"/>
              <a:gd name="connsiteX9" fmla="*/ 0 w 1400175"/>
              <a:gd name="connsiteY9"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73830 w 1400175"/>
              <a:gd name="connsiteY5" fmla="*/ 1383507 h 2197893"/>
              <a:gd name="connsiteX6" fmla="*/ 609600 w 1400175"/>
              <a:gd name="connsiteY6" fmla="*/ 1385887 h 2197893"/>
              <a:gd name="connsiteX7" fmla="*/ 692944 w 1400175"/>
              <a:gd name="connsiteY7" fmla="*/ 1797843 h 2197893"/>
              <a:gd name="connsiteX8" fmla="*/ 88106 w 1400175"/>
              <a:gd name="connsiteY8" fmla="*/ 1795462 h 2197893"/>
              <a:gd name="connsiteX9" fmla="*/ 0 w 1400175"/>
              <a:gd name="connsiteY9"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73830 w 1400175"/>
              <a:gd name="connsiteY5" fmla="*/ 1383507 h 2197893"/>
              <a:gd name="connsiteX6" fmla="*/ 609600 w 1400175"/>
              <a:gd name="connsiteY6" fmla="*/ 1385887 h 2197893"/>
              <a:gd name="connsiteX7" fmla="*/ 692944 w 1400175"/>
              <a:gd name="connsiteY7" fmla="*/ 1797843 h 2197893"/>
              <a:gd name="connsiteX8" fmla="*/ 88106 w 1400175"/>
              <a:gd name="connsiteY8" fmla="*/ 1795462 h 2197893"/>
              <a:gd name="connsiteX9" fmla="*/ 52388 w 1400175"/>
              <a:gd name="connsiteY9" fmla="*/ 1131093 h 2197893"/>
              <a:gd name="connsiteX10" fmla="*/ 0 w 1400175"/>
              <a:gd name="connsiteY10" fmla="*/ 0 h 2197893"/>
              <a:gd name="connsiteX0" fmla="*/ 0 w 1400175"/>
              <a:gd name="connsiteY0" fmla="*/ 0 h 2197893"/>
              <a:gd name="connsiteX1" fmla="*/ 745331 w 1400175"/>
              <a:gd name="connsiteY1" fmla="*/ 0 h 2197893"/>
              <a:gd name="connsiteX2" fmla="*/ 1400175 w 1400175"/>
              <a:gd name="connsiteY2" fmla="*/ 2197893 h 2197893"/>
              <a:gd name="connsiteX3" fmla="*/ 747713 w 1400175"/>
              <a:gd name="connsiteY3" fmla="*/ 2195512 h 2197893"/>
              <a:gd name="connsiteX4" fmla="*/ 371475 w 1400175"/>
              <a:gd name="connsiteY4" fmla="*/ 478631 h 2197893"/>
              <a:gd name="connsiteX5" fmla="*/ 173830 w 1400175"/>
              <a:gd name="connsiteY5" fmla="*/ 1383507 h 2197893"/>
              <a:gd name="connsiteX6" fmla="*/ 609600 w 1400175"/>
              <a:gd name="connsiteY6" fmla="*/ 1385887 h 2197893"/>
              <a:gd name="connsiteX7" fmla="*/ 692944 w 1400175"/>
              <a:gd name="connsiteY7" fmla="*/ 1797843 h 2197893"/>
              <a:gd name="connsiteX8" fmla="*/ 88106 w 1400175"/>
              <a:gd name="connsiteY8" fmla="*/ 1795462 h 2197893"/>
              <a:gd name="connsiteX9" fmla="*/ 0 w 1400175"/>
              <a:gd name="connsiteY9" fmla="*/ 2197893 h 2197893"/>
              <a:gd name="connsiteX10" fmla="*/ 0 w 1400175"/>
              <a:gd name="connsiteY10" fmla="*/ 0 h 2197893"/>
              <a:gd name="connsiteX0" fmla="*/ 4762 w 1404937"/>
              <a:gd name="connsiteY0" fmla="*/ 0 h 2197893"/>
              <a:gd name="connsiteX1" fmla="*/ 750093 w 1404937"/>
              <a:gd name="connsiteY1" fmla="*/ 0 h 2197893"/>
              <a:gd name="connsiteX2" fmla="*/ 1404937 w 1404937"/>
              <a:gd name="connsiteY2" fmla="*/ 2197893 h 2197893"/>
              <a:gd name="connsiteX3" fmla="*/ 752475 w 1404937"/>
              <a:gd name="connsiteY3" fmla="*/ 2195512 h 2197893"/>
              <a:gd name="connsiteX4" fmla="*/ 376237 w 1404937"/>
              <a:gd name="connsiteY4" fmla="*/ 478631 h 2197893"/>
              <a:gd name="connsiteX5" fmla="*/ 178592 w 1404937"/>
              <a:gd name="connsiteY5" fmla="*/ 1383507 h 2197893"/>
              <a:gd name="connsiteX6" fmla="*/ 614362 w 1404937"/>
              <a:gd name="connsiteY6" fmla="*/ 1385887 h 2197893"/>
              <a:gd name="connsiteX7" fmla="*/ 697706 w 1404937"/>
              <a:gd name="connsiteY7" fmla="*/ 1797843 h 2197893"/>
              <a:gd name="connsiteX8" fmla="*/ 92868 w 1404937"/>
              <a:gd name="connsiteY8" fmla="*/ 1795462 h 2197893"/>
              <a:gd name="connsiteX9" fmla="*/ 4762 w 1404937"/>
              <a:gd name="connsiteY9" fmla="*/ 2197893 h 2197893"/>
              <a:gd name="connsiteX10" fmla="*/ 0 w 1404937"/>
              <a:gd name="connsiteY10" fmla="*/ 2045493 h 2197893"/>
              <a:gd name="connsiteX11" fmla="*/ 4762 w 1404937"/>
              <a:gd name="connsiteY11" fmla="*/ 0 h 2197893"/>
              <a:gd name="connsiteX0" fmla="*/ 652462 w 2052637"/>
              <a:gd name="connsiteY0" fmla="*/ 0 h 2197893"/>
              <a:gd name="connsiteX1" fmla="*/ 1397793 w 2052637"/>
              <a:gd name="connsiteY1" fmla="*/ 0 h 2197893"/>
              <a:gd name="connsiteX2" fmla="*/ 2052637 w 2052637"/>
              <a:gd name="connsiteY2" fmla="*/ 2197893 h 2197893"/>
              <a:gd name="connsiteX3" fmla="*/ 1400175 w 2052637"/>
              <a:gd name="connsiteY3" fmla="*/ 2195512 h 2197893"/>
              <a:gd name="connsiteX4" fmla="*/ 1023937 w 2052637"/>
              <a:gd name="connsiteY4" fmla="*/ 478631 h 2197893"/>
              <a:gd name="connsiteX5" fmla="*/ 826292 w 2052637"/>
              <a:gd name="connsiteY5" fmla="*/ 1383507 h 2197893"/>
              <a:gd name="connsiteX6" fmla="*/ 1262062 w 2052637"/>
              <a:gd name="connsiteY6" fmla="*/ 1385887 h 2197893"/>
              <a:gd name="connsiteX7" fmla="*/ 1345406 w 2052637"/>
              <a:gd name="connsiteY7" fmla="*/ 1797843 h 2197893"/>
              <a:gd name="connsiteX8" fmla="*/ 740568 w 2052637"/>
              <a:gd name="connsiteY8" fmla="*/ 1795462 h 2197893"/>
              <a:gd name="connsiteX9" fmla="*/ 652462 w 2052637"/>
              <a:gd name="connsiteY9" fmla="*/ 2197893 h 2197893"/>
              <a:gd name="connsiteX10" fmla="*/ 0 w 2052637"/>
              <a:gd name="connsiteY10" fmla="*/ 2193131 h 2197893"/>
              <a:gd name="connsiteX11" fmla="*/ 652462 w 2052637"/>
              <a:gd name="connsiteY11" fmla="*/ 0 h 2197893"/>
              <a:gd name="connsiteX0" fmla="*/ 652462 w 2052637"/>
              <a:gd name="connsiteY0" fmla="*/ 1 h 2197894"/>
              <a:gd name="connsiteX1" fmla="*/ 1397793 w 2052637"/>
              <a:gd name="connsiteY1" fmla="*/ 1 h 2197894"/>
              <a:gd name="connsiteX2" fmla="*/ 2052637 w 2052637"/>
              <a:gd name="connsiteY2" fmla="*/ 2197894 h 2197894"/>
              <a:gd name="connsiteX3" fmla="*/ 1400175 w 2052637"/>
              <a:gd name="connsiteY3" fmla="*/ 2195513 h 2197894"/>
              <a:gd name="connsiteX4" fmla="*/ 1023937 w 2052637"/>
              <a:gd name="connsiteY4" fmla="*/ 478632 h 2197894"/>
              <a:gd name="connsiteX5" fmla="*/ 826292 w 2052637"/>
              <a:gd name="connsiteY5" fmla="*/ 1383508 h 2197894"/>
              <a:gd name="connsiteX6" fmla="*/ 1262062 w 2052637"/>
              <a:gd name="connsiteY6" fmla="*/ 1385888 h 2197894"/>
              <a:gd name="connsiteX7" fmla="*/ 1345406 w 2052637"/>
              <a:gd name="connsiteY7" fmla="*/ 1797844 h 2197894"/>
              <a:gd name="connsiteX8" fmla="*/ 740568 w 2052637"/>
              <a:gd name="connsiteY8" fmla="*/ 1795463 h 2197894"/>
              <a:gd name="connsiteX9" fmla="*/ 652462 w 2052637"/>
              <a:gd name="connsiteY9" fmla="*/ 2197894 h 2197894"/>
              <a:gd name="connsiteX10" fmla="*/ 0 w 2052637"/>
              <a:gd name="connsiteY10" fmla="*/ 2193132 h 2197894"/>
              <a:gd name="connsiteX11" fmla="*/ 652462 w 2052637"/>
              <a:gd name="connsiteY11" fmla="*/ 1 h 2197894"/>
              <a:gd name="connsiteX0" fmla="*/ 652533 w 2052708"/>
              <a:gd name="connsiteY0" fmla="*/ 1 h 2197894"/>
              <a:gd name="connsiteX1" fmla="*/ 1397864 w 2052708"/>
              <a:gd name="connsiteY1" fmla="*/ 1 h 2197894"/>
              <a:gd name="connsiteX2" fmla="*/ 2052708 w 2052708"/>
              <a:gd name="connsiteY2" fmla="*/ 2197894 h 2197894"/>
              <a:gd name="connsiteX3" fmla="*/ 1400246 w 2052708"/>
              <a:gd name="connsiteY3" fmla="*/ 2195513 h 2197894"/>
              <a:gd name="connsiteX4" fmla="*/ 1024008 w 2052708"/>
              <a:gd name="connsiteY4" fmla="*/ 478632 h 2197894"/>
              <a:gd name="connsiteX5" fmla="*/ 826363 w 2052708"/>
              <a:gd name="connsiteY5" fmla="*/ 1383508 h 2197894"/>
              <a:gd name="connsiteX6" fmla="*/ 1262133 w 2052708"/>
              <a:gd name="connsiteY6" fmla="*/ 1385888 h 2197894"/>
              <a:gd name="connsiteX7" fmla="*/ 1345477 w 2052708"/>
              <a:gd name="connsiteY7" fmla="*/ 1797844 h 2197894"/>
              <a:gd name="connsiteX8" fmla="*/ 740639 w 2052708"/>
              <a:gd name="connsiteY8" fmla="*/ 1795463 h 2197894"/>
              <a:gd name="connsiteX9" fmla="*/ 652533 w 2052708"/>
              <a:gd name="connsiteY9" fmla="*/ 2197894 h 2197894"/>
              <a:gd name="connsiteX10" fmla="*/ 71 w 2052708"/>
              <a:gd name="connsiteY10" fmla="*/ 2193132 h 2197894"/>
              <a:gd name="connsiteX11" fmla="*/ 652533 w 2052708"/>
              <a:gd name="connsiteY11" fmla="*/ 1 h 2197894"/>
              <a:gd name="connsiteX0" fmla="*/ 652533 w 2052708"/>
              <a:gd name="connsiteY0" fmla="*/ 1 h 2197894"/>
              <a:gd name="connsiteX1" fmla="*/ 1397864 w 2052708"/>
              <a:gd name="connsiteY1" fmla="*/ 1 h 2197894"/>
              <a:gd name="connsiteX2" fmla="*/ 2052708 w 2052708"/>
              <a:gd name="connsiteY2" fmla="*/ 2197894 h 2197894"/>
              <a:gd name="connsiteX3" fmla="*/ 1400246 w 2052708"/>
              <a:gd name="connsiteY3" fmla="*/ 2195513 h 2197894"/>
              <a:gd name="connsiteX4" fmla="*/ 1024008 w 2052708"/>
              <a:gd name="connsiteY4" fmla="*/ 478632 h 2197894"/>
              <a:gd name="connsiteX5" fmla="*/ 826363 w 2052708"/>
              <a:gd name="connsiteY5" fmla="*/ 1383508 h 2197894"/>
              <a:gd name="connsiteX6" fmla="*/ 1214508 w 2052708"/>
              <a:gd name="connsiteY6" fmla="*/ 1383506 h 2197894"/>
              <a:gd name="connsiteX7" fmla="*/ 1345477 w 2052708"/>
              <a:gd name="connsiteY7" fmla="*/ 1797844 h 2197894"/>
              <a:gd name="connsiteX8" fmla="*/ 740639 w 2052708"/>
              <a:gd name="connsiteY8" fmla="*/ 1795463 h 2197894"/>
              <a:gd name="connsiteX9" fmla="*/ 652533 w 2052708"/>
              <a:gd name="connsiteY9" fmla="*/ 2197894 h 2197894"/>
              <a:gd name="connsiteX10" fmla="*/ 71 w 2052708"/>
              <a:gd name="connsiteY10" fmla="*/ 2193132 h 2197894"/>
              <a:gd name="connsiteX11" fmla="*/ 652533 w 2052708"/>
              <a:gd name="connsiteY11" fmla="*/ 1 h 2197894"/>
              <a:gd name="connsiteX0" fmla="*/ 652533 w 2052708"/>
              <a:gd name="connsiteY0" fmla="*/ 1 h 2197894"/>
              <a:gd name="connsiteX1" fmla="*/ 1397864 w 2052708"/>
              <a:gd name="connsiteY1" fmla="*/ 1 h 2197894"/>
              <a:gd name="connsiteX2" fmla="*/ 2052708 w 2052708"/>
              <a:gd name="connsiteY2" fmla="*/ 2197894 h 2197894"/>
              <a:gd name="connsiteX3" fmla="*/ 1400246 w 2052708"/>
              <a:gd name="connsiteY3" fmla="*/ 2195513 h 2197894"/>
              <a:gd name="connsiteX4" fmla="*/ 1024008 w 2052708"/>
              <a:gd name="connsiteY4" fmla="*/ 478632 h 2197894"/>
              <a:gd name="connsiteX5" fmla="*/ 826363 w 2052708"/>
              <a:gd name="connsiteY5" fmla="*/ 1383508 h 2197894"/>
              <a:gd name="connsiteX6" fmla="*/ 1214508 w 2052708"/>
              <a:gd name="connsiteY6" fmla="*/ 1383506 h 2197894"/>
              <a:gd name="connsiteX7" fmla="*/ 1312139 w 2052708"/>
              <a:gd name="connsiteY7" fmla="*/ 1797844 h 2197894"/>
              <a:gd name="connsiteX8" fmla="*/ 740639 w 2052708"/>
              <a:gd name="connsiteY8" fmla="*/ 1795463 h 2197894"/>
              <a:gd name="connsiteX9" fmla="*/ 652533 w 2052708"/>
              <a:gd name="connsiteY9" fmla="*/ 2197894 h 2197894"/>
              <a:gd name="connsiteX10" fmla="*/ 71 w 2052708"/>
              <a:gd name="connsiteY10" fmla="*/ 2193132 h 2197894"/>
              <a:gd name="connsiteX11" fmla="*/ 652533 w 2052708"/>
              <a:gd name="connsiteY11" fmla="*/ 1 h 2197894"/>
              <a:gd name="connsiteX0" fmla="*/ 652533 w 2052708"/>
              <a:gd name="connsiteY0" fmla="*/ 1 h 2197894"/>
              <a:gd name="connsiteX1" fmla="*/ 1397864 w 2052708"/>
              <a:gd name="connsiteY1" fmla="*/ 1 h 2197894"/>
              <a:gd name="connsiteX2" fmla="*/ 2052708 w 2052708"/>
              <a:gd name="connsiteY2" fmla="*/ 2197894 h 2197894"/>
              <a:gd name="connsiteX3" fmla="*/ 1400246 w 2052708"/>
              <a:gd name="connsiteY3" fmla="*/ 2195513 h 2197894"/>
              <a:gd name="connsiteX4" fmla="*/ 1024008 w 2052708"/>
              <a:gd name="connsiteY4" fmla="*/ 478632 h 2197894"/>
              <a:gd name="connsiteX5" fmla="*/ 826363 w 2052708"/>
              <a:gd name="connsiteY5" fmla="*/ 1383508 h 2197894"/>
              <a:gd name="connsiteX6" fmla="*/ 1219271 w 2052708"/>
              <a:gd name="connsiteY6" fmla="*/ 1376363 h 2197894"/>
              <a:gd name="connsiteX7" fmla="*/ 1312139 w 2052708"/>
              <a:gd name="connsiteY7" fmla="*/ 1797844 h 2197894"/>
              <a:gd name="connsiteX8" fmla="*/ 740639 w 2052708"/>
              <a:gd name="connsiteY8" fmla="*/ 1795463 h 2197894"/>
              <a:gd name="connsiteX9" fmla="*/ 652533 w 2052708"/>
              <a:gd name="connsiteY9" fmla="*/ 2197894 h 2197894"/>
              <a:gd name="connsiteX10" fmla="*/ 71 w 2052708"/>
              <a:gd name="connsiteY10" fmla="*/ 2193132 h 2197894"/>
              <a:gd name="connsiteX11" fmla="*/ 652533 w 2052708"/>
              <a:gd name="connsiteY11" fmla="*/ 1 h 2197894"/>
              <a:gd name="connsiteX0" fmla="*/ 652533 w 2052708"/>
              <a:gd name="connsiteY0" fmla="*/ 1 h 2197894"/>
              <a:gd name="connsiteX1" fmla="*/ 1397864 w 2052708"/>
              <a:gd name="connsiteY1" fmla="*/ 1 h 2197894"/>
              <a:gd name="connsiteX2" fmla="*/ 2052708 w 2052708"/>
              <a:gd name="connsiteY2" fmla="*/ 2197894 h 2197894"/>
              <a:gd name="connsiteX3" fmla="*/ 1400246 w 2052708"/>
              <a:gd name="connsiteY3" fmla="*/ 2195513 h 2197894"/>
              <a:gd name="connsiteX4" fmla="*/ 1024008 w 2052708"/>
              <a:gd name="connsiteY4" fmla="*/ 478632 h 2197894"/>
              <a:gd name="connsiteX5" fmla="*/ 826363 w 2052708"/>
              <a:gd name="connsiteY5" fmla="*/ 1383508 h 2197894"/>
              <a:gd name="connsiteX6" fmla="*/ 1221653 w 2052708"/>
              <a:gd name="connsiteY6" fmla="*/ 1383507 h 2197894"/>
              <a:gd name="connsiteX7" fmla="*/ 1312139 w 2052708"/>
              <a:gd name="connsiteY7" fmla="*/ 1797844 h 2197894"/>
              <a:gd name="connsiteX8" fmla="*/ 740639 w 2052708"/>
              <a:gd name="connsiteY8" fmla="*/ 1795463 h 2197894"/>
              <a:gd name="connsiteX9" fmla="*/ 652533 w 2052708"/>
              <a:gd name="connsiteY9" fmla="*/ 2197894 h 2197894"/>
              <a:gd name="connsiteX10" fmla="*/ 71 w 2052708"/>
              <a:gd name="connsiteY10" fmla="*/ 2193132 h 2197894"/>
              <a:gd name="connsiteX11" fmla="*/ 652533 w 2052708"/>
              <a:gd name="connsiteY11" fmla="*/ 1 h 2197894"/>
              <a:gd name="connsiteX0" fmla="*/ 652533 w 2052708"/>
              <a:gd name="connsiteY0" fmla="*/ 1 h 2197894"/>
              <a:gd name="connsiteX1" fmla="*/ 1397864 w 2052708"/>
              <a:gd name="connsiteY1" fmla="*/ 1 h 2197894"/>
              <a:gd name="connsiteX2" fmla="*/ 2052708 w 2052708"/>
              <a:gd name="connsiteY2" fmla="*/ 2197894 h 2197894"/>
              <a:gd name="connsiteX3" fmla="*/ 1400246 w 2052708"/>
              <a:gd name="connsiteY3" fmla="*/ 2195513 h 2197894"/>
              <a:gd name="connsiteX4" fmla="*/ 1024008 w 2052708"/>
              <a:gd name="connsiteY4" fmla="*/ 478632 h 2197894"/>
              <a:gd name="connsiteX5" fmla="*/ 826363 w 2052708"/>
              <a:gd name="connsiteY5" fmla="*/ 1383508 h 2197894"/>
              <a:gd name="connsiteX6" fmla="*/ 1221653 w 2052708"/>
              <a:gd name="connsiteY6" fmla="*/ 1383507 h 2197894"/>
              <a:gd name="connsiteX7" fmla="*/ 1312139 w 2052708"/>
              <a:gd name="connsiteY7" fmla="*/ 1795463 h 2197894"/>
              <a:gd name="connsiteX8" fmla="*/ 740639 w 2052708"/>
              <a:gd name="connsiteY8" fmla="*/ 1795463 h 2197894"/>
              <a:gd name="connsiteX9" fmla="*/ 652533 w 2052708"/>
              <a:gd name="connsiteY9" fmla="*/ 2197894 h 2197894"/>
              <a:gd name="connsiteX10" fmla="*/ 71 w 2052708"/>
              <a:gd name="connsiteY10" fmla="*/ 2193132 h 2197894"/>
              <a:gd name="connsiteX11" fmla="*/ 652533 w 2052708"/>
              <a:gd name="connsiteY11" fmla="*/ 1 h 21978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052708" h="2197894">
                <a:moveTo>
                  <a:pt x="652533" y="1"/>
                </a:moveTo>
                <a:lnTo>
                  <a:pt x="1397864" y="1"/>
                </a:lnTo>
                <a:lnTo>
                  <a:pt x="2052708" y="2197894"/>
                </a:lnTo>
                <a:lnTo>
                  <a:pt x="1400246" y="2195513"/>
                </a:lnTo>
                <a:lnTo>
                  <a:pt x="1024008" y="478632"/>
                </a:lnTo>
                <a:lnTo>
                  <a:pt x="826363" y="1383508"/>
                </a:lnTo>
                <a:lnTo>
                  <a:pt x="1221653" y="1383507"/>
                </a:lnTo>
                <a:lnTo>
                  <a:pt x="1312139" y="1795463"/>
                </a:lnTo>
                <a:lnTo>
                  <a:pt x="740639" y="1795463"/>
                </a:lnTo>
                <a:lnTo>
                  <a:pt x="652533" y="2197894"/>
                </a:lnTo>
                <a:lnTo>
                  <a:pt x="71" y="2193132"/>
                </a:lnTo>
                <a:cubicBezTo>
                  <a:pt x="-7867" y="2197101"/>
                  <a:pt x="648565" y="-1587"/>
                  <a:pt x="652533" y="1"/>
                </a:cubicBezTo>
                <a:close/>
              </a:path>
            </a:pathLst>
          </a:custGeom>
          <a:grpFill/>
          <a:ln w="317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1"/>
              </a:solidFill>
            </a:endParaRPr>
          </a:p>
        </xdr:txBody>
      </xdr:sp>
      <xdr:sp macro="" textlink="">
        <xdr:nvSpPr>
          <xdr:cNvPr id="4" name="Freeform 11">
            <a:extLst>
              <a:ext uri="{FF2B5EF4-FFF2-40B4-BE49-F238E27FC236}">
                <a16:creationId xmlns:a16="http://schemas.microsoft.com/office/drawing/2014/main" id="{C2A7C505-2286-4DB1-96ED-89952EE1C4D7}"/>
              </a:ext>
            </a:extLst>
          </xdr:cNvPr>
          <xdr:cNvSpPr/>
        </xdr:nvSpPr>
        <xdr:spPr>
          <a:xfrm>
            <a:off x="7648693" y="1361015"/>
            <a:ext cx="508209" cy="446742"/>
          </a:xfrm>
          <a:custGeom>
            <a:avLst/>
            <a:gdLst>
              <a:gd name="connsiteX0" fmla="*/ 0 w 688182"/>
              <a:gd name="connsiteY0" fmla="*/ 950119 h 950119"/>
              <a:gd name="connsiteX1" fmla="*/ 611982 w 688182"/>
              <a:gd name="connsiteY1" fmla="*/ 950119 h 950119"/>
              <a:gd name="connsiteX2" fmla="*/ 688182 w 688182"/>
              <a:gd name="connsiteY2" fmla="*/ 0 h 950119"/>
              <a:gd name="connsiteX3" fmla="*/ 0 w 688182"/>
              <a:gd name="connsiteY3" fmla="*/ 950119 h 950119"/>
              <a:gd name="connsiteX0" fmla="*/ 0 w 688182"/>
              <a:gd name="connsiteY0" fmla="*/ 950119 h 950119"/>
              <a:gd name="connsiteX1" fmla="*/ 611982 w 688182"/>
              <a:gd name="connsiteY1" fmla="*/ 950119 h 950119"/>
              <a:gd name="connsiteX2" fmla="*/ 688182 w 688182"/>
              <a:gd name="connsiteY2" fmla="*/ 0 h 950119"/>
              <a:gd name="connsiteX3" fmla="*/ 214313 w 688182"/>
              <a:gd name="connsiteY3" fmla="*/ 652463 h 950119"/>
              <a:gd name="connsiteX4" fmla="*/ 0 w 688182"/>
              <a:gd name="connsiteY4" fmla="*/ 950119 h 950119"/>
              <a:gd name="connsiteX0" fmla="*/ 0 w 688182"/>
              <a:gd name="connsiteY0" fmla="*/ 950119 h 950119"/>
              <a:gd name="connsiteX1" fmla="*/ 611982 w 688182"/>
              <a:gd name="connsiteY1" fmla="*/ 950119 h 950119"/>
              <a:gd name="connsiteX2" fmla="*/ 688182 w 688182"/>
              <a:gd name="connsiteY2" fmla="*/ 0 h 950119"/>
              <a:gd name="connsiteX3" fmla="*/ 111919 w 688182"/>
              <a:gd name="connsiteY3" fmla="*/ 95250 h 950119"/>
              <a:gd name="connsiteX4" fmla="*/ 0 w 688182"/>
              <a:gd name="connsiteY4" fmla="*/ 950119 h 950119"/>
              <a:gd name="connsiteX0" fmla="*/ 0 w 723900"/>
              <a:gd name="connsiteY0" fmla="*/ 1395413 h 1395413"/>
              <a:gd name="connsiteX1" fmla="*/ 611982 w 723900"/>
              <a:gd name="connsiteY1" fmla="*/ 1395413 h 1395413"/>
              <a:gd name="connsiteX2" fmla="*/ 723900 w 723900"/>
              <a:gd name="connsiteY2" fmla="*/ 0 h 1395413"/>
              <a:gd name="connsiteX3" fmla="*/ 111919 w 723900"/>
              <a:gd name="connsiteY3" fmla="*/ 540544 h 1395413"/>
              <a:gd name="connsiteX4" fmla="*/ 0 w 723900"/>
              <a:gd name="connsiteY4" fmla="*/ 1395413 h 1395413"/>
              <a:gd name="connsiteX0" fmla="*/ 0 w 723900"/>
              <a:gd name="connsiteY0" fmla="*/ 2031206 h 2031206"/>
              <a:gd name="connsiteX1" fmla="*/ 611982 w 723900"/>
              <a:gd name="connsiteY1" fmla="*/ 2031206 h 2031206"/>
              <a:gd name="connsiteX2" fmla="*/ 723900 w 723900"/>
              <a:gd name="connsiteY2" fmla="*/ 635793 h 2031206"/>
              <a:gd name="connsiteX3" fmla="*/ 266700 w 723900"/>
              <a:gd name="connsiteY3" fmla="*/ 0 h 2031206"/>
              <a:gd name="connsiteX4" fmla="*/ 0 w 723900"/>
              <a:gd name="connsiteY4" fmla="*/ 2031206 h 2031206"/>
              <a:gd name="connsiteX0" fmla="*/ 0 w 723900"/>
              <a:gd name="connsiteY0" fmla="*/ 2195513 h 2195513"/>
              <a:gd name="connsiteX1" fmla="*/ 611982 w 723900"/>
              <a:gd name="connsiteY1" fmla="*/ 2195513 h 2195513"/>
              <a:gd name="connsiteX2" fmla="*/ 723900 w 723900"/>
              <a:gd name="connsiteY2" fmla="*/ 800100 h 2195513"/>
              <a:gd name="connsiteX3" fmla="*/ 283369 w 723900"/>
              <a:gd name="connsiteY3" fmla="*/ 0 h 2195513"/>
              <a:gd name="connsiteX4" fmla="*/ 0 w 723900"/>
              <a:gd name="connsiteY4" fmla="*/ 2195513 h 2195513"/>
              <a:gd name="connsiteX0" fmla="*/ 0 w 723900"/>
              <a:gd name="connsiteY0" fmla="*/ 2195513 h 2195513"/>
              <a:gd name="connsiteX1" fmla="*/ 611982 w 723900"/>
              <a:gd name="connsiteY1" fmla="*/ 2195513 h 2195513"/>
              <a:gd name="connsiteX2" fmla="*/ 723900 w 723900"/>
              <a:gd name="connsiteY2" fmla="*/ 800100 h 2195513"/>
              <a:gd name="connsiteX3" fmla="*/ 500063 w 723900"/>
              <a:gd name="connsiteY3" fmla="*/ 388145 h 2195513"/>
              <a:gd name="connsiteX4" fmla="*/ 283369 w 723900"/>
              <a:gd name="connsiteY4" fmla="*/ 0 h 2195513"/>
              <a:gd name="connsiteX5" fmla="*/ 0 w 723900"/>
              <a:gd name="connsiteY5" fmla="*/ 2195513 h 2195513"/>
              <a:gd name="connsiteX0" fmla="*/ 0 w 945356"/>
              <a:gd name="connsiteY0" fmla="*/ 2195513 h 2195513"/>
              <a:gd name="connsiteX1" fmla="*/ 611982 w 945356"/>
              <a:gd name="connsiteY1" fmla="*/ 2195513 h 2195513"/>
              <a:gd name="connsiteX2" fmla="*/ 723900 w 945356"/>
              <a:gd name="connsiteY2" fmla="*/ 800100 h 2195513"/>
              <a:gd name="connsiteX3" fmla="*/ 945356 w 945356"/>
              <a:gd name="connsiteY3" fmla="*/ 2382 h 2195513"/>
              <a:gd name="connsiteX4" fmla="*/ 283369 w 945356"/>
              <a:gd name="connsiteY4" fmla="*/ 0 h 2195513"/>
              <a:gd name="connsiteX5" fmla="*/ 0 w 945356"/>
              <a:gd name="connsiteY5" fmla="*/ 2195513 h 2195513"/>
              <a:gd name="connsiteX0" fmla="*/ 0 w 945356"/>
              <a:gd name="connsiteY0" fmla="*/ 2195513 h 2195513"/>
              <a:gd name="connsiteX1" fmla="*/ 611982 w 945356"/>
              <a:gd name="connsiteY1" fmla="*/ 2195513 h 2195513"/>
              <a:gd name="connsiteX2" fmla="*/ 723900 w 945356"/>
              <a:gd name="connsiteY2" fmla="*/ 800100 h 2195513"/>
              <a:gd name="connsiteX3" fmla="*/ 790575 w 945356"/>
              <a:gd name="connsiteY3" fmla="*/ 545308 h 2195513"/>
              <a:gd name="connsiteX4" fmla="*/ 945356 w 945356"/>
              <a:gd name="connsiteY4" fmla="*/ 2382 h 2195513"/>
              <a:gd name="connsiteX5" fmla="*/ 283369 w 945356"/>
              <a:gd name="connsiteY5" fmla="*/ 0 h 2195513"/>
              <a:gd name="connsiteX6" fmla="*/ 0 w 945356"/>
              <a:gd name="connsiteY6" fmla="*/ 2195513 h 2195513"/>
              <a:gd name="connsiteX0" fmla="*/ 0 w 1252537"/>
              <a:gd name="connsiteY0" fmla="*/ 2195513 h 2195513"/>
              <a:gd name="connsiteX1" fmla="*/ 611982 w 1252537"/>
              <a:gd name="connsiteY1" fmla="*/ 2195513 h 2195513"/>
              <a:gd name="connsiteX2" fmla="*/ 723900 w 1252537"/>
              <a:gd name="connsiteY2" fmla="*/ 800100 h 2195513"/>
              <a:gd name="connsiteX3" fmla="*/ 1252537 w 1252537"/>
              <a:gd name="connsiteY3" fmla="*/ 1333501 h 2195513"/>
              <a:gd name="connsiteX4" fmla="*/ 945356 w 1252537"/>
              <a:gd name="connsiteY4" fmla="*/ 2382 h 2195513"/>
              <a:gd name="connsiteX5" fmla="*/ 283369 w 1252537"/>
              <a:gd name="connsiteY5" fmla="*/ 0 h 2195513"/>
              <a:gd name="connsiteX6" fmla="*/ 0 w 1252537"/>
              <a:gd name="connsiteY6" fmla="*/ 2195513 h 2195513"/>
              <a:gd name="connsiteX0" fmla="*/ 0 w 1252537"/>
              <a:gd name="connsiteY0" fmla="*/ 2195513 h 2195513"/>
              <a:gd name="connsiteX1" fmla="*/ 611982 w 1252537"/>
              <a:gd name="connsiteY1" fmla="*/ 2195513 h 2195513"/>
              <a:gd name="connsiteX2" fmla="*/ 723900 w 1252537"/>
              <a:gd name="connsiteY2" fmla="*/ 800100 h 2195513"/>
              <a:gd name="connsiteX3" fmla="*/ 1031082 w 1252537"/>
              <a:gd name="connsiteY3" fmla="*/ 1112045 h 2195513"/>
              <a:gd name="connsiteX4" fmla="*/ 1252537 w 1252537"/>
              <a:gd name="connsiteY4" fmla="*/ 1333501 h 2195513"/>
              <a:gd name="connsiteX5" fmla="*/ 945356 w 1252537"/>
              <a:gd name="connsiteY5" fmla="*/ 2382 h 2195513"/>
              <a:gd name="connsiteX6" fmla="*/ 283369 w 1252537"/>
              <a:gd name="connsiteY6" fmla="*/ 0 h 2195513"/>
              <a:gd name="connsiteX7" fmla="*/ 0 w 1252537"/>
              <a:gd name="connsiteY7" fmla="*/ 2195513 h 2195513"/>
              <a:gd name="connsiteX0" fmla="*/ 0 w 1252537"/>
              <a:gd name="connsiteY0" fmla="*/ 2195513 h 2195513"/>
              <a:gd name="connsiteX1" fmla="*/ 611982 w 1252537"/>
              <a:gd name="connsiteY1" fmla="*/ 2195513 h 2195513"/>
              <a:gd name="connsiteX2" fmla="*/ 723900 w 1252537"/>
              <a:gd name="connsiteY2" fmla="*/ 800100 h 2195513"/>
              <a:gd name="connsiteX3" fmla="*/ 1007270 w 1252537"/>
              <a:gd name="connsiteY3" fmla="*/ 2193132 h 2195513"/>
              <a:gd name="connsiteX4" fmla="*/ 1252537 w 1252537"/>
              <a:gd name="connsiteY4" fmla="*/ 1333501 h 2195513"/>
              <a:gd name="connsiteX5" fmla="*/ 945356 w 1252537"/>
              <a:gd name="connsiteY5" fmla="*/ 2382 h 2195513"/>
              <a:gd name="connsiteX6" fmla="*/ 283369 w 1252537"/>
              <a:gd name="connsiteY6" fmla="*/ 0 h 2195513"/>
              <a:gd name="connsiteX7" fmla="*/ 0 w 1252537"/>
              <a:gd name="connsiteY7" fmla="*/ 2195513 h 2195513"/>
              <a:gd name="connsiteX0" fmla="*/ 0 w 1252537"/>
              <a:gd name="connsiteY0" fmla="*/ 2195513 h 2195513"/>
              <a:gd name="connsiteX1" fmla="*/ 611982 w 1252537"/>
              <a:gd name="connsiteY1" fmla="*/ 2195513 h 2195513"/>
              <a:gd name="connsiteX2" fmla="*/ 723900 w 1252537"/>
              <a:gd name="connsiteY2" fmla="*/ 800100 h 2195513"/>
              <a:gd name="connsiteX3" fmla="*/ 1007270 w 1252537"/>
              <a:gd name="connsiteY3" fmla="*/ 2193132 h 2195513"/>
              <a:gd name="connsiteX4" fmla="*/ 1173957 w 1252537"/>
              <a:gd name="connsiteY4" fmla="*/ 1600202 h 2195513"/>
              <a:gd name="connsiteX5" fmla="*/ 1252537 w 1252537"/>
              <a:gd name="connsiteY5" fmla="*/ 1333501 h 2195513"/>
              <a:gd name="connsiteX6" fmla="*/ 945356 w 1252537"/>
              <a:gd name="connsiteY6" fmla="*/ 2382 h 2195513"/>
              <a:gd name="connsiteX7" fmla="*/ 283369 w 1252537"/>
              <a:gd name="connsiteY7" fmla="*/ 0 h 2195513"/>
              <a:gd name="connsiteX8" fmla="*/ 0 w 1252537"/>
              <a:gd name="connsiteY8" fmla="*/ 2195513 h 2195513"/>
              <a:gd name="connsiteX0" fmla="*/ 0 w 1488282"/>
              <a:gd name="connsiteY0" fmla="*/ 2195513 h 2195514"/>
              <a:gd name="connsiteX1" fmla="*/ 611982 w 1488282"/>
              <a:gd name="connsiteY1" fmla="*/ 2195513 h 2195514"/>
              <a:gd name="connsiteX2" fmla="*/ 723900 w 1488282"/>
              <a:gd name="connsiteY2" fmla="*/ 800100 h 2195514"/>
              <a:gd name="connsiteX3" fmla="*/ 1007270 w 1488282"/>
              <a:gd name="connsiteY3" fmla="*/ 2193132 h 2195514"/>
              <a:gd name="connsiteX4" fmla="*/ 1488282 w 1488282"/>
              <a:gd name="connsiteY4" fmla="*/ 2195514 h 2195514"/>
              <a:gd name="connsiteX5" fmla="*/ 1252537 w 1488282"/>
              <a:gd name="connsiteY5" fmla="*/ 1333501 h 2195514"/>
              <a:gd name="connsiteX6" fmla="*/ 945356 w 1488282"/>
              <a:gd name="connsiteY6" fmla="*/ 2382 h 2195514"/>
              <a:gd name="connsiteX7" fmla="*/ 283369 w 1488282"/>
              <a:gd name="connsiteY7" fmla="*/ 0 h 2195514"/>
              <a:gd name="connsiteX8" fmla="*/ 0 w 1488282"/>
              <a:gd name="connsiteY8" fmla="*/ 2195513 h 2195514"/>
              <a:gd name="connsiteX0" fmla="*/ 0 w 1488282"/>
              <a:gd name="connsiteY0" fmla="*/ 2195513 h 2195514"/>
              <a:gd name="connsiteX1" fmla="*/ 611982 w 1488282"/>
              <a:gd name="connsiteY1" fmla="*/ 2195513 h 2195514"/>
              <a:gd name="connsiteX2" fmla="*/ 723900 w 1488282"/>
              <a:gd name="connsiteY2" fmla="*/ 800100 h 2195514"/>
              <a:gd name="connsiteX3" fmla="*/ 1007270 w 1488282"/>
              <a:gd name="connsiteY3" fmla="*/ 2193132 h 2195514"/>
              <a:gd name="connsiteX4" fmla="*/ 1488282 w 1488282"/>
              <a:gd name="connsiteY4" fmla="*/ 2195514 h 2195514"/>
              <a:gd name="connsiteX5" fmla="*/ 1352549 w 1488282"/>
              <a:gd name="connsiteY5" fmla="*/ 1690688 h 2195514"/>
              <a:gd name="connsiteX6" fmla="*/ 1252537 w 1488282"/>
              <a:gd name="connsiteY6" fmla="*/ 1333501 h 2195514"/>
              <a:gd name="connsiteX7" fmla="*/ 945356 w 1488282"/>
              <a:gd name="connsiteY7" fmla="*/ 2382 h 2195514"/>
              <a:gd name="connsiteX8" fmla="*/ 283369 w 1488282"/>
              <a:gd name="connsiteY8" fmla="*/ 0 h 2195514"/>
              <a:gd name="connsiteX9" fmla="*/ 0 w 1488282"/>
              <a:gd name="connsiteY9" fmla="*/ 2195513 h 2195514"/>
              <a:gd name="connsiteX0" fmla="*/ 0 w 1781174"/>
              <a:gd name="connsiteY0" fmla="*/ 2195513 h 2195514"/>
              <a:gd name="connsiteX1" fmla="*/ 611982 w 1781174"/>
              <a:gd name="connsiteY1" fmla="*/ 2195513 h 2195514"/>
              <a:gd name="connsiteX2" fmla="*/ 723900 w 1781174"/>
              <a:gd name="connsiteY2" fmla="*/ 800100 h 2195514"/>
              <a:gd name="connsiteX3" fmla="*/ 1007270 w 1781174"/>
              <a:gd name="connsiteY3" fmla="*/ 2193132 h 2195514"/>
              <a:gd name="connsiteX4" fmla="*/ 1488282 w 1781174"/>
              <a:gd name="connsiteY4" fmla="*/ 2195514 h 2195514"/>
              <a:gd name="connsiteX5" fmla="*/ 1781174 w 1781174"/>
              <a:gd name="connsiteY5" fmla="*/ 792957 h 2195514"/>
              <a:gd name="connsiteX6" fmla="*/ 1252537 w 1781174"/>
              <a:gd name="connsiteY6" fmla="*/ 1333501 h 2195514"/>
              <a:gd name="connsiteX7" fmla="*/ 945356 w 1781174"/>
              <a:gd name="connsiteY7" fmla="*/ 2382 h 2195514"/>
              <a:gd name="connsiteX8" fmla="*/ 283369 w 1781174"/>
              <a:gd name="connsiteY8" fmla="*/ 0 h 2195514"/>
              <a:gd name="connsiteX9" fmla="*/ 0 w 1781174"/>
              <a:gd name="connsiteY9" fmla="*/ 2195513 h 2195514"/>
              <a:gd name="connsiteX0" fmla="*/ 0 w 1781174"/>
              <a:gd name="connsiteY0" fmla="*/ 2195513 h 2195514"/>
              <a:gd name="connsiteX1" fmla="*/ 611982 w 1781174"/>
              <a:gd name="connsiteY1" fmla="*/ 2195513 h 2195514"/>
              <a:gd name="connsiteX2" fmla="*/ 723900 w 1781174"/>
              <a:gd name="connsiteY2" fmla="*/ 800100 h 2195514"/>
              <a:gd name="connsiteX3" fmla="*/ 1007270 w 1781174"/>
              <a:gd name="connsiteY3" fmla="*/ 2193132 h 2195514"/>
              <a:gd name="connsiteX4" fmla="*/ 1488282 w 1781174"/>
              <a:gd name="connsiteY4" fmla="*/ 2195514 h 2195514"/>
              <a:gd name="connsiteX5" fmla="*/ 1781174 w 1781174"/>
              <a:gd name="connsiteY5" fmla="*/ 792957 h 2195514"/>
              <a:gd name="connsiteX6" fmla="*/ 1528762 w 1781174"/>
              <a:gd name="connsiteY6" fmla="*/ 1052513 h 2195514"/>
              <a:gd name="connsiteX7" fmla="*/ 1252537 w 1781174"/>
              <a:gd name="connsiteY7" fmla="*/ 1333501 h 2195514"/>
              <a:gd name="connsiteX8" fmla="*/ 945356 w 1781174"/>
              <a:gd name="connsiteY8" fmla="*/ 2382 h 2195514"/>
              <a:gd name="connsiteX9" fmla="*/ 283369 w 1781174"/>
              <a:gd name="connsiteY9" fmla="*/ 0 h 2195514"/>
              <a:gd name="connsiteX10" fmla="*/ 0 w 1781174"/>
              <a:gd name="connsiteY10" fmla="*/ 2195513 h 2195514"/>
              <a:gd name="connsiteX0" fmla="*/ 0 w 1781174"/>
              <a:gd name="connsiteY0" fmla="*/ 2197894 h 2197895"/>
              <a:gd name="connsiteX1" fmla="*/ 611982 w 1781174"/>
              <a:gd name="connsiteY1" fmla="*/ 2197894 h 2197895"/>
              <a:gd name="connsiteX2" fmla="*/ 723900 w 1781174"/>
              <a:gd name="connsiteY2" fmla="*/ 802481 h 2197895"/>
              <a:gd name="connsiteX3" fmla="*/ 1007270 w 1781174"/>
              <a:gd name="connsiteY3" fmla="*/ 2195513 h 2197895"/>
              <a:gd name="connsiteX4" fmla="*/ 1488282 w 1781174"/>
              <a:gd name="connsiteY4" fmla="*/ 2197895 h 2197895"/>
              <a:gd name="connsiteX5" fmla="*/ 1781174 w 1781174"/>
              <a:gd name="connsiteY5" fmla="*/ 795338 h 2197895"/>
              <a:gd name="connsiteX6" fmla="*/ 1559719 w 1781174"/>
              <a:gd name="connsiteY6" fmla="*/ 0 h 2197895"/>
              <a:gd name="connsiteX7" fmla="*/ 1252537 w 1781174"/>
              <a:gd name="connsiteY7" fmla="*/ 1335882 h 2197895"/>
              <a:gd name="connsiteX8" fmla="*/ 945356 w 1781174"/>
              <a:gd name="connsiteY8" fmla="*/ 4763 h 2197895"/>
              <a:gd name="connsiteX9" fmla="*/ 283369 w 1781174"/>
              <a:gd name="connsiteY9" fmla="*/ 2381 h 2197895"/>
              <a:gd name="connsiteX10" fmla="*/ 0 w 1781174"/>
              <a:gd name="connsiteY10" fmla="*/ 2197894 h 2197895"/>
              <a:gd name="connsiteX0" fmla="*/ 0 w 1781174"/>
              <a:gd name="connsiteY0" fmla="*/ 2197894 h 2197895"/>
              <a:gd name="connsiteX1" fmla="*/ 611982 w 1781174"/>
              <a:gd name="connsiteY1" fmla="*/ 2197894 h 2197895"/>
              <a:gd name="connsiteX2" fmla="*/ 723900 w 1781174"/>
              <a:gd name="connsiteY2" fmla="*/ 802481 h 2197895"/>
              <a:gd name="connsiteX3" fmla="*/ 1007270 w 1781174"/>
              <a:gd name="connsiteY3" fmla="*/ 2195513 h 2197895"/>
              <a:gd name="connsiteX4" fmla="*/ 1488282 w 1781174"/>
              <a:gd name="connsiteY4" fmla="*/ 2197895 h 2197895"/>
              <a:gd name="connsiteX5" fmla="*/ 1781174 w 1781174"/>
              <a:gd name="connsiteY5" fmla="*/ 795338 h 2197895"/>
              <a:gd name="connsiteX6" fmla="*/ 1688306 w 1781174"/>
              <a:gd name="connsiteY6" fmla="*/ 454820 h 2197895"/>
              <a:gd name="connsiteX7" fmla="*/ 1559719 w 1781174"/>
              <a:gd name="connsiteY7" fmla="*/ 0 h 2197895"/>
              <a:gd name="connsiteX8" fmla="*/ 1252537 w 1781174"/>
              <a:gd name="connsiteY8" fmla="*/ 1335882 h 2197895"/>
              <a:gd name="connsiteX9" fmla="*/ 945356 w 1781174"/>
              <a:gd name="connsiteY9" fmla="*/ 4763 h 2197895"/>
              <a:gd name="connsiteX10" fmla="*/ 283369 w 1781174"/>
              <a:gd name="connsiteY10" fmla="*/ 2381 h 2197895"/>
              <a:gd name="connsiteX11" fmla="*/ 0 w 1781174"/>
              <a:gd name="connsiteY11" fmla="*/ 2197894 h 2197895"/>
              <a:gd name="connsiteX0" fmla="*/ 0 w 2212181"/>
              <a:gd name="connsiteY0" fmla="*/ 2197894 h 2197895"/>
              <a:gd name="connsiteX1" fmla="*/ 611982 w 2212181"/>
              <a:gd name="connsiteY1" fmla="*/ 2197894 h 2197895"/>
              <a:gd name="connsiteX2" fmla="*/ 723900 w 2212181"/>
              <a:gd name="connsiteY2" fmla="*/ 802481 h 2197895"/>
              <a:gd name="connsiteX3" fmla="*/ 1007270 w 2212181"/>
              <a:gd name="connsiteY3" fmla="*/ 2195513 h 2197895"/>
              <a:gd name="connsiteX4" fmla="*/ 1488282 w 2212181"/>
              <a:gd name="connsiteY4" fmla="*/ 2197895 h 2197895"/>
              <a:gd name="connsiteX5" fmla="*/ 1781174 w 2212181"/>
              <a:gd name="connsiteY5" fmla="*/ 795338 h 2197895"/>
              <a:gd name="connsiteX6" fmla="*/ 2212181 w 2212181"/>
              <a:gd name="connsiteY6" fmla="*/ 7145 h 2197895"/>
              <a:gd name="connsiteX7" fmla="*/ 1559719 w 2212181"/>
              <a:gd name="connsiteY7" fmla="*/ 0 h 2197895"/>
              <a:gd name="connsiteX8" fmla="*/ 1252537 w 2212181"/>
              <a:gd name="connsiteY8" fmla="*/ 1335882 h 2197895"/>
              <a:gd name="connsiteX9" fmla="*/ 945356 w 2212181"/>
              <a:gd name="connsiteY9" fmla="*/ 4763 h 2197895"/>
              <a:gd name="connsiteX10" fmla="*/ 283369 w 2212181"/>
              <a:gd name="connsiteY10" fmla="*/ 2381 h 2197895"/>
              <a:gd name="connsiteX11" fmla="*/ 0 w 2212181"/>
              <a:gd name="connsiteY11" fmla="*/ 2197894 h 2197895"/>
              <a:gd name="connsiteX0" fmla="*/ 0 w 2212181"/>
              <a:gd name="connsiteY0" fmla="*/ 2197894 h 2197895"/>
              <a:gd name="connsiteX1" fmla="*/ 611982 w 2212181"/>
              <a:gd name="connsiteY1" fmla="*/ 2197894 h 2197895"/>
              <a:gd name="connsiteX2" fmla="*/ 723900 w 2212181"/>
              <a:gd name="connsiteY2" fmla="*/ 802481 h 2197895"/>
              <a:gd name="connsiteX3" fmla="*/ 1007270 w 2212181"/>
              <a:gd name="connsiteY3" fmla="*/ 2195513 h 2197895"/>
              <a:gd name="connsiteX4" fmla="*/ 1488282 w 2212181"/>
              <a:gd name="connsiteY4" fmla="*/ 2197895 h 2197895"/>
              <a:gd name="connsiteX5" fmla="*/ 1781174 w 2212181"/>
              <a:gd name="connsiteY5" fmla="*/ 795338 h 2197895"/>
              <a:gd name="connsiteX6" fmla="*/ 2035968 w 2212181"/>
              <a:gd name="connsiteY6" fmla="*/ 328614 h 2197895"/>
              <a:gd name="connsiteX7" fmla="*/ 2212181 w 2212181"/>
              <a:gd name="connsiteY7" fmla="*/ 7145 h 2197895"/>
              <a:gd name="connsiteX8" fmla="*/ 1559719 w 2212181"/>
              <a:gd name="connsiteY8" fmla="*/ 0 h 2197895"/>
              <a:gd name="connsiteX9" fmla="*/ 1252537 w 2212181"/>
              <a:gd name="connsiteY9" fmla="*/ 1335882 h 2197895"/>
              <a:gd name="connsiteX10" fmla="*/ 945356 w 2212181"/>
              <a:gd name="connsiteY10" fmla="*/ 4763 h 2197895"/>
              <a:gd name="connsiteX11" fmla="*/ 283369 w 2212181"/>
              <a:gd name="connsiteY11" fmla="*/ 2381 h 2197895"/>
              <a:gd name="connsiteX12" fmla="*/ 0 w 2212181"/>
              <a:gd name="connsiteY12" fmla="*/ 2197894 h 2197895"/>
              <a:gd name="connsiteX0" fmla="*/ 0 w 2500312"/>
              <a:gd name="connsiteY0" fmla="*/ 2197894 h 2197895"/>
              <a:gd name="connsiteX1" fmla="*/ 611982 w 2500312"/>
              <a:gd name="connsiteY1" fmla="*/ 2197894 h 2197895"/>
              <a:gd name="connsiteX2" fmla="*/ 723900 w 2500312"/>
              <a:gd name="connsiteY2" fmla="*/ 802481 h 2197895"/>
              <a:gd name="connsiteX3" fmla="*/ 1007270 w 2500312"/>
              <a:gd name="connsiteY3" fmla="*/ 2195513 h 2197895"/>
              <a:gd name="connsiteX4" fmla="*/ 1488282 w 2500312"/>
              <a:gd name="connsiteY4" fmla="*/ 2197895 h 2197895"/>
              <a:gd name="connsiteX5" fmla="*/ 1781174 w 2500312"/>
              <a:gd name="connsiteY5" fmla="*/ 795338 h 2197895"/>
              <a:gd name="connsiteX6" fmla="*/ 2500312 w 2500312"/>
              <a:gd name="connsiteY6" fmla="*/ 2197895 h 2197895"/>
              <a:gd name="connsiteX7" fmla="*/ 2212181 w 2500312"/>
              <a:gd name="connsiteY7" fmla="*/ 7145 h 2197895"/>
              <a:gd name="connsiteX8" fmla="*/ 1559719 w 2500312"/>
              <a:gd name="connsiteY8" fmla="*/ 0 h 2197895"/>
              <a:gd name="connsiteX9" fmla="*/ 1252537 w 2500312"/>
              <a:gd name="connsiteY9" fmla="*/ 1335882 h 2197895"/>
              <a:gd name="connsiteX10" fmla="*/ 945356 w 2500312"/>
              <a:gd name="connsiteY10" fmla="*/ 4763 h 2197895"/>
              <a:gd name="connsiteX11" fmla="*/ 283369 w 2500312"/>
              <a:gd name="connsiteY11" fmla="*/ 2381 h 2197895"/>
              <a:gd name="connsiteX12" fmla="*/ 0 w 2500312"/>
              <a:gd name="connsiteY12" fmla="*/ 2197894 h 2197895"/>
              <a:gd name="connsiteX0" fmla="*/ 0 w 2500312"/>
              <a:gd name="connsiteY0" fmla="*/ 2197894 h 2197895"/>
              <a:gd name="connsiteX1" fmla="*/ 611982 w 2500312"/>
              <a:gd name="connsiteY1" fmla="*/ 2197894 h 2197895"/>
              <a:gd name="connsiteX2" fmla="*/ 723900 w 2500312"/>
              <a:gd name="connsiteY2" fmla="*/ 802481 h 2197895"/>
              <a:gd name="connsiteX3" fmla="*/ 1007270 w 2500312"/>
              <a:gd name="connsiteY3" fmla="*/ 2195513 h 2197895"/>
              <a:gd name="connsiteX4" fmla="*/ 1488282 w 2500312"/>
              <a:gd name="connsiteY4" fmla="*/ 2197895 h 2197895"/>
              <a:gd name="connsiteX5" fmla="*/ 1781174 w 2500312"/>
              <a:gd name="connsiteY5" fmla="*/ 795338 h 2197895"/>
              <a:gd name="connsiteX6" fmla="*/ 2190748 w 2500312"/>
              <a:gd name="connsiteY6" fmla="*/ 1595439 h 2197895"/>
              <a:gd name="connsiteX7" fmla="*/ 2500312 w 2500312"/>
              <a:gd name="connsiteY7" fmla="*/ 2197895 h 2197895"/>
              <a:gd name="connsiteX8" fmla="*/ 2212181 w 2500312"/>
              <a:gd name="connsiteY8" fmla="*/ 7145 h 2197895"/>
              <a:gd name="connsiteX9" fmla="*/ 1559719 w 2500312"/>
              <a:gd name="connsiteY9" fmla="*/ 0 h 2197895"/>
              <a:gd name="connsiteX10" fmla="*/ 1252537 w 2500312"/>
              <a:gd name="connsiteY10" fmla="*/ 1335882 h 2197895"/>
              <a:gd name="connsiteX11" fmla="*/ 945356 w 2500312"/>
              <a:gd name="connsiteY11" fmla="*/ 4763 h 2197895"/>
              <a:gd name="connsiteX12" fmla="*/ 283369 w 2500312"/>
              <a:gd name="connsiteY12" fmla="*/ 2381 h 2197895"/>
              <a:gd name="connsiteX13" fmla="*/ 0 w 2500312"/>
              <a:gd name="connsiteY13" fmla="*/ 2197894 h 2197895"/>
              <a:gd name="connsiteX0" fmla="*/ 0 w 2500312"/>
              <a:gd name="connsiteY0" fmla="*/ 2197894 h 2197895"/>
              <a:gd name="connsiteX1" fmla="*/ 611982 w 2500312"/>
              <a:gd name="connsiteY1" fmla="*/ 2197894 h 2197895"/>
              <a:gd name="connsiteX2" fmla="*/ 723900 w 2500312"/>
              <a:gd name="connsiteY2" fmla="*/ 802481 h 2197895"/>
              <a:gd name="connsiteX3" fmla="*/ 1007270 w 2500312"/>
              <a:gd name="connsiteY3" fmla="*/ 2195513 h 2197895"/>
              <a:gd name="connsiteX4" fmla="*/ 1488282 w 2500312"/>
              <a:gd name="connsiteY4" fmla="*/ 2197895 h 2197895"/>
              <a:gd name="connsiteX5" fmla="*/ 1781174 w 2500312"/>
              <a:gd name="connsiteY5" fmla="*/ 795338 h 2197895"/>
              <a:gd name="connsiteX6" fmla="*/ 1883567 w 2500312"/>
              <a:gd name="connsiteY6" fmla="*/ 2195514 h 2197895"/>
              <a:gd name="connsiteX7" fmla="*/ 2500312 w 2500312"/>
              <a:gd name="connsiteY7" fmla="*/ 2197895 h 2197895"/>
              <a:gd name="connsiteX8" fmla="*/ 2212181 w 2500312"/>
              <a:gd name="connsiteY8" fmla="*/ 7145 h 2197895"/>
              <a:gd name="connsiteX9" fmla="*/ 1559719 w 2500312"/>
              <a:gd name="connsiteY9" fmla="*/ 0 h 2197895"/>
              <a:gd name="connsiteX10" fmla="*/ 1252537 w 2500312"/>
              <a:gd name="connsiteY10" fmla="*/ 1335882 h 2197895"/>
              <a:gd name="connsiteX11" fmla="*/ 945356 w 2500312"/>
              <a:gd name="connsiteY11" fmla="*/ 4763 h 2197895"/>
              <a:gd name="connsiteX12" fmla="*/ 283369 w 2500312"/>
              <a:gd name="connsiteY12" fmla="*/ 2381 h 2197895"/>
              <a:gd name="connsiteX13" fmla="*/ 0 w 2500312"/>
              <a:gd name="connsiteY13" fmla="*/ 2197894 h 2197895"/>
              <a:gd name="connsiteX0" fmla="*/ 0 w 2500312"/>
              <a:gd name="connsiteY0" fmla="*/ 2197894 h 2197895"/>
              <a:gd name="connsiteX1" fmla="*/ 611982 w 2500312"/>
              <a:gd name="connsiteY1" fmla="*/ 2197894 h 2197895"/>
              <a:gd name="connsiteX2" fmla="*/ 723900 w 2500312"/>
              <a:gd name="connsiteY2" fmla="*/ 802481 h 2197895"/>
              <a:gd name="connsiteX3" fmla="*/ 1007270 w 2500312"/>
              <a:gd name="connsiteY3" fmla="*/ 2195513 h 2197895"/>
              <a:gd name="connsiteX4" fmla="*/ 1488282 w 2500312"/>
              <a:gd name="connsiteY4" fmla="*/ 2197895 h 2197895"/>
              <a:gd name="connsiteX5" fmla="*/ 1776411 w 2500312"/>
              <a:gd name="connsiteY5" fmla="*/ 809626 h 2197895"/>
              <a:gd name="connsiteX6" fmla="*/ 1883567 w 2500312"/>
              <a:gd name="connsiteY6" fmla="*/ 2195514 h 2197895"/>
              <a:gd name="connsiteX7" fmla="*/ 2500312 w 2500312"/>
              <a:gd name="connsiteY7" fmla="*/ 2197895 h 2197895"/>
              <a:gd name="connsiteX8" fmla="*/ 2212181 w 2500312"/>
              <a:gd name="connsiteY8" fmla="*/ 7145 h 2197895"/>
              <a:gd name="connsiteX9" fmla="*/ 1559719 w 2500312"/>
              <a:gd name="connsiteY9" fmla="*/ 0 h 2197895"/>
              <a:gd name="connsiteX10" fmla="*/ 1252537 w 2500312"/>
              <a:gd name="connsiteY10" fmla="*/ 1335882 h 2197895"/>
              <a:gd name="connsiteX11" fmla="*/ 945356 w 2500312"/>
              <a:gd name="connsiteY11" fmla="*/ 4763 h 2197895"/>
              <a:gd name="connsiteX12" fmla="*/ 283369 w 2500312"/>
              <a:gd name="connsiteY12" fmla="*/ 2381 h 2197895"/>
              <a:gd name="connsiteX13" fmla="*/ 0 w 2500312"/>
              <a:gd name="connsiteY13" fmla="*/ 2197894 h 21978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2500312" h="2197895">
                <a:moveTo>
                  <a:pt x="0" y="2197894"/>
                </a:moveTo>
                <a:lnTo>
                  <a:pt x="611982" y="2197894"/>
                </a:lnTo>
                <a:lnTo>
                  <a:pt x="723900" y="802481"/>
                </a:lnTo>
                <a:lnTo>
                  <a:pt x="1007270" y="2195513"/>
                </a:lnTo>
                <a:lnTo>
                  <a:pt x="1488282" y="2197895"/>
                </a:lnTo>
                <a:lnTo>
                  <a:pt x="1776411" y="809626"/>
                </a:lnTo>
                <a:lnTo>
                  <a:pt x="1883567" y="2195514"/>
                </a:lnTo>
                <a:lnTo>
                  <a:pt x="2500312" y="2197895"/>
                </a:lnTo>
                <a:lnTo>
                  <a:pt x="2212181" y="7145"/>
                </a:lnTo>
                <a:lnTo>
                  <a:pt x="1559719" y="0"/>
                </a:lnTo>
                <a:lnTo>
                  <a:pt x="1252537" y="1335882"/>
                </a:lnTo>
                <a:lnTo>
                  <a:pt x="945356" y="4763"/>
                </a:lnTo>
                <a:lnTo>
                  <a:pt x="283369" y="2381"/>
                </a:lnTo>
                <a:lnTo>
                  <a:pt x="0" y="2197894"/>
                </a:lnTo>
                <a:close/>
              </a:path>
            </a:pathLst>
          </a:custGeom>
          <a:grpFill/>
          <a:ln w="190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1"/>
              </a:solidFill>
            </a:endParaRPr>
          </a:p>
        </xdr:txBody>
      </xdr:sp>
      <xdr:sp macro="" textlink="">
        <xdr:nvSpPr>
          <xdr:cNvPr id="5" name="Freeform 12">
            <a:extLst>
              <a:ext uri="{FF2B5EF4-FFF2-40B4-BE49-F238E27FC236}">
                <a16:creationId xmlns:a16="http://schemas.microsoft.com/office/drawing/2014/main" id="{4395D694-1F71-45FC-A1AC-974CD55F4961}"/>
              </a:ext>
            </a:extLst>
          </xdr:cNvPr>
          <xdr:cNvSpPr/>
        </xdr:nvSpPr>
        <xdr:spPr>
          <a:xfrm>
            <a:off x="8218855" y="1361983"/>
            <a:ext cx="285565" cy="445289"/>
          </a:xfrm>
          <a:custGeom>
            <a:avLst/>
            <a:gdLst>
              <a:gd name="connsiteX0" fmla="*/ 0 w 1428750"/>
              <a:gd name="connsiteY0" fmla="*/ 997744 h 997744"/>
              <a:gd name="connsiteX1" fmla="*/ 1404937 w 1428750"/>
              <a:gd name="connsiteY1" fmla="*/ 997744 h 997744"/>
              <a:gd name="connsiteX2" fmla="*/ 1404937 w 1428750"/>
              <a:gd name="connsiteY2" fmla="*/ 538163 h 997744"/>
              <a:gd name="connsiteX3" fmla="*/ 1428750 w 1428750"/>
              <a:gd name="connsiteY3" fmla="*/ 540544 h 997744"/>
              <a:gd name="connsiteX4" fmla="*/ 590550 w 1428750"/>
              <a:gd name="connsiteY4" fmla="*/ 540544 h 997744"/>
              <a:gd name="connsiteX5" fmla="*/ 590550 w 1428750"/>
              <a:gd name="connsiteY5" fmla="*/ 0 h 997744"/>
              <a:gd name="connsiteX6" fmla="*/ 0 w 1428750"/>
              <a:gd name="connsiteY6" fmla="*/ 0 h 997744"/>
              <a:gd name="connsiteX7" fmla="*/ 0 w 1428750"/>
              <a:gd name="connsiteY7" fmla="*/ 997744 h 997744"/>
              <a:gd name="connsiteX0" fmla="*/ 0 w 1404937"/>
              <a:gd name="connsiteY0" fmla="*/ 997744 h 997744"/>
              <a:gd name="connsiteX1" fmla="*/ 1404937 w 1404937"/>
              <a:gd name="connsiteY1" fmla="*/ 997744 h 997744"/>
              <a:gd name="connsiteX2" fmla="*/ 1404937 w 1404937"/>
              <a:gd name="connsiteY2" fmla="*/ 538163 h 997744"/>
              <a:gd name="connsiteX3" fmla="*/ 1219200 w 1404937"/>
              <a:gd name="connsiteY3" fmla="*/ 476250 h 997744"/>
              <a:gd name="connsiteX4" fmla="*/ 590550 w 1404937"/>
              <a:gd name="connsiteY4" fmla="*/ 540544 h 997744"/>
              <a:gd name="connsiteX5" fmla="*/ 590550 w 1404937"/>
              <a:gd name="connsiteY5" fmla="*/ 0 h 997744"/>
              <a:gd name="connsiteX6" fmla="*/ 0 w 1404937"/>
              <a:gd name="connsiteY6" fmla="*/ 0 h 997744"/>
              <a:gd name="connsiteX7" fmla="*/ 0 w 1404937"/>
              <a:gd name="connsiteY7" fmla="*/ 997744 h 997744"/>
              <a:gd name="connsiteX0" fmla="*/ 0 w 1404937"/>
              <a:gd name="connsiteY0" fmla="*/ 997744 h 997744"/>
              <a:gd name="connsiteX1" fmla="*/ 1404937 w 1404937"/>
              <a:gd name="connsiteY1" fmla="*/ 997744 h 997744"/>
              <a:gd name="connsiteX2" fmla="*/ 1404937 w 1404937"/>
              <a:gd name="connsiteY2" fmla="*/ 538163 h 997744"/>
              <a:gd name="connsiteX3" fmla="*/ 590550 w 1404937"/>
              <a:gd name="connsiteY3" fmla="*/ 540544 h 997744"/>
              <a:gd name="connsiteX4" fmla="*/ 590550 w 1404937"/>
              <a:gd name="connsiteY4" fmla="*/ 0 h 997744"/>
              <a:gd name="connsiteX5" fmla="*/ 0 w 1404937"/>
              <a:gd name="connsiteY5" fmla="*/ 0 h 997744"/>
              <a:gd name="connsiteX6" fmla="*/ 0 w 1404937"/>
              <a:gd name="connsiteY6" fmla="*/ 997744 h 997744"/>
              <a:gd name="connsiteX0" fmla="*/ 0 w 1404937"/>
              <a:gd name="connsiteY0" fmla="*/ 1614488 h 1614488"/>
              <a:gd name="connsiteX1" fmla="*/ 1404937 w 1404937"/>
              <a:gd name="connsiteY1" fmla="*/ 1614488 h 1614488"/>
              <a:gd name="connsiteX2" fmla="*/ 1404937 w 1404937"/>
              <a:gd name="connsiteY2" fmla="*/ 1154907 h 1614488"/>
              <a:gd name="connsiteX3" fmla="*/ 590550 w 1404937"/>
              <a:gd name="connsiteY3" fmla="*/ 1157288 h 1614488"/>
              <a:gd name="connsiteX4" fmla="*/ 592931 w 1404937"/>
              <a:gd name="connsiteY4" fmla="*/ 0 h 1614488"/>
              <a:gd name="connsiteX5" fmla="*/ 0 w 1404937"/>
              <a:gd name="connsiteY5" fmla="*/ 616744 h 1614488"/>
              <a:gd name="connsiteX6" fmla="*/ 0 w 1404937"/>
              <a:gd name="connsiteY6" fmla="*/ 1614488 h 1614488"/>
              <a:gd name="connsiteX0" fmla="*/ 0 w 1404937"/>
              <a:gd name="connsiteY0" fmla="*/ 2188369 h 2188369"/>
              <a:gd name="connsiteX1" fmla="*/ 1404937 w 1404937"/>
              <a:gd name="connsiteY1" fmla="*/ 2188369 h 2188369"/>
              <a:gd name="connsiteX2" fmla="*/ 1404937 w 1404937"/>
              <a:gd name="connsiteY2" fmla="*/ 1728788 h 2188369"/>
              <a:gd name="connsiteX3" fmla="*/ 590550 w 1404937"/>
              <a:gd name="connsiteY3" fmla="*/ 1731169 h 2188369"/>
              <a:gd name="connsiteX4" fmla="*/ 592931 w 1404937"/>
              <a:gd name="connsiteY4" fmla="*/ 573881 h 2188369"/>
              <a:gd name="connsiteX5" fmla="*/ 2382 w 1404937"/>
              <a:gd name="connsiteY5" fmla="*/ 0 h 2188369"/>
              <a:gd name="connsiteX6" fmla="*/ 0 w 1404937"/>
              <a:gd name="connsiteY6" fmla="*/ 2188369 h 2188369"/>
              <a:gd name="connsiteX0" fmla="*/ 0 w 1404937"/>
              <a:gd name="connsiteY0" fmla="*/ 2190750 h 2190750"/>
              <a:gd name="connsiteX1" fmla="*/ 1404937 w 1404937"/>
              <a:gd name="connsiteY1" fmla="*/ 2190750 h 2190750"/>
              <a:gd name="connsiteX2" fmla="*/ 1404937 w 1404937"/>
              <a:gd name="connsiteY2" fmla="*/ 1731169 h 2190750"/>
              <a:gd name="connsiteX3" fmla="*/ 590550 w 1404937"/>
              <a:gd name="connsiteY3" fmla="*/ 1733550 h 2190750"/>
              <a:gd name="connsiteX4" fmla="*/ 592931 w 1404937"/>
              <a:gd name="connsiteY4" fmla="*/ 0 h 2190750"/>
              <a:gd name="connsiteX5" fmla="*/ 2382 w 1404937"/>
              <a:gd name="connsiteY5" fmla="*/ 2381 h 2190750"/>
              <a:gd name="connsiteX6" fmla="*/ 0 w 1404937"/>
              <a:gd name="connsiteY6" fmla="*/ 2190750 h 2190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404937" h="2190750">
                <a:moveTo>
                  <a:pt x="0" y="2190750"/>
                </a:moveTo>
                <a:lnTo>
                  <a:pt x="1404937" y="2190750"/>
                </a:lnTo>
                <a:lnTo>
                  <a:pt x="1404937" y="1731169"/>
                </a:lnTo>
                <a:lnTo>
                  <a:pt x="590550" y="1733550"/>
                </a:lnTo>
                <a:cubicBezTo>
                  <a:pt x="591344" y="1347787"/>
                  <a:pt x="592137" y="385763"/>
                  <a:pt x="592931" y="0"/>
                </a:cubicBezTo>
                <a:lnTo>
                  <a:pt x="2382" y="2381"/>
                </a:lnTo>
                <a:cubicBezTo>
                  <a:pt x="3969" y="334962"/>
                  <a:pt x="3175" y="1858169"/>
                  <a:pt x="0" y="2190750"/>
                </a:cubicBezTo>
                <a:close/>
              </a:path>
            </a:pathLst>
          </a:custGeom>
          <a:grpFill/>
          <a:ln w="190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1"/>
              </a:solidFill>
            </a:endParaRPr>
          </a:p>
        </xdr:txBody>
      </xdr:sp>
      <xdr:sp macro="" textlink="">
        <xdr:nvSpPr>
          <xdr:cNvPr id="6" name="Freeform 13">
            <a:extLst>
              <a:ext uri="{FF2B5EF4-FFF2-40B4-BE49-F238E27FC236}">
                <a16:creationId xmlns:a16="http://schemas.microsoft.com/office/drawing/2014/main" id="{4358F1DC-1F53-4798-80D7-2177EAAB1B46}"/>
              </a:ext>
            </a:extLst>
          </xdr:cNvPr>
          <xdr:cNvSpPr/>
        </xdr:nvSpPr>
        <xdr:spPr>
          <a:xfrm>
            <a:off x="7278612" y="1451041"/>
            <a:ext cx="330600" cy="365922"/>
          </a:xfrm>
          <a:custGeom>
            <a:avLst/>
            <a:gdLst>
              <a:gd name="connsiteX0" fmla="*/ 0 w 483394"/>
              <a:gd name="connsiteY0" fmla="*/ 0 h 645319"/>
              <a:gd name="connsiteX1" fmla="*/ 0 w 483394"/>
              <a:gd name="connsiteY1" fmla="*/ 528638 h 645319"/>
              <a:gd name="connsiteX2" fmla="*/ 33338 w 483394"/>
              <a:gd name="connsiteY2" fmla="*/ 528638 h 645319"/>
              <a:gd name="connsiteX3" fmla="*/ 381000 w 483394"/>
              <a:gd name="connsiteY3" fmla="*/ 645319 h 645319"/>
              <a:gd name="connsiteX4" fmla="*/ 483394 w 483394"/>
              <a:gd name="connsiteY4" fmla="*/ 216694 h 645319"/>
              <a:gd name="connsiteX5" fmla="*/ 0 w 483394"/>
              <a:gd name="connsiteY5" fmla="*/ 0 h 645319"/>
              <a:gd name="connsiteX0" fmla="*/ 0 w 1626394"/>
              <a:gd name="connsiteY0" fmla="*/ 0 h 528638"/>
              <a:gd name="connsiteX1" fmla="*/ 0 w 1626394"/>
              <a:gd name="connsiteY1" fmla="*/ 528638 h 528638"/>
              <a:gd name="connsiteX2" fmla="*/ 33338 w 1626394"/>
              <a:gd name="connsiteY2" fmla="*/ 528638 h 528638"/>
              <a:gd name="connsiteX3" fmla="*/ 1626394 w 1626394"/>
              <a:gd name="connsiteY3" fmla="*/ 7144 h 528638"/>
              <a:gd name="connsiteX4" fmla="*/ 483394 w 1626394"/>
              <a:gd name="connsiteY4" fmla="*/ 216694 h 528638"/>
              <a:gd name="connsiteX5" fmla="*/ 0 w 1626394"/>
              <a:gd name="connsiteY5" fmla="*/ 0 h 528638"/>
              <a:gd name="connsiteX0" fmla="*/ 0 w 1626394"/>
              <a:gd name="connsiteY0" fmla="*/ 0 h 528638"/>
              <a:gd name="connsiteX1" fmla="*/ 0 w 1626394"/>
              <a:gd name="connsiteY1" fmla="*/ 528638 h 528638"/>
              <a:gd name="connsiteX2" fmla="*/ 33338 w 1626394"/>
              <a:gd name="connsiteY2" fmla="*/ 528638 h 528638"/>
              <a:gd name="connsiteX3" fmla="*/ 1626394 w 1626394"/>
              <a:gd name="connsiteY3" fmla="*/ 7144 h 528638"/>
              <a:gd name="connsiteX4" fmla="*/ 483394 w 1626394"/>
              <a:gd name="connsiteY4" fmla="*/ 216694 h 528638"/>
              <a:gd name="connsiteX5" fmla="*/ 0 w 1626394"/>
              <a:gd name="connsiteY5" fmla="*/ 0 h 528638"/>
              <a:gd name="connsiteX0" fmla="*/ 0 w 1626394"/>
              <a:gd name="connsiteY0" fmla="*/ 0 h 714375"/>
              <a:gd name="connsiteX1" fmla="*/ 0 w 1626394"/>
              <a:gd name="connsiteY1" fmla="*/ 528638 h 714375"/>
              <a:gd name="connsiteX2" fmla="*/ 354807 w 1626394"/>
              <a:gd name="connsiteY2" fmla="*/ 714375 h 714375"/>
              <a:gd name="connsiteX3" fmla="*/ 1626394 w 1626394"/>
              <a:gd name="connsiteY3" fmla="*/ 7144 h 714375"/>
              <a:gd name="connsiteX4" fmla="*/ 483394 w 1626394"/>
              <a:gd name="connsiteY4" fmla="*/ 216694 h 714375"/>
              <a:gd name="connsiteX5" fmla="*/ 0 w 1626394"/>
              <a:gd name="connsiteY5" fmla="*/ 0 h 714375"/>
              <a:gd name="connsiteX0" fmla="*/ 0 w 1626394"/>
              <a:gd name="connsiteY0" fmla="*/ 0 h 528638"/>
              <a:gd name="connsiteX1" fmla="*/ 0 w 1626394"/>
              <a:gd name="connsiteY1" fmla="*/ 528638 h 528638"/>
              <a:gd name="connsiteX2" fmla="*/ 1626394 w 1626394"/>
              <a:gd name="connsiteY2" fmla="*/ 7144 h 528638"/>
              <a:gd name="connsiteX3" fmla="*/ 483394 w 1626394"/>
              <a:gd name="connsiteY3" fmla="*/ 216694 h 528638"/>
              <a:gd name="connsiteX4" fmla="*/ 0 w 1626394"/>
              <a:gd name="connsiteY4" fmla="*/ 0 h 528638"/>
              <a:gd name="connsiteX0" fmla="*/ 0 w 1626394"/>
              <a:gd name="connsiteY0" fmla="*/ 0 h 528638"/>
              <a:gd name="connsiteX1" fmla="*/ 0 w 1626394"/>
              <a:gd name="connsiteY1" fmla="*/ 528638 h 528638"/>
              <a:gd name="connsiteX2" fmla="*/ 1626394 w 1626394"/>
              <a:gd name="connsiteY2" fmla="*/ 7144 h 528638"/>
              <a:gd name="connsiteX3" fmla="*/ 483394 w 1626394"/>
              <a:gd name="connsiteY3" fmla="*/ 216694 h 528638"/>
              <a:gd name="connsiteX4" fmla="*/ 0 w 1626394"/>
              <a:gd name="connsiteY4" fmla="*/ 0 h 528638"/>
              <a:gd name="connsiteX0" fmla="*/ 0 w 1626394"/>
              <a:gd name="connsiteY0" fmla="*/ 0 h 681404"/>
              <a:gd name="connsiteX1" fmla="*/ 0 w 1626394"/>
              <a:gd name="connsiteY1" fmla="*/ 528638 h 681404"/>
              <a:gd name="connsiteX2" fmla="*/ 1626394 w 1626394"/>
              <a:gd name="connsiteY2" fmla="*/ 7144 h 681404"/>
              <a:gd name="connsiteX3" fmla="*/ 483394 w 1626394"/>
              <a:gd name="connsiteY3" fmla="*/ 216694 h 681404"/>
              <a:gd name="connsiteX4" fmla="*/ 0 w 1626394"/>
              <a:gd name="connsiteY4" fmla="*/ 0 h 681404"/>
              <a:gd name="connsiteX0" fmla="*/ 0 w 1626394"/>
              <a:gd name="connsiteY0" fmla="*/ 0 h 661055"/>
              <a:gd name="connsiteX1" fmla="*/ 0 w 1626394"/>
              <a:gd name="connsiteY1" fmla="*/ 528638 h 661055"/>
              <a:gd name="connsiteX2" fmla="*/ 1626394 w 1626394"/>
              <a:gd name="connsiteY2" fmla="*/ 7144 h 661055"/>
              <a:gd name="connsiteX3" fmla="*/ 483394 w 1626394"/>
              <a:gd name="connsiteY3" fmla="*/ 216694 h 661055"/>
              <a:gd name="connsiteX4" fmla="*/ 0 w 1626394"/>
              <a:gd name="connsiteY4" fmla="*/ 0 h 661055"/>
              <a:gd name="connsiteX0" fmla="*/ 0 w 1626394"/>
              <a:gd name="connsiteY0" fmla="*/ 0 h 678971"/>
              <a:gd name="connsiteX1" fmla="*/ 0 w 1626394"/>
              <a:gd name="connsiteY1" fmla="*/ 528638 h 678971"/>
              <a:gd name="connsiteX2" fmla="*/ 1626394 w 1626394"/>
              <a:gd name="connsiteY2" fmla="*/ 7144 h 678971"/>
              <a:gd name="connsiteX3" fmla="*/ 483394 w 1626394"/>
              <a:gd name="connsiteY3" fmla="*/ 216694 h 678971"/>
              <a:gd name="connsiteX4" fmla="*/ 0 w 1626394"/>
              <a:gd name="connsiteY4" fmla="*/ 0 h 678971"/>
              <a:gd name="connsiteX0" fmla="*/ 0 w 1626394"/>
              <a:gd name="connsiteY0" fmla="*/ 0 h 678971"/>
              <a:gd name="connsiteX1" fmla="*/ 0 w 1626394"/>
              <a:gd name="connsiteY1" fmla="*/ 528638 h 678971"/>
              <a:gd name="connsiteX2" fmla="*/ 1626394 w 1626394"/>
              <a:gd name="connsiteY2" fmla="*/ 7144 h 678971"/>
              <a:gd name="connsiteX3" fmla="*/ 621506 w 1626394"/>
              <a:gd name="connsiteY3" fmla="*/ 233363 h 678971"/>
              <a:gd name="connsiteX4" fmla="*/ 0 w 1626394"/>
              <a:gd name="connsiteY4" fmla="*/ 0 h 678971"/>
              <a:gd name="connsiteX0" fmla="*/ 0 w 1626394"/>
              <a:gd name="connsiteY0" fmla="*/ 4860 h 683831"/>
              <a:gd name="connsiteX1" fmla="*/ 0 w 1626394"/>
              <a:gd name="connsiteY1" fmla="*/ 533498 h 683831"/>
              <a:gd name="connsiteX2" fmla="*/ 1626394 w 1626394"/>
              <a:gd name="connsiteY2" fmla="*/ 12004 h 683831"/>
              <a:gd name="connsiteX3" fmla="*/ 621506 w 1626394"/>
              <a:gd name="connsiteY3" fmla="*/ 238223 h 683831"/>
              <a:gd name="connsiteX4" fmla="*/ 0 w 1626394"/>
              <a:gd name="connsiteY4" fmla="*/ 4860 h 683831"/>
              <a:gd name="connsiteX0" fmla="*/ 0 w 1626394"/>
              <a:gd name="connsiteY0" fmla="*/ 4860 h 683831"/>
              <a:gd name="connsiteX1" fmla="*/ 0 w 1626394"/>
              <a:gd name="connsiteY1" fmla="*/ 533498 h 683831"/>
              <a:gd name="connsiteX2" fmla="*/ 1626394 w 1626394"/>
              <a:gd name="connsiteY2" fmla="*/ 12004 h 683831"/>
              <a:gd name="connsiteX3" fmla="*/ 1066800 w 1626394"/>
              <a:gd name="connsiteY3" fmla="*/ 135830 h 683831"/>
              <a:gd name="connsiteX4" fmla="*/ 621506 w 1626394"/>
              <a:gd name="connsiteY4" fmla="*/ 238223 h 683831"/>
              <a:gd name="connsiteX5" fmla="*/ 0 w 1626394"/>
              <a:gd name="connsiteY5" fmla="*/ 4860 h 683831"/>
              <a:gd name="connsiteX0" fmla="*/ 0 w 1626394"/>
              <a:gd name="connsiteY0" fmla="*/ 111917 h 790888"/>
              <a:gd name="connsiteX1" fmla="*/ 0 w 1626394"/>
              <a:gd name="connsiteY1" fmla="*/ 640555 h 790888"/>
              <a:gd name="connsiteX2" fmla="*/ 1626394 w 1626394"/>
              <a:gd name="connsiteY2" fmla="*/ 119061 h 790888"/>
              <a:gd name="connsiteX3" fmla="*/ 923925 w 1626394"/>
              <a:gd name="connsiteY3" fmla="*/ 0 h 790888"/>
              <a:gd name="connsiteX4" fmla="*/ 621506 w 1626394"/>
              <a:gd name="connsiteY4" fmla="*/ 345280 h 790888"/>
              <a:gd name="connsiteX5" fmla="*/ 0 w 1626394"/>
              <a:gd name="connsiteY5" fmla="*/ 111917 h 790888"/>
              <a:gd name="connsiteX0" fmla="*/ 0 w 1626394"/>
              <a:gd name="connsiteY0" fmla="*/ 111917 h 790888"/>
              <a:gd name="connsiteX1" fmla="*/ 0 w 1626394"/>
              <a:gd name="connsiteY1" fmla="*/ 640555 h 790888"/>
              <a:gd name="connsiteX2" fmla="*/ 1626394 w 1626394"/>
              <a:gd name="connsiteY2" fmla="*/ 119061 h 790888"/>
              <a:gd name="connsiteX3" fmla="*/ 1059656 w 1626394"/>
              <a:gd name="connsiteY3" fmla="*/ 23812 h 790888"/>
              <a:gd name="connsiteX4" fmla="*/ 923925 w 1626394"/>
              <a:gd name="connsiteY4" fmla="*/ 0 h 790888"/>
              <a:gd name="connsiteX5" fmla="*/ 621506 w 1626394"/>
              <a:gd name="connsiteY5" fmla="*/ 345280 h 790888"/>
              <a:gd name="connsiteX6" fmla="*/ 0 w 1626394"/>
              <a:gd name="connsiteY6" fmla="*/ 111917 h 790888"/>
              <a:gd name="connsiteX0" fmla="*/ 0 w 1626394"/>
              <a:gd name="connsiteY0" fmla="*/ 538161 h 1217132"/>
              <a:gd name="connsiteX1" fmla="*/ 0 w 1626394"/>
              <a:gd name="connsiteY1" fmla="*/ 1066799 h 1217132"/>
              <a:gd name="connsiteX2" fmla="*/ 1626394 w 1626394"/>
              <a:gd name="connsiteY2" fmla="*/ 545305 h 1217132"/>
              <a:gd name="connsiteX3" fmla="*/ 1323974 w 1626394"/>
              <a:gd name="connsiteY3" fmla="*/ 0 h 1217132"/>
              <a:gd name="connsiteX4" fmla="*/ 923925 w 1626394"/>
              <a:gd name="connsiteY4" fmla="*/ 426244 h 1217132"/>
              <a:gd name="connsiteX5" fmla="*/ 621506 w 1626394"/>
              <a:gd name="connsiteY5" fmla="*/ 771524 h 1217132"/>
              <a:gd name="connsiteX6" fmla="*/ 0 w 1626394"/>
              <a:gd name="connsiteY6" fmla="*/ 538161 h 1217132"/>
              <a:gd name="connsiteX0" fmla="*/ 0 w 1626394"/>
              <a:gd name="connsiteY0" fmla="*/ 538161 h 1217132"/>
              <a:gd name="connsiteX1" fmla="*/ 0 w 1626394"/>
              <a:gd name="connsiteY1" fmla="*/ 1066799 h 1217132"/>
              <a:gd name="connsiteX2" fmla="*/ 1626394 w 1626394"/>
              <a:gd name="connsiteY2" fmla="*/ 545305 h 1217132"/>
              <a:gd name="connsiteX3" fmla="*/ 1323974 w 1626394"/>
              <a:gd name="connsiteY3" fmla="*/ 0 h 1217132"/>
              <a:gd name="connsiteX4" fmla="*/ 923925 w 1626394"/>
              <a:gd name="connsiteY4" fmla="*/ 426244 h 1217132"/>
              <a:gd name="connsiteX5" fmla="*/ 621506 w 1626394"/>
              <a:gd name="connsiteY5" fmla="*/ 771524 h 1217132"/>
              <a:gd name="connsiteX6" fmla="*/ 0 w 1626394"/>
              <a:gd name="connsiteY6" fmla="*/ 538161 h 1217132"/>
              <a:gd name="connsiteX0" fmla="*/ 0 w 1635310"/>
              <a:gd name="connsiteY0" fmla="*/ 538161 h 1066802"/>
              <a:gd name="connsiteX1" fmla="*/ 0 w 1635310"/>
              <a:gd name="connsiteY1" fmla="*/ 1066799 h 1066802"/>
              <a:gd name="connsiteX2" fmla="*/ 1626394 w 1635310"/>
              <a:gd name="connsiteY2" fmla="*/ 545305 h 1066802"/>
              <a:gd name="connsiteX3" fmla="*/ 1323974 w 1635310"/>
              <a:gd name="connsiteY3" fmla="*/ 0 h 1066802"/>
              <a:gd name="connsiteX4" fmla="*/ 923925 w 1635310"/>
              <a:gd name="connsiteY4" fmla="*/ 426244 h 1066802"/>
              <a:gd name="connsiteX5" fmla="*/ 621506 w 1635310"/>
              <a:gd name="connsiteY5" fmla="*/ 771524 h 1066802"/>
              <a:gd name="connsiteX6" fmla="*/ 0 w 1635310"/>
              <a:gd name="connsiteY6" fmla="*/ 538161 h 1066802"/>
              <a:gd name="connsiteX0" fmla="*/ 0 w 1632620"/>
              <a:gd name="connsiteY0" fmla="*/ 538161 h 1083110"/>
              <a:gd name="connsiteX1" fmla="*/ 0 w 1632620"/>
              <a:gd name="connsiteY1" fmla="*/ 1066799 h 1083110"/>
              <a:gd name="connsiteX2" fmla="*/ 1626394 w 1632620"/>
              <a:gd name="connsiteY2" fmla="*/ 545305 h 1083110"/>
              <a:gd name="connsiteX3" fmla="*/ 1323974 w 1632620"/>
              <a:gd name="connsiteY3" fmla="*/ 0 h 1083110"/>
              <a:gd name="connsiteX4" fmla="*/ 923925 w 1632620"/>
              <a:gd name="connsiteY4" fmla="*/ 426244 h 1083110"/>
              <a:gd name="connsiteX5" fmla="*/ 621506 w 1632620"/>
              <a:gd name="connsiteY5" fmla="*/ 771524 h 1083110"/>
              <a:gd name="connsiteX6" fmla="*/ 0 w 1632620"/>
              <a:gd name="connsiteY6" fmla="*/ 538161 h 1083110"/>
              <a:gd name="connsiteX0" fmla="*/ 0 w 1638832"/>
              <a:gd name="connsiteY0" fmla="*/ 538161 h 1079262"/>
              <a:gd name="connsiteX1" fmla="*/ 0 w 1638832"/>
              <a:gd name="connsiteY1" fmla="*/ 1066799 h 1079262"/>
              <a:gd name="connsiteX2" fmla="*/ 1626394 w 1638832"/>
              <a:gd name="connsiteY2" fmla="*/ 545305 h 1079262"/>
              <a:gd name="connsiteX3" fmla="*/ 1323974 w 1638832"/>
              <a:gd name="connsiteY3" fmla="*/ 0 h 1079262"/>
              <a:gd name="connsiteX4" fmla="*/ 923925 w 1638832"/>
              <a:gd name="connsiteY4" fmla="*/ 426244 h 1079262"/>
              <a:gd name="connsiteX5" fmla="*/ 621506 w 1638832"/>
              <a:gd name="connsiteY5" fmla="*/ 771524 h 1079262"/>
              <a:gd name="connsiteX6" fmla="*/ 0 w 1638832"/>
              <a:gd name="connsiteY6" fmla="*/ 538161 h 1079262"/>
              <a:gd name="connsiteX0" fmla="*/ 0 w 1629379"/>
              <a:gd name="connsiteY0" fmla="*/ 538161 h 1066897"/>
              <a:gd name="connsiteX1" fmla="*/ 0 w 1629379"/>
              <a:gd name="connsiteY1" fmla="*/ 1066799 h 1066897"/>
              <a:gd name="connsiteX2" fmla="*/ 1616869 w 1629379"/>
              <a:gd name="connsiteY2" fmla="*/ 409574 h 1066897"/>
              <a:gd name="connsiteX3" fmla="*/ 1323974 w 1629379"/>
              <a:gd name="connsiteY3" fmla="*/ 0 h 1066897"/>
              <a:gd name="connsiteX4" fmla="*/ 923925 w 1629379"/>
              <a:gd name="connsiteY4" fmla="*/ 426244 h 1066897"/>
              <a:gd name="connsiteX5" fmla="*/ 621506 w 1629379"/>
              <a:gd name="connsiteY5" fmla="*/ 771524 h 1066897"/>
              <a:gd name="connsiteX6" fmla="*/ 0 w 1629379"/>
              <a:gd name="connsiteY6" fmla="*/ 538161 h 1066897"/>
              <a:gd name="connsiteX0" fmla="*/ 0 w 1620913"/>
              <a:gd name="connsiteY0" fmla="*/ 538161 h 1107877"/>
              <a:gd name="connsiteX1" fmla="*/ 0 w 1620913"/>
              <a:gd name="connsiteY1" fmla="*/ 1066799 h 1107877"/>
              <a:gd name="connsiteX2" fmla="*/ 1616869 w 1620913"/>
              <a:gd name="connsiteY2" fmla="*/ 409574 h 1107877"/>
              <a:gd name="connsiteX3" fmla="*/ 1323974 w 1620913"/>
              <a:gd name="connsiteY3" fmla="*/ 0 h 1107877"/>
              <a:gd name="connsiteX4" fmla="*/ 923925 w 1620913"/>
              <a:gd name="connsiteY4" fmla="*/ 426244 h 1107877"/>
              <a:gd name="connsiteX5" fmla="*/ 621506 w 1620913"/>
              <a:gd name="connsiteY5" fmla="*/ 771524 h 1107877"/>
              <a:gd name="connsiteX6" fmla="*/ 0 w 1620913"/>
              <a:gd name="connsiteY6" fmla="*/ 538161 h 1107877"/>
              <a:gd name="connsiteX0" fmla="*/ 0 w 1620913"/>
              <a:gd name="connsiteY0" fmla="*/ 538161 h 1218265"/>
              <a:gd name="connsiteX1" fmla="*/ 0 w 1620913"/>
              <a:gd name="connsiteY1" fmla="*/ 1066799 h 1218265"/>
              <a:gd name="connsiteX2" fmla="*/ 1616869 w 1620913"/>
              <a:gd name="connsiteY2" fmla="*/ 409574 h 1218265"/>
              <a:gd name="connsiteX3" fmla="*/ 1323974 w 1620913"/>
              <a:gd name="connsiteY3" fmla="*/ 0 h 1218265"/>
              <a:gd name="connsiteX4" fmla="*/ 923925 w 1620913"/>
              <a:gd name="connsiteY4" fmla="*/ 426244 h 1218265"/>
              <a:gd name="connsiteX5" fmla="*/ 621506 w 1620913"/>
              <a:gd name="connsiteY5" fmla="*/ 771524 h 1218265"/>
              <a:gd name="connsiteX6" fmla="*/ 0 w 1620913"/>
              <a:gd name="connsiteY6" fmla="*/ 538161 h 1218265"/>
              <a:gd name="connsiteX0" fmla="*/ 0 w 1620913"/>
              <a:gd name="connsiteY0" fmla="*/ 538161 h 1066799"/>
              <a:gd name="connsiteX1" fmla="*/ 0 w 1620913"/>
              <a:gd name="connsiteY1" fmla="*/ 1066799 h 1066799"/>
              <a:gd name="connsiteX2" fmla="*/ 1616869 w 1620913"/>
              <a:gd name="connsiteY2" fmla="*/ 409574 h 1066799"/>
              <a:gd name="connsiteX3" fmla="*/ 1323974 w 1620913"/>
              <a:gd name="connsiteY3" fmla="*/ 0 h 1066799"/>
              <a:gd name="connsiteX4" fmla="*/ 923925 w 1620913"/>
              <a:gd name="connsiteY4" fmla="*/ 426244 h 1066799"/>
              <a:gd name="connsiteX5" fmla="*/ 621506 w 1620913"/>
              <a:gd name="connsiteY5" fmla="*/ 771524 h 1066799"/>
              <a:gd name="connsiteX6" fmla="*/ 0 w 1620913"/>
              <a:gd name="connsiteY6" fmla="*/ 538161 h 1066799"/>
              <a:gd name="connsiteX0" fmla="*/ 0 w 1620913"/>
              <a:gd name="connsiteY0" fmla="*/ 538161 h 1213299"/>
              <a:gd name="connsiteX1" fmla="*/ 0 w 1620913"/>
              <a:gd name="connsiteY1" fmla="*/ 1066799 h 1213299"/>
              <a:gd name="connsiteX2" fmla="*/ 1616869 w 1620913"/>
              <a:gd name="connsiteY2" fmla="*/ 409574 h 1213299"/>
              <a:gd name="connsiteX3" fmla="*/ 1323974 w 1620913"/>
              <a:gd name="connsiteY3" fmla="*/ 0 h 1213299"/>
              <a:gd name="connsiteX4" fmla="*/ 923925 w 1620913"/>
              <a:gd name="connsiteY4" fmla="*/ 426244 h 1213299"/>
              <a:gd name="connsiteX5" fmla="*/ 621506 w 1620913"/>
              <a:gd name="connsiteY5" fmla="*/ 771524 h 1213299"/>
              <a:gd name="connsiteX6" fmla="*/ 0 w 1620913"/>
              <a:gd name="connsiteY6" fmla="*/ 538161 h 1213299"/>
              <a:gd name="connsiteX0" fmla="*/ 0 w 1628230"/>
              <a:gd name="connsiteY0" fmla="*/ 538161 h 1218919"/>
              <a:gd name="connsiteX1" fmla="*/ 0 w 1628230"/>
              <a:gd name="connsiteY1" fmla="*/ 1066799 h 1218919"/>
              <a:gd name="connsiteX2" fmla="*/ 1616869 w 1628230"/>
              <a:gd name="connsiteY2" fmla="*/ 409574 h 1218919"/>
              <a:gd name="connsiteX3" fmla="*/ 1323974 w 1628230"/>
              <a:gd name="connsiteY3" fmla="*/ 0 h 1218919"/>
              <a:gd name="connsiteX4" fmla="*/ 923925 w 1628230"/>
              <a:gd name="connsiteY4" fmla="*/ 426244 h 1218919"/>
              <a:gd name="connsiteX5" fmla="*/ 621506 w 1628230"/>
              <a:gd name="connsiteY5" fmla="*/ 771524 h 1218919"/>
              <a:gd name="connsiteX6" fmla="*/ 0 w 1628230"/>
              <a:gd name="connsiteY6" fmla="*/ 538161 h 1218919"/>
              <a:gd name="connsiteX0" fmla="*/ 0 w 1628230"/>
              <a:gd name="connsiteY0" fmla="*/ 538161 h 1218919"/>
              <a:gd name="connsiteX1" fmla="*/ 0 w 1628230"/>
              <a:gd name="connsiteY1" fmla="*/ 1066799 h 1218919"/>
              <a:gd name="connsiteX2" fmla="*/ 1616869 w 1628230"/>
              <a:gd name="connsiteY2" fmla="*/ 409574 h 1218919"/>
              <a:gd name="connsiteX3" fmla="*/ 1323974 w 1628230"/>
              <a:gd name="connsiteY3" fmla="*/ 0 h 1218919"/>
              <a:gd name="connsiteX4" fmla="*/ 923925 w 1628230"/>
              <a:gd name="connsiteY4" fmla="*/ 426244 h 1218919"/>
              <a:gd name="connsiteX5" fmla="*/ 621506 w 1628230"/>
              <a:gd name="connsiteY5" fmla="*/ 771524 h 1218919"/>
              <a:gd name="connsiteX6" fmla="*/ 0 w 1628230"/>
              <a:gd name="connsiteY6" fmla="*/ 538161 h 1218919"/>
              <a:gd name="connsiteX0" fmla="*/ 0 w 1628230"/>
              <a:gd name="connsiteY0" fmla="*/ 538161 h 1218919"/>
              <a:gd name="connsiteX1" fmla="*/ 0 w 1628230"/>
              <a:gd name="connsiteY1" fmla="*/ 1066799 h 1218919"/>
              <a:gd name="connsiteX2" fmla="*/ 1616869 w 1628230"/>
              <a:gd name="connsiteY2" fmla="*/ 409574 h 1218919"/>
              <a:gd name="connsiteX3" fmla="*/ 1323974 w 1628230"/>
              <a:gd name="connsiteY3" fmla="*/ 0 h 1218919"/>
              <a:gd name="connsiteX4" fmla="*/ 923925 w 1628230"/>
              <a:gd name="connsiteY4" fmla="*/ 426244 h 1218919"/>
              <a:gd name="connsiteX5" fmla="*/ 621506 w 1628230"/>
              <a:gd name="connsiteY5" fmla="*/ 771524 h 1218919"/>
              <a:gd name="connsiteX6" fmla="*/ 0 w 1628230"/>
              <a:gd name="connsiteY6" fmla="*/ 538161 h 1218919"/>
              <a:gd name="connsiteX0" fmla="*/ 0 w 1628230"/>
              <a:gd name="connsiteY0" fmla="*/ 538161 h 1218919"/>
              <a:gd name="connsiteX1" fmla="*/ 0 w 1628230"/>
              <a:gd name="connsiteY1" fmla="*/ 1066799 h 1218919"/>
              <a:gd name="connsiteX2" fmla="*/ 1616869 w 1628230"/>
              <a:gd name="connsiteY2" fmla="*/ 409574 h 1218919"/>
              <a:gd name="connsiteX3" fmla="*/ 1323974 w 1628230"/>
              <a:gd name="connsiteY3" fmla="*/ 0 h 1218919"/>
              <a:gd name="connsiteX4" fmla="*/ 923925 w 1628230"/>
              <a:gd name="connsiteY4" fmla="*/ 426244 h 1218919"/>
              <a:gd name="connsiteX5" fmla="*/ 621506 w 1628230"/>
              <a:gd name="connsiteY5" fmla="*/ 771524 h 1218919"/>
              <a:gd name="connsiteX6" fmla="*/ 0 w 1628230"/>
              <a:gd name="connsiteY6" fmla="*/ 538161 h 1218919"/>
              <a:gd name="connsiteX0" fmla="*/ 0 w 1628230"/>
              <a:gd name="connsiteY0" fmla="*/ 538161 h 1218919"/>
              <a:gd name="connsiteX1" fmla="*/ 0 w 1628230"/>
              <a:gd name="connsiteY1" fmla="*/ 1066799 h 1218919"/>
              <a:gd name="connsiteX2" fmla="*/ 1616869 w 1628230"/>
              <a:gd name="connsiteY2" fmla="*/ 409574 h 1218919"/>
              <a:gd name="connsiteX3" fmla="*/ 1323974 w 1628230"/>
              <a:gd name="connsiteY3" fmla="*/ 0 h 1218919"/>
              <a:gd name="connsiteX4" fmla="*/ 923925 w 1628230"/>
              <a:gd name="connsiteY4" fmla="*/ 426244 h 1218919"/>
              <a:gd name="connsiteX5" fmla="*/ 621506 w 1628230"/>
              <a:gd name="connsiteY5" fmla="*/ 771524 h 1218919"/>
              <a:gd name="connsiteX6" fmla="*/ 0 w 1628230"/>
              <a:gd name="connsiteY6" fmla="*/ 538161 h 1218919"/>
              <a:gd name="connsiteX0" fmla="*/ 0 w 1632881"/>
              <a:gd name="connsiteY0" fmla="*/ 538161 h 1232035"/>
              <a:gd name="connsiteX1" fmla="*/ 0 w 1632881"/>
              <a:gd name="connsiteY1" fmla="*/ 1066799 h 1232035"/>
              <a:gd name="connsiteX2" fmla="*/ 1621631 w 1632881"/>
              <a:gd name="connsiteY2" fmla="*/ 523874 h 1232035"/>
              <a:gd name="connsiteX3" fmla="*/ 1323974 w 1632881"/>
              <a:gd name="connsiteY3" fmla="*/ 0 h 1232035"/>
              <a:gd name="connsiteX4" fmla="*/ 923925 w 1632881"/>
              <a:gd name="connsiteY4" fmla="*/ 426244 h 1232035"/>
              <a:gd name="connsiteX5" fmla="*/ 621506 w 1632881"/>
              <a:gd name="connsiteY5" fmla="*/ 771524 h 1232035"/>
              <a:gd name="connsiteX6" fmla="*/ 0 w 1632881"/>
              <a:gd name="connsiteY6" fmla="*/ 538161 h 1232035"/>
              <a:gd name="connsiteX0" fmla="*/ 0 w 1622936"/>
              <a:gd name="connsiteY0" fmla="*/ 538161 h 1236750"/>
              <a:gd name="connsiteX1" fmla="*/ 0 w 1622936"/>
              <a:gd name="connsiteY1" fmla="*/ 1066799 h 1236750"/>
              <a:gd name="connsiteX2" fmla="*/ 1621631 w 1622936"/>
              <a:gd name="connsiteY2" fmla="*/ 523874 h 1236750"/>
              <a:gd name="connsiteX3" fmla="*/ 1323974 w 1622936"/>
              <a:gd name="connsiteY3" fmla="*/ 0 h 1236750"/>
              <a:gd name="connsiteX4" fmla="*/ 923925 w 1622936"/>
              <a:gd name="connsiteY4" fmla="*/ 426244 h 1236750"/>
              <a:gd name="connsiteX5" fmla="*/ 621506 w 1622936"/>
              <a:gd name="connsiteY5" fmla="*/ 771524 h 1236750"/>
              <a:gd name="connsiteX6" fmla="*/ 0 w 1622936"/>
              <a:gd name="connsiteY6" fmla="*/ 538161 h 1236750"/>
              <a:gd name="connsiteX0" fmla="*/ 0 w 1627932"/>
              <a:gd name="connsiteY0" fmla="*/ 538161 h 1227283"/>
              <a:gd name="connsiteX1" fmla="*/ 0 w 1627932"/>
              <a:gd name="connsiteY1" fmla="*/ 1066799 h 1227283"/>
              <a:gd name="connsiteX2" fmla="*/ 1621631 w 1627932"/>
              <a:gd name="connsiteY2" fmla="*/ 523874 h 1227283"/>
              <a:gd name="connsiteX3" fmla="*/ 1323974 w 1627932"/>
              <a:gd name="connsiteY3" fmla="*/ 0 h 1227283"/>
              <a:gd name="connsiteX4" fmla="*/ 923925 w 1627932"/>
              <a:gd name="connsiteY4" fmla="*/ 426244 h 1227283"/>
              <a:gd name="connsiteX5" fmla="*/ 621506 w 1627932"/>
              <a:gd name="connsiteY5" fmla="*/ 771524 h 1227283"/>
              <a:gd name="connsiteX6" fmla="*/ 0 w 1627932"/>
              <a:gd name="connsiteY6" fmla="*/ 538161 h 1227283"/>
              <a:gd name="connsiteX0" fmla="*/ 0 w 1627932"/>
              <a:gd name="connsiteY0" fmla="*/ 538161 h 1066799"/>
              <a:gd name="connsiteX1" fmla="*/ 0 w 1627932"/>
              <a:gd name="connsiteY1" fmla="*/ 1066799 h 1066799"/>
              <a:gd name="connsiteX2" fmla="*/ 1621631 w 1627932"/>
              <a:gd name="connsiteY2" fmla="*/ 523874 h 1066799"/>
              <a:gd name="connsiteX3" fmla="*/ 1323974 w 1627932"/>
              <a:gd name="connsiteY3" fmla="*/ 0 h 1066799"/>
              <a:gd name="connsiteX4" fmla="*/ 923925 w 1627932"/>
              <a:gd name="connsiteY4" fmla="*/ 426244 h 1066799"/>
              <a:gd name="connsiteX5" fmla="*/ 621506 w 1627932"/>
              <a:gd name="connsiteY5" fmla="*/ 771524 h 1066799"/>
              <a:gd name="connsiteX6" fmla="*/ 0 w 1627932"/>
              <a:gd name="connsiteY6" fmla="*/ 538161 h 1066799"/>
              <a:gd name="connsiteX0" fmla="*/ 0 w 1627647"/>
              <a:gd name="connsiteY0" fmla="*/ 538161 h 1066799"/>
              <a:gd name="connsiteX1" fmla="*/ 0 w 1627647"/>
              <a:gd name="connsiteY1" fmla="*/ 1066799 h 1066799"/>
              <a:gd name="connsiteX2" fmla="*/ 1621631 w 1627647"/>
              <a:gd name="connsiteY2" fmla="*/ 523874 h 1066799"/>
              <a:gd name="connsiteX3" fmla="*/ 1323974 w 1627647"/>
              <a:gd name="connsiteY3" fmla="*/ 0 h 1066799"/>
              <a:gd name="connsiteX4" fmla="*/ 923925 w 1627647"/>
              <a:gd name="connsiteY4" fmla="*/ 426244 h 1066799"/>
              <a:gd name="connsiteX5" fmla="*/ 621506 w 1627647"/>
              <a:gd name="connsiteY5" fmla="*/ 771524 h 1066799"/>
              <a:gd name="connsiteX6" fmla="*/ 0 w 1627647"/>
              <a:gd name="connsiteY6" fmla="*/ 538161 h 1066799"/>
              <a:gd name="connsiteX0" fmla="*/ 0 w 1627647"/>
              <a:gd name="connsiteY0" fmla="*/ 538161 h 1066799"/>
              <a:gd name="connsiteX1" fmla="*/ 0 w 1627647"/>
              <a:gd name="connsiteY1" fmla="*/ 1066799 h 1066799"/>
              <a:gd name="connsiteX2" fmla="*/ 1621631 w 1627647"/>
              <a:gd name="connsiteY2" fmla="*/ 523874 h 1066799"/>
              <a:gd name="connsiteX3" fmla="*/ 1323974 w 1627647"/>
              <a:gd name="connsiteY3" fmla="*/ 0 h 1066799"/>
              <a:gd name="connsiteX4" fmla="*/ 923925 w 1627647"/>
              <a:gd name="connsiteY4" fmla="*/ 426244 h 1066799"/>
              <a:gd name="connsiteX5" fmla="*/ 621506 w 1627647"/>
              <a:gd name="connsiteY5" fmla="*/ 771524 h 1066799"/>
              <a:gd name="connsiteX6" fmla="*/ 0 w 1627647"/>
              <a:gd name="connsiteY6" fmla="*/ 538161 h 1066799"/>
              <a:gd name="connsiteX0" fmla="*/ 0 w 1627647"/>
              <a:gd name="connsiteY0" fmla="*/ 538161 h 1134969"/>
              <a:gd name="connsiteX1" fmla="*/ 0 w 1627647"/>
              <a:gd name="connsiteY1" fmla="*/ 1066799 h 1134969"/>
              <a:gd name="connsiteX2" fmla="*/ 1621631 w 1627647"/>
              <a:gd name="connsiteY2" fmla="*/ 523874 h 1134969"/>
              <a:gd name="connsiteX3" fmla="*/ 1323974 w 1627647"/>
              <a:gd name="connsiteY3" fmla="*/ 0 h 1134969"/>
              <a:gd name="connsiteX4" fmla="*/ 923925 w 1627647"/>
              <a:gd name="connsiteY4" fmla="*/ 426244 h 1134969"/>
              <a:gd name="connsiteX5" fmla="*/ 621506 w 1627647"/>
              <a:gd name="connsiteY5" fmla="*/ 771524 h 1134969"/>
              <a:gd name="connsiteX6" fmla="*/ 0 w 1627647"/>
              <a:gd name="connsiteY6" fmla="*/ 538161 h 1134969"/>
              <a:gd name="connsiteX0" fmla="*/ 0 w 1627647"/>
              <a:gd name="connsiteY0" fmla="*/ 538161 h 1213483"/>
              <a:gd name="connsiteX1" fmla="*/ 0 w 1627647"/>
              <a:gd name="connsiteY1" fmla="*/ 1066799 h 1213483"/>
              <a:gd name="connsiteX2" fmla="*/ 1621631 w 1627647"/>
              <a:gd name="connsiteY2" fmla="*/ 523874 h 1213483"/>
              <a:gd name="connsiteX3" fmla="*/ 1323974 w 1627647"/>
              <a:gd name="connsiteY3" fmla="*/ 0 h 1213483"/>
              <a:gd name="connsiteX4" fmla="*/ 923925 w 1627647"/>
              <a:gd name="connsiteY4" fmla="*/ 426244 h 1213483"/>
              <a:gd name="connsiteX5" fmla="*/ 621506 w 1627647"/>
              <a:gd name="connsiteY5" fmla="*/ 771524 h 1213483"/>
              <a:gd name="connsiteX6" fmla="*/ 0 w 1627647"/>
              <a:gd name="connsiteY6" fmla="*/ 538161 h 1213483"/>
              <a:gd name="connsiteX0" fmla="*/ 0 w 1627647"/>
              <a:gd name="connsiteY0" fmla="*/ 538161 h 1190326"/>
              <a:gd name="connsiteX1" fmla="*/ 0 w 1627647"/>
              <a:gd name="connsiteY1" fmla="*/ 1066799 h 1190326"/>
              <a:gd name="connsiteX2" fmla="*/ 1621631 w 1627647"/>
              <a:gd name="connsiteY2" fmla="*/ 523874 h 1190326"/>
              <a:gd name="connsiteX3" fmla="*/ 1323974 w 1627647"/>
              <a:gd name="connsiteY3" fmla="*/ 0 h 1190326"/>
              <a:gd name="connsiteX4" fmla="*/ 923925 w 1627647"/>
              <a:gd name="connsiteY4" fmla="*/ 426244 h 1190326"/>
              <a:gd name="connsiteX5" fmla="*/ 621506 w 1627647"/>
              <a:gd name="connsiteY5" fmla="*/ 771524 h 1190326"/>
              <a:gd name="connsiteX6" fmla="*/ 0 w 1627647"/>
              <a:gd name="connsiteY6" fmla="*/ 538161 h 1190326"/>
              <a:gd name="connsiteX0" fmla="*/ 0 w 1627647"/>
              <a:gd name="connsiteY0" fmla="*/ 538161 h 1219698"/>
              <a:gd name="connsiteX1" fmla="*/ 0 w 1627647"/>
              <a:gd name="connsiteY1" fmla="*/ 1066799 h 1219698"/>
              <a:gd name="connsiteX2" fmla="*/ 1621631 w 1627647"/>
              <a:gd name="connsiteY2" fmla="*/ 523874 h 1219698"/>
              <a:gd name="connsiteX3" fmla="*/ 1323974 w 1627647"/>
              <a:gd name="connsiteY3" fmla="*/ 0 h 1219698"/>
              <a:gd name="connsiteX4" fmla="*/ 923925 w 1627647"/>
              <a:gd name="connsiteY4" fmla="*/ 426244 h 1219698"/>
              <a:gd name="connsiteX5" fmla="*/ 621506 w 1627647"/>
              <a:gd name="connsiteY5" fmla="*/ 771524 h 1219698"/>
              <a:gd name="connsiteX6" fmla="*/ 0 w 1627647"/>
              <a:gd name="connsiteY6" fmla="*/ 538161 h 1219698"/>
              <a:gd name="connsiteX0" fmla="*/ 0 w 1627647"/>
              <a:gd name="connsiteY0" fmla="*/ 538161 h 1232307"/>
              <a:gd name="connsiteX1" fmla="*/ 0 w 1627647"/>
              <a:gd name="connsiteY1" fmla="*/ 1066799 h 1232307"/>
              <a:gd name="connsiteX2" fmla="*/ 1621631 w 1627647"/>
              <a:gd name="connsiteY2" fmla="*/ 523874 h 1232307"/>
              <a:gd name="connsiteX3" fmla="*/ 1323974 w 1627647"/>
              <a:gd name="connsiteY3" fmla="*/ 0 h 1232307"/>
              <a:gd name="connsiteX4" fmla="*/ 923925 w 1627647"/>
              <a:gd name="connsiteY4" fmla="*/ 426244 h 1232307"/>
              <a:gd name="connsiteX5" fmla="*/ 621506 w 1627647"/>
              <a:gd name="connsiteY5" fmla="*/ 771524 h 1232307"/>
              <a:gd name="connsiteX6" fmla="*/ 0 w 1627647"/>
              <a:gd name="connsiteY6" fmla="*/ 538161 h 1232307"/>
              <a:gd name="connsiteX0" fmla="*/ 0 w 1627647"/>
              <a:gd name="connsiteY0" fmla="*/ 538161 h 1217230"/>
              <a:gd name="connsiteX1" fmla="*/ 0 w 1627647"/>
              <a:gd name="connsiteY1" fmla="*/ 1066799 h 1217230"/>
              <a:gd name="connsiteX2" fmla="*/ 1621631 w 1627647"/>
              <a:gd name="connsiteY2" fmla="*/ 523874 h 1217230"/>
              <a:gd name="connsiteX3" fmla="*/ 1323974 w 1627647"/>
              <a:gd name="connsiteY3" fmla="*/ 0 h 1217230"/>
              <a:gd name="connsiteX4" fmla="*/ 923925 w 1627647"/>
              <a:gd name="connsiteY4" fmla="*/ 426244 h 1217230"/>
              <a:gd name="connsiteX5" fmla="*/ 621506 w 1627647"/>
              <a:gd name="connsiteY5" fmla="*/ 771524 h 1217230"/>
              <a:gd name="connsiteX6" fmla="*/ 0 w 1627647"/>
              <a:gd name="connsiteY6" fmla="*/ 538161 h 1217230"/>
              <a:gd name="connsiteX0" fmla="*/ 0 w 1627647"/>
              <a:gd name="connsiteY0" fmla="*/ 538161 h 1188997"/>
              <a:gd name="connsiteX1" fmla="*/ 0 w 1627647"/>
              <a:gd name="connsiteY1" fmla="*/ 1066799 h 1188997"/>
              <a:gd name="connsiteX2" fmla="*/ 1621631 w 1627647"/>
              <a:gd name="connsiteY2" fmla="*/ 523874 h 1188997"/>
              <a:gd name="connsiteX3" fmla="*/ 1323974 w 1627647"/>
              <a:gd name="connsiteY3" fmla="*/ 0 h 1188997"/>
              <a:gd name="connsiteX4" fmla="*/ 923925 w 1627647"/>
              <a:gd name="connsiteY4" fmla="*/ 426244 h 1188997"/>
              <a:gd name="connsiteX5" fmla="*/ 621506 w 1627647"/>
              <a:gd name="connsiteY5" fmla="*/ 771524 h 1188997"/>
              <a:gd name="connsiteX6" fmla="*/ 0 w 1627647"/>
              <a:gd name="connsiteY6" fmla="*/ 538161 h 1188997"/>
              <a:gd name="connsiteX0" fmla="*/ 0 w 1627647"/>
              <a:gd name="connsiteY0" fmla="*/ 538161 h 1216261"/>
              <a:gd name="connsiteX1" fmla="*/ 0 w 1627647"/>
              <a:gd name="connsiteY1" fmla="*/ 1066799 h 1216261"/>
              <a:gd name="connsiteX2" fmla="*/ 1621631 w 1627647"/>
              <a:gd name="connsiteY2" fmla="*/ 523874 h 1216261"/>
              <a:gd name="connsiteX3" fmla="*/ 1323974 w 1627647"/>
              <a:gd name="connsiteY3" fmla="*/ 0 h 1216261"/>
              <a:gd name="connsiteX4" fmla="*/ 923925 w 1627647"/>
              <a:gd name="connsiteY4" fmla="*/ 426244 h 1216261"/>
              <a:gd name="connsiteX5" fmla="*/ 621506 w 1627647"/>
              <a:gd name="connsiteY5" fmla="*/ 771524 h 1216261"/>
              <a:gd name="connsiteX6" fmla="*/ 0 w 1627647"/>
              <a:gd name="connsiteY6" fmla="*/ 538161 h 1216261"/>
              <a:gd name="connsiteX0" fmla="*/ 0 w 1627647"/>
              <a:gd name="connsiteY0" fmla="*/ 538161 h 1206398"/>
              <a:gd name="connsiteX1" fmla="*/ 0 w 1627647"/>
              <a:gd name="connsiteY1" fmla="*/ 1066799 h 1206398"/>
              <a:gd name="connsiteX2" fmla="*/ 1621631 w 1627647"/>
              <a:gd name="connsiteY2" fmla="*/ 523874 h 1206398"/>
              <a:gd name="connsiteX3" fmla="*/ 1323974 w 1627647"/>
              <a:gd name="connsiteY3" fmla="*/ 0 h 1206398"/>
              <a:gd name="connsiteX4" fmla="*/ 923925 w 1627647"/>
              <a:gd name="connsiteY4" fmla="*/ 426244 h 1206398"/>
              <a:gd name="connsiteX5" fmla="*/ 621506 w 1627647"/>
              <a:gd name="connsiteY5" fmla="*/ 771524 h 1206398"/>
              <a:gd name="connsiteX6" fmla="*/ 0 w 1627647"/>
              <a:gd name="connsiteY6" fmla="*/ 538161 h 1206398"/>
              <a:gd name="connsiteX0" fmla="*/ 0 w 1627647"/>
              <a:gd name="connsiteY0" fmla="*/ 538161 h 1218880"/>
              <a:gd name="connsiteX1" fmla="*/ 0 w 1627647"/>
              <a:gd name="connsiteY1" fmla="*/ 1066799 h 1218880"/>
              <a:gd name="connsiteX2" fmla="*/ 1621631 w 1627647"/>
              <a:gd name="connsiteY2" fmla="*/ 523874 h 1218880"/>
              <a:gd name="connsiteX3" fmla="*/ 1323974 w 1627647"/>
              <a:gd name="connsiteY3" fmla="*/ 0 h 1218880"/>
              <a:gd name="connsiteX4" fmla="*/ 923925 w 1627647"/>
              <a:gd name="connsiteY4" fmla="*/ 426244 h 1218880"/>
              <a:gd name="connsiteX5" fmla="*/ 621506 w 1627647"/>
              <a:gd name="connsiteY5" fmla="*/ 771524 h 1218880"/>
              <a:gd name="connsiteX6" fmla="*/ 0 w 1627647"/>
              <a:gd name="connsiteY6" fmla="*/ 538161 h 1218880"/>
              <a:gd name="connsiteX0" fmla="*/ 0 w 1627647"/>
              <a:gd name="connsiteY0" fmla="*/ 538161 h 1211596"/>
              <a:gd name="connsiteX1" fmla="*/ 0 w 1627647"/>
              <a:gd name="connsiteY1" fmla="*/ 1066799 h 1211596"/>
              <a:gd name="connsiteX2" fmla="*/ 1621631 w 1627647"/>
              <a:gd name="connsiteY2" fmla="*/ 523874 h 1211596"/>
              <a:gd name="connsiteX3" fmla="*/ 1323974 w 1627647"/>
              <a:gd name="connsiteY3" fmla="*/ 0 h 1211596"/>
              <a:gd name="connsiteX4" fmla="*/ 923925 w 1627647"/>
              <a:gd name="connsiteY4" fmla="*/ 426244 h 1211596"/>
              <a:gd name="connsiteX5" fmla="*/ 621506 w 1627647"/>
              <a:gd name="connsiteY5" fmla="*/ 771524 h 1211596"/>
              <a:gd name="connsiteX6" fmla="*/ 0 w 1627647"/>
              <a:gd name="connsiteY6" fmla="*/ 538161 h 1211596"/>
              <a:gd name="connsiteX0" fmla="*/ 0 w 1627647"/>
              <a:gd name="connsiteY0" fmla="*/ 538161 h 1217962"/>
              <a:gd name="connsiteX1" fmla="*/ 0 w 1627647"/>
              <a:gd name="connsiteY1" fmla="*/ 1066799 h 1217962"/>
              <a:gd name="connsiteX2" fmla="*/ 1621631 w 1627647"/>
              <a:gd name="connsiteY2" fmla="*/ 523874 h 1217962"/>
              <a:gd name="connsiteX3" fmla="*/ 1323974 w 1627647"/>
              <a:gd name="connsiteY3" fmla="*/ 0 h 1217962"/>
              <a:gd name="connsiteX4" fmla="*/ 923925 w 1627647"/>
              <a:gd name="connsiteY4" fmla="*/ 426244 h 1217962"/>
              <a:gd name="connsiteX5" fmla="*/ 621506 w 1627647"/>
              <a:gd name="connsiteY5" fmla="*/ 771524 h 1217962"/>
              <a:gd name="connsiteX6" fmla="*/ 0 w 1627647"/>
              <a:gd name="connsiteY6" fmla="*/ 538161 h 1217962"/>
              <a:gd name="connsiteX0" fmla="*/ 0 w 1627647"/>
              <a:gd name="connsiteY0" fmla="*/ 538161 h 1218399"/>
              <a:gd name="connsiteX1" fmla="*/ 0 w 1627647"/>
              <a:gd name="connsiteY1" fmla="*/ 1066799 h 1218399"/>
              <a:gd name="connsiteX2" fmla="*/ 1621631 w 1627647"/>
              <a:gd name="connsiteY2" fmla="*/ 523874 h 1218399"/>
              <a:gd name="connsiteX3" fmla="*/ 1323974 w 1627647"/>
              <a:gd name="connsiteY3" fmla="*/ 0 h 1218399"/>
              <a:gd name="connsiteX4" fmla="*/ 923925 w 1627647"/>
              <a:gd name="connsiteY4" fmla="*/ 426244 h 1218399"/>
              <a:gd name="connsiteX5" fmla="*/ 621506 w 1627647"/>
              <a:gd name="connsiteY5" fmla="*/ 771524 h 1218399"/>
              <a:gd name="connsiteX6" fmla="*/ 0 w 1627647"/>
              <a:gd name="connsiteY6" fmla="*/ 538161 h 1218399"/>
              <a:gd name="connsiteX0" fmla="*/ 0 w 1627647"/>
              <a:gd name="connsiteY0" fmla="*/ 538161 h 1212839"/>
              <a:gd name="connsiteX1" fmla="*/ 0 w 1627647"/>
              <a:gd name="connsiteY1" fmla="*/ 1066799 h 1212839"/>
              <a:gd name="connsiteX2" fmla="*/ 1621631 w 1627647"/>
              <a:gd name="connsiteY2" fmla="*/ 523874 h 1212839"/>
              <a:gd name="connsiteX3" fmla="*/ 1323974 w 1627647"/>
              <a:gd name="connsiteY3" fmla="*/ 0 h 1212839"/>
              <a:gd name="connsiteX4" fmla="*/ 923925 w 1627647"/>
              <a:gd name="connsiteY4" fmla="*/ 426244 h 1212839"/>
              <a:gd name="connsiteX5" fmla="*/ 621506 w 1627647"/>
              <a:gd name="connsiteY5" fmla="*/ 771524 h 1212839"/>
              <a:gd name="connsiteX6" fmla="*/ 0 w 1627647"/>
              <a:gd name="connsiteY6" fmla="*/ 538161 h 1212839"/>
              <a:gd name="connsiteX0" fmla="*/ 0 w 1627647"/>
              <a:gd name="connsiteY0" fmla="*/ 538161 h 1212839"/>
              <a:gd name="connsiteX1" fmla="*/ 0 w 1627647"/>
              <a:gd name="connsiteY1" fmla="*/ 1066799 h 1212839"/>
              <a:gd name="connsiteX2" fmla="*/ 1621631 w 1627647"/>
              <a:gd name="connsiteY2" fmla="*/ 523874 h 1212839"/>
              <a:gd name="connsiteX3" fmla="*/ 1323974 w 1627647"/>
              <a:gd name="connsiteY3" fmla="*/ 0 h 1212839"/>
              <a:gd name="connsiteX4" fmla="*/ 1078707 w 1627647"/>
              <a:gd name="connsiteY4" fmla="*/ 257177 h 1212839"/>
              <a:gd name="connsiteX5" fmla="*/ 923925 w 1627647"/>
              <a:gd name="connsiteY5" fmla="*/ 426244 h 1212839"/>
              <a:gd name="connsiteX6" fmla="*/ 621506 w 1627647"/>
              <a:gd name="connsiteY6" fmla="*/ 771524 h 1212839"/>
              <a:gd name="connsiteX7" fmla="*/ 0 w 1627647"/>
              <a:gd name="connsiteY7" fmla="*/ 538161 h 1212839"/>
              <a:gd name="connsiteX0" fmla="*/ 0 w 1627647"/>
              <a:gd name="connsiteY0" fmla="*/ 538161 h 1212839"/>
              <a:gd name="connsiteX1" fmla="*/ 0 w 1627647"/>
              <a:gd name="connsiteY1" fmla="*/ 1066799 h 1212839"/>
              <a:gd name="connsiteX2" fmla="*/ 1621631 w 1627647"/>
              <a:gd name="connsiteY2" fmla="*/ 523874 h 1212839"/>
              <a:gd name="connsiteX3" fmla="*/ 1323974 w 1627647"/>
              <a:gd name="connsiteY3" fmla="*/ 0 h 1212839"/>
              <a:gd name="connsiteX4" fmla="*/ 595313 w 1627647"/>
              <a:gd name="connsiteY4" fmla="*/ 185739 h 1212839"/>
              <a:gd name="connsiteX5" fmla="*/ 923925 w 1627647"/>
              <a:gd name="connsiteY5" fmla="*/ 426244 h 1212839"/>
              <a:gd name="connsiteX6" fmla="*/ 621506 w 1627647"/>
              <a:gd name="connsiteY6" fmla="*/ 771524 h 1212839"/>
              <a:gd name="connsiteX7" fmla="*/ 0 w 1627647"/>
              <a:gd name="connsiteY7" fmla="*/ 538161 h 1212839"/>
              <a:gd name="connsiteX0" fmla="*/ 0 w 1627647"/>
              <a:gd name="connsiteY0" fmla="*/ 538161 h 1212839"/>
              <a:gd name="connsiteX1" fmla="*/ 0 w 1627647"/>
              <a:gd name="connsiteY1" fmla="*/ 1066799 h 1212839"/>
              <a:gd name="connsiteX2" fmla="*/ 1621631 w 1627647"/>
              <a:gd name="connsiteY2" fmla="*/ 523874 h 1212839"/>
              <a:gd name="connsiteX3" fmla="*/ 1323974 w 1627647"/>
              <a:gd name="connsiteY3" fmla="*/ 0 h 1212839"/>
              <a:gd name="connsiteX4" fmla="*/ 973932 w 1627647"/>
              <a:gd name="connsiteY4" fmla="*/ 85727 h 1212839"/>
              <a:gd name="connsiteX5" fmla="*/ 595313 w 1627647"/>
              <a:gd name="connsiteY5" fmla="*/ 185739 h 1212839"/>
              <a:gd name="connsiteX6" fmla="*/ 923925 w 1627647"/>
              <a:gd name="connsiteY6" fmla="*/ 426244 h 1212839"/>
              <a:gd name="connsiteX7" fmla="*/ 621506 w 1627647"/>
              <a:gd name="connsiteY7" fmla="*/ 771524 h 1212839"/>
              <a:gd name="connsiteX8" fmla="*/ 0 w 1627647"/>
              <a:gd name="connsiteY8" fmla="*/ 538161 h 1212839"/>
              <a:gd name="connsiteX0" fmla="*/ 0 w 1627647"/>
              <a:gd name="connsiteY0" fmla="*/ 745328 h 1420006"/>
              <a:gd name="connsiteX1" fmla="*/ 0 w 1627647"/>
              <a:gd name="connsiteY1" fmla="*/ 1273966 h 1420006"/>
              <a:gd name="connsiteX2" fmla="*/ 1621631 w 1627647"/>
              <a:gd name="connsiteY2" fmla="*/ 731041 h 1420006"/>
              <a:gd name="connsiteX3" fmla="*/ 1323974 w 1627647"/>
              <a:gd name="connsiteY3" fmla="*/ 207167 h 1420006"/>
              <a:gd name="connsiteX4" fmla="*/ 835820 w 1627647"/>
              <a:gd name="connsiteY4" fmla="*/ 0 h 1420006"/>
              <a:gd name="connsiteX5" fmla="*/ 595313 w 1627647"/>
              <a:gd name="connsiteY5" fmla="*/ 392906 h 1420006"/>
              <a:gd name="connsiteX6" fmla="*/ 923925 w 1627647"/>
              <a:gd name="connsiteY6" fmla="*/ 633411 h 1420006"/>
              <a:gd name="connsiteX7" fmla="*/ 621506 w 1627647"/>
              <a:gd name="connsiteY7" fmla="*/ 978691 h 1420006"/>
              <a:gd name="connsiteX8" fmla="*/ 0 w 1627647"/>
              <a:gd name="connsiteY8" fmla="*/ 745328 h 1420006"/>
              <a:gd name="connsiteX0" fmla="*/ 0 w 1591281"/>
              <a:gd name="connsiteY0" fmla="*/ 745328 h 1469663"/>
              <a:gd name="connsiteX1" fmla="*/ 0 w 1591281"/>
              <a:gd name="connsiteY1" fmla="*/ 1273966 h 1469663"/>
              <a:gd name="connsiteX2" fmla="*/ 1574006 w 1591281"/>
              <a:gd name="connsiteY2" fmla="*/ 928685 h 1469663"/>
              <a:gd name="connsiteX3" fmla="*/ 1323974 w 1591281"/>
              <a:gd name="connsiteY3" fmla="*/ 207167 h 1469663"/>
              <a:gd name="connsiteX4" fmla="*/ 835820 w 1591281"/>
              <a:gd name="connsiteY4" fmla="*/ 0 h 1469663"/>
              <a:gd name="connsiteX5" fmla="*/ 595313 w 1591281"/>
              <a:gd name="connsiteY5" fmla="*/ 392906 h 1469663"/>
              <a:gd name="connsiteX6" fmla="*/ 923925 w 1591281"/>
              <a:gd name="connsiteY6" fmla="*/ 633411 h 1469663"/>
              <a:gd name="connsiteX7" fmla="*/ 621506 w 1591281"/>
              <a:gd name="connsiteY7" fmla="*/ 978691 h 1469663"/>
              <a:gd name="connsiteX8" fmla="*/ 0 w 1591281"/>
              <a:gd name="connsiteY8" fmla="*/ 745328 h 1469663"/>
              <a:gd name="connsiteX0" fmla="*/ 0 w 1591281"/>
              <a:gd name="connsiteY0" fmla="*/ 745328 h 1425021"/>
              <a:gd name="connsiteX1" fmla="*/ 0 w 1591281"/>
              <a:gd name="connsiteY1" fmla="*/ 1273966 h 1425021"/>
              <a:gd name="connsiteX2" fmla="*/ 1574006 w 1591281"/>
              <a:gd name="connsiteY2" fmla="*/ 928685 h 1425021"/>
              <a:gd name="connsiteX3" fmla="*/ 1323974 w 1591281"/>
              <a:gd name="connsiteY3" fmla="*/ 207167 h 1425021"/>
              <a:gd name="connsiteX4" fmla="*/ 835820 w 1591281"/>
              <a:gd name="connsiteY4" fmla="*/ 0 h 1425021"/>
              <a:gd name="connsiteX5" fmla="*/ 595313 w 1591281"/>
              <a:gd name="connsiteY5" fmla="*/ 392906 h 1425021"/>
              <a:gd name="connsiteX6" fmla="*/ 923925 w 1591281"/>
              <a:gd name="connsiteY6" fmla="*/ 633411 h 1425021"/>
              <a:gd name="connsiteX7" fmla="*/ 621506 w 1591281"/>
              <a:gd name="connsiteY7" fmla="*/ 978691 h 1425021"/>
              <a:gd name="connsiteX8" fmla="*/ 0 w 1591281"/>
              <a:gd name="connsiteY8" fmla="*/ 745328 h 1425021"/>
              <a:gd name="connsiteX0" fmla="*/ 0 w 1622856"/>
              <a:gd name="connsiteY0" fmla="*/ 745328 h 1425021"/>
              <a:gd name="connsiteX1" fmla="*/ 0 w 1622856"/>
              <a:gd name="connsiteY1" fmla="*/ 1273966 h 1425021"/>
              <a:gd name="connsiteX2" fmla="*/ 1574006 w 1622856"/>
              <a:gd name="connsiteY2" fmla="*/ 928685 h 1425021"/>
              <a:gd name="connsiteX3" fmla="*/ 1323974 w 1622856"/>
              <a:gd name="connsiteY3" fmla="*/ 207167 h 1425021"/>
              <a:gd name="connsiteX4" fmla="*/ 835820 w 1622856"/>
              <a:gd name="connsiteY4" fmla="*/ 0 h 1425021"/>
              <a:gd name="connsiteX5" fmla="*/ 595313 w 1622856"/>
              <a:gd name="connsiteY5" fmla="*/ 392906 h 1425021"/>
              <a:gd name="connsiteX6" fmla="*/ 923925 w 1622856"/>
              <a:gd name="connsiteY6" fmla="*/ 633411 h 1425021"/>
              <a:gd name="connsiteX7" fmla="*/ 621506 w 1622856"/>
              <a:gd name="connsiteY7" fmla="*/ 978691 h 1425021"/>
              <a:gd name="connsiteX8" fmla="*/ 0 w 1622856"/>
              <a:gd name="connsiteY8" fmla="*/ 745328 h 1425021"/>
              <a:gd name="connsiteX0" fmla="*/ 0 w 1608710"/>
              <a:gd name="connsiteY0" fmla="*/ 745328 h 1425021"/>
              <a:gd name="connsiteX1" fmla="*/ 0 w 1608710"/>
              <a:gd name="connsiteY1" fmla="*/ 1273966 h 1425021"/>
              <a:gd name="connsiteX2" fmla="*/ 1574006 w 1608710"/>
              <a:gd name="connsiteY2" fmla="*/ 928685 h 1425021"/>
              <a:gd name="connsiteX3" fmla="*/ 1264443 w 1608710"/>
              <a:gd name="connsiteY3" fmla="*/ 166686 h 1425021"/>
              <a:gd name="connsiteX4" fmla="*/ 835820 w 1608710"/>
              <a:gd name="connsiteY4" fmla="*/ 0 h 1425021"/>
              <a:gd name="connsiteX5" fmla="*/ 595313 w 1608710"/>
              <a:gd name="connsiteY5" fmla="*/ 392906 h 1425021"/>
              <a:gd name="connsiteX6" fmla="*/ 923925 w 1608710"/>
              <a:gd name="connsiteY6" fmla="*/ 633411 h 1425021"/>
              <a:gd name="connsiteX7" fmla="*/ 621506 w 1608710"/>
              <a:gd name="connsiteY7" fmla="*/ 978691 h 1425021"/>
              <a:gd name="connsiteX8" fmla="*/ 0 w 1608710"/>
              <a:gd name="connsiteY8" fmla="*/ 745328 h 1425021"/>
              <a:gd name="connsiteX0" fmla="*/ 0 w 1623138"/>
              <a:gd name="connsiteY0" fmla="*/ 745328 h 1425021"/>
              <a:gd name="connsiteX1" fmla="*/ 0 w 1623138"/>
              <a:gd name="connsiteY1" fmla="*/ 1273966 h 1425021"/>
              <a:gd name="connsiteX2" fmla="*/ 1574006 w 1623138"/>
              <a:gd name="connsiteY2" fmla="*/ 928685 h 1425021"/>
              <a:gd name="connsiteX3" fmla="*/ 1264443 w 1623138"/>
              <a:gd name="connsiteY3" fmla="*/ 166686 h 1425021"/>
              <a:gd name="connsiteX4" fmla="*/ 835820 w 1623138"/>
              <a:gd name="connsiteY4" fmla="*/ 0 h 1425021"/>
              <a:gd name="connsiteX5" fmla="*/ 595313 w 1623138"/>
              <a:gd name="connsiteY5" fmla="*/ 392906 h 1425021"/>
              <a:gd name="connsiteX6" fmla="*/ 923925 w 1623138"/>
              <a:gd name="connsiteY6" fmla="*/ 633411 h 1425021"/>
              <a:gd name="connsiteX7" fmla="*/ 621506 w 1623138"/>
              <a:gd name="connsiteY7" fmla="*/ 978691 h 1425021"/>
              <a:gd name="connsiteX8" fmla="*/ 0 w 1623138"/>
              <a:gd name="connsiteY8" fmla="*/ 745328 h 1425021"/>
              <a:gd name="connsiteX0" fmla="*/ 0 w 1623138"/>
              <a:gd name="connsiteY0" fmla="*/ 745328 h 1425021"/>
              <a:gd name="connsiteX1" fmla="*/ 0 w 1623138"/>
              <a:gd name="connsiteY1" fmla="*/ 1273966 h 1425021"/>
              <a:gd name="connsiteX2" fmla="*/ 1574006 w 1623138"/>
              <a:gd name="connsiteY2" fmla="*/ 928685 h 1425021"/>
              <a:gd name="connsiteX3" fmla="*/ 1264443 w 1623138"/>
              <a:gd name="connsiteY3" fmla="*/ 166686 h 1425021"/>
              <a:gd name="connsiteX4" fmla="*/ 835820 w 1623138"/>
              <a:gd name="connsiteY4" fmla="*/ 0 h 1425021"/>
              <a:gd name="connsiteX5" fmla="*/ 595313 w 1623138"/>
              <a:gd name="connsiteY5" fmla="*/ 392906 h 1425021"/>
              <a:gd name="connsiteX6" fmla="*/ 923925 w 1623138"/>
              <a:gd name="connsiteY6" fmla="*/ 633411 h 1425021"/>
              <a:gd name="connsiteX7" fmla="*/ 621506 w 1623138"/>
              <a:gd name="connsiteY7" fmla="*/ 978691 h 1425021"/>
              <a:gd name="connsiteX8" fmla="*/ 0 w 1623138"/>
              <a:gd name="connsiteY8" fmla="*/ 745328 h 1425021"/>
              <a:gd name="connsiteX0" fmla="*/ 0 w 1623138"/>
              <a:gd name="connsiteY0" fmla="*/ 745328 h 1425021"/>
              <a:gd name="connsiteX1" fmla="*/ 0 w 1623138"/>
              <a:gd name="connsiteY1" fmla="*/ 1273966 h 1425021"/>
              <a:gd name="connsiteX2" fmla="*/ 1574006 w 1623138"/>
              <a:gd name="connsiteY2" fmla="*/ 928685 h 1425021"/>
              <a:gd name="connsiteX3" fmla="*/ 1264443 w 1623138"/>
              <a:gd name="connsiteY3" fmla="*/ 166686 h 1425021"/>
              <a:gd name="connsiteX4" fmla="*/ 835820 w 1623138"/>
              <a:gd name="connsiteY4" fmla="*/ 0 h 1425021"/>
              <a:gd name="connsiteX5" fmla="*/ 709613 w 1623138"/>
              <a:gd name="connsiteY5" fmla="*/ 207169 h 1425021"/>
              <a:gd name="connsiteX6" fmla="*/ 595313 w 1623138"/>
              <a:gd name="connsiteY6" fmla="*/ 392906 h 1425021"/>
              <a:gd name="connsiteX7" fmla="*/ 923925 w 1623138"/>
              <a:gd name="connsiteY7" fmla="*/ 633411 h 1425021"/>
              <a:gd name="connsiteX8" fmla="*/ 621506 w 1623138"/>
              <a:gd name="connsiteY8" fmla="*/ 978691 h 1425021"/>
              <a:gd name="connsiteX9" fmla="*/ 0 w 1623138"/>
              <a:gd name="connsiteY9" fmla="*/ 745328 h 1425021"/>
              <a:gd name="connsiteX0" fmla="*/ 0 w 1623138"/>
              <a:gd name="connsiteY0" fmla="*/ 797716 h 1477409"/>
              <a:gd name="connsiteX1" fmla="*/ 0 w 1623138"/>
              <a:gd name="connsiteY1" fmla="*/ 1326354 h 1477409"/>
              <a:gd name="connsiteX2" fmla="*/ 1574006 w 1623138"/>
              <a:gd name="connsiteY2" fmla="*/ 981073 h 1477409"/>
              <a:gd name="connsiteX3" fmla="*/ 1264443 w 1623138"/>
              <a:gd name="connsiteY3" fmla="*/ 219074 h 1477409"/>
              <a:gd name="connsiteX4" fmla="*/ 835820 w 1623138"/>
              <a:gd name="connsiteY4" fmla="*/ 52388 h 1477409"/>
              <a:gd name="connsiteX5" fmla="*/ 421482 w 1623138"/>
              <a:gd name="connsiteY5" fmla="*/ 0 h 1477409"/>
              <a:gd name="connsiteX6" fmla="*/ 595313 w 1623138"/>
              <a:gd name="connsiteY6" fmla="*/ 445294 h 1477409"/>
              <a:gd name="connsiteX7" fmla="*/ 923925 w 1623138"/>
              <a:gd name="connsiteY7" fmla="*/ 685799 h 1477409"/>
              <a:gd name="connsiteX8" fmla="*/ 621506 w 1623138"/>
              <a:gd name="connsiteY8" fmla="*/ 1031079 h 1477409"/>
              <a:gd name="connsiteX9" fmla="*/ 0 w 1623138"/>
              <a:gd name="connsiteY9" fmla="*/ 797716 h 1477409"/>
              <a:gd name="connsiteX0" fmla="*/ 0 w 1623138"/>
              <a:gd name="connsiteY0" fmla="*/ 797716 h 1477409"/>
              <a:gd name="connsiteX1" fmla="*/ 0 w 1623138"/>
              <a:gd name="connsiteY1" fmla="*/ 1326354 h 1477409"/>
              <a:gd name="connsiteX2" fmla="*/ 1574006 w 1623138"/>
              <a:gd name="connsiteY2" fmla="*/ 981073 h 1477409"/>
              <a:gd name="connsiteX3" fmla="*/ 1264443 w 1623138"/>
              <a:gd name="connsiteY3" fmla="*/ 219074 h 1477409"/>
              <a:gd name="connsiteX4" fmla="*/ 835820 w 1623138"/>
              <a:gd name="connsiteY4" fmla="*/ 52388 h 1477409"/>
              <a:gd name="connsiteX5" fmla="*/ 654844 w 1623138"/>
              <a:gd name="connsiteY5" fmla="*/ 26194 h 1477409"/>
              <a:gd name="connsiteX6" fmla="*/ 421482 w 1623138"/>
              <a:gd name="connsiteY6" fmla="*/ 0 h 1477409"/>
              <a:gd name="connsiteX7" fmla="*/ 595313 w 1623138"/>
              <a:gd name="connsiteY7" fmla="*/ 445294 h 1477409"/>
              <a:gd name="connsiteX8" fmla="*/ 923925 w 1623138"/>
              <a:gd name="connsiteY8" fmla="*/ 685799 h 1477409"/>
              <a:gd name="connsiteX9" fmla="*/ 621506 w 1623138"/>
              <a:gd name="connsiteY9" fmla="*/ 1031079 h 1477409"/>
              <a:gd name="connsiteX10" fmla="*/ 0 w 1623138"/>
              <a:gd name="connsiteY10" fmla="*/ 797716 h 1477409"/>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798877"/>
              <a:gd name="connsiteX1" fmla="*/ 0 w 1623138"/>
              <a:gd name="connsiteY1" fmla="*/ 1647822 h 1798877"/>
              <a:gd name="connsiteX2" fmla="*/ 1574006 w 1623138"/>
              <a:gd name="connsiteY2" fmla="*/ 1302541 h 1798877"/>
              <a:gd name="connsiteX3" fmla="*/ 1264443 w 1623138"/>
              <a:gd name="connsiteY3" fmla="*/ 540542 h 1798877"/>
              <a:gd name="connsiteX4" fmla="*/ 835820 w 1623138"/>
              <a:gd name="connsiteY4" fmla="*/ 373856 h 1798877"/>
              <a:gd name="connsiteX5" fmla="*/ 807244 w 1623138"/>
              <a:gd name="connsiteY5" fmla="*/ 0 h 1798877"/>
              <a:gd name="connsiteX6" fmla="*/ 421482 w 1623138"/>
              <a:gd name="connsiteY6" fmla="*/ 321468 h 1798877"/>
              <a:gd name="connsiteX7" fmla="*/ 595313 w 1623138"/>
              <a:gd name="connsiteY7" fmla="*/ 766762 h 1798877"/>
              <a:gd name="connsiteX8" fmla="*/ 923925 w 1623138"/>
              <a:gd name="connsiteY8" fmla="*/ 1007267 h 1798877"/>
              <a:gd name="connsiteX9" fmla="*/ 621506 w 1623138"/>
              <a:gd name="connsiteY9" fmla="*/ 1352547 h 1798877"/>
              <a:gd name="connsiteX10" fmla="*/ 0 w 1623138"/>
              <a:gd name="connsiteY10" fmla="*/ 1119184 h 1798877"/>
              <a:gd name="connsiteX0" fmla="*/ 0 w 1623138"/>
              <a:gd name="connsiteY0" fmla="*/ 1119184 h 1652572"/>
              <a:gd name="connsiteX1" fmla="*/ 0 w 1623138"/>
              <a:gd name="connsiteY1" fmla="*/ 1647822 h 1652572"/>
              <a:gd name="connsiteX2" fmla="*/ 1574006 w 1623138"/>
              <a:gd name="connsiteY2" fmla="*/ 1302541 h 1652572"/>
              <a:gd name="connsiteX3" fmla="*/ 1264443 w 1623138"/>
              <a:gd name="connsiteY3" fmla="*/ 540542 h 1652572"/>
              <a:gd name="connsiteX4" fmla="*/ 835820 w 1623138"/>
              <a:gd name="connsiteY4" fmla="*/ 373856 h 1652572"/>
              <a:gd name="connsiteX5" fmla="*/ 807244 w 1623138"/>
              <a:gd name="connsiteY5" fmla="*/ 0 h 1652572"/>
              <a:gd name="connsiteX6" fmla="*/ 421482 w 1623138"/>
              <a:gd name="connsiteY6" fmla="*/ 321468 h 1652572"/>
              <a:gd name="connsiteX7" fmla="*/ 595313 w 1623138"/>
              <a:gd name="connsiteY7" fmla="*/ 766762 h 1652572"/>
              <a:gd name="connsiteX8" fmla="*/ 923925 w 1623138"/>
              <a:gd name="connsiteY8" fmla="*/ 1007267 h 1652572"/>
              <a:gd name="connsiteX9" fmla="*/ 621506 w 1623138"/>
              <a:gd name="connsiteY9" fmla="*/ 1352547 h 1652572"/>
              <a:gd name="connsiteX10" fmla="*/ 0 w 1623138"/>
              <a:gd name="connsiteY10" fmla="*/ 1119184 h 1652572"/>
              <a:gd name="connsiteX0" fmla="*/ 0 w 1627271"/>
              <a:gd name="connsiteY0" fmla="*/ 1119184 h 1712926"/>
              <a:gd name="connsiteX1" fmla="*/ 0 w 1627271"/>
              <a:gd name="connsiteY1" fmla="*/ 1647822 h 1712926"/>
              <a:gd name="connsiteX2" fmla="*/ 1574006 w 1627271"/>
              <a:gd name="connsiteY2" fmla="*/ 1302541 h 1712926"/>
              <a:gd name="connsiteX3" fmla="*/ 1264443 w 1627271"/>
              <a:gd name="connsiteY3" fmla="*/ 540542 h 1712926"/>
              <a:gd name="connsiteX4" fmla="*/ 835820 w 1627271"/>
              <a:gd name="connsiteY4" fmla="*/ 373856 h 1712926"/>
              <a:gd name="connsiteX5" fmla="*/ 807244 w 1627271"/>
              <a:gd name="connsiteY5" fmla="*/ 0 h 1712926"/>
              <a:gd name="connsiteX6" fmla="*/ 421482 w 1627271"/>
              <a:gd name="connsiteY6" fmla="*/ 321468 h 1712926"/>
              <a:gd name="connsiteX7" fmla="*/ 595313 w 1627271"/>
              <a:gd name="connsiteY7" fmla="*/ 766762 h 1712926"/>
              <a:gd name="connsiteX8" fmla="*/ 923925 w 1627271"/>
              <a:gd name="connsiteY8" fmla="*/ 1007267 h 1712926"/>
              <a:gd name="connsiteX9" fmla="*/ 621506 w 1627271"/>
              <a:gd name="connsiteY9" fmla="*/ 1352547 h 1712926"/>
              <a:gd name="connsiteX10" fmla="*/ 0 w 1627271"/>
              <a:gd name="connsiteY10" fmla="*/ 1119184 h 1712926"/>
              <a:gd name="connsiteX0" fmla="*/ 0 w 1627271"/>
              <a:gd name="connsiteY0" fmla="*/ 1119184 h 1797816"/>
              <a:gd name="connsiteX1" fmla="*/ 0 w 1627271"/>
              <a:gd name="connsiteY1" fmla="*/ 1647822 h 1797816"/>
              <a:gd name="connsiteX2" fmla="*/ 1574006 w 1627271"/>
              <a:gd name="connsiteY2" fmla="*/ 1302541 h 1797816"/>
              <a:gd name="connsiteX3" fmla="*/ 1264443 w 1627271"/>
              <a:gd name="connsiteY3" fmla="*/ 540542 h 1797816"/>
              <a:gd name="connsiteX4" fmla="*/ 835820 w 1627271"/>
              <a:gd name="connsiteY4" fmla="*/ 373856 h 1797816"/>
              <a:gd name="connsiteX5" fmla="*/ 807244 w 1627271"/>
              <a:gd name="connsiteY5" fmla="*/ 0 h 1797816"/>
              <a:gd name="connsiteX6" fmla="*/ 421482 w 1627271"/>
              <a:gd name="connsiteY6" fmla="*/ 321468 h 1797816"/>
              <a:gd name="connsiteX7" fmla="*/ 595313 w 1627271"/>
              <a:gd name="connsiteY7" fmla="*/ 766762 h 1797816"/>
              <a:gd name="connsiteX8" fmla="*/ 923925 w 1627271"/>
              <a:gd name="connsiteY8" fmla="*/ 1007267 h 1797816"/>
              <a:gd name="connsiteX9" fmla="*/ 621506 w 1627271"/>
              <a:gd name="connsiteY9" fmla="*/ 1352547 h 1797816"/>
              <a:gd name="connsiteX10" fmla="*/ 0 w 1627271"/>
              <a:gd name="connsiteY10" fmla="*/ 1119184 h 1797816"/>
              <a:gd name="connsiteX0" fmla="*/ 0 w 1622231"/>
              <a:gd name="connsiteY0" fmla="*/ 1119184 h 1773253"/>
              <a:gd name="connsiteX1" fmla="*/ 0 w 1622231"/>
              <a:gd name="connsiteY1" fmla="*/ 1647822 h 1773253"/>
              <a:gd name="connsiteX2" fmla="*/ 1574006 w 1622231"/>
              <a:gd name="connsiteY2" fmla="*/ 1302541 h 1773253"/>
              <a:gd name="connsiteX3" fmla="*/ 1264443 w 1622231"/>
              <a:gd name="connsiteY3" fmla="*/ 540542 h 1773253"/>
              <a:gd name="connsiteX4" fmla="*/ 835820 w 1622231"/>
              <a:gd name="connsiteY4" fmla="*/ 373856 h 1773253"/>
              <a:gd name="connsiteX5" fmla="*/ 807244 w 1622231"/>
              <a:gd name="connsiteY5" fmla="*/ 0 h 1773253"/>
              <a:gd name="connsiteX6" fmla="*/ 421482 w 1622231"/>
              <a:gd name="connsiteY6" fmla="*/ 321468 h 1773253"/>
              <a:gd name="connsiteX7" fmla="*/ 595313 w 1622231"/>
              <a:gd name="connsiteY7" fmla="*/ 766762 h 1773253"/>
              <a:gd name="connsiteX8" fmla="*/ 923925 w 1622231"/>
              <a:gd name="connsiteY8" fmla="*/ 1007267 h 1773253"/>
              <a:gd name="connsiteX9" fmla="*/ 621506 w 1622231"/>
              <a:gd name="connsiteY9" fmla="*/ 1352547 h 1773253"/>
              <a:gd name="connsiteX10" fmla="*/ 0 w 1622231"/>
              <a:gd name="connsiteY10" fmla="*/ 1119184 h 1773253"/>
              <a:gd name="connsiteX0" fmla="*/ 0 w 1622231"/>
              <a:gd name="connsiteY0" fmla="*/ 1119184 h 1800701"/>
              <a:gd name="connsiteX1" fmla="*/ 0 w 1622231"/>
              <a:gd name="connsiteY1" fmla="*/ 1647822 h 1800701"/>
              <a:gd name="connsiteX2" fmla="*/ 1574006 w 1622231"/>
              <a:gd name="connsiteY2" fmla="*/ 1302541 h 1800701"/>
              <a:gd name="connsiteX3" fmla="*/ 1264443 w 1622231"/>
              <a:gd name="connsiteY3" fmla="*/ 540542 h 1800701"/>
              <a:gd name="connsiteX4" fmla="*/ 835820 w 1622231"/>
              <a:gd name="connsiteY4" fmla="*/ 373856 h 1800701"/>
              <a:gd name="connsiteX5" fmla="*/ 807244 w 1622231"/>
              <a:gd name="connsiteY5" fmla="*/ 0 h 1800701"/>
              <a:gd name="connsiteX6" fmla="*/ 421482 w 1622231"/>
              <a:gd name="connsiteY6" fmla="*/ 321468 h 1800701"/>
              <a:gd name="connsiteX7" fmla="*/ 595313 w 1622231"/>
              <a:gd name="connsiteY7" fmla="*/ 766762 h 1800701"/>
              <a:gd name="connsiteX8" fmla="*/ 923925 w 1622231"/>
              <a:gd name="connsiteY8" fmla="*/ 1007267 h 1800701"/>
              <a:gd name="connsiteX9" fmla="*/ 621506 w 1622231"/>
              <a:gd name="connsiteY9" fmla="*/ 1352547 h 1800701"/>
              <a:gd name="connsiteX10" fmla="*/ 0 w 1622231"/>
              <a:gd name="connsiteY10" fmla="*/ 1119184 h 1800701"/>
              <a:gd name="connsiteX0" fmla="*/ 0 w 1552023"/>
              <a:gd name="connsiteY0" fmla="*/ 1119184 h 1859749"/>
              <a:gd name="connsiteX1" fmla="*/ 0 w 1552023"/>
              <a:gd name="connsiteY1" fmla="*/ 1647822 h 1859749"/>
              <a:gd name="connsiteX2" fmla="*/ 1462087 w 1552023"/>
              <a:gd name="connsiteY2" fmla="*/ 1469229 h 1859749"/>
              <a:gd name="connsiteX3" fmla="*/ 1264443 w 1552023"/>
              <a:gd name="connsiteY3" fmla="*/ 540542 h 1859749"/>
              <a:gd name="connsiteX4" fmla="*/ 835820 w 1552023"/>
              <a:gd name="connsiteY4" fmla="*/ 373856 h 1859749"/>
              <a:gd name="connsiteX5" fmla="*/ 807244 w 1552023"/>
              <a:gd name="connsiteY5" fmla="*/ 0 h 1859749"/>
              <a:gd name="connsiteX6" fmla="*/ 421482 w 1552023"/>
              <a:gd name="connsiteY6" fmla="*/ 321468 h 1859749"/>
              <a:gd name="connsiteX7" fmla="*/ 595313 w 1552023"/>
              <a:gd name="connsiteY7" fmla="*/ 766762 h 1859749"/>
              <a:gd name="connsiteX8" fmla="*/ 923925 w 1552023"/>
              <a:gd name="connsiteY8" fmla="*/ 1007267 h 1859749"/>
              <a:gd name="connsiteX9" fmla="*/ 621506 w 1552023"/>
              <a:gd name="connsiteY9" fmla="*/ 1352547 h 1859749"/>
              <a:gd name="connsiteX10" fmla="*/ 0 w 1552023"/>
              <a:gd name="connsiteY10" fmla="*/ 1119184 h 1859749"/>
              <a:gd name="connsiteX0" fmla="*/ 0 w 1571973"/>
              <a:gd name="connsiteY0" fmla="*/ 1119184 h 1800114"/>
              <a:gd name="connsiteX1" fmla="*/ 0 w 1571973"/>
              <a:gd name="connsiteY1" fmla="*/ 1647822 h 1800114"/>
              <a:gd name="connsiteX2" fmla="*/ 1462087 w 1571973"/>
              <a:gd name="connsiteY2" fmla="*/ 1469229 h 1800114"/>
              <a:gd name="connsiteX3" fmla="*/ 1264443 w 1571973"/>
              <a:gd name="connsiteY3" fmla="*/ 540542 h 1800114"/>
              <a:gd name="connsiteX4" fmla="*/ 835820 w 1571973"/>
              <a:gd name="connsiteY4" fmla="*/ 373856 h 1800114"/>
              <a:gd name="connsiteX5" fmla="*/ 807244 w 1571973"/>
              <a:gd name="connsiteY5" fmla="*/ 0 h 1800114"/>
              <a:gd name="connsiteX6" fmla="*/ 421482 w 1571973"/>
              <a:gd name="connsiteY6" fmla="*/ 321468 h 1800114"/>
              <a:gd name="connsiteX7" fmla="*/ 595313 w 1571973"/>
              <a:gd name="connsiteY7" fmla="*/ 766762 h 1800114"/>
              <a:gd name="connsiteX8" fmla="*/ 923925 w 1571973"/>
              <a:gd name="connsiteY8" fmla="*/ 1007267 h 1800114"/>
              <a:gd name="connsiteX9" fmla="*/ 621506 w 1571973"/>
              <a:gd name="connsiteY9" fmla="*/ 1352547 h 1800114"/>
              <a:gd name="connsiteX10" fmla="*/ 0 w 1571973"/>
              <a:gd name="connsiteY10" fmla="*/ 1119184 h 1800114"/>
              <a:gd name="connsiteX0" fmla="*/ 0 w 1620477"/>
              <a:gd name="connsiteY0" fmla="*/ 1119184 h 1800815"/>
              <a:gd name="connsiteX1" fmla="*/ 0 w 1620477"/>
              <a:gd name="connsiteY1" fmla="*/ 1647822 h 1800815"/>
              <a:gd name="connsiteX2" fmla="*/ 1462087 w 1620477"/>
              <a:gd name="connsiteY2" fmla="*/ 1469229 h 1800815"/>
              <a:gd name="connsiteX3" fmla="*/ 1264443 w 1620477"/>
              <a:gd name="connsiteY3" fmla="*/ 540542 h 1800815"/>
              <a:gd name="connsiteX4" fmla="*/ 835820 w 1620477"/>
              <a:gd name="connsiteY4" fmla="*/ 373856 h 1800815"/>
              <a:gd name="connsiteX5" fmla="*/ 807244 w 1620477"/>
              <a:gd name="connsiteY5" fmla="*/ 0 h 1800815"/>
              <a:gd name="connsiteX6" fmla="*/ 421482 w 1620477"/>
              <a:gd name="connsiteY6" fmla="*/ 321468 h 1800815"/>
              <a:gd name="connsiteX7" fmla="*/ 595313 w 1620477"/>
              <a:gd name="connsiteY7" fmla="*/ 766762 h 1800815"/>
              <a:gd name="connsiteX8" fmla="*/ 923925 w 1620477"/>
              <a:gd name="connsiteY8" fmla="*/ 1007267 h 1800815"/>
              <a:gd name="connsiteX9" fmla="*/ 621506 w 1620477"/>
              <a:gd name="connsiteY9" fmla="*/ 1352547 h 1800815"/>
              <a:gd name="connsiteX10" fmla="*/ 0 w 1620477"/>
              <a:gd name="connsiteY10" fmla="*/ 1119184 h 1800815"/>
              <a:gd name="connsiteX0" fmla="*/ 0 w 1629436"/>
              <a:gd name="connsiteY0" fmla="*/ 1119184 h 1799377"/>
              <a:gd name="connsiteX1" fmla="*/ 0 w 1629436"/>
              <a:gd name="connsiteY1" fmla="*/ 1647822 h 1799377"/>
              <a:gd name="connsiteX2" fmla="*/ 1476374 w 1629436"/>
              <a:gd name="connsiteY2" fmla="*/ 1464467 h 1799377"/>
              <a:gd name="connsiteX3" fmla="*/ 1264443 w 1629436"/>
              <a:gd name="connsiteY3" fmla="*/ 540542 h 1799377"/>
              <a:gd name="connsiteX4" fmla="*/ 835820 w 1629436"/>
              <a:gd name="connsiteY4" fmla="*/ 373856 h 1799377"/>
              <a:gd name="connsiteX5" fmla="*/ 807244 w 1629436"/>
              <a:gd name="connsiteY5" fmla="*/ 0 h 1799377"/>
              <a:gd name="connsiteX6" fmla="*/ 421482 w 1629436"/>
              <a:gd name="connsiteY6" fmla="*/ 321468 h 1799377"/>
              <a:gd name="connsiteX7" fmla="*/ 595313 w 1629436"/>
              <a:gd name="connsiteY7" fmla="*/ 766762 h 1799377"/>
              <a:gd name="connsiteX8" fmla="*/ 923925 w 1629436"/>
              <a:gd name="connsiteY8" fmla="*/ 1007267 h 1799377"/>
              <a:gd name="connsiteX9" fmla="*/ 621506 w 1629436"/>
              <a:gd name="connsiteY9" fmla="*/ 1352547 h 1799377"/>
              <a:gd name="connsiteX10" fmla="*/ 0 w 1629436"/>
              <a:gd name="connsiteY10" fmla="*/ 1119184 h 1799377"/>
              <a:gd name="connsiteX0" fmla="*/ 0 w 1606110"/>
              <a:gd name="connsiteY0" fmla="*/ 1119184 h 1796213"/>
              <a:gd name="connsiteX1" fmla="*/ 0 w 1606110"/>
              <a:gd name="connsiteY1" fmla="*/ 1647822 h 1796213"/>
              <a:gd name="connsiteX2" fmla="*/ 1476374 w 1606110"/>
              <a:gd name="connsiteY2" fmla="*/ 1464467 h 1796213"/>
              <a:gd name="connsiteX3" fmla="*/ 1264443 w 1606110"/>
              <a:gd name="connsiteY3" fmla="*/ 540542 h 1796213"/>
              <a:gd name="connsiteX4" fmla="*/ 835820 w 1606110"/>
              <a:gd name="connsiteY4" fmla="*/ 373856 h 1796213"/>
              <a:gd name="connsiteX5" fmla="*/ 807244 w 1606110"/>
              <a:gd name="connsiteY5" fmla="*/ 0 h 1796213"/>
              <a:gd name="connsiteX6" fmla="*/ 421482 w 1606110"/>
              <a:gd name="connsiteY6" fmla="*/ 321468 h 1796213"/>
              <a:gd name="connsiteX7" fmla="*/ 595313 w 1606110"/>
              <a:gd name="connsiteY7" fmla="*/ 766762 h 1796213"/>
              <a:gd name="connsiteX8" fmla="*/ 923925 w 1606110"/>
              <a:gd name="connsiteY8" fmla="*/ 1007267 h 1796213"/>
              <a:gd name="connsiteX9" fmla="*/ 621506 w 1606110"/>
              <a:gd name="connsiteY9" fmla="*/ 1352547 h 1796213"/>
              <a:gd name="connsiteX10" fmla="*/ 0 w 1606110"/>
              <a:gd name="connsiteY10" fmla="*/ 1119184 h 1796213"/>
              <a:gd name="connsiteX0" fmla="*/ 0 w 1625337"/>
              <a:gd name="connsiteY0" fmla="*/ 1119184 h 1796213"/>
              <a:gd name="connsiteX1" fmla="*/ 0 w 1625337"/>
              <a:gd name="connsiteY1" fmla="*/ 1647822 h 1796213"/>
              <a:gd name="connsiteX2" fmla="*/ 1476374 w 1625337"/>
              <a:gd name="connsiteY2" fmla="*/ 1464467 h 1796213"/>
              <a:gd name="connsiteX3" fmla="*/ 1264443 w 1625337"/>
              <a:gd name="connsiteY3" fmla="*/ 540542 h 1796213"/>
              <a:gd name="connsiteX4" fmla="*/ 835820 w 1625337"/>
              <a:gd name="connsiteY4" fmla="*/ 373856 h 1796213"/>
              <a:gd name="connsiteX5" fmla="*/ 807244 w 1625337"/>
              <a:gd name="connsiteY5" fmla="*/ 0 h 1796213"/>
              <a:gd name="connsiteX6" fmla="*/ 421482 w 1625337"/>
              <a:gd name="connsiteY6" fmla="*/ 321468 h 1796213"/>
              <a:gd name="connsiteX7" fmla="*/ 595313 w 1625337"/>
              <a:gd name="connsiteY7" fmla="*/ 766762 h 1796213"/>
              <a:gd name="connsiteX8" fmla="*/ 923925 w 1625337"/>
              <a:gd name="connsiteY8" fmla="*/ 1007267 h 1796213"/>
              <a:gd name="connsiteX9" fmla="*/ 621506 w 1625337"/>
              <a:gd name="connsiteY9" fmla="*/ 1352547 h 1796213"/>
              <a:gd name="connsiteX10" fmla="*/ 0 w 1625337"/>
              <a:gd name="connsiteY10" fmla="*/ 1119184 h 1796213"/>
              <a:gd name="connsiteX0" fmla="*/ 0 w 1625337"/>
              <a:gd name="connsiteY0" fmla="*/ 1119184 h 1803595"/>
              <a:gd name="connsiteX1" fmla="*/ 0 w 1625337"/>
              <a:gd name="connsiteY1" fmla="*/ 1647822 h 1803595"/>
              <a:gd name="connsiteX2" fmla="*/ 1476374 w 1625337"/>
              <a:gd name="connsiteY2" fmla="*/ 1464467 h 1803595"/>
              <a:gd name="connsiteX3" fmla="*/ 1264443 w 1625337"/>
              <a:gd name="connsiteY3" fmla="*/ 540542 h 1803595"/>
              <a:gd name="connsiteX4" fmla="*/ 835820 w 1625337"/>
              <a:gd name="connsiteY4" fmla="*/ 373856 h 1803595"/>
              <a:gd name="connsiteX5" fmla="*/ 807244 w 1625337"/>
              <a:gd name="connsiteY5" fmla="*/ 0 h 1803595"/>
              <a:gd name="connsiteX6" fmla="*/ 421482 w 1625337"/>
              <a:gd name="connsiteY6" fmla="*/ 321468 h 1803595"/>
              <a:gd name="connsiteX7" fmla="*/ 595313 w 1625337"/>
              <a:gd name="connsiteY7" fmla="*/ 766762 h 1803595"/>
              <a:gd name="connsiteX8" fmla="*/ 923925 w 1625337"/>
              <a:gd name="connsiteY8" fmla="*/ 1007267 h 1803595"/>
              <a:gd name="connsiteX9" fmla="*/ 621506 w 1625337"/>
              <a:gd name="connsiteY9" fmla="*/ 1352547 h 1803595"/>
              <a:gd name="connsiteX10" fmla="*/ 0 w 1625337"/>
              <a:gd name="connsiteY10" fmla="*/ 1119184 h 1803595"/>
              <a:gd name="connsiteX0" fmla="*/ 0 w 1625337"/>
              <a:gd name="connsiteY0" fmla="*/ 1119184 h 1799376"/>
              <a:gd name="connsiteX1" fmla="*/ 0 w 1625337"/>
              <a:gd name="connsiteY1" fmla="*/ 1647822 h 1799376"/>
              <a:gd name="connsiteX2" fmla="*/ 1476374 w 1625337"/>
              <a:gd name="connsiteY2" fmla="*/ 1464467 h 1799376"/>
              <a:gd name="connsiteX3" fmla="*/ 1264443 w 1625337"/>
              <a:gd name="connsiteY3" fmla="*/ 540542 h 1799376"/>
              <a:gd name="connsiteX4" fmla="*/ 835820 w 1625337"/>
              <a:gd name="connsiteY4" fmla="*/ 373856 h 1799376"/>
              <a:gd name="connsiteX5" fmla="*/ 807244 w 1625337"/>
              <a:gd name="connsiteY5" fmla="*/ 0 h 1799376"/>
              <a:gd name="connsiteX6" fmla="*/ 421482 w 1625337"/>
              <a:gd name="connsiteY6" fmla="*/ 321468 h 1799376"/>
              <a:gd name="connsiteX7" fmla="*/ 595313 w 1625337"/>
              <a:gd name="connsiteY7" fmla="*/ 766762 h 1799376"/>
              <a:gd name="connsiteX8" fmla="*/ 923925 w 1625337"/>
              <a:gd name="connsiteY8" fmla="*/ 1007267 h 1799376"/>
              <a:gd name="connsiteX9" fmla="*/ 621506 w 1625337"/>
              <a:gd name="connsiteY9" fmla="*/ 1352547 h 1799376"/>
              <a:gd name="connsiteX10" fmla="*/ 0 w 1625337"/>
              <a:gd name="connsiteY10" fmla="*/ 1119184 h 1799376"/>
              <a:gd name="connsiteX0" fmla="*/ 0 w 1635914"/>
              <a:gd name="connsiteY0" fmla="*/ 1119184 h 1799376"/>
              <a:gd name="connsiteX1" fmla="*/ 0 w 1635914"/>
              <a:gd name="connsiteY1" fmla="*/ 1647822 h 1799376"/>
              <a:gd name="connsiteX2" fmla="*/ 1476374 w 1635914"/>
              <a:gd name="connsiteY2" fmla="*/ 1464467 h 1799376"/>
              <a:gd name="connsiteX3" fmla="*/ 1264443 w 1635914"/>
              <a:gd name="connsiteY3" fmla="*/ 540542 h 1799376"/>
              <a:gd name="connsiteX4" fmla="*/ 835820 w 1635914"/>
              <a:gd name="connsiteY4" fmla="*/ 373856 h 1799376"/>
              <a:gd name="connsiteX5" fmla="*/ 807244 w 1635914"/>
              <a:gd name="connsiteY5" fmla="*/ 0 h 1799376"/>
              <a:gd name="connsiteX6" fmla="*/ 421482 w 1635914"/>
              <a:gd name="connsiteY6" fmla="*/ 321468 h 1799376"/>
              <a:gd name="connsiteX7" fmla="*/ 595313 w 1635914"/>
              <a:gd name="connsiteY7" fmla="*/ 766762 h 1799376"/>
              <a:gd name="connsiteX8" fmla="*/ 923925 w 1635914"/>
              <a:gd name="connsiteY8" fmla="*/ 1007267 h 1799376"/>
              <a:gd name="connsiteX9" fmla="*/ 621506 w 1635914"/>
              <a:gd name="connsiteY9" fmla="*/ 1352547 h 1799376"/>
              <a:gd name="connsiteX10" fmla="*/ 0 w 1635914"/>
              <a:gd name="connsiteY10" fmla="*/ 1119184 h 1799376"/>
              <a:gd name="connsiteX0" fmla="*/ 0 w 1720482"/>
              <a:gd name="connsiteY0" fmla="*/ 1119184 h 1772537"/>
              <a:gd name="connsiteX1" fmla="*/ 0 w 1720482"/>
              <a:gd name="connsiteY1" fmla="*/ 1647822 h 1772537"/>
              <a:gd name="connsiteX2" fmla="*/ 1476374 w 1720482"/>
              <a:gd name="connsiteY2" fmla="*/ 1464467 h 1772537"/>
              <a:gd name="connsiteX3" fmla="*/ 1397793 w 1720482"/>
              <a:gd name="connsiteY3" fmla="*/ 626267 h 1772537"/>
              <a:gd name="connsiteX4" fmla="*/ 835820 w 1720482"/>
              <a:gd name="connsiteY4" fmla="*/ 373856 h 1772537"/>
              <a:gd name="connsiteX5" fmla="*/ 807244 w 1720482"/>
              <a:gd name="connsiteY5" fmla="*/ 0 h 1772537"/>
              <a:gd name="connsiteX6" fmla="*/ 421482 w 1720482"/>
              <a:gd name="connsiteY6" fmla="*/ 321468 h 1772537"/>
              <a:gd name="connsiteX7" fmla="*/ 595313 w 1720482"/>
              <a:gd name="connsiteY7" fmla="*/ 766762 h 1772537"/>
              <a:gd name="connsiteX8" fmla="*/ 923925 w 1720482"/>
              <a:gd name="connsiteY8" fmla="*/ 1007267 h 1772537"/>
              <a:gd name="connsiteX9" fmla="*/ 621506 w 1720482"/>
              <a:gd name="connsiteY9" fmla="*/ 1352547 h 1772537"/>
              <a:gd name="connsiteX10" fmla="*/ 0 w 1720482"/>
              <a:gd name="connsiteY10" fmla="*/ 1119184 h 1772537"/>
              <a:gd name="connsiteX0" fmla="*/ 0 w 1630664"/>
              <a:gd name="connsiteY0" fmla="*/ 1119184 h 1772537"/>
              <a:gd name="connsiteX1" fmla="*/ 0 w 1630664"/>
              <a:gd name="connsiteY1" fmla="*/ 1647822 h 1772537"/>
              <a:gd name="connsiteX2" fmla="*/ 1476374 w 1630664"/>
              <a:gd name="connsiteY2" fmla="*/ 1464467 h 1772537"/>
              <a:gd name="connsiteX3" fmla="*/ 1397793 w 1630664"/>
              <a:gd name="connsiteY3" fmla="*/ 626267 h 1772537"/>
              <a:gd name="connsiteX4" fmla="*/ 835820 w 1630664"/>
              <a:gd name="connsiteY4" fmla="*/ 373856 h 1772537"/>
              <a:gd name="connsiteX5" fmla="*/ 807244 w 1630664"/>
              <a:gd name="connsiteY5" fmla="*/ 0 h 1772537"/>
              <a:gd name="connsiteX6" fmla="*/ 421482 w 1630664"/>
              <a:gd name="connsiteY6" fmla="*/ 321468 h 1772537"/>
              <a:gd name="connsiteX7" fmla="*/ 595313 w 1630664"/>
              <a:gd name="connsiteY7" fmla="*/ 766762 h 1772537"/>
              <a:gd name="connsiteX8" fmla="*/ 923925 w 1630664"/>
              <a:gd name="connsiteY8" fmla="*/ 1007267 h 1772537"/>
              <a:gd name="connsiteX9" fmla="*/ 621506 w 1630664"/>
              <a:gd name="connsiteY9" fmla="*/ 1352547 h 1772537"/>
              <a:gd name="connsiteX10" fmla="*/ 0 w 1630664"/>
              <a:gd name="connsiteY10" fmla="*/ 1119184 h 1772537"/>
              <a:gd name="connsiteX0" fmla="*/ 0 w 1615856"/>
              <a:gd name="connsiteY0" fmla="*/ 1119184 h 1800557"/>
              <a:gd name="connsiteX1" fmla="*/ 0 w 1615856"/>
              <a:gd name="connsiteY1" fmla="*/ 1647822 h 1800557"/>
              <a:gd name="connsiteX2" fmla="*/ 1476374 w 1615856"/>
              <a:gd name="connsiteY2" fmla="*/ 1464467 h 1800557"/>
              <a:gd name="connsiteX3" fmla="*/ 1397793 w 1615856"/>
              <a:gd name="connsiteY3" fmla="*/ 626267 h 1800557"/>
              <a:gd name="connsiteX4" fmla="*/ 835820 w 1615856"/>
              <a:gd name="connsiteY4" fmla="*/ 373856 h 1800557"/>
              <a:gd name="connsiteX5" fmla="*/ 807244 w 1615856"/>
              <a:gd name="connsiteY5" fmla="*/ 0 h 1800557"/>
              <a:gd name="connsiteX6" fmla="*/ 421482 w 1615856"/>
              <a:gd name="connsiteY6" fmla="*/ 321468 h 1800557"/>
              <a:gd name="connsiteX7" fmla="*/ 595313 w 1615856"/>
              <a:gd name="connsiteY7" fmla="*/ 766762 h 1800557"/>
              <a:gd name="connsiteX8" fmla="*/ 923925 w 1615856"/>
              <a:gd name="connsiteY8" fmla="*/ 1007267 h 1800557"/>
              <a:gd name="connsiteX9" fmla="*/ 621506 w 1615856"/>
              <a:gd name="connsiteY9" fmla="*/ 1352547 h 1800557"/>
              <a:gd name="connsiteX10" fmla="*/ 0 w 1615856"/>
              <a:gd name="connsiteY10" fmla="*/ 1119184 h 1800557"/>
              <a:gd name="connsiteX0" fmla="*/ 0 w 1626496"/>
              <a:gd name="connsiteY0" fmla="*/ 1119184 h 1800277"/>
              <a:gd name="connsiteX1" fmla="*/ 0 w 1626496"/>
              <a:gd name="connsiteY1" fmla="*/ 1647822 h 1800277"/>
              <a:gd name="connsiteX2" fmla="*/ 1476374 w 1626496"/>
              <a:gd name="connsiteY2" fmla="*/ 1464467 h 1800277"/>
              <a:gd name="connsiteX3" fmla="*/ 1397793 w 1626496"/>
              <a:gd name="connsiteY3" fmla="*/ 626267 h 1800277"/>
              <a:gd name="connsiteX4" fmla="*/ 835820 w 1626496"/>
              <a:gd name="connsiteY4" fmla="*/ 373856 h 1800277"/>
              <a:gd name="connsiteX5" fmla="*/ 807244 w 1626496"/>
              <a:gd name="connsiteY5" fmla="*/ 0 h 1800277"/>
              <a:gd name="connsiteX6" fmla="*/ 421482 w 1626496"/>
              <a:gd name="connsiteY6" fmla="*/ 321468 h 1800277"/>
              <a:gd name="connsiteX7" fmla="*/ 595313 w 1626496"/>
              <a:gd name="connsiteY7" fmla="*/ 766762 h 1800277"/>
              <a:gd name="connsiteX8" fmla="*/ 923925 w 1626496"/>
              <a:gd name="connsiteY8" fmla="*/ 1007267 h 1800277"/>
              <a:gd name="connsiteX9" fmla="*/ 621506 w 1626496"/>
              <a:gd name="connsiteY9" fmla="*/ 1352547 h 1800277"/>
              <a:gd name="connsiteX10" fmla="*/ 0 w 1626496"/>
              <a:gd name="connsiteY10" fmla="*/ 1119184 h 18002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626496" h="1800277">
                <a:moveTo>
                  <a:pt x="0" y="1119184"/>
                </a:moveTo>
                <a:lnTo>
                  <a:pt x="0" y="1647822"/>
                </a:lnTo>
                <a:cubicBezTo>
                  <a:pt x="686196" y="1947462"/>
                  <a:pt x="1196953" y="1762179"/>
                  <a:pt x="1476374" y="1464467"/>
                </a:cubicBezTo>
                <a:cubicBezTo>
                  <a:pt x="1699180" y="1227076"/>
                  <a:pt x="1674781" y="817990"/>
                  <a:pt x="1397793" y="626267"/>
                </a:cubicBezTo>
                <a:cubicBezTo>
                  <a:pt x="1228944" y="509394"/>
                  <a:pt x="1023144" y="457993"/>
                  <a:pt x="835820" y="373856"/>
                </a:cubicBezTo>
                <a:cubicBezTo>
                  <a:pt x="676275" y="325437"/>
                  <a:pt x="542926" y="112711"/>
                  <a:pt x="807244" y="0"/>
                </a:cubicBezTo>
                <a:cubicBezTo>
                  <a:pt x="507207" y="50006"/>
                  <a:pt x="440530" y="235745"/>
                  <a:pt x="421482" y="321468"/>
                </a:cubicBezTo>
                <a:cubicBezTo>
                  <a:pt x="362745" y="574674"/>
                  <a:pt x="546894" y="723107"/>
                  <a:pt x="595313" y="766762"/>
                </a:cubicBezTo>
                <a:cubicBezTo>
                  <a:pt x="664369" y="835024"/>
                  <a:pt x="857250" y="884236"/>
                  <a:pt x="923925" y="1007267"/>
                </a:cubicBezTo>
                <a:cubicBezTo>
                  <a:pt x="992188" y="1158079"/>
                  <a:pt x="883541" y="1334500"/>
                  <a:pt x="621506" y="1352547"/>
                </a:cubicBezTo>
                <a:cubicBezTo>
                  <a:pt x="455755" y="1363963"/>
                  <a:pt x="205977" y="1265235"/>
                  <a:pt x="0" y="1119184"/>
                </a:cubicBezTo>
                <a:close/>
              </a:path>
            </a:pathLst>
          </a:custGeom>
          <a:grpFill/>
          <a:ln w="1270">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1"/>
              </a:solidFill>
            </a:endParaRPr>
          </a:p>
        </xdr:txBody>
      </xdr:sp>
      <xdr:sp macro="" textlink="">
        <xdr:nvSpPr>
          <xdr:cNvPr id="7" name="Freeform 14">
            <a:extLst>
              <a:ext uri="{FF2B5EF4-FFF2-40B4-BE49-F238E27FC236}">
                <a16:creationId xmlns:a16="http://schemas.microsoft.com/office/drawing/2014/main" id="{3207EE1E-E221-404F-BD48-517A534504EC}"/>
              </a:ext>
            </a:extLst>
          </xdr:cNvPr>
          <xdr:cNvSpPr/>
        </xdr:nvSpPr>
        <xdr:spPr>
          <a:xfrm>
            <a:off x="7284854" y="1348704"/>
            <a:ext cx="290370" cy="168163"/>
          </a:xfrm>
          <a:custGeom>
            <a:avLst/>
            <a:gdLst>
              <a:gd name="connsiteX0" fmla="*/ 1404937 w 1404937"/>
              <a:gd name="connsiteY0" fmla="*/ 635794 h 788194"/>
              <a:gd name="connsiteX1" fmla="*/ 1402556 w 1404937"/>
              <a:gd name="connsiteY1" fmla="*/ 64294 h 788194"/>
              <a:gd name="connsiteX2" fmla="*/ 547687 w 1404937"/>
              <a:gd name="connsiteY2" fmla="*/ 0 h 788194"/>
              <a:gd name="connsiteX3" fmla="*/ 14287 w 1404937"/>
              <a:gd name="connsiteY3" fmla="*/ 469106 h 788194"/>
              <a:gd name="connsiteX4" fmla="*/ 0 w 1404937"/>
              <a:gd name="connsiteY4" fmla="*/ 788194 h 788194"/>
              <a:gd name="connsiteX5" fmla="*/ 283368 w 1404937"/>
              <a:gd name="connsiteY5" fmla="*/ 438150 h 788194"/>
              <a:gd name="connsiteX6" fmla="*/ 821531 w 1404937"/>
              <a:gd name="connsiteY6" fmla="*/ 371475 h 788194"/>
              <a:gd name="connsiteX7" fmla="*/ 1404937 w 1404937"/>
              <a:gd name="connsiteY7" fmla="*/ 635794 h 788194"/>
              <a:gd name="connsiteX0" fmla="*/ 1404937 w 1404937"/>
              <a:gd name="connsiteY0" fmla="*/ 635794 h 788194"/>
              <a:gd name="connsiteX1" fmla="*/ 1402556 w 1404937"/>
              <a:gd name="connsiteY1" fmla="*/ 64294 h 788194"/>
              <a:gd name="connsiteX2" fmla="*/ 547687 w 1404937"/>
              <a:gd name="connsiteY2" fmla="*/ 0 h 788194"/>
              <a:gd name="connsiteX3" fmla="*/ 14287 w 1404937"/>
              <a:gd name="connsiteY3" fmla="*/ 469106 h 788194"/>
              <a:gd name="connsiteX4" fmla="*/ 0 w 1404937"/>
              <a:gd name="connsiteY4" fmla="*/ 788194 h 788194"/>
              <a:gd name="connsiteX5" fmla="*/ 283368 w 1404937"/>
              <a:gd name="connsiteY5" fmla="*/ 438150 h 788194"/>
              <a:gd name="connsiteX6" fmla="*/ 821531 w 1404937"/>
              <a:gd name="connsiteY6" fmla="*/ 371475 h 788194"/>
              <a:gd name="connsiteX7" fmla="*/ 1404937 w 1404937"/>
              <a:gd name="connsiteY7" fmla="*/ 635794 h 788194"/>
              <a:gd name="connsiteX0" fmla="*/ 1404937 w 1404937"/>
              <a:gd name="connsiteY0" fmla="*/ 635794 h 788194"/>
              <a:gd name="connsiteX1" fmla="*/ 1402556 w 1404937"/>
              <a:gd name="connsiteY1" fmla="*/ 64294 h 788194"/>
              <a:gd name="connsiteX2" fmla="*/ 547687 w 1404937"/>
              <a:gd name="connsiteY2" fmla="*/ 0 h 788194"/>
              <a:gd name="connsiteX3" fmla="*/ 14287 w 1404937"/>
              <a:gd name="connsiteY3" fmla="*/ 469106 h 788194"/>
              <a:gd name="connsiteX4" fmla="*/ 0 w 1404937"/>
              <a:gd name="connsiteY4" fmla="*/ 788194 h 788194"/>
              <a:gd name="connsiteX5" fmla="*/ 283368 w 1404937"/>
              <a:gd name="connsiteY5" fmla="*/ 438150 h 788194"/>
              <a:gd name="connsiteX6" fmla="*/ 821531 w 1404937"/>
              <a:gd name="connsiteY6" fmla="*/ 371475 h 788194"/>
              <a:gd name="connsiteX7" fmla="*/ 1404937 w 1404937"/>
              <a:gd name="connsiteY7" fmla="*/ 635794 h 788194"/>
              <a:gd name="connsiteX0" fmla="*/ 1404937 w 1404937"/>
              <a:gd name="connsiteY0" fmla="*/ 635794 h 788194"/>
              <a:gd name="connsiteX1" fmla="*/ 1402556 w 1404937"/>
              <a:gd name="connsiteY1" fmla="*/ 64294 h 788194"/>
              <a:gd name="connsiteX2" fmla="*/ 547687 w 1404937"/>
              <a:gd name="connsiteY2" fmla="*/ 0 h 788194"/>
              <a:gd name="connsiteX3" fmla="*/ 14287 w 1404937"/>
              <a:gd name="connsiteY3" fmla="*/ 469106 h 788194"/>
              <a:gd name="connsiteX4" fmla="*/ 0 w 1404937"/>
              <a:gd name="connsiteY4" fmla="*/ 788194 h 788194"/>
              <a:gd name="connsiteX5" fmla="*/ 283368 w 1404937"/>
              <a:gd name="connsiteY5" fmla="*/ 438150 h 788194"/>
              <a:gd name="connsiteX6" fmla="*/ 821531 w 1404937"/>
              <a:gd name="connsiteY6" fmla="*/ 371475 h 788194"/>
              <a:gd name="connsiteX7" fmla="*/ 1404937 w 1404937"/>
              <a:gd name="connsiteY7" fmla="*/ 635794 h 788194"/>
              <a:gd name="connsiteX0" fmla="*/ 1404937 w 1404937"/>
              <a:gd name="connsiteY0" fmla="*/ 635794 h 788194"/>
              <a:gd name="connsiteX1" fmla="*/ 1402556 w 1404937"/>
              <a:gd name="connsiteY1" fmla="*/ 64294 h 788194"/>
              <a:gd name="connsiteX2" fmla="*/ 547687 w 1404937"/>
              <a:gd name="connsiteY2" fmla="*/ 0 h 788194"/>
              <a:gd name="connsiteX3" fmla="*/ 14287 w 1404937"/>
              <a:gd name="connsiteY3" fmla="*/ 469106 h 788194"/>
              <a:gd name="connsiteX4" fmla="*/ 0 w 1404937"/>
              <a:gd name="connsiteY4" fmla="*/ 788194 h 788194"/>
              <a:gd name="connsiteX5" fmla="*/ 283368 w 1404937"/>
              <a:gd name="connsiteY5" fmla="*/ 438150 h 788194"/>
              <a:gd name="connsiteX6" fmla="*/ 821531 w 1404937"/>
              <a:gd name="connsiteY6" fmla="*/ 371475 h 788194"/>
              <a:gd name="connsiteX7" fmla="*/ 1404937 w 1404937"/>
              <a:gd name="connsiteY7" fmla="*/ 635794 h 788194"/>
              <a:gd name="connsiteX0" fmla="*/ 1404937 w 1404937"/>
              <a:gd name="connsiteY0" fmla="*/ 635794 h 788194"/>
              <a:gd name="connsiteX1" fmla="*/ 1402556 w 1404937"/>
              <a:gd name="connsiteY1" fmla="*/ 64294 h 788194"/>
              <a:gd name="connsiteX2" fmla="*/ 547687 w 1404937"/>
              <a:gd name="connsiteY2" fmla="*/ 0 h 788194"/>
              <a:gd name="connsiteX3" fmla="*/ 14287 w 1404937"/>
              <a:gd name="connsiteY3" fmla="*/ 469106 h 788194"/>
              <a:gd name="connsiteX4" fmla="*/ 0 w 1404937"/>
              <a:gd name="connsiteY4" fmla="*/ 788194 h 788194"/>
              <a:gd name="connsiteX5" fmla="*/ 283368 w 1404937"/>
              <a:gd name="connsiteY5" fmla="*/ 438150 h 788194"/>
              <a:gd name="connsiteX6" fmla="*/ 821531 w 1404937"/>
              <a:gd name="connsiteY6" fmla="*/ 371475 h 788194"/>
              <a:gd name="connsiteX7" fmla="*/ 1404937 w 1404937"/>
              <a:gd name="connsiteY7" fmla="*/ 635794 h 788194"/>
              <a:gd name="connsiteX0" fmla="*/ 1404937 w 1404937"/>
              <a:gd name="connsiteY0" fmla="*/ 635794 h 788194"/>
              <a:gd name="connsiteX1" fmla="*/ 1402556 w 1404937"/>
              <a:gd name="connsiteY1" fmla="*/ 64294 h 788194"/>
              <a:gd name="connsiteX2" fmla="*/ 547687 w 1404937"/>
              <a:gd name="connsiteY2" fmla="*/ 0 h 788194"/>
              <a:gd name="connsiteX3" fmla="*/ 14287 w 1404937"/>
              <a:gd name="connsiteY3" fmla="*/ 469106 h 788194"/>
              <a:gd name="connsiteX4" fmla="*/ 0 w 1404937"/>
              <a:gd name="connsiteY4" fmla="*/ 788194 h 788194"/>
              <a:gd name="connsiteX5" fmla="*/ 283368 w 1404937"/>
              <a:gd name="connsiteY5" fmla="*/ 438150 h 788194"/>
              <a:gd name="connsiteX6" fmla="*/ 821531 w 1404937"/>
              <a:gd name="connsiteY6" fmla="*/ 371475 h 788194"/>
              <a:gd name="connsiteX7" fmla="*/ 1404937 w 1404937"/>
              <a:gd name="connsiteY7" fmla="*/ 635794 h 788194"/>
              <a:gd name="connsiteX0" fmla="*/ 1404937 w 1404937"/>
              <a:gd name="connsiteY0" fmla="*/ 635794 h 788194"/>
              <a:gd name="connsiteX1" fmla="*/ 1402556 w 1404937"/>
              <a:gd name="connsiteY1" fmla="*/ 64294 h 788194"/>
              <a:gd name="connsiteX2" fmla="*/ 547687 w 1404937"/>
              <a:gd name="connsiteY2" fmla="*/ 0 h 788194"/>
              <a:gd name="connsiteX3" fmla="*/ 14287 w 1404937"/>
              <a:gd name="connsiteY3" fmla="*/ 469106 h 788194"/>
              <a:gd name="connsiteX4" fmla="*/ 0 w 1404937"/>
              <a:gd name="connsiteY4" fmla="*/ 788194 h 788194"/>
              <a:gd name="connsiteX5" fmla="*/ 283368 w 1404937"/>
              <a:gd name="connsiteY5" fmla="*/ 438150 h 788194"/>
              <a:gd name="connsiteX6" fmla="*/ 821531 w 1404937"/>
              <a:gd name="connsiteY6" fmla="*/ 371475 h 788194"/>
              <a:gd name="connsiteX7" fmla="*/ 1404937 w 1404937"/>
              <a:gd name="connsiteY7" fmla="*/ 635794 h 788194"/>
              <a:gd name="connsiteX0" fmla="*/ 1404937 w 1404937"/>
              <a:gd name="connsiteY0" fmla="*/ 635794 h 788194"/>
              <a:gd name="connsiteX1" fmla="*/ 1402556 w 1404937"/>
              <a:gd name="connsiteY1" fmla="*/ 64294 h 788194"/>
              <a:gd name="connsiteX2" fmla="*/ 547687 w 1404937"/>
              <a:gd name="connsiteY2" fmla="*/ 0 h 788194"/>
              <a:gd name="connsiteX3" fmla="*/ 14287 w 1404937"/>
              <a:gd name="connsiteY3" fmla="*/ 469106 h 788194"/>
              <a:gd name="connsiteX4" fmla="*/ 0 w 1404937"/>
              <a:gd name="connsiteY4" fmla="*/ 788194 h 788194"/>
              <a:gd name="connsiteX5" fmla="*/ 283368 w 1404937"/>
              <a:gd name="connsiteY5" fmla="*/ 438150 h 788194"/>
              <a:gd name="connsiteX6" fmla="*/ 821531 w 1404937"/>
              <a:gd name="connsiteY6" fmla="*/ 371475 h 788194"/>
              <a:gd name="connsiteX7" fmla="*/ 1404937 w 1404937"/>
              <a:gd name="connsiteY7" fmla="*/ 635794 h 788194"/>
              <a:gd name="connsiteX0" fmla="*/ 1404937 w 1413690"/>
              <a:gd name="connsiteY0" fmla="*/ 635794 h 788194"/>
              <a:gd name="connsiteX1" fmla="*/ 1402556 w 1413690"/>
              <a:gd name="connsiteY1" fmla="*/ 64294 h 788194"/>
              <a:gd name="connsiteX2" fmla="*/ 547687 w 1413690"/>
              <a:gd name="connsiteY2" fmla="*/ 0 h 788194"/>
              <a:gd name="connsiteX3" fmla="*/ 14287 w 1413690"/>
              <a:gd name="connsiteY3" fmla="*/ 469106 h 788194"/>
              <a:gd name="connsiteX4" fmla="*/ 0 w 1413690"/>
              <a:gd name="connsiteY4" fmla="*/ 788194 h 788194"/>
              <a:gd name="connsiteX5" fmla="*/ 283368 w 1413690"/>
              <a:gd name="connsiteY5" fmla="*/ 438150 h 788194"/>
              <a:gd name="connsiteX6" fmla="*/ 821531 w 1413690"/>
              <a:gd name="connsiteY6" fmla="*/ 371475 h 788194"/>
              <a:gd name="connsiteX7" fmla="*/ 1404937 w 1413690"/>
              <a:gd name="connsiteY7" fmla="*/ 635794 h 788194"/>
              <a:gd name="connsiteX0" fmla="*/ 1404937 w 1417413"/>
              <a:gd name="connsiteY0" fmla="*/ 635794 h 788194"/>
              <a:gd name="connsiteX1" fmla="*/ 1402556 w 1417413"/>
              <a:gd name="connsiteY1" fmla="*/ 64294 h 788194"/>
              <a:gd name="connsiteX2" fmla="*/ 547687 w 1417413"/>
              <a:gd name="connsiteY2" fmla="*/ 0 h 788194"/>
              <a:gd name="connsiteX3" fmla="*/ 14287 w 1417413"/>
              <a:gd name="connsiteY3" fmla="*/ 469106 h 788194"/>
              <a:gd name="connsiteX4" fmla="*/ 0 w 1417413"/>
              <a:gd name="connsiteY4" fmla="*/ 788194 h 788194"/>
              <a:gd name="connsiteX5" fmla="*/ 283368 w 1417413"/>
              <a:gd name="connsiteY5" fmla="*/ 438150 h 788194"/>
              <a:gd name="connsiteX6" fmla="*/ 821531 w 1417413"/>
              <a:gd name="connsiteY6" fmla="*/ 371475 h 788194"/>
              <a:gd name="connsiteX7" fmla="*/ 1404937 w 1417413"/>
              <a:gd name="connsiteY7" fmla="*/ 635794 h 788194"/>
              <a:gd name="connsiteX0" fmla="*/ 1404937 w 1417413"/>
              <a:gd name="connsiteY0" fmla="*/ 636458 h 788858"/>
              <a:gd name="connsiteX1" fmla="*/ 1402556 w 1417413"/>
              <a:gd name="connsiteY1" fmla="*/ 64958 h 788858"/>
              <a:gd name="connsiteX2" fmla="*/ 547687 w 1417413"/>
              <a:gd name="connsiteY2" fmla="*/ 664 h 788858"/>
              <a:gd name="connsiteX3" fmla="*/ 14287 w 1417413"/>
              <a:gd name="connsiteY3" fmla="*/ 469770 h 788858"/>
              <a:gd name="connsiteX4" fmla="*/ 0 w 1417413"/>
              <a:gd name="connsiteY4" fmla="*/ 788858 h 788858"/>
              <a:gd name="connsiteX5" fmla="*/ 283368 w 1417413"/>
              <a:gd name="connsiteY5" fmla="*/ 438814 h 788858"/>
              <a:gd name="connsiteX6" fmla="*/ 821531 w 1417413"/>
              <a:gd name="connsiteY6" fmla="*/ 372139 h 788858"/>
              <a:gd name="connsiteX7" fmla="*/ 1404937 w 1417413"/>
              <a:gd name="connsiteY7" fmla="*/ 636458 h 788858"/>
              <a:gd name="connsiteX0" fmla="*/ 1404937 w 1417413"/>
              <a:gd name="connsiteY0" fmla="*/ 659983 h 812383"/>
              <a:gd name="connsiteX1" fmla="*/ 1402556 w 1417413"/>
              <a:gd name="connsiteY1" fmla="*/ 88483 h 812383"/>
              <a:gd name="connsiteX2" fmla="*/ 547687 w 1417413"/>
              <a:gd name="connsiteY2" fmla="*/ 24189 h 812383"/>
              <a:gd name="connsiteX3" fmla="*/ 14287 w 1417413"/>
              <a:gd name="connsiteY3" fmla="*/ 493295 h 812383"/>
              <a:gd name="connsiteX4" fmla="*/ 0 w 1417413"/>
              <a:gd name="connsiteY4" fmla="*/ 812383 h 812383"/>
              <a:gd name="connsiteX5" fmla="*/ 283368 w 1417413"/>
              <a:gd name="connsiteY5" fmla="*/ 462339 h 812383"/>
              <a:gd name="connsiteX6" fmla="*/ 821531 w 1417413"/>
              <a:gd name="connsiteY6" fmla="*/ 395664 h 812383"/>
              <a:gd name="connsiteX7" fmla="*/ 1404937 w 1417413"/>
              <a:gd name="connsiteY7" fmla="*/ 659983 h 812383"/>
              <a:gd name="connsiteX0" fmla="*/ 1404937 w 1417413"/>
              <a:gd name="connsiteY0" fmla="*/ 674932 h 827332"/>
              <a:gd name="connsiteX1" fmla="*/ 1402556 w 1417413"/>
              <a:gd name="connsiteY1" fmla="*/ 103432 h 827332"/>
              <a:gd name="connsiteX2" fmla="*/ 547687 w 1417413"/>
              <a:gd name="connsiteY2" fmla="*/ 39138 h 827332"/>
              <a:gd name="connsiteX3" fmla="*/ 14287 w 1417413"/>
              <a:gd name="connsiteY3" fmla="*/ 508244 h 827332"/>
              <a:gd name="connsiteX4" fmla="*/ 0 w 1417413"/>
              <a:gd name="connsiteY4" fmla="*/ 827332 h 827332"/>
              <a:gd name="connsiteX5" fmla="*/ 283368 w 1417413"/>
              <a:gd name="connsiteY5" fmla="*/ 477288 h 827332"/>
              <a:gd name="connsiteX6" fmla="*/ 821531 w 1417413"/>
              <a:gd name="connsiteY6" fmla="*/ 410613 h 827332"/>
              <a:gd name="connsiteX7" fmla="*/ 1404937 w 1417413"/>
              <a:gd name="connsiteY7" fmla="*/ 674932 h 827332"/>
              <a:gd name="connsiteX0" fmla="*/ 1404937 w 1417413"/>
              <a:gd name="connsiteY0" fmla="*/ 674932 h 827332"/>
              <a:gd name="connsiteX1" fmla="*/ 1402556 w 1417413"/>
              <a:gd name="connsiteY1" fmla="*/ 103432 h 827332"/>
              <a:gd name="connsiteX2" fmla="*/ 547687 w 1417413"/>
              <a:gd name="connsiteY2" fmla="*/ 39138 h 827332"/>
              <a:gd name="connsiteX3" fmla="*/ 14287 w 1417413"/>
              <a:gd name="connsiteY3" fmla="*/ 508244 h 827332"/>
              <a:gd name="connsiteX4" fmla="*/ 0 w 1417413"/>
              <a:gd name="connsiteY4" fmla="*/ 827332 h 827332"/>
              <a:gd name="connsiteX5" fmla="*/ 283368 w 1417413"/>
              <a:gd name="connsiteY5" fmla="*/ 477288 h 827332"/>
              <a:gd name="connsiteX6" fmla="*/ 821531 w 1417413"/>
              <a:gd name="connsiteY6" fmla="*/ 410613 h 827332"/>
              <a:gd name="connsiteX7" fmla="*/ 1404937 w 1417413"/>
              <a:gd name="connsiteY7" fmla="*/ 674932 h 827332"/>
              <a:gd name="connsiteX0" fmla="*/ 1406804 w 1419280"/>
              <a:gd name="connsiteY0" fmla="*/ 674932 h 827332"/>
              <a:gd name="connsiteX1" fmla="*/ 1404423 w 1419280"/>
              <a:gd name="connsiteY1" fmla="*/ 103432 h 827332"/>
              <a:gd name="connsiteX2" fmla="*/ 549554 w 1419280"/>
              <a:gd name="connsiteY2" fmla="*/ 39138 h 827332"/>
              <a:gd name="connsiteX3" fmla="*/ 16154 w 1419280"/>
              <a:gd name="connsiteY3" fmla="*/ 508244 h 827332"/>
              <a:gd name="connsiteX4" fmla="*/ 1867 w 1419280"/>
              <a:gd name="connsiteY4" fmla="*/ 827332 h 827332"/>
              <a:gd name="connsiteX5" fmla="*/ 285235 w 1419280"/>
              <a:gd name="connsiteY5" fmla="*/ 477288 h 827332"/>
              <a:gd name="connsiteX6" fmla="*/ 823398 w 1419280"/>
              <a:gd name="connsiteY6" fmla="*/ 410613 h 827332"/>
              <a:gd name="connsiteX7" fmla="*/ 1406804 w 1419280"/>
              <a:gd name="connsiteY7" fmla="*/ 674932 h 827332"/>
              <a:gd name="connsiteX0" fmla="*/ 1409119 w 1421595"/>
              <a:gd name="connsiteY0" fmla="*/ 674932 h 827332"/>
              <a:gd name="connsiteX1" fmla="*/ 1406738 w 1421595"/>
              <a:gd name="connsiteY1" fmla="*/ 103432 h 827332"/>
              <a:gd name="connsiteX2" fmla="*/ 551869 w 1421595"/>
              <a:gd name="connsiteY2" fmla="*/ 39138 h 827332"/>
              <a:gd name="connsiteX3" fmla="*/ 18469 w 1421595"/>
              <a:gd name="connsiteY3" fmla="*/ 508244 h 827332"/>
              <a:gd name="connsiteX4" fmla="*/ 4182 w 1421595"/>
              <a:gd name="connsiteY4" fmla="*/ 827332 h 827332"/>
              <a:gd name="connsiteX5" fmla="*/ 287550 w 1421595"/>
              <a:gd name="connsiteY5" fmla="*/ 477288 h 827332"/>
              <a:gd name="connsiteX6" fmla="*/ 825713 w 1421595"/>
              <a:gd name="connsiteY6" fmla="*/ 410613 h 827332"/>
              <a:gd name="connsiteX7" fmla="*/ 1409119 w 1421595"/>
              <a:gd name="connsiteY7" fmla="*/ 674932 h 827332"/>
              <a:gd name="connsiteX0" fmla="*/ 1417088 w 1429564"/>
              <a:gd name="connsiteY0" fmla="*/ 674932 h 827332"/>
              <a:gd name="connsiteX1" fmla="*/ 1414707 w 1429564"/>
              <a:gd name="connsiteY1" fmla="*/ 103432 h 827332"/>
              <a:gd name="connsiteX2" fmla="*/ 559838 w 1429564"/>
              <a:gd name="connsiteY2" fmla="*/ 39138 h 827332"/>
              <a:gd name="connsiteX3" fmla="*/ 26438 w 1429564"/>
              <a:gd name="connsiteY3" fmla="*/ 508244 h 827332"/>
              <a:gd name="connsiteX4" fmla="*/ 12151 w 1429564"/>
              <a:gd name="connsiteY4" fmla="*/ 827332 h 827332"/>
              <a:gd name="connsiteX5" fmla="*/ 295519 w 1429564"/>
              <a:gd name="connsiteY5" fmla="*/ 477288 h 827332"/>
              <a:gd name="connsiteX6" fmla="*/ 833682 w 1429564"/>
              <a:gd name="connsiteY6" fmla="*/ 410613 h 827332"/>
              <a:gd name="connsiteX7" fmla="*/ 1417088 w 1429564"/>
              <a:gd name="connsiteY7" fmla="*/ 674932 h 827332"/>
              <a:gd name="connsiteX0" fmla="*/ 1417088 w 1429564"/>
              <a:gd name="connsiteY0" fmla="*/ 674932 h 827332"/>
              <a:gd name="connsiteX1" fmla="*/ 1414707 w 1429564"/>
              <a:gd name="connsiteY1" fmla="*/ 103432 h 827332"/>
              <a:gd name="connsiteX2" fmla="*/ 559838 w 1429564"/>
              <a:gd name="connsiteY2" fmla="*/ 39138 h 827332"/>
              <a:gd name="connsiteX3" fmla="*/ 26438 w 1429564"/>
              <a:gd name="connsiteY3" fmla="*/ 508244 h 827332"/>
              <a:gd name="connsiteX4" fmla="*/ 12151 w 1429564"/>
              <a:gd name="connsiteY4" fmla="*/ 827332 h 827332"/>
              <a:gd name="connsiteX5" fmla="*/ 295519 w 1429564"/>
              <a:gd name="connsiteY5" fmla="*/ 477288 h 827332"/>
              <a:gd name="connsiteX6" fmla="*/ 833682 w 1429564"/>
              <a:gd name="connsiteY6" fmla="*/ 410613 h 827332"/>
              <a:gd name="connsiteX7" fmla="*/ 1417088 w 1429564"/>
              <a:gd name="connsiteY7" fmla="*/ 674932 h 827332"/>
              <a:gd name="connsiteX0" fmla="*/ 1417088 w 1428573"/>
              <a:gd name="connsiteY0" fmla="*/ 674932 h 827332"/>
              <a:gd name="connsiteX1" fmla="*/ 1414707 w 1428573"/>
              <a:gd name="connsiteY1" fmla="*/ 103432 h 827332"/>
              <a:gd name="connsiteX2" fmla="*/ 559838 w 1428573"/>
              <a:gd name="connsiteY2" fmla="*/ 39138 h 827332"/>
              <a:gd name="connsiteX3" fmla="*/ 26438 w 1428573"/>
              <a:gd name="connsiteY3" fmla="*/ 508244 h 827332"/>
              <a:gd name="connsiteX4" fmla="*/ 12151 w 1428573"/>
              <a:gd name="connsiteY4" fmla="*/ 827332 h 827332"/>
              <a:gd name="connsiteX5" fmla="*/ 295519 w 1428573"/>
              <a:gd name="connsiteY5" fmla="*/ 477288 h 827332"/>
              <a:gd name="connsiteX6" fmla="*/ 833682 w 1428573"/>
              <a:gd name="connsiteY6" fmla="*/ 410613 h 827332"/>
              <a:gd name="connsiteX7" fmla="*/ 1417088 w 1428573"/>
              <a:gd name="connsiteY7" fmla="*/ 674932 h 827332"/>
              <a:gd name="connsiteX0" fmla="*/ 1417088 w 1428573"/>
              <a:gd name="connsiteY0" fmla="*/ 674932 h 827332"/>
              <a:gd name="connsiteX1" fmla="*/ 1414707 w 1428573"/>
              <a:gd name="connsiteY1" fmla="*/ 103432 h 827332"/>
              <a:gd name="connsiteX2" fmla="*/ 559838 w 1428573"/>
              <a:gd name="connsiteY2" fmla="*/ 39138 h 827332"/>
              <a:gd name="connsiteX3" fmla="*/ 26438 w 1428573"/>
              <a:gd name="connsiteY3" fmla="*/ 508244 h 827332"/>
              <a:gd name="connsiteX4" fmla="*/ 12151 w 1428573"/>
              <a:gd name="connsiteY4" fmla="*/ 827332 h 827332"/>
              <a:gd name="connsiteX5" fmla="*/ 295519 w 1428573"/>
              <a:gd name="connsiteY5" fmla="*/ 477288 h 827332"/>
              <a:gd name="connsiteX6" fmla="*/ 833682 w 1428573"/>
              <a:gd name="connsiteY6" fmla="*/ 410613 h 827332"/>
              <a:gd name="connsiteX7" fmla="*/ 1417088 w 1428573"/>
              <a:gd name="connsiteY7" fmla="*/ 674932 h 827332"/>
              <a:gd name="connsiteX0" fmla="*/ 1420075 w 1431560"/>
              <a:gd name="connsiteY0" fmla="*/ 674932 h 827332"/>
              <a:gd name="connsiteX1" fmla="*/ 1417694 w 1431560"/>
              <a:gd name="connsiteY1" fmla="*/ 103432 h 827332"/>
              <a:gd name="connsiteX2" fmla="*/ 562825 w 1431560"/>
              <a:gd name="connsiteY2" fmla="*/ 39138 h 827332"/>
              <a:gd name="connsiteX3" fmla="*/ 29425 w 1431560"/>
              <a:gd name="connsiteY3" fmla="*/ 508244 h 827332"/>
              <a:gd name="connsiteX4" fmla="*/ 15138 w 1431560"/>
              <a:gd name="connsiteY4" fmla="*/ 827332 h 827332"/>
              <a:gd name="connsiteX5" fmla="*/ 298506 w 1431560"/>
              <a:gd name="connsiteY5" fmla="*/ 477288 h 827332"/>
              <a:gd name="connsiteX6" fmla="*/ 836669 w 1431560"/>
              <a:gd name="connsiteY6" fmla="*/ 410613 h 827332"/>
              <a:gd name="connsiteX7" fmla="*/ 1420075 w 1431560"/>
              <a:gd name="connsiteY7" fmla="*/ 674932 h 827332"/>
              <a:gd name="connsiteX0" fmla="*/ 1420075 w 1431560"/>
              <a:gd name="connsiteY0" fmla="*/ 674932 h 827332"/>
              <a:gd name="connsiteX1" fmla="*/ 1417694 w 1431560"/>
              <a:gd name="connsiteY1" fmla="*/ 103432 h 827332"/>
              <a:gd name="connsiteX2" fmla="*/ 562825 w 1431560"/>
              <a:gd name="connsiteY2" fmla="*/ 39138 h 827332"/>
              <a:gd name="connsiteX3" fmla="*/ 29425 w 1431560"/>
              <a:gd name="connsiteY3" fmla="*/ 508244 h 827332"/>
              <a:gd name="connsiteX4" fmla="*/ 15138 w 1431560"/>
              <a:gd name="connsiteY4" fmla="*/ 827332 h 827332"/>
              <a:gd name="connsiteX5" fmla="*/ 298506 w 1431560"/>
              <a:gd name="connsiteY5" fmla="*/ 477288 h 827332"/>
              <a:gd name="connsiteX6" fmla="*/ 836669 w 1431560"/>
              <a:gd name="connsiteY6" fmla="*/ 410613 h 827332"/>
              <a:gd name="connsiteX7" fmla="*/ 1420075 w 1431560"/>
              <a:gd name="connsiteY7" fmla="*/ 674932 h 827332"/>
              <a:gd name="connsiteX0" fmla="*/ 1417089 w 1428574"/>
              <a:gd name="connsiteY0" fmla="*/ 674932 h 827332"/>
              <a:gd name="connsiteX1" fmla="*/ 1414708 w 1428574"/>
              <a:gd name="connsiteY1" fmla="*/ 103432 h 827332"/>
              <a:gd name="connsiteX2" fmla="*/ 559839 w 1428574"/>
              <a:gd name="connsiteY2" fmla="*/ 39138 h 827332"/>
              <a:gd name="connsiteX3" fmla="*/ 26439 w 1428574"/>
              <a:gd name="connsiteY3" fmla="*/ 508244 h 827332"/>
              <a:gd name="connsiteX4" fmla="*/ 12152 w 1428574"/>
              <a:gd name="connsiteY4" fmla="*/ 827332 h 827332"/>
              <a:gd name="connsiteX5" fmla="*/ 295520 w 1428574"/>
              <a:gd name="connsiteY5" fmla="*/ 477288 h 827332"/>
              <a:gd name="connsiteX6" fmla="*/ 833683 w 1428574"/>
              <a:gd name="connsiteY6" fmla="*/ 410613 h 827332"/>
              <a:gd name="connsiteX7" fmla="*/ 1417089 w 1428574"/>
              <a:gd name="connsiteY7" fmla="*/ 674932 h 82733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428574" h="827332">
                <a:moveTo>
                  <a:pt x="1417089" y="674932"/>
                </a:moveTo>
                <a:cubicBezTo>
                  <a:pt x="1435346" y="448714"/>
                  <a:pt x="1429789" y="289169"/>
                  <a:pt x="1414708" y="103432"/>
                </a:cubicBezTo>
                <a:cubicBezTo>
                  <a:pt x="1129752" y="1038"/>
                  <a:pt x="880514" y="-34681"/>
                  <a:pt x="559839" y="39138"/>
                </a:cubicBezTo>
                <a:cubicBezTo>
                  <a:pt x="324968" y="93205"/>
                  <a:pt x="103590" y="255487"/>
                  <a:pt x="26439" y="508244"/>
                </a:cubicBezTo>
                <a:cubicBezTo>
                  <a:pt x="-7732" y="620193"/>
                  <a:pt x="-4518" y="728112"/>
                  <a:pt x="12152" y="827332"/>
                </a:cubicBezTo>
                <a:cubicBezTo>
                  <a:pt x="28424" y="650723"/>
                  <a:pt x="130471" y="560134"/>
                  <a:pt x="295520" y="477288"/>
                </a:cubicBezTo>
                <a:cubicBezTo>
                  <a:pt x="460084" y="394686"/>
                  <a:pt x="654458" y="387116"/>
                  <a:pt x="833683" y="410613"/>
                </a:cubicBezTo>
                <a:cubicBezTo>
                  <a:pt x="1142452" y="451094"/>
                  <a:pt x="1298820" y="584445"/>
                  <a:pt x="1417089" y="674932"/>
                </a:cubicBezTo>
                <a:close/>
              </a:path>
            </a:pathLst>
          </a:custGeom>
          <a:grpFill/>
          <a:ln w="1270">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h112599/Downloads/ASML%20Revenue%20Bui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ing Model"/>
      <sheetName val="Comparables"/>
      <sheetName val="Valuation"/>
      <sheetName val="Revenue Build"/>
      <sheetName val="Monte Carlo (2)"/>
      <sheetName val="Monte Carlo"/>
      <sheetName val="Garbo"/>
      <sheetName val="Beta"/>
      <sheetName val="Macro Data"/>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ffman, Hudson C" refreshedDate="44513.412470254632" createdVersion="6" refreshedVersion="6" minRefreshableVersion="3" recordCount="10" xr:uid="{61F8F17A-E5C4-4ECB-82A1-BA0192B3E373}">
  <cacheSource type="worksheet">
    <worksheetSource ref="A2:E12" sheet="Supply Chain"/>
  </cacheSource>
  <cacheFields count="5">
    <cacheField name="Customer" numFmtId="0">
      <sharedItems count="10">
        <s v="Taiwan Semiconductor Manufacturing Corp"/>
        <s v="Samsung"/>
        <s v="SK Hynix"/>
        <s v="Intel"/>
        <s v="Micron"/>
        <s v="Semiconductor Manufacturing International"/>
        <s v="Shanghai Huahong Group"/>
        <s v="United Microelectronics"/>
        <s v="Kioxia Holdings"/>
        <s v="Nanya Technology"/>
      </sharedItems>
    </cacheField>
    <cacheField name="Country" numFmtId="0">
      <sharedItems count="4">
        <s v="Taiwan"/>
        <s v="South Korea"/>
        <s v="United States"/>
        <s v="Japan"/>
      </sharedItems>
    </cacheField>
    <cacheField name="Market Cap ($ Billions)" numFmtId="8">
      <sharedItems containsSemiMixedTypes="0" containsString="0" containsNumber="1" minValue="7.65" maxValue="562.85"/>
    </cacheField>
    <cacheField name="Customer as % of ASML's Revenue" numFmtId="10">
      <sharedItems containsSemiMixedTypes="0" containsString="0" containsNumber="1" minValue="8.0000000000000004E-4" maxValue="0.39779999999999999"/>
    </cacheField>
    <cacheField name="ASML as % of Customer's Capex " numFmtId="10">
      <sharedItems containsSemiMixedTypes="0" containsString="0" containsNumber="1" minValue="0.10489999999999999" maxValue="0.3629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ffman, Hudson C" refreshedDate="44513.429105092589" createdVersion="6" refreshedVersion="6" minRefreshableVersion="3" recordCount="14" xr:uid="{A45B96BE-FD60-4C6B-8C77-1E487B701636}">
  <cacheSource type="worksheet">
    <worksheetSource ref="A30:E44" sheet="Supply Chain"/>
  </cacheSource>
  <cacheFields count="5">
    <cacheField name="Supplier " numFmtId="0">
      <sharedItems count="14">
        <s v="Carl Zeiss SMT AG "/>
        <s v="Nikon "/>
        <s v="MKS Instruments"/>
        <s v="Entegris Inc"/>
        <s v="Benchmark Electronics"/>
        <s v="VAT Group"/>
        <s v="Ultra Clean Holdings"/>
        <s v="II-VI Inc"/>
        <s v="Brooks Automation "/>
        <s v="Capgemini SE"/>
        <s v="Intervest Offices &amp; Warehouses NV"/>
        <s v="Lumentum Holdings "/>
        <s v="Sinbon Electronics "/>
        <s v="Alten SA "/>
      </sharedItems>
    </cacheField>
    <cacheField name="Country" numFmtId="0">
      <sharedItems count="7">
        <s v="Germany"/>
        <s v="Japan"/>
        <s v="United States"/>
        <s v="China"/>
        <s v="France"/>
        <s v="Belgium"/>
        <s v="Taiwan"/>
      </sharedItems>
    </cacheField>
    <cacheField name="Market Cap ($ Billions)" numFmtId="8">
      <sharedItems containsSemiMixedTypes="0" containsString="0" containsNumber="1" minValue="0.92300000000000004" maxValue="805.5"/>
    </cacheField>
    <cacheField name="% of ASML's COGS" numFmtId="10">
      <sharedItems containsSemiMixedTypes="0" containsString="0" containsNumber="1" minValue="4.0000000000000002E-4" maxValue="0.21340000000000001"/>
    </cacheField>
    <cacheField name="% of Supplier Revenue " numFmtId="10">
      <sharedItems containsSemiMixedTypes="0" containsString="0" containsNumber="1" minValue="1E-4" maxValue="0.621299999999999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562.85"/>
    <n v="0.39779999999999999"/>
    <n v="0.36299999999999999"/>
  </r>
  <r>
    <x v="1"/>
    <x v="1"/>
    <n v="357.11"/>
    <n v="0.20050000000000001"/>
    <n v="0.10489999999999999"/>
  </r>
  <r>
    <x v="2"/>
    <x v="1"/>
    <n v="65.69"/>
    <n v="9.9099999999999994E-2"/>
    <n v="0.24199999999999999"/>
  </r>
  <r>
    <x v="3"/>
    <x v="2"/>
    <n v="204.61"/>
    <n v="8.0299999999999996E-2"/>
    <n v="0.1118"/>
  </r>
  <r>
    <x v="4"/>
    <x v="2"/>
    <n v="86.47"/>
    <n v="3.9199999999999999E-2"/>
    <n v="0.121"/>
  </r>
  <r>
    <x v="5"/>
    <x v="0"/>
    <n v="34.369999999999997"/>
    <n v="1.29E-2"/>
    <n v="0.121"/>
  </r>
  <r>
    <x v="6"/>
    <x v="0"/>
    <n v="30.25"/>
    <n v="8.3000000000000001E-3"/>
    <n v="0.1171"/>
  </r>
  <r>
    <x v="7"/>
    <x v="0"/>
    <n v="27.95"/>
    <n v="5.7999999999999996E-3"/>
    <n v="0.121"/>
  </r>
  <r>
    <x v="8"/>
    <x v="3"/>
    <n v="40.5"/>
    <n v="5.3E-3"/>
    <n v="0.121"/>
  </r>
  <r>
    <x v="9"/>
    <x v="0"/>
    <n v="7.65"/>
    <n v="8.0000000000000004E-4"/>
    <n v="0.11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18.559999999999999"/>
    <n v="0.21340000000000001"/>
    <n v="0.62129999999999996"/>
  </r>
  <r>
    <x v="1"/>
    <x v="1"/>
    <n v="3.89"/>
    <n v="4.8599999999999997E-2"/>
    <n v="1.17E-2"/>
  </r>
  <r>
    <x v="2"/>
    <x v="2"/>
    <n v="9.23"/>
    <n v="1.4E-2"/>
    <n v="5.6899999999999999E-2"/>
  </r>
  <r>
    <x v="3"/>
    <x v="2"/>
    <n v="20.29"/>
    <n v="8.5000000000000006E-3"/>
    <n v="3.5299999999999998E-2"/>
  </r>
  <r>
    <x v="4"/>
    <x v="2"/>
    <n v="0.92300000000000004"/>
    <n v="6.0000000000000001E-3"/>
    <n v="3.0700000000000002E-2"/>
  </r>
  <r>
    <x v="5"/>
    <x v="3"/>
    <n v="15.31"/>
    <n v="5.8999999999999999E-3"/>
    <n v="8.3799999999999999E-2"/>
  </r>
  <r>
    <x v="6"/>
    <x v="2"/>
    <n v="2.64"/>
    <n v="5.4999999999999997E-3"/>
    <n v="2.9700000000000001E-2"/>
  </r>
  <r>
    <x v="7"/>
    <x v="2"/>
    <n v="6.92"/>
    <n v="5.4999999999999997E-3"/>
    <n v="1.61E-2"/>
  </r>
  <r>
    <x v="8"/>
    <x v="2"/>
    <n v="8.5399999999999991"/>
    <n v="4.7999999999999996E-3"/>
    <n v="4.5499999999999999E-2"/>
  </r>
  <r>
    <x v="9"/>
    <x v="4"/>
    <n v="41.28"/>
    <n v="3.5000000000000001E-3"/>
    <n v="1E-4"/>
  </r>
  <r>
    <x v="10"/>
    <x v="5"/>
    <n v="805.5"/>
    <n v="3.3999999999999998E-3"/>
    <n v="0.03"/>
  </r>
  <r>
    <x v="11"/>
    <x v="2"/>
    <n v="6.64"/>
    <n v="2.3999999999999998E-3"/>
    <n v="1.46E-2"/>
  </r>
  <r>
    <x v="12"/>
    <x v="6"/>
    <n v="2.08"/>
    <n v="1.1999999999999999E-3"/>
    <n v="1.3599999999999999E-2"/>
  </r>
  <r>
    <x v="13"/>
    <x v="4"/>
    <n v="5.99"/>
    <n v="4.0000000000000002E-4"/>
    <n v="1.5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EFB0A5-8676-472D-ABEC-C09F627A066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16" firstHeaderRow="0" firstDataRow="1" firstDataCol="1"/>
  <pivotFields count="5">
    <pivotField axis="axisRow" showAll="0">
      <items count="11">
        <item x="3"/>
        <item x="8"/>
        <item x="4"/>
        <item x="9"/>
        <item x="1"/>
        <item x="5"/>
        <item x="6"/>
        <item x="2"/>
        <item x="0"/>
        <item x="7"/>
        <item t="default"/>
      </items>
    </pivotField>
    <pivotField axis="axisRow" showAll="0">
      <items count="5">
        <item x="3"/>
        <item x="1"/>
        <item x="0"/>
        <item x="2"/>
        <item t="default"/>
      </items>
    </pivotField>
    <pivotField numFmtId="8" showAll="0"/>
    <pivotField dataField="1" numFmtId="10" showAll="0"/>
    <pivotField dataField="1" numFmtId="10" showAll="0"/>
  </pivotFields>
  <rowFields count="2">
    <field x="1"/>
    <field x="0"/>
  </rowFields>
  <rowItems count="15">
    <i>
      <x/>
    </i>
    <i r="1">
      <x v="1"/>
    </i>
    <i>
      <x v="1"/>
    </i>
    <i r="1">
      <x v="4"/>
    </i>
    <i r="1">
      <x v="7"/>
    </i>
    <i>
      <x v="2"/>
    </i>
    <i r="1">
      <x v="3"/>
    </i>
    <i r="1">
      <x v="5"/>
    </i>
    <i r="1">
      <x v="6"/>
    </i>
    <i r="1">
      <x v="8"/>
    </i>
    <i r="1">
      <x v="9"/>
    </i>
    <i>
      <x v="3"/>
    </i>
    <i r="1">
      <x/>
    </i>
    <i r="1">
      <x v="2"/>
    </i>
    <i t="grand">
      <x/>
    </i>
  </rowItems>
  <colFields count="1">
    <field x="-2"/>
  </colFields>
  <colItems count="2">
    <i>
      <x/>
    </i>
    <i i="1">
      <x v="1"/>
    </i>
  </colItems>
  <dataFields count="2">
    <dataField name="Customer as % of ASML Revenue" fld="3" baseField="1" baseItem="0"/>
    <dataField name="ASML as % of Customer Capex " fld="4" baseField="1" baseItem="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FA5D86-3EAA-4A01-A7CC-45F86AC0C9D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C40" firstHeaderRow="0" firstDataRow="1" firstDataCol="1"/>
  <pivotFields count="5">
    <pivotField axis="axisRow" showAll="0">
      <items count="15">
        <item x="13"/>
        <item x="4"/>
        <item x="8"/>
        <item x="9"/>
        <item x="0"/>
        <item x="3"/>
        <item x="7"/>
        <item x="10"/>
        <item x="11"/>
        <item x="2"/>
        <item x="1"/>
        <item x="12"/>
        <item x="6"/>
        <item x="5"/>
        <item t="default"/>
      </items>
    </pivotField>
    <pivotField axis="axisRow" showAll="0">
      <items count="8">
        <item x="5"/>
        <item x="3"/>
        <item x="4"/>
        <item x="0"/>
        <item x="1"/>
        <item x="6"/>
        <item x="2"/>
        <item t="default"/>
      </items>
    </pivotField>
    <pivotField numFmtId="8" showAll="0"/>
    <pivotField dataField="1" numFmtId="10" showAll="0"/>
    <pivotField dataField="1" numFmtId="10" showAll="0"/>
  </pivotFields>
  <rowFields count="2">
    <field x="1"/>
    <field x="0"/>
  </rowFields>
  <rowItems count="22">
    <i>
      <x/>
    </i>
    <i r="1">
      <x v="7"/>
    </i>
    <i>
      <x v="1"/>
    </i>
    <i r="1">
      <x v="13"/>
    </i>
    <i>
      <x v="2"/>
    </i>
    <i r="1">
      <x/>
    </i>
    <i r="1">
      <x v="3"/>
    </i>
    <i>
      <x v="3"/>
    </i>
    <i r="1">
      <x v="4"/>
    </i>
    <i>
      <x v="4"/>
    </i>
    <i r="1">
      <x v="10"/>
    </i>
    <i>
      <x v="5"/>
    </i>
    <i r="1">
      <x v="11"/>
    </i>
    <i>
      <x v="6"/>
    </i>
    <i r="1">
      <x v="1"/>
    </i>
    <i r="1">
      <x v="2"/>
    </i>
    <i r="1">
      <x v="5"/>
    </i>
    <i r="1">
      <x v="6"/>
    </i>
    <i r="1">
      <x v="8"/>
    </i>
    <i r="1">
      <x v="9"/>
    </i>
    <i r="1">
      <x v="12"/>
    </i>
    <i t="grand">
      <x/>
    </i>
  </rowItems>
  <colFields count="1">
    <field x="-2"/>
  </colFields>
  <colItems count="2">
    <i>
      <x/>
    </i>
    <i i="1">
      <x v="1"/>
    </i>
  </colItems>
  <dataFields count="2">
    <dataField name="% of ASML COGS" fld="3" baseField="0" baseItem="0"/>
    <dataField name="% of Supplier's Revenue " fld="4"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3">
          <reference field="4294967294" count="1" selected="0">
            <x v="1"/>
          </reference>
          <reference field="0" count="1" selected="0">
            <x v="3"/>
          </reference>
          <reference field="1" count="1" selected="0">
            <x v="2"/>
          </reference>
        </references>
      </pivotArea>
    </chartFormat>
    <chartFormat chart="2" format="7">
      <pivotArea type="data" outline="0" fieldPosition="0">
        <references count="3">
          <reference field="4294967294" count="1" selected="0">
            <x v="0"/>
          </reference>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482F8-9BBA-4CEE-89F8-1CAF72AC9806}">
  <sheetPr>
    <tabColor theme="5"/>
  </sheetPr>
  <dimension ref="A1:AD80"/>
  <sheetViews>
    <sheetView showGridLines="0" topLeftCell="A24" zoomScale="72" zoomScaleNormal="85" workbookViewId="0">
      <selection activeCell="B10" sqref="B10:AA10"/>
    </sheetView>
  </sheetViews>
  <sheetFormatPr baseColWidth="10" defaultColWidth="9.1640625" defaultRowHeight="12" x14ac:dyDescent="0.15"/>
  <cols>
    <col min="1" max="1" width="3" style="291" bestFit="1" customWidth="1"/>
    <col min="2" max="2" width="33.83203125" style="291" bestFit="1" customWidth="1"/>
    <col min="3" max="3" width="8.5" style="291" customWidth="1"/>
    <col min="4" max="4" width="12.5" style="291" bestFit="1" customWidth="1"/>
    <col min="5" max="5" width="10.5" style="291" bestFit="1" customWidth="1"/>
    <col min="6" max="6" width="10.6640625" style="291" bestFit="1" customWidth="1"/>
    <col min="7" max="7" width="11.5" style="291" bestFit="1" customWidth="1"/>
    <col min="8" max="8" width="12.5" style="291" bestFit="1" customWidth="1"/>
    <col min="9" max="9" width="12" style="291" bestFit="1" customWidth="1"/>
    <col min="10" max="10" width="14" style="291" bestFit="1" customWidth="1"/>
    <col min="11" max="11" width="10.83203125" style="291" customWidth="1"/>
    <col min="12" max="12" width="9.1640625" style="291" customWidth="1"/>
    <col min="13" max="23" width="9.1640625" style="291"/>
    <col min="24" max="24" width="7.83203125" style="291" customWidth="1"/>
    <col min="25" max="16384" width="9.1640625" style="291"/>
  </cols>
  <sheetData>
    <row r="1" spans="1:30" x14ac:dyDescent="0.15">
      <c r="A1" s="291" t="s">
        <v>315</v>
      </c>
      <c r="Y1" s="297"/>
      <c r="Z1" s="297"/>
    </row>
    <row r="2" spans="1:30" ht="13" x14ac:dyDescent="0.15">
      <c r="B2" s="316"/>
      <c r="C2" s="315"/>
      <c r="D2" s="315"/>
      <c r="E2" s="315"/>
      <c r="F2" s="315"/>
      <c r="G2" s="315"/>
      <c r="H2" s="315"/>
      <c r="I2" s="315"/>
      <c r="J2" s="315"/>
      <c r="K2" s="315"/>
      <c r="L2" s="315"/>
      <c r="M2" s="315"/>
      <c r="N2" s="315"/>
      <c r="O2" s="315"/>
      <c r="P2" s="315"/>
      <c r="Q2" s="315"/>
      <c r="R2" s="315"/>
      <c r="S2" s="315"/>
      <c r="T2" s="315"/>
      <c r="U2" s="315"/>
      <c r="V2" s="315"/>
      <c r="W2" s="315"/>
      <c r="X2" s="315"/>
      <c r="Y2" s="292"/>
      <c r="Z2" s="330"/>
      <c r="AA2" s="326"/>
      <c r="AB2" s="292"/>
    </row>
    <row r="3" spans="1:30" ht="20" x14ac:dyDescent="0.25">
      <c r="B3" s="480" t="s">
        <v>275</v>
      </c>
      <c r="C3" s="481"/>
      <c r="D3" s="481"/>
      <c r="E3" s="481"/>
      <c r="F3" s="481"/>
      <c r="G3" s="481"/>
      <c r="H3" s="481"/>
      <c r="I3" s="481"/>
      <c r="J3" s="481"/>
      <c r="K3" s="481"/>
      <c r="L3" s="481"/>
      <c r="M3" s="481"/>
      <c r="N3" s="481"/>
      <c r="O3" s="481"/>
      <c r="P3" s="481"/>
      <c r="Q3" s="481"/>
      <c r="R3" s="481"/>
      <c r="S3" s="481"/>
      <c r="T3" s="481"/>
      <c r="U3" s="481"/>
      <c r="V3" s="481"/>
      <c r="W3" s="481"/>
      <c r="X3" s="481"/>
      <c r="Y3" s="481"/>
      <c r="Z3" s="481"/>
      <c r="AA3" s="482"/>
      <c r="AB3" s="292"/>
    </row>
    <row r="4" spans="1:30" ht="16" x14ac:dyDescent="0.2">
      <c r="B4" s="477" t="s">
        <v>291</v>
      </c>
      <c r="C4" s="478"/>
      <c r="D4" s="478"/>
      <c r="E4" s="478"/>
      <c r="F4" s="478"/>
      <c r="G4" s="478"/>
      <c r="H4" s="478"/>
      <c r="I4" s="478"/>
      <c r="J4" s="478"/>
      <c r="K4" s="478"/>
      <c r="L4" s="478"/>
      <c r="M4" s="478"/>
      <c r="N4" s="478"/>
      <c r="O4" s="478"/>
      <c r="P4" s="478"/>
      <c r="Q4" s="478"/>
      <c r="R4" s="478"/>
      <c r="S4" s="478"/>
      <c r="T4" s="478"/>
      <c r="U4" s="478"/>
      <c r="V4" s="478"/>
      <c r="W4" s="478"/>
      <c r="X4" s="478"/>
      <c r="Y4" s="478"/>
      <c r="Z4" s="478"/>
      <c r="AA4" s="479"/>
      <c r="AB4" s="292"/>
    </row>
    <row r="5" spans="1:30" ht="16" x14ac:dyDescent="0.2">
      <c r="B5" s="477" t="s">
        <v>292</v>
      </c>
      <c r="C5" s="478"/>
      <c r="D5" s="478"/>
      <c r="E5" s="478"/>
      <c r="F5" s="478"/>
      <c r="G5" s="478"/>
      <c r="H5" s="478"/>
      <c r="I5" s="478"/>
      <c r="J5" s="478"/>
      <c r="K5" s="478"/>
      <c r="L5" s="478"/>
      <c r="M5" s="478"/>
      <c r="N5" s="478"/>
      <c r="O5" s="478"/>
      <c r="P5" s="478"/>
      <c r="Q5" s="478"/>
      <c r="R5" s="478"/>
      <c r="S5" s="478"/>
      <c r="T5" s="478"/>
      <c r="U5" s="478"/>
      <c r="V5" s="478"/>
      <c r="W5" s="478"/>
      <c r="X5" s="478"/>
      <c r="Y5" s="478"/>
      <c r="Z5" s="478"/>
      <c r="AA5" s="479"/>
      <c r="AB5" s="292"/>
      <c r="AC5" s="292"/>
    </row>
    <row r="6" spans="1:30" ht="16" x14ac:dyDescent="0.2">
      <c r="B6" s="477" t="s">
        <v>293</v>
      </c>
      <c r="C6" s="478"/>
      <c r="D6" s="478"/>
      <c r="E6" s="478"/>
      <c r="F6" s="478"/>
      <c r="G6" s="478"/>
      <c r="H6" s="478"/>
      <c r="I6" s="478"/>
      <c r="J6" s="478"/>
      <c r="K6" s="478"/>
      <c r="L6" s="478"/>
      <c r="M6" s="478"/>
      <c r="N6" s="478"/>
      <c r="O6" s="478"/>
      <c r="P6" s="478"/>
      <c r="Q6" s="478"/>
      <c r="R6" s="478"/>
      <c r="S6" s="478"/>
      <c r="T6" s="478"/>
      <c r="U6" s="478"/>
      <c r="V6" s="478"/>
      <c r="W6" s="478"/>
      <c r="X6" s="478"/>
      <c r="Y6" s="478"/>
      <c r="Z6" s="478"/>
      <c r="AA6" s="479"/>
      <c r="AB6" s="292"/>
      <c r="AC6" s="292"/>
    </row>
    <row r="7" spans="1:30" ht="16" x14ac:dyDescent="0.2">
      <c r="B7" s="477" t="s">
        <v>294</v>
      </c>
      <c r="C7" s="478"/>
      <c r="D7" s="478"/>
      <c r="E7" s="478"/>
      <c r="F7" s="478"/>
      <c r="G7" s="478"/>
      <c r="H7" s="478"/>
      <c r="I7" s="478"/>
      <c r="J7" s="478"/>
      <c r="K7" s="478"/>
      <c r="L7" s="478"/>
      <c r="M7" s="478"/>
      <c r="N7" s="478"/>
      <c r="O7" s="478"/>
      <c r="P7" s="478"/>
      <c r="Q7" s="478"/>
      <c r="R7" s="478"/>
      <c r="S7" s="478"/>
      <c r="T7" s="478"/>
      <c r="U7" s="478"/>
      <c r="V7" s="478"/>
      <c r="W7" s="478"/>
      <c r="X7" s="478"/>
      <c r="Y7" s="478"/>
      <c r="Z7" s="478"/>
      <c r="AA7" s="479"/>
      <c r="AB7" s="292"/>
      <c r="AC7" s="292"/>
      <c r="AD7" s="292"/>
    </row>
    <row r="8" spans="1:30" ht="16" x14ac:dyDescent="0.2">
      <c r="B8" s="477" t="s">
        <v>295</v>
      </c>
      <c r="C8" s="478"/>
      <c r="D8" s="478"/>
      <c r="E8" s="478"/>
      <c r="F8" s="478"/>
      <c r="G8" s="478"/>
      <c r="H8" s="478"/>
      <c r="I8" s="478"/>
      <c r="J8" s="478"/>
      <c r="K8" s="478"/>
      <c r="L8" s="478"/>
      <c r="M8" s="478"/>
      <c r="N8" s="478"/>
      <c r="O8" s="478"/>
      <c r="P8" s="478"/>
      <c r="Q8" s="478"/>
      <c r="R8" s="478"/>
      <c r="S8" s="478"/>
      <c r="T8" s="478"/>
      <c r="U8" s="478"/>
      <c r="V8" s="478"/>
      <c r="W8" s="478"/>
      <c r="X8" s="478"/>
      <c r="Y8" s="478"/>
      <c r="Z8" s="478"/>
      <c r="AA8" s="479"/>
      <c r="AB8" s="292"/>
      <c r="AC8" s="292"/>
      <c r="AD8" s="292"/>
    </row>
    <row r="9" spans="1:30" ht="16" x14ac:dyDescent="0.2">
      <c r="B9" s="477" t="s">
        <v>296</v>
      </c>
      <c r="C9" s="478"/>
      <c r="D9" s="478"/>
      <c r="E9" s="478"/>
      <c r="F9" s="478"/>
      <c r="G9" s="478"/>
      <c r="H9" s="478"/>
      <c r="I9" s="478"/>
      <c r="J9" s="478"/>
      <c r="K9" s="478"/>
      <c r="L9" s="478"/>
      <c r="M9" s="478"/>
      <c r="N9" s="478"/>
      <c r="O9" s="478"/>
      <c r="P9" s="478"/>
      <c r="Q9" s="478"/>
      <c r="R9" s="478"/>
      <c r="S9" s="478"/>
      <c r="T9" s="478"/>
      <c r="U9" s="478"/>
      <c r="V9" s="478"/>
      <c r="W9" s="478"/>
      <c r="X9" s="478"/>
      <c r="Y9" s="478"/>
      <c r="Z9" s="478"/>
      <c r="AA9" s="479"/>
      <c r="AB9" s="292"/>
      <c r="AC9" s="292"/>
      <c r="AD9" s="292"/>
    </row>
    <row r="10" spans="1:30" ht="16" x14ac:dyDescent="0.2">
      <c r="B10" s="477" t="s">
        <v>297</v>
      </c>
      <c r="C10" s="478"/>
      <c r="D10" s="478"/>
      <c r="E10" s="478"/>
      <c r="F10" s="478"/>
      <c r="G10" s="478"/>
      <c r="H10" s="478"/>
      <c r="I10" s="478"/>
      <c r="J10" s="478"/>
      <c r="K10" s="478"/>
      <c r="L10" s="478"/>
      <c r="M10" s="478"/>
      <c r="N10" s="478"/>
      <c r="O10" s="478"/>
      <c r="P10" s="478"/>
      <c r="Q10" s="478"/>
      <c r="R10" s="478"/>
      <c r="S10" s="478"/>
      <c r="T10" s="478"/>
      <c r="U10" s="478"/>
      <c r="V10" s="478"/>
      <c r="W10" s="478"/>
      <c r="X10" s="478"/>
      <c r="Y10" s="478"/>
      <c r="Z10" s="478"/>
      <c r="AA10" s="479"/>
      <c r="AB10" s="292"/>
      <c r="AC10" s="292"/>
      <c r="AD10" s="292"/>
    </row>
    <row r="11" spans="1:30" ht="16" x14ac:dyDescent="0.2">
      <c r="B11" s="490" t="s">
        <v>365</v>
      </c>
      <c r="C11" s="491"/>
      <c r="D11" s="491"/>
      <c r="E11" s="491"/>
      <c r="F11" s="491"/>
      <c r="G11" s="491"/>
      <c r="H11" s="491"/>
      <c r="I11" s="491"/>
      <c r="J11" s="491"/>
      <c r="K11" s="491"/>
      <c r="L11" s="491"/>
      <c r="M11" s="491"/>
      <c r="N11" s="491"/>
      <c r="O11" s="491"/>
      <c r="P11" s="491"/>
      <c r="Q11" s="491"/>
      <c r="R11" s="491"/>
      <c r="S11" s="491"/>
      <c r="T11" s="491"/>
      <c r="U11" s="491"/>
      <c r="V11" s="491"/>
      <c r="W11" s="491"/>
      <c r="X11" s="491"/>
      <c r="Y11" s="491"/>
      <c r="Z11" s="491"/>
      <c r="AA11" s="492"/>
      <c r="AB11" s="292"/>
      <c r="AC11" s="329"/>
      <c r="AD11" s="292"/>
    </row>
    <row r="12" spans="1:30" ht="13" x14ac:dyDescent="0.15">
      <c r="B12" s="314"/>
      <c r="C12" s="313"/>
      <c r="D12" s="313"/>
      <c r="E12" s="313"/>
      <c r="F12" s="313"/>
      <c r="G12" s="313"/>
      <c r="H12" s="313"/>
      <c r="I12" s="313"/>
      <c r="J12" s="313"/>
      <c r="K12" s="313"/>
      <c r="L12" s="313"/>
      <c r="M12" s="313"/>
      <c r="N12" s="313"/>
      <c r="O12" s="313"/>
      <c r="P12" s="313"/>
      <c r="Q12" s="313"/>
      <c r="R12" s="313"/>
      <c r="S12" s="313"/>
      <c r="T12" s="313"/>
      <c r="U12" s="313"/>
      <c r="V12" s="313"/>
      <c r="W12" s="313"/>
      <c r="X12" s="313"/>
      <c r="Z12" s="292"/>
      <c r="AA12" s="298"/>
      <c r="AB12" s="292"/>
      <c r="AC12" s="329"/>
      <c r="AD12" s="292"/>
    </row>
    <row r="13" spans="1:30" s="422" customFormat="1" ht="13" x14ac:dyDescent="0.2">
      <c r="B13" s="423" t="s">
        <v>274</v>
      </c>
      <c r="C13" s="424"/>
      <c r="D13" s="425" t="str">
        <f ca="1">IF(D14&gt;=D17,"BUY","HOLD")</f>
        <v>HOLD</v>
      </c>
      <c r="E13" s="424"/>
      <c r="F13" s="426"/>
      <c r="G13" s="427"/>
      <c r="H13" s="428"/>
      <c r="I13" s="428"/>
      <c r="J13" s="429"/>
      <c r="K13" s="426"/>
      <c r="L13" s="488" t="s">
        <v>273</v>
      </c>
      <c r="M13" s="488"/>
      <c r="N13" s="488"/>
      <c r="O13" s="488"/>
      <c r="P13" s="488"/>
      <c r="Q13" s="488"/>
      <c r="R13" s="488"/>
      <c r="S13" s="488"/>
      <c r="T13" s="488"/>
      <c r="U13" s="488"/>
      <c r="V13" s="488"/>
      <c r="W13" s="488"/>
      <c r="X13" s="488"/>
      <c r="Y13" s="488"/>
      <c r="Z13" s="488"/>
      <c r="AA13" s="489"/>
    </row>
    <row r="14" spans="1:30" ht="13" x14ac:dyDescent="0.15">
      <c r="B14" s="295" t="s">
        <v>272</v>
      </c>
      <c r="C14" s="294"/>
      <c r="D14" s="476">
        <f ca="1">DCF!C28</f>
        <v>9.4003560528892249E-2</v>
      </c>
      <c r="E14" s="294"/>
      <c r="G14" s="294"/>
      <c r="H14" s="294"/>
      <c r="I14" s="294"/>
      <c r="J14" s="294"/>
      <c r="K14" s="347"/>
      <c r="L14" s="294"/>
      <c r="M14" s="294"/>
      <c r="N14" s="294"/>
      <c r="O14" s="294"/>
      <c r="P14" s="294"/>
      <c r="Q14" s="294"/>
      <c r="R14" s="294"/>
      <c r="S14" s="294"/>
      <c r="T14" s="294"/>
      <c r="U14" s="294"/>
      <c r="V14" s="294"/>
      <c r="W14" s="294"/>
      <c r="X14" s="294"/>
      <c r="AA14" s="298"/>
    </row>
    <row r="15" spans="1:30" ht="13" x14ac:dyDescent="0.15">
      <c r="B15" s="295" t="s">
        <v>271</v>
      </c>
      <c r="C15" s="294"/>
      <c r="D15" s="332">
        <f ca="1">DCF!C27</f>
        <v>961.76041013215979</v>
      </c>
      <c r="E15" s="294"/>
      <c r="G15" s="294"/>
      <c r="H15" s="294"/>
      <c r="I15" s="294"/>
      <c r="J15" s="294"/>
      <c r="K15" s="346"/>
      <c r="L15" s="294"/>
      <c r="M15" s="294"/>
      <c r="N15" s="294"/>
      <c r="O15" s="294"/>
      <c r="P15" s="294"/>
      <c r="Q15" s="294"/>
      <c r="R15" s="294"/>
      <c r="S15" s="294"/>
      <c r="T15" s="294"/>
      <c r="U15" s="294"/>
      <c r="V15" s="294"/>
      <c r="W15" s="294"/>
      <c r="X15" s="294"/>
      <c r="AA15" s="298"/>
    </row>
    <row r="16" spans="1:30" ht="13" x14ac:dyDescent="0.15">
      <c r="B16" s="295" t="s">
        <v>270</v>
      </c>
      <c r="C16" s="294"/>
      <c r="D16" s="332">
        <f>DCF!K18</f>
        <v>879.12</v>
      </c>
      <c r="E16" s="294"/>
      <c r="G16" s="294"/>
      <c r="H16" s="294"/>
      <c r="I16" s="294"/>
      <c r="J16" s="294"/>
      <c r="K16" s="346"/>
      <c r="L16" s="294"/>
      <c r="M16" s="294"/>
      <c r="N16" s="294"/>
      <c r="O16" s="294"/>
      <c r="P16" s="294"/>
      <c r="Q16" s="294"/>
      <c r="R16" s="294"/>
      <c r="S16" s="294"/>
      <c r="T16" s="294"/>
      <c r="U16" s="294"/>
      <c r="V16" s="294"/>
      <c r="W16" s="294"/>
      <c r="X16" s="294"/>
      <c r="AA16" s="298"/>
    </row>
    <row r="17" spans="1:27" ht="13" x14ac:dyDescent="0.15">
      <c r="B17" s="295" t="s">
        <v>269</v>
      </c>
      <c r="C17" s="294"/>
      <c r="D17" s="324">
        <v>0.15</v>
      </c>
      <c r="E17" s="294"/>
      <c r="G17" s="294"/>
      <c r="H17" s="294"/>
      <c r="I17" s="294"/>
      <c r="J17" s="294"/>
      <c r="K17" s="348"/>
      <c r="L17" s="294"/>
      <c r="M17" s="294"/>
      <c r="N17" s="294"/>
      <c r="O17" s="294"/>
      <c r="P17" s="294"/>
      <c r="Q17" s="294"/>
      <c r="R17" s="294"/>
      <c r="S17" s="294"/>
      <c r="T17" s="294"/>
      <c r="U17" s="294"/>
      <c r="V17" s="294"/>
      <c r="W17" s="294"/>
      <c r="X17" s="294"/>
      <c r="AA17" s="298"/>
    </row>
    <row r="18" spans="1:27" ht="13" x14ac:dyDescent="0.15">
      <c r="B18" s="295" t="s">
        <v>268</v>
      </c>
      <c r="C18" s="294"/>
      <c r="D18" s="323">
        <f>(D16*(1-D17))</f>
        <v>747.25199999999995</v>
      </c>
      <c r="E18" s="294"/>
      <c r="G18" s="294"/>
      <c r="H18" s="294"/>
      <c r="I18" s="294"/>
      <c r="J18" s="294"/>
      <c r="K18" s="349"/>
      <c r="L18" s="294"/>
      <c r="M18" s="294"/>
      <c r="N18" s="294"/>
      <c r="O18" s="294"/>
      <c r="P18" s="294"/>
      <c r="Q18" s="294"/>
      <c r="R18" s="294"/>
      <c r="S18" s="294"/>
      <c r="T18" s="294"/>
      <c r="U18" s="294"/>
      <c r="V18" s="294"/>
      <c r="W18" s="294"/>
      <c r="X18" s="294"/>
      <c r="AA18" s="298"/>
    </row>
    <row r="19" spans="1:27" ht="13" x14ac:dyDescent="0.15">
      <c r="B19" s="494" t="s">
        <v>267</v>
      </c>
      <c r="C19" s="494"/>
      <c r="D19" s="494"/>
      <c r="E19" s="494"/>
      <c r="F19" s="494"/>
      <c r="G19" s="494"/>
      <c r="H19" s="494"/>
      <c r="I19" s="494"/>
      <c r="J19" s="494"/>
      <c r="K19" s="495"/>
      <c r="X19" s="292"/>
      <c r="AA19" s="298"/>
    </row>
    <row r="20" spans="1:27" ht="13" x14ac:dyDescent="0.15">
      <c r="A20" s="298"/>
      <c r="B20" s="294" t="s">
        <v>266</v>
      </c>
      <c r="C20" s="294"/>
      <c r="D20" s="331">
        <v>895.93</v>
      </c>
      <c r="E20" s="294"/>
      <c r="G20" s="294"/>
      <c r="H20" s="294"/>
      <c r="I20" s="294"/>
      <c r="J20" s="294"/>
      <c r="K20" s="346"/>
      <c r="L20" s="294"/>
      <c r="M20" s="294"/>
      <c r="N20" s="294"/>
      <c r="O20" s="294"/>
      <c r="P20" s="294"/>
      <c r="Q20" s="294"/>
      <c r="R20" s="294"/>
      <c r="S20" s="294"/>
      <c r="T20" s="294"/>
      <c r="U20" s="294"/>
      <c r="V20" s="294"/>
      <c r="W20" s="294"/>
      <c r="X20" s="294"/>
      <c r="AA20" s="298"/>
    </row>
    <row r="21" spans="1:27" ht="13" x14ac:dyDescent="0.15">
      <c r="A21" s="298"/>
      <c r="B21" s="294" t="s">
        <v>265</v>
      </c>
      <c r="C21" s="294"/>
      <c r="D21" s="331">
        <v>397.98</v>
      </c>
      <c r="E21" s="294"/>
      <c r="G21" s="294"/>
      <c r="H21" s="294"/>
      <c r="I21" s="294"/>
      <c r="J21" s="294"/>
      <c r="K21" s="346"/>
      <c r="L21" s="294"/>
      <c r="M21" s="294"/>
      <c r="N21" s="294"/>
      <c r="O21" s="294"/>
      <c r="P21" s="294"/>
      <c r="Q21" s="294"/>
      <c r="R21" s="294"/>
      <c r="S21" s="294"/>
      <c r="T21" s="294"/>
      <c r="U21" s="294"/>
      <c r="V21" s="294"/>
      <c r="W21" s="294"/>
      <c r="X21" s="294"/>
      <c r="AA21" s="298"/>
    </row>
    <row r="22" spans="1:27" ht="13" x14ac:dyDescent="0.15">
      <c r="A22" s="298"/>
      <c r="B22" s="316" t="s">
        <v>282</v>
      </c>
      <c r="C22" s="315"/>
      <c r="D22" s="390">
        <v>0.63570000000000004</v>
      </c>
      <c r="E22" s="294"/>
      <c r="G22" s="294"/>
      <c r="H22" s="294"/>
      <c r="I22" s="294"/>
      <c r="J22" s="294"/>
      <c r="K22" s="346"/>
      <c r="L22" s="294"/>
      <c r="M22" s="294"/>
      <c r="N22" s="294"/>
      <c r="O22" s="294"/>
      <c r="P22" s="294"/>
      <c r="Q22" s="294"/>
      <c r="R22" s="294"/>
      <c r="S22" s="294"/>
      <c r="T22" s="294"/>
      <c r="U22" s="294"/>
      <c r="V22" s="294"/>
      <c r="W22" s="294"/>
      <c r="X22" s="294"/>
      <c r="AA22" s="298"/>
    </row>
    <row r="23" spans="1:27" ht="13" x14ac:dyDescent="0.15">
      <c r="A23" s="298"/>
      <c r="B23" s="295" t="s">
        <v>283</v>
      </c>
      <c r="C23" s="294"/>
      <c r="D23" s="391">
        <v>0.95630000000000004</v>
      </c>
      <c r="E23" s="294"/>
      <c r="G23" s="294"/>
      <c r="H23" s="294"/>
      <c r="I23" s="294"/>
      <c r="J23" s="294"/>
      <c r="K23" s="346"/>
      <c r="L23" s="294"/>
      <c r="M23" s="294"/>
      <c r="N23" s="294"/>
      <c r="O23" s="294"/>
      <c r="P23" s="294"/>
      <c r="Q23" s="294"/>
      <c r="R23" s="294"/>
      <c r="S23" s="294"/>
      <c r="T23" s="294"/>
      <c r="U23" s="294"/>
      <c r="V23" s="294"/>
      <c r="W23" s="294"/>
      <c r="X23" s="294"/>
      <c r="AA23" s="298"/>
    </row>
    <row r="24" spans="1:27" ht="13" x14ac:dyDescent="0.15">
      <c r="A24" s="298"/>
      <c r="B24" s="295" t="s">
        <v>284</v>
      </c>
      <c r="C24" s="294"/>
      <c r="D24" s="391">
        <v>7.1581000000000001</v>
      </c>
      <c r="E24" s="294"/>
      <c r="G24" s="294"/>
      <c r="H24" s="294"/>
      <c r="I24" s="294"/>
      <c r="J24" s="294"/>
      <c r="K24" s="346"/>
      <c r="L24" s="294"/>
      <c r="M24" s="294"/>
      <c r="N24" s="294"/>
      <c r="O24" s="294"/>
      <c r="P24" s="294"/>
      <c r="Q24" s="294"/>
      <c r="R24" s="294"/>
      <c r="S24" s="294"/>
      <c r="T24" s="294"/>
      <c r="U24" s="294"/>
      <c r="V24" s="294"/>
      <c r="W24" s="294"/>
      <c r="X24" s="294"/>
      <c r="AA24" s="298"/>
    </row>
    <row r="25" spans="1:27" ht="13" x14ac:dyDescent="0.15">
      <c r="A25" s="298"/>
      <c r="B25" s="293" t="s">
        <v>285</v>
      </c>
      <c r="C25" s="339"/>
      <c r="D25" s="392">
        <v>289.91809999999998</v>
      </c>
      <c r="E25" s="294"/>
      <c r="G25" s="294"/>
      <c r="H25" s="294"/>
      <c r="I25" s="294"/>
      <c r="J25" s="294"/>
      <c r="K25" s="346"/>
      <c r="L25" s="294"/>
      <c r="M25" s="294"/>
      <c r="N25" s="294"/>
      <c r="O25" s="294"/>
      <c r="P25" s="294"/>
      <c r="Q25" s="294"/>
      <c r="R25" s="294"/>
      <c r="S25" s="294"/>
      <c r="T25" s="294"/>
      <c r="U25" s="294"/>
      <c r="V25" s="294"/>
      <c r="W25" s="294"/>
      <c r="X25" s="294"/>
      <c r="AA25" s="298"/>
    </row>
    <row r="26" spans="1:27" ht="13" x14ac:dyDescent="0.15">
      <c r="A26" s="298"/>
      <c r="B26" s="316" t="s">
        <v>264</v>
      </c>
      <c r="C26" s="315"/>
      <c r="D26" s="393">
        <f>DCF!K16</f>
        <v>346907.44210320001</v>
      </c>
      <c r="E26" s="294"/>
      <c r="G26" s="294"/>
      <c r="H26" s="294"/>
      <c r="I26" s="294"/>
      <c r="J26" s="294"/>
      <c r="K26" s="343"/>
      <c r="AA26" s="298"/>
    </row>
    <row r="27" spans="1:27" ht="13" x14ac:dyDescent="0.15">
      <c r="A27" s="298"/>
      <c r="B27" s="295" t="s">
        <v>263</v>
      </c>
      <c r="C27" s="294"/>
      <c r="D27" s="331">
        <f>'Operating Model'!AB76</f>
        <v>4761.4962999999998</v>
      </c>
      <c r="E27" s="294"/>
      <c r="G27" s="294"/>
      <c r="H27" s="294"/>
      <c r="I27" s="294"/>
      <c r="J27" s="294"/>
      <c r="K27" s="343"/>
      <c r="AA27" s="298"/>
    </row>
    <row r="28" spans="1:27" ht="13" x14ac:dyDescent="0.15">
      <c r="A28" s="298"/>
      <c r="B28" s="295" t="s">
        <v>362</v>
      </c>
      <c r="C28" s="294"/>
      <c r="D28" s="331">
        <f>'Operating Model'!AB56</f>
        <v>5008.3963999999996</v>
      </c>
      <c r="E28" s="294"/>
      <c r="G28" s="294"/>
      <c r="H28" s="294"/>
      <c r="I28" s="294"/>
      <c r="J28" s="294"/>
      <c r="K28" s="343"/>
      <c r="L28" s="486" t="s">
        <v>261</v>
      </c>
      <c r="M28" s="486"/>
      <c r="N28" s="486"/>
      <c r="O28" s="486"/>
      <c r="P28" s="486"/>
      <c r="Q28" s="486"/>
      <c r="R28" s="486"/>
      <c r="S28" s="486"/>
      <c r="T28" s="486"/>
      <c r="U28" s="486"/>
      <c r="V28" s="486"/>
      <c r="W28" s="486"/>
      <c r="X28" s="486"/>
      <c r="Y28" s="486"/>
      <c r="Z28" s="486"/>
      <c r="AA28" s="487"/>
    </row>
    <row r="29" spans="1:27" ht="13" x14ac:dyDescent="0.15">
      <c r="A29" s="298"/>
      <c r="B29" s="293" t="s">
        <v>262</v>
      </c>
      <c r="C29" s="339"/>
      <c r="D29" s="389">
        <f ca="1">DCF!C21</f>
        <v>312988.894861329</v>
      </c>
      <c r="E29" s="294"/>
      <c r="G29" s="294"/>
      <c r="H29" s="294"/>
      <c r="I29" s="294"/>
      <c r="J29" s="294"/>
      <c r="K29" s="343"/>
      <c r="AA29" s="298"/>
    </row>
    <row r="30" spans="1:27" ht="13" x14ac:dyDescent="0.15">
      <c r="A30" s="298"/>
      <c r="B30" s="294" t="s">
        <v>361</v>
      </c>
      <c r="C30" s="294"/>
      <c r="D30" s="312">
        <f>Beta!I7</f>
        <v>1.2554927042813457</v>
      </c>
      <c r="E30" s="294"/>
      <c r="G30" s="294"/>
      <c r="H30" s="294"/>
      <c r="I30" s="294"/>
      <c r="J30" s="294"/>
      <c r="K30" s="344"/>
      <c r="AA30" s="298"/>
    </row>
    <row r="31" spans="1:27" ht="13" x14ac:dyDescent="0.15">
      <c r="A31" s="298"/>
      <c r="B31" s="294" t="s">
        <v>260</v>
      </c>
      <c r="C31" s="294"/>
      <c r="D31" s="311">
        <v>2.0999999999999999E-3</v>
      </c>
      <c r="E31" s="294"/>
      <c r="G31" s="294"/>
      <c r="H31" s="294"/>
      <c r="I31" s="294"/>
      <c r="J31" s="294"/>
      <c r="K31" s="344"/>
      <c r="AA31" s="298"/>
    </row>
    <row r="32" spans="1:27" ht="16.5" customHeight="1" x14ac:dyDescent="0.15">
      <c r="A32" s="298"/>
      <c r="B32" s="294" t="s">
        <v>290</v>
      </c>
      <c r="C32" s="294"/>
      <c r="D32" s="311">
        <v>4.7000000000000002E-3</v>
      </c>
      <c r="E32" s="294"/>
      <c r="G32" s="294"/>
      <c r="H32" s="294"/>
      <c r="I32" s="294"/>
      <c r="J32" s="294"/>
      <c r="K32" s="345"/>
      <c r="L32" s="294"/>
      <c r="M32" s="294"/>
      <c r="N32" s="294"/>
      <c r="O32" s="294"/>
      <c r="P32" s="294"/>
      <c r="Q32" s="294"/>
      <c r="R32" s="294"/>
      <c r="S32" s="294"/>
      <c r="T32" s="294"/>
      <c r="U32" s="294"/>
      <c r="V32" s="294"/>
      <c r="W32" s="294"/>
      <c r="X32" s="294"/>
      <c r="Y32" s="292"/>
      <c r="AA32" s="298"/>
    </row>
    <row r="33" spans="2:27" ht="18.75" customHeight="1" x14ac:dyDescent="0.15">
      <c r="B33" s="486" t="s">
        <v>259</v>
      </c>
      <c r="C33" s="486"/>
      <c r="D33" s="486"/>
      <c r="E33" s="486"/>
      <c r="F33" s="486"/>
      <c r="G33" s="486"/>
      <c r="H33" s="486"/>
      <c r="I33" s="486"/>
      <c r="J33" s="486"/>
      <c r="K33" s="487"/>
      <c r="X33" s="292"/>
      <c r="AA33" s="298"/>
    </row>
    <row r="34" spans="2:27" ht="13" x14ac:dyDescent="0.15">
      <c r="B34" s="325" t="s">
        <v>258</v>
      </c>
      <c r="C34" s="340"/>
      <c r="D34" s="371" t="s">
        <v>289</v>
      </c>
      <c r="E34" s="371" t="s">
        <v>286</v>
      </c>
      <c r="F34" s="371" t="s">
        <v>250</v>
      </c>
      <c r="G34" s="371" t="s">
        <v>280</v>
      </c>
      <c r="H34" s="372" t="s">
        <v>251</v>
      </c>
      <c r="I34" s="373" t="s">
        <v>281</v>
      </c>
      <c r="J34" s="374" t="s">
        <v>287</v>
      </c>
      <c r="K34" s="375" t="s">
        <v>288</v>
      </c>
      <c r="L34" s="294"/>
      <c r="M34" s="294"/>
      <c r="N34" s="294"/>
      <c r="O34" s="294"/>
      <c r="P34" s="294"/>
      <c r="Q34" s="294"/>
      <c r="R34" s="294"/>
      <c r="S34" s="294"/>
      <c r="T34" s="294"/>
      <c r="U34" s="310"/>
      <c r="V34" s="310"/>
      <c r="W34" s="294"/>
      <c r="X34" s="294"/>
      <c r="AA34" s="298"/>
    </row>
    <row r="35" spans="2:27" ht="13" x14ac:dyDescent="0.15">
      <c r="B35" s="295" t="s">
        <v>257</v>
      </c>
      <c r="C35" s="294"/>
      <c r="D35" s="385">
        <f>'Operating Model'!O10</f>
        <v>12890.412926033614</v>
      </c>
      <c r="E35" s="385">
        <f>'Operating Model'!T10</f>
        <v>13207.053506429293</v>
      </c>
      <c r="F35" s="385">
        <f>'Operating Model'!Y10</f>
        <v>16048.613056415856</v>
      </c>
      <c r="G35" s="386">
        <f>'Operating Model'!AD10</f>
        <v>21434.078094915931</v>
      </c>
      <c r="H35" s="385">
        <f>'Operating Model'!AI10</f>
        <v>26079.131603773018</v>
      </c>
      <c r="I35" s="385">
        <f>'Operating Model'!AN10</f>
        <v>28929.405069289798</v>
      </c>
      <c r="J35" s="385">
        <f>'Operating Model'!AS10</f>
        <v>33388.4593370578</v>
      </c>
      <c r="K35" s="387">
        <f>'Revenue Segments'!AW9</f>
        <v>38538.343964743588</v>
      </c>
      <c r="L35" s="294"/>
      <c r="M35" s="294"/>
      <c r="N35" s="294"/>
      <c r="O35" s="294"/>
      <c r="P35" s="294"/>
      <c r="Q35" s="294"/>
      <c r="R35" s="294"/>
      <c r="S35" s="294"/>
      <c r="T35" s="294"/>
      <c r="U35" s="294"/>
      <c r="V35" s="294"/>
      <c r="W35" s="294"/>
      <c r="X35" s="294"/>
      <c r="AA35" s="298"/>
    </row>
    <row r="36" spans="2:27" ht="13" x14ac:dyDescent="0.15">
      <c r="B36" s="307" t="s">
        <v>252</v>
      </c>
      <c r="C36" s="341"/>
      <c r="D36" s="369">
        <f>'Operating Model'!O10/'Operating Model'!J10-1</f>
        <v>0.25447201189501767</v>
      </c>
      <c r="E36" s="369">
        <f>E35/'Operating Model'!O10-1</f>
        <v>2.4564037026012508E-2</v>
      </c>
      <c r="F36" s="405">
        <f>'Operating Model'!Y10/'Operating Model'!T10-1</f>
        <v>0.21515469355850425</v>
      </c>
      <c r="G36" s="406">
        <f>G35/F35-1</f>
        <v>0.33557199114767711</v>
      </c>
      <c r="H36" s="405">
        <f t="shared" ref="H36:I36" si="0">H35/G35-1</f>
        <v>0.21671347320316392</v>
      </c>
      <c r="I36" s="405">
        <f t="shared" si="0"/>
        <v>0.10929326592701472</v>
      </c>
      <c r="J36" s="407">
        <f>J35/I35-1</f>
        <v>0.15413570576677849</v>
      </c>
      <c r="K36" s="408">
        <f>K35/J35-1</f>
        <v>0.15424145737596029</v>
      </c>
      <c r="L36" s="294"/>
      <c r="M36" s="294"/>
      <c r="N36" s="294"/>
      <c r="O36" s="294"/>
      <c r="P36" s="294"/>
      <c r="Q36" s="294"/>
      <c r="R36" s="294"/>
      <c r="S36" s="294"/>
      <c r="T36" s="294"/>
      <c r="U36" s="294"/>
      <c r="V36" s="294"/>
      <c r="W36" s="294"/>
      <c r="X36" s="294"/>
      <c r="AA36" s="298"/>
    </row>
    <row r="37" spans="2:27" ht="13" x14ac:dyDescent="0.15">
      <c r="B37" s="295" t="s">
        <v>256</v>
      </c>
      <c r="C37" s="294"/>
      <c r="D37" s="385">
        <f>'Operating Model'!O12</f>
        <v>5926.8682260336136</v>
      </c>
      <c r="E37" s="385">
        <f>'Operating Model'!T12</f>
        <v>5896.5706064292935</v>
      </c>
      <c r="F37" s="385">
        <f>'Operating Model'!Y12</f>
        <v>7813.7997564158541</v>
      </c>
      <c r="G37" s="388">
        <f>'Operating Model'!AD12</f>
        <v>11202.638272090124</v>
      </c>
      <c r="H37" s="385">
        <f>'Operating Model'!AI12</f>
        <v>13961.971489035252</v>
      </c>
      <c r="I37" s="385">
        <f>'Operating Model'!AN12</f>
        <v>16067.353698376886</v>
      </c>
      <c r="J37" s="385">
        <f>'Operating Model'!AS12</f>
        <v>18363.65263538179</v>
      </c>
      <c r="K37" s="387">
        <f>'Operating Model'!AX12</f>
        <v>21196.089180608978</v>
      </c>
      <c r="L37" s="294"/>
      <c r="M37" s="294"/>
      <c r="N37" s="294"/>
      <c r="O37" s="294"/>
      <c r="P37" s="294"/>
      <c r="Q37" s="294"/>
      <c r="R37" s="294"/>
      <c r="S37" s="294"/>
      <c r="T37" s="294"/>
      <c r="U37" s="294"/>
      <c r="V37" s="294"/>
      <c r="W37" s="294"/>
      <c r="X37" s="294"/>
      <c r="AA37" s="298"/>
    </row>
    <row r="38" spans="2:27" ht="13" x14ac:dyDescent="0.15">
      <c r="B38" s="308" t="s">
        <v>253</v>
      </c>
      <c r="C38" s="342"/>
      <c r="D38" s="370">
        <f>D37/D35</f>
        <v>0.45978885703992056</v>
      </c>
      <c r="E38" s="370">
        <f>E37/E35</f>
        <v>0.44647131955350972</v>
      </c>
      <c r="F38" s="420">
        <f>'Operating Model'!Y13</f>
        <v>0.48688317980799478</v>
      </c>
      <c r="G38" s="421">
        <f>'Operating Model'!AD13</f>
        <v>0.52265547519617095</v>
      </c>
      <c r="H38" s="410">
        <f>'Operating Model'!AI13</f>
        <v>0.5353694939372633</v>
      </c>
      <c r="I38" s="410">
        <f>'Operating Model'!AN13</f>
        <v>0.55539869070564785</v>
      </c>
      <c r="J38" s="410">
        <f>J37/J35</f>
        <v>0.55000000000000004</v>
      </c>
      <c r="K38" s="411">
        <f>K37/K35</f>
        <v>0.55000000000000016</v>
      </c>
      <c r="L38" s="294"/>
      <c r="M38" s="309"/>
      <c r="N38" s="309"/>
      <c r="O38" s="309"/>
      <c r="P38" s="309"/>
      <c r="Q38" s="309"/>
      <c r="R38" s="309"/>
      <c r="S38" s="309"/>
      <c r="T38" s="309"/>
      <c r="U38" s="309"/>
      <c r="V38" s="309"/>
      <c r="W38" s="309"/>
      <c r="X38" s="309"/>
      <c r="AA38" s="298"/>
    </row>
    <row r="39" spans="2:27" ht="13" x14ac:dyDescent="0.15">
      <c r="B39" s="307" t="s">
        <v>252</v>
      </c>
      <c r="C39" s="341"/>
      <c r="D39" s="369">
        <f>'Operating Model'!O14</f>
        <v>0.28233439311102271</v>
      </c>
      <c r="E39" s="369">
        <f>'Operating Model'!T14</f>
        <v>-5.1119104472812094E-3</v>
      </c>
      <c r="F39" s="405">
        <f>'Operating Model'!Y14</f>
        <v>0.32514308365885092</v>
      </c>
      <c r="G39" s="418">
        <f>G37/F37-1</f>
        <v>0.43369917598562968</v>
      </c>
      <c r="H39" s="419">
        <f t="shared" ref="H39:I39" si="1">H37/G37-1</f>
        <v>0.24631101620228502</v>
      </c>
      <c r="I39" s="419">
        <f t="shared" si="1"/>
        <v>0.15079404874842028</v>
      </c>
      <c r="J39" s="414">
        <f>J37/I37-1</f>
        <v>0.14291705903237029</v>
      </c>
      <c r="K39" s="415">
        <f>K37/J37-1</f>
        <v>0.15424145737596073</v>
      </c>
      <c r="L39" s="294"/>
      <c r="M39" s="309"/>
      <c r="N39" s="309"/>
      <c r="O39" s="309"/>
      <c r="P39" s="309"/>
      <c r="Q39" s="309"/>
      <c r="R39" s="309"/>
      <c r="S39" s="309"/>
      <c r="T39" s="309"/>
      <c r="U39" s="309"/>
      <c r="V39" s="309"/>
      <c r="W39" s="309"/>
      <c r="X39" s="309"/>
      <c r="AA39" s="298"/>
    </row>
    <row r="40" spans="2:27" ht="13" x14ac:dyDescent="0.15">
      <c r="B40" s="295" t="s">
        <v>255</v>
      </c>
      <c r="C40" s="294"/>
      <c r="D40" s="385">
        <f>'Operating Model'!O33</f>
        <v>3493.4377260336137</v>
      </c>
      <c r="E40" s="385">
        <f>'Operating Model'!T33</f>
        <v>3110.8258064292932</v>
      </c>
      <c r="F40" s="385">
        <f>'Operating Model'!Y33</f>
        <v>4680.3164564158542</v>
      </c>
      <c r="G40" s="388">
        <f>'Operating Model'!AD33</f>
        <v>7456.7832958442923</v>
      </c>
      <c r="H40" s="385">
        <f>'Operating Model'!AI33</f>
        <v>10571.684380544757</v>
      </c>
      <c r="I40" s="385">
        <f>'Operating Model'!AN33</f>
        <v>12017.236988676315</v>
      </c>
      <c r="J40" s="385">
        <f>'Operating Model'!AS33</f>
        <v>13689.268328193697</v>
      </c>
      <c r="K40" s="387">
        <f>'Operating Model'!AX33</f>
        <v>15800.721025544877</v>
      </c>
      <c r="L40" s="294"/>
      <c r="M40" s="309"/>
      <c r="N40" s="309"/>
      <c r="O40" s="309"/>
      <c r="P40" s="309"/>
      <c r="Q40" s="309"/>
      <c r="R40" s="309"/>
      <c r="S40" s="309"/>
      <c r="T40" s="309"/>
      <c r="U40" s="309"/>
      <c r="V40" s="309"/>
      <c r="W40" s="309"/>
      <c r="X40" s="309"/>
      <c r="AA40" s="298"/>
    </row>
    <row r="41" spans="2:27" ht="13" x14ac:dyDescent="0.15">
      <c r="B41" s="308" t="s">
        <v>253</v>
      </c>
      <c r="C41" s="342"/>
      <c r="D41" s="370">
        <f>D40/D35</f>
        <v>0.27101053675155978</v>
      </c>
      <c r="E41" s="370">
        <f>E40/E35</f>
        <v>0.2355427578842563</v>
      </c>
      <c r="F41" s="416">
        <f>F40/F35</f>
        <v>0.29163370317192455</v>
      </c>
      <c r="G41" s="417">
        <f t="shared" ref="G41:I41" si="2">G40/G35</f>
        <v>0.34789381949732695</v>
      </c>
      <c r="H41" s="416">
        <f t="shared" si="2"/>
        <v>0.40536949393726324</v>
      </c>
      <c r="I41" s="416">
        <f t="shared" si="2"/>
        <v>0.41539869070564789</v>
      </c>
      <c r="J41" s="410">
        <f>J40/J35</f>
        <v>0.41</v>
      </c>
      <c r="K41" s="411">
        <f>K40/K35</f>
        <v>0.41000000000000014</v>
      </c>
      <c r="L41" s="294"/>
      <c r="M41" s="294"/>
      <c r="N41" s="294"/>
      <c r="O41" s="294"/>
      <c r="P41" s="294"/>
      <c r="Q41" s="294"/>
      <c r="R41" s="294"/>
      <c r="S41" s="294"/>
      <c r="T41" s="294"/>
      <c r="U41" s="294"/>
      <c r="V41" s="294"/>
      <c r="W41" s="294"/>
      <c r="X41" s="294"/>
      <c r="AA41" s="298"/>
    </row>
    <row r="42" spans="2:27" ht="13" x14ac:dyDescent="0.15">
      <c r="B42" s="307" t="s">
        <v>252</v>
      </c>
      <c r="C42" s="341"/>
      <c r="D42" s="369">
        <f>'Operating Model'!O35</f>
        <v>0.28099854062866392</v>
      </c>
      <c r="E42" s="369">
        <f>'Operating Model'!T35</f>
        <v>-0.10952303994230095</v>
      </c>
      <c r="F42" s="405">
        <f>'Operating Model'!Y35</f>
        <v>0.50452540503644383</v>
      </c>
      <c r="G42" s="418">
        <f>G40/F40-1</f>
        <v>0.59322203216032787</v>
      </c>
      <c r="H42" s="419">
        <f t="shared" ref="H42:I42" si="3">H40/G40-1</f>
        <v>0.41772718357477512</v>
      </c>
      <c r="I42" s="419">
        <f t="shared" si="3"/>
        <v>0.13673815411968149</v>
      </c>
      <c r="J42" s="414">
        <f>J40/I40-1</f>
        <v>0.13913608769577523</v>
      </c>
      <c r="K42" s="415">
        <f>K40/J40-1</f>
        <v>0.15424145737596096</v>
      </c>
      <c r="L42" s="294"/>
      <c r="M42" s="294"/>
      <c r="N42" s="294"/>
      <c r="O42" s="294"/>
      <c r="P42" s="294"/>
      <c r="Q42" s="294"/>
      <c r="R42" s="294"/>
      <c r="S42" s="294"/>
      <c r="T42" s="294"/>
      <c r="U42" s="294"/>
      <c r="V42" s="294"/>
      <c r="W42" s="294"/>
      <c r="X42" s="294"/>
      <c r="AA42" s="298"/>
    </row>
    <row r="43" spans="2:27" ht="13" x14ac:dyDescent="0.15">
      <c r="B43" s="295" t="s">
        <v>254</v>
      </c>
      <c r="C43" s="294"/>
      <c r="D43" s="385">
        <f>'Operating Model'!O44</f>
        <v>2550.6885260336144</v>
      </c>
      <c r="E43" s="385">
        <f>'Operating Model'!T44</f>
        <v>2389.174206429293</v>
      </c>
      <c r="F43" s="385">
        <f>'Operating Model'!Y44</f>
        <v>3547.6544564158576</v>
      </c>
      <c r="G43" s="388">
        <f>'Operating Model'!AD44</f>
        <v>5783.6981666907195</v>
      </c>
      <c r="H43" s="385">
        <f>'Operating Model'!AI44</f>
        <v>7633.1343091232484</v>
      </c>
      <c r="I43" s="385">
        <f>'Operating Model'!AN44</f>
        <v>8691.5636034231866</v>
      </c>
      <c r="J43" s="385">
        <f>'Operating Model'!AS44</f>
        <v>9904.460819928343</v>
      </c>
      <c r="K43" s="387">
        <f>'Operating Model'!AX44</f>
        <v>11440.530336835996</v>
      </c>
      <c r="L43" s="294"/>
      <c r="M43" s="294"/>
      <c r="N43" s="294"/>
      <c r="O43" s="294"/>
      <c r="P43" s="294"/>
      <c r="Q43" s="294"/>
      <c r="R43" s="294"/>
      <c r="S43" s="294"/>
      <c r="T43" s="294"/>
      <c r="U43" s="294"/>
      <c r="V43" s="294"/>
      <c r="W43" s="294"/>
      <c r="X43" s="294"/>
      <c r="AA43" s="298"/>
    </row>
    <row r="44" spans="2:27" ht="13" x14ac:dyDescent="0.15">
      <c r="B44" s="308" t="s">
        <v>253</v>
      </c>
      <c r="C44" s="342"/>
      <c r="D44" s="370">
        <f>D43/D35</f>
        <v>0.19787485014403355</v>
      </c>
      <c r="E44" s="370">
        <f>E43/E35</f>
        <v>0.18090138010467097</v>
      </c>
      <c r="F44" s="370">
        <f>F43/F35</f>
        <v>0.22105676321964715</v>
      </c>
      <c r="G44" s="409">
        <f t="shared" ref="G44:I44" si="4">G43/G35</f>
        <v>0.26983657244687315</v>
      </c>
      <c r="H44" s="370">
        <f t="shared" si="4"/>
        <v>0.29269127611668322</v>
      </c>
      <c r="I44" s="370">
        <f t="shared" si="4"/>
        <v>0.30044045436142663</v>
      </c>
      <c r="J44" s="410">
        <f>J43/J35</f>
        <v>0.29664324190410896</v>
      </c>
      <c r="K44" s="411">
        <f>K43/K35</f>
        <v>0.29686097428841907</v>
      </c>
      <c r="L44" s="294"/>
      <c r="M44" s="294"/>
      <c r="N44" s="294"/>
      <c r="O44" s="294"/>
      <c r="P44" s="294"/>
      <c r="Q44" s="294"/>
      <c r="R44" s="294"/>
      <c r="S44" s="294"/>
      <c r="T44" s="294"/>
      <c r="U44" s="294"/>
      <c r="V44" s="294"/>
      <c r="W44" s="294"/>
      <c r="X44" s="294"/>
      <c r="AA44" s="298"/>
    </row>
    <row r="45" spans="2:27" ht="13" x14ac:dyDescent="0.15">
      <c r="B45" s="307" t="s">
        <v>252</v>
      </c>
      <c r="C45" s="341"/>
      <c r="D45" s="369">
        <f>'Operating Model'!O46</f>
        <v>0.31759997782334293</v>
      </c>
      <c r="E45" s="369">
        <f>'Operating Model'!T46</f>
        <v>-6.332185131811463E-2</v>
      </c>
      <c r="F45" s="369">
        <f>'Operating Model'!Y46</f>
        <v>0.48488730828797744</v>
      </c>
      <c r="G45" s="412">
        <f>G43/F43-1</f>
        <v>0.630287909306112</v>
      </c>
      <c r="H45" s="413">
        <f t="shared" ref="H45:I45" si="5">H43/G43-1</f>
        <v>0.31976705718907317</v>
      </c>
      <c r="I45" s="413">
        <f t="shared" si="5"/>
        <v>0.13866247486761574</v>
      </c>
      <c r="J45" s="414">
        <f>J43/I43-1</f>
        <v>0.13954879373228701</v>
      </c>
      <c r="K45" s="415">
        <f>K43/J43-1</f>
        <v>0.15508865599397326</v>
      </c>
      <c r="L45" s="294"/>
      <c r="M45" s="294"/>
      <c r="N45" s="294"/>
      <c r="O45" s="294"/>
      <c r="P45" s="294"/>
      <c r="Q45" s="294"/>
      <c r="R45" s="294"/>
      <c r="S45" s="294"/>
      <c r="T45" s="294"/>
      <c r="U45" s="294"/>
      <c r="V45" s="294"/>
      <c r="W45" s="294"/>
      <c r="X45" s="294"/>
      <c r="AA45" s="298"/>
    </row>
    <row r="46" spans="2:27" ht="20.25" customHeight="1" x14ac:dyDescent="0.15">
      <c r="B46" s="483" t="s">
        <v>298</v>
      </c>
      <c r="C46" s="484"/>
      <c r="D46" s="484"/>
      <c r="E46" s="484"/>
      <c r="F46" s="484"/>
      <c r="G46" s="484"/>
      <c r="H46" s="484"/>
      <c r="I46" s="484"/>
      <c r="J46" s="484"/>
      <c r="K46" s="485"/>
      <c r="L46" s="496"/>
      <c r="M46" s="496"/>
      <c r="N46" s="496"/>
      <c r="O46" s="496"/>
      <c r="P46" s="496"/>
      <c r="Q46" s="496"/>
      <c r="R46" s="496"/>
      <c r="S46" s="496"/>
      <c r="T46" s="496"/>
      <c r="U46" s="496"/>
      <c r="V46" s="496"/>
      <c r="W46" s="496"/>
      <c r="X46" s="496"/>
      <c r="AA46" s="298"/>
    </row>
    <row r="47" spans="2:27" ht="13" x14ac:dyDescent="0.15">
      <c r="B47" s="497"/>
      <c r="C47" s="498"/>
      <c r="D47" s="498"/>
      <c r="E47" s="498"/>
      <c r="F47" s="498"/>
      <c r="G47" s="499"/>
      <c r="H47" s="499"/>
      <c r="I47" s="499"/>
      <c r="J47" s="499"/>
      <c r="K47" s="500"/>
      <c r="L47" s="299"/>
      <c r="M47" s="299"/>
      <c r="N47" s="299"/>
      <c r="O47" s="299"/>
      <c r="P47" s="299"/>
      <c r="Q47" s="299"/>
      <c r="R47" s="299"/>
      <c r="S47" s="299"/>
      <c r="T47" s="299"/>
      <c r="U47" s="299"/>
      <c r="V47" s="299"/>
      <c r="W47" s="299"/>
      <c r="X47" s="299"/>
      <c r="Z47" s="306"/>
      <c r="AA47" s="350"/>
    </row>
    <row r="48" spans="2:27" ht="15" x14ac:dyDescent="0.2">
      <c r="B48" s="358"/>
      <c r="C48" s="359"/>
      <c r="D48" s="359"/>
      <c r="E48" s="359"/>
      <c r="F48" s="359"/>
      <c r="G48" s="359"/>
      <c r="H48" s="359"/>
      <c r="I48" s="359"/>
      <c r="J48" s="359"/>
      <c r="K48" s="360"/>
      <c r="L48" s="299"/>
      <c r="M48" s="493"/>
      <c r="N48" s="493"/>
      <c r="O48" s="493"/>
      <c r="P48" s="493"/>
      <c r="Q48" s="305"/>
      <c r="R48" s="305"/>
      <c r="S48" s="305"/>
      <c r="T48" s="493"/>
      <c r="U48" s="493"/>
      <c r="V48" s="493"/>
      <c r="W48" s="493"/>
      <c r="X48" s="299"/>
      <c r="AA48" s="298"/>
    </row>
    <row r="49" spans="2:27" ht="15" x14ac:dyDescent="0.2">
      <c r="B49" s="353"/>
      <c r="C49" s="354"/>
      <c r="D49" s="354"/>
      <c r="E49" s="354"/>
      <c r="F49" s="354"/>
      <c r="G49" s="354"/>
      <c r="H49" s="354"/>
      <c r="I49" s="354"/>
      <c r="J49" s="354"/>
      <c r="K49" s="355"/>
      <c r="L49" s="302"/>
      <c r="M49" s="304"/>
      <c r="N49" s="302"/>
      <c r="O49" s="302"/>
      <c r="P49" s="302"/>
      <c r="Q49" s="302"/>
      <c r="R49" s="302"/>
      <c r="S49" s="302"/>
      <c r="T49" s="303"/>
      <c r="U49" s="302"/>
      <c r="V49" s="302"/>
      <c r="W49" s="302"/>
      <c r="X49" s="302"/>
      <c r="AA49" s="298"/>
    </row>
    <row r="50" spans="2:27" ht="15" x14ac:dyDescent="0.2">
      <c r="B50" s="353"/>
      <c r="C50" s="354"/>
      <c r="D50" s="354"/>
      <c r="E50" s="354"/>
      <c r="F50" s="354"/>
      <c r="G50" s="354"/>
      <c r="H50" s="354"/>
      <c r="I50" s="354"/>
      <c r="J50" s="354"/>
      <c r="K50" s="355"/>
      <c r="L50" s="299"/>
      <c r="M50" s="301"/>
      <c r="N50" s="299"/>
      <c r="O50" s="299"/>
      <c r="P50" s="299"/>
      <c r="Q50" s="299"/>
      <c r="R50" s="299"/>
      <c r="S50" s="299"/>
      <c r="T50" s="300"/>
      <c r="U50" s="299"/>
      <c r="V50" s="299"/>
      <c r="W50" s="299"/>
      <c r="X50" s="299"/>
      <c r="AA50" s="298"/>
    </row>
    <row r="51" spans="2:27" ht="15" x14ac:dyDescent="0.2">
      <c r="B51" s="353"/>
      <c r="C51" s="354"/>
      <c r="D51" s="354"/>
      <c r="E51" s="354"/>
      <c r="F51" s="354"/>
      <c r="G51" s="354"/>
      <c r="H51" s="354"/>
      <c r="I51" s="354"/>
      <c r="J51" s="354"/>
      <c r="K51" s="355"/>
      <c r="L51" s="299"/>
      <c r="M51" s="301"/>
      <c r="N51" s="299"/>
      <c r="O51" s="299"/>
      <c r="P51" s="299"/>
      <c r="Q51" s="299"/>
      <c r="R51" s="299"/>
      <c r="S51" s="299"/>
      <c r="T51" s="300"/>
      <c r="U51" s="299"/>
      <c r="V51" s="299"/>
      <c r="W51" s="299"/>
      <c r="X51" s="299"/>
      <c r="AA51" s="298"/>
    </row>
    <row r="52" spans="2:27" ht="15" x14ac:dyDescent="0.2">
      <c r="B52" s="358"/>
      <c r="C52" s="359"/>
      <c r="D52" s="359"/>
      <c r="E52" s="359"/>
      <c r="F52" s="359"/>
      <c r="G52" s="359"/>
      <c r="H52" s="359"/>
      <c r="I52" s="359"/>
      <c r="J52" s="359"/>
      <c r="K52" s="360"/>
      <c r="L52" s="292"/>
      <c r="M52" s="317"/>
      <c r="N52" s="292"/>
      <c r="O52" s="292"/>
      <c r="P52" s="292"/>
      <c r="Q52" s="292"/>
      <c r="R52" s="292"/>
      <c r="S52" s="292"/>
      <c r="T52" s="318"/>
      <c r="U52" s="292"/>
      <c r="V52" s="292"/>
      <c r="W52" s="292"/>
      <c r="X52" s="292"/>
      <c r="AA52" s="298"/>
    </row>
    <row r="53" spans="2:27" ht="15" x14ac:dyDescent="0.2">
      <c r="B53" s="353"/>
      <c r="C53" s="354"/>
      <c r="D53" s="354"/>
      <c r="E53" s="354"/>
      <c r="F53" s="354"/>
      <c r="G53" s="354"/>
      <c r="H53" s="354"/>
      <c r="I53" s="354"/>
      <c r="J53" s="354"/>
      <c r="K53" s="355"/>
      <c r="L53" s="292"/>
      <c r="M53" s="317"/>
      <c r="N53" s="294"/>
      <c r="O53" s="294"/>
      <c r="P53" s="294"/>
      <c r="Q53" s="294"/>
      <c r="R53" s="294"/>
      <c r="S53" s="292"/>
      <c r="T53" s="317"/>
      <c r="U53" s="294"/>
      <c r="V53" s="294"/>
      <c r="W53" s="294"/>
      <c r="X53" s="294"/>
      <c r="AA53" s="298"/>
    </row>
    <row r="54" spans="2:27" ht="15" x14ac:dyDescent="0.2">
      <c r="B54" s="353"/>
      <c r="C54" s="354"/>
      <c r="D54" s="354"/>
      <c r="E54" s="354"/>
      <c r="F54" s="354"/>
      <c r="G54" s="354"/>
      <c r="H54" s="354"/>
      <c r="I54" s="354"/>
      <c r="J54" s="354"/>
      <c r="K54" s="355"/>
      <c r="L54" s="294"/>
      <c r="M54" s="294"/>
      <c r="N54" s="294"/>
      <c r="O54" s="294"/>
      <c r="P54" s="294"/>
      <c r="Q54" s="294"/>
      <c r="R54" s="294"/>
      <c r="S54" s="294"/>
      <c r="T54" s="294"/>
      <c r="U54" s="294"/>
      <c r="V54" s="294"/>
      <c r="W54" s="294"/>
      <c r="X54" s="294"/>
      <c r="AA54" s="298"/>
    </row>
    <row r="55" spans="2:27" ht="15" x14ac:dyDescent="0.2">
      <c r="B55" s="353"/>
      <c r="C55" s="354"/>
      <c r="D55" s="354"/>
      <c r="E55" s="354"/>
      <c r="F55" s="354"/>
      <c r="G55" s="354"/>
      <c r="H55" s="354"/>
      <c r="I55" s="354"/>
      <c r="J55" s="354"/>
      <c r="K55" s="355"/>
      <c r="L55" s="296"/>
      <c r="M55" s="296"/>
      <c r="N55" s="296"/>
      <c r="O55" s="296"/>
      <c r="P55" s="296"/>
      <c r="Q55" s="296"/>
      <c r="R55" s="296"/>
      <c r="S55" s="296"/>
      <c r="T55" s="296"/>
      <c r="U55" s="296"/>
      <c r="V55" s="296"/>
      <c r="W55" s="296"/>
      <c r="X55" s="296"/>
      <c r="AA55" s="298"/>
    </row>
    <row r="56" spans="2:27" ht="15" x14ac:dyDescent="0.2">
      <c r="B56" s="353"/>
      <c r="C56" s="354"/>
      <c r="D56" s="354"/>
      <c r="E56" s="354"/>
      <c r="F56" s="354"/>
      <c r="G56" s="354"/>
      <c r="H56" s="354"/>
      <c r="I56" s="354"/>
      <c r="J56" s="354"/>
      <c r="K56" s="355"/>
      <c r="L56" s="294"/>
      <c r="M56" s="294"/>
      <c r="N56" s="294"/>
      <c r="O56" s="294"/>
      <c r="P56" s="294"/>
      <c r="Q56" s="294"/>
      <c r="R56" s="294"/>
      <c r="S56" s="294"/>
      <c r="T56" s="294"/>
      <c r="U56" s="294"/>
      <c r="V56" s="294"/>
      <c r="W56" s="294"/>
      <c r="X56" s="294"/>
      <c r="AA56" s="298"/>
    </row>
    <row r="57" spans="2:27" ht="15" x14ac:dyDescent="0.2">
      <c r="B57" s="358"/>
      <c r="C57" s="359"/>
      <c r="D57" s="359"/>
      <c r="E57" s="359"/>
      <c r="F57" s="359"/>
      <c r="G57" s="359"/>
      <c r="H57" s="359"/>
      <c r="I57" s="359"/>
      <c r="J57" s="359"/>
      <c r="K57" s="360"/>
      <c r="L57" s="294"/>
      <c r="M57" s="294"/>
      <c r="N57" s="294"/>
      <c r="O57" s="294"/>
      <c r="P57" s="294"/>
      <c r="Q57" s="294"/>
      <c r="R57" s="294"/>
      <c r="S57" s="294"/>
      <c r="T57" s="294"/>
      <c r="U57" s="294"/>
      <c r="V57" s="294"/>
      <c r="W57" s="294"/>
      <c r="X57" s="294"/>
      <c r="AA57" s="298"/>
    </row>
    <row r="58" spans="2:27" ht="15" x14ac:dyDescent="0.2">
      <c r="B58" s="361"/>
      <c r="C58" s="354"/>
      <c r="D58" s="354"/>
      <c r="E58" s="354"/>
      <c r="F58" s="354"/>
      <c r="G58" s="354"/>
      <c r="H58" s="354"/>
      <c r="I58" s="354"/>
      <c r="J58" s="354"/>
      <c r="K58" s="355"/>
      <c r="L58" s="294"/>
      <c r="M58" s="294"/>
      <c r="N58" s="294"/>
      <c r="O58" s="294"/>
      <c r="P58" s="294"/>
      <c r="Q58" s="294"/>
      <c r="R58" s="294"/>
      <c r="S58" s="294"/>
      <c r="T58" s="294"/>
      <c r="U58" s="294"/>
      <c r="V58" s="294"/>
      <c r="W58" s="294"/>
      <c r="X58" s="294"/>
      <c r="AA58" s="298"/>
    </row>
    <row r="59" spans="2:27" ht="15" x14ac:dyDescent="0.2">
      <c r="B59" s="353"/>
      <c r="C59" s="354"/>
      <c r="D59" s="354"/>
      <c r="E59" s="354"/>
      <c r="F59" s="354"/>
      <c r="G59" s="354"/>
      <c r="H59" s="354"/>
      <c r="I59" s="354"/>
      <c r="J59" s="354"/>
      <c r="K59" s="355"/>
      <c r="L59" s="294"/>
      <c r="M59" s="294"/>
      <c r="N59" s="294"/>
      <c r="O59" s="294"/>
      <c r="P59" s="294"/>
      <c r="Q59" s="294"/>
      <c r="R59" s="294"/>
      <c r="S59" s="294"/>
      <c r="T59" s="294"/>
      <c r="U59" s="294"/>
      <c r="V59" s="294"/>
      <c r="W59" s="294"/>
      <c r="X59" s="294"/>
      <c r="AA59" s="298"/>
    </row>
    <row r="60" spans="2:27" ht="15" x14ac:dyDescent="0.2">
      <c r="B60" s="353"/>
      <c r="C60" s="354"/>
      <c r="D60" s="354"/>
      <c r="E60" s="354"/>
      <c r="F60" s="354"/>
      <c r="G60" s="354"/>
      <c r="H60" s="354"/>
      <c r="I60" s="354"/>
      <c r="J60" s="354"/>
      <c r="K60" s="355"/>
      <c r="L60" s="294"/>
      <c r="M60" s="294"/>
      <c r="N60" s="294"/>
      <c r="O60" s="294"/>
      <c r="P60" s="294"/>
      <c r="Q60" s="294"/>
      <c r="R60" s="294"/>
      <c r="S60" s="294"/>
      <c r="T60" s="294"/>
      <c r="U60" s="294"/>
      <c r="V60" s="294"/>
      <c r="W60" s="294"/>
      <c r="X60" s="294"/>
      <c r="AA60" s="298"/>
    </row>
    <row r="61" spans="2:27" ht="15" x14ac:dyDescent="0.2">
      <c r="B61" s="353"/>
      <c r="C61" s="354"/>
      <c r="D61" s="354"/>
      <c r="E61" s="354"/>
      <c r="F61" s="354"/>
      <c r="G61" s="354"/>
      <c r="H61" s="354"/>
      <c r="I61" s="354"/>
      <c r="J61" s="354"/>
      <c r="K61" s="355"/>
      <c r="L61" s="294"/>
      <c r="M61" s="294"/>
      <c r="N61" s="294"/>
      <c r="O61" s="294"/>
      <c r="P61" s="294"/>
      <c r="Q61" s="294"/>
      <c r="R61" s="294"/>
      <c r="S61" s="294"/>
      <c r="T61" s="294"/>
      <c r="U61" s="294"/>
      <c r="V61" s="294"/>
      <c r="W61" s="294"/>
      <c r="X61" s="294"/>
      <c r="AA61" s="298"/>
    </row>
    <row r="62" spans="2:27" x14ac:dyDescent="0.15">
      <c r="B62" s="352"/>
      <c r="C62" s="292"/>
      <c r="D62" s="292"/>
      <c r="E62" s="292"/>
      <c r="F62" s="292"/>
      <c r="G62" s="292"/>
      <c r="H62" s="292"/>
      <c r="I62" s="292"/>
      <c r="J62" s="292"/>
      <c r="K62" s="298"/>
      <c r="X62" s="292"/>
      <c r="AA62" s="298"/>
    </row>
    <row r="63" spans="2:27" x14ac:dyDescent="0.15">
      <c r="B63" s="352"/>
      <c r="C63" s="292"/>
      <c r="D63" s="292"/>
      <c r="E63" s="292"/>
      <c r="F63" s="292"/>
      <c r="G63" s="292"/>
      <c r="H63" s="292"/>
      <c r="I63" s="292"/>
      <c r="J63" s="292"/>
      <c r="K63" s="298"/>
      <c r="AA63" s="298"/>
    </row>
    <row r="64" spans="2:27" ht="14.25" customHeight="1" x14ac:dyDescent="0.2">
      <c r="B64" s="352"/>
      <c r="C64" s="292"/>
      <c r="D64" s="292"/>
      <c r="E64" s="292"/>
      <c r="F64" s="292"/>
      <c r="G64" s="292"/>
      <c r="H64" s="292"/>
      <c r="I64" s="292"/>
      <c r="J64" s="292"/>
      <c r="K64" s="298"/>
      <c r="L64" s="351"/>
      <c r="M64" s="327"/>
      <c r="AA64" s="298"/>
    </row>
    <row r="65" spans="2:27" ht="14.25" customHeight="1" x14ac:dyDescent="0.2">
      <c r="B65" s="352"/>
      <c r="C65" s="292"/>
      <c r="D65" s="292"/>
      <c r="E65" s="292"/>
      <c r="F65" s="292"/>
      <c r="G65" s="292"/>
      <c r="H65" s="292"/>
      <c r="I65" s="292"/>
      <c r="J65" s="292"/>
      <c r="K65" s="298"/>
      <c r="L65" s="351"/>
      <c r="M65" s="327"/>
      <c r="AA65" s="298"/>
    </row>
    <row r="66" spans="2:27" ht="13" x14ac:dyDescent="0.15">
      <c r="B66" s="362"/>
      <c r="C66" s="363"/>
      <c r="D66" s="363"/>
      <c r="E66" s="363"/>
      <c r="F66" s="363"/>
      <c r="G66" s="363"/>
      <c r="H66" s="363"/>
      <c r="I66" s="363"/>
      <c r="J66" s="363"/>
      <c r="K66" s="364"/>
      <c r="L66" s="352"/>
      <c r="AA66" s="298"/>
    </row>
    <row r="67" spans="2:27" ht="14.25" customHeight="1" x14ac:dyDescent="0.15">
      <c r="B67" s="333"/>
      <c r="C67" s="334"/>
      <c r="D67" s="334"/>
      <c r="E67" s="334"/>
      <c r="F67" s="334"/>
      <c r="G67" s="334"/>
      <c r="H67" s="334"/>
      <c r="I67" s="334"/>
      <c r="J67" s="334"/>
      <c r="K67" s="335"/>
      <c r="L67" s="352"/>
      <c r="AA67" s="298"/>
    </row>
    <row r="68" spans="2:27" ht="14.25" customHeight="1" x14ac:dyDescent="0.15">
      <c r="B68" s="333"/>
      <c r="C68" s="334"/>
      <c r="D68" s="334"/>
      <c r="E68" s="334"/>
      <c r="F68" s="334"/>
      <c r="G68" s="334"/>
      <c r="H68" s="334"/>
      <c r="I68" s="334"/>
      <c r="J68" s="334"/>
      <c r="K68" s="335"/>
      <c r="L68" s="352"/>
      <c r="AA68" s="298"/>
    </row>
    <row r="69" spans="2:27" ht="14.25" customHeight="1" x14ac:dyDescent="0.15">
      <c r="B69" s="333"/>
      <c r="C69" s="334"/>
      <c r="D69" s="334"/>
      <c r="E69" s="334"/>
      <c r="F69" s="334"/>
      <c r="G69" s="334"/>
      <c r="H69" s="334"/>
      <c r="I69" s="334"/>
      <c r="J69" s="334"/>
      <c r="K69" s="335"/>
      <c r="L69" s="352"/>
      <c r="AA69" s="298"/>
    </row>
    <row r="70" spans="2:27" ht="14.25" customHeight="1" x14ac:dyDescent="0.15">
      <c r="B70" s="333"/>
      <c r="C70" s="334"/>
      <c r="D70" s="334"/>
      <c r="E70" s="334"/>
      <c r="F70" s="334"/>
      <c r="G70" s="334"/>
      <c r="H70" s="334"/>
      <c r="I70" s="334"/>
      <c r="J70" s="334"/>
      <c r="K70" s="335"/>
      <c r="L70" s="352"/>
      <c r="AA70" s="298"/>
    </row>
    <row r="71" spans="2:27" ht="18.75" customHeight="1" x14ac:dyDescent="0.15">
      <c r="B71" s="336"/>
      <c r="C71" s="297"/>
      <c r="D71" s="297"/>
      <c r="E71" s="297"/>
      <c r="F71" s="297"/>
      <c r="G71" s="297"/>
      <c r="H71" s="297"/>
      <c r="I71" s="297"/>
      <c r="J71" s="297"/>
      <c r="K71" s="337"/>
      <c r="L71" s="336"/>
      <c r="M71" s="297"/>
      <c r="N71" s="297"/>
      <c r="O71" s="297"/>
      <c r="P71" s="297"/>
      <c r="Q71" s="297"/>
      <c r="R71" s="297"/>
      <c r="S71" s="297"/>
      <c r="T71" s="297"/>
      <c r="U71" s="297"/>
      <c r="V71" s="297"/>
      <c r="W71" s="297"/>
      <c r="X71" s="297"/>
      <c r="Y71" s="297"/>
      <c r="Z71" s="297"/>
      <c r="AA71" s="337"/>
    </row>
    <row r="72" spans="2:27" x14ac:dyDescent="0.15">
      <c r="B72" s="292"/>
      <c r="C72" s="292"/>
      <c r="D72" s="292"/>
      <c r="E72" s="292"/>
      <c r="F72" s="292"/>
      <c r="G72" s="292"/>
      <c r="H72" s="292"/>
      <c r="I72" s="292"/>
      <c r="J72" s="292"/>
      <c r="K72" s="292"/>
    </row>
    <row r="80" spans="2:27" x14ac:dyDescent="0.15">
      <c r="F80" s="292"/>
    </row>
  </sheetData>
  <mergeCells count="19">
    <mergeCell ref="M48:P48"/>
    <mergeCell ref="T48:W48"/>
    <mergeCell ref="B19:K19"/>
    <mergeCell ref="B33:K33"/>
    <mergeCell ref="L46:X46"/>
    <mergeCell ref="B47:F47"/>
    <mergeCell ref="G47:K47"/>
    <mergeCell ref="B4:AA4"/>
    <mergeCell ref="B3:AA3"/>
    <mergeCell ref="B6:AA6"/>
    <mergeCell ref="B46:K46"/>
    <mergeCell ref="B10:AA10"/>
    <mergeCell ref="B9:AA9"/>
    <mergeCell ref="B8:AA8"/>
    <mergeCell ref="B7:AA7"/>
    <mergeCell ref="B5:AA5"/>
    <mergeCell ref="L28:AA28"/>
    <mergeCell ref="L13:AA13"/>
    <mergeCell ref="B11:AA11"/>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F1A0-081C-4419-A52F-D86176960DD4}">
  <sheetPr published="0">
    <tabColor theme="5"/>
    <pageSetUpPr fitToPage="1"/>
  </sheetPr>
  <dimension ref="B1:P46"/>
  <sheetViews>
    <sheetView showGridLines="0" zoomScale="130" zoomScaleNormal="130" workbookViewId="0">
      <pane ySplit="11" topLeftCell="A12" activePane="bottomLeft" state="frozen"/>
      <selection activeCell="D38" sqref="D38"/>
      <selection pane="bottomLeft"/>
    </sheetView>
  </sheetViews>
  <sheetFormatPr baseColWidth="10" defaultColWidth="9.1640625" defaultRowHeight="12" x14ac:dyDescent="0.15"/>
  <cols>
    <col min="1" max="1" width="3.33203125" style="446" customWidth="1"/>
    <col min="2" max="2" width="30.5" style="446" customWidth="1"/>
    <col min="3" max="3" width="22.1640625" style="446" bestFit="1" customWidth="1"/>
    <col min="4" max="4" width="13.83203125" style="446" bestFit="1" customWidth="1"/>
    <col min="5" max="5" width="20.5" style="446" customWidth="1"/>
    <col min="6" max="6" width="4.5" style="446" customWidth="1"/>
    <col min="7" max="7" width="5.5" style="446" customWidth="1"/>
    <col min="8" max="8" width="14" style="446" bestFit="1" customWidth="1"/>
    <col min="9" max="9" width="13.83203125" style="446" bestFit="1" customWidth="1"/>
    <col min="10" max="10" width="14.83203125" style="446" customWidth="1"/>
    <col min="11" max="11" width="9.1640625" style="446"/>
    <col min="12" max="12" width="12.83203125" style="446" bestFit="1" customWidth="1"/>
    <col min="13" max="15" width="9.1640625" style="446"/>
    <col min="16" max="16" width="15.1640625" style="446" bestFit="1" customWidth="1"/>
    <col min="17" max="16384" width="9.1640625" style="446"/>
  </cols>
  <sheetData>
    <row r="1" spans="2:16" ht="21" x14ac:dyDescent="0.25">
      <c r="B1" s="444" t="s">
        <v>228</v>
      </c>
      <c r="C1" s="445"/>
      <c r="D1" s="445"/>
      <c r="E1" s="445"/>
      <c r="F1" s="445"/>
    </row>
    <row r="2" spans="2:16" x14ac:dyDescent="0.15">
      <c r="D2" s="445"/>
      <c r="E2" s="445"/>
      <c r="F2" s="445"/>
    </row>
    <row r="4" spans="2:16" ht="13" x14ac:dyDescent="0.15">
      <c r="B4" s="447" t="s">
        <v>230</v>
      </c>
      <c r="F4" s="448"/>
    </row>
    <row r="5" spans="2:16" ht="13" x14ac:dyDescent="0.15">
      <c r="B5" s="447"/>
      <c r="F5" s="448"/>
    </row>
    <row r="6" spans="2:16" x14ac:dyDescent="0.15">
      <c r="B6" s="446" t="s">
        <v>227</v>
      </c>
      <c r="F6" s="448"/>
    </row>
    <row r="7" spans="2:16" x14ac:dyDescent="0.15">
      <c r="F7" s="448"/>
    </row>
    <row r="8" spans="2:16" x14ac:dyDescent="0.15">
      <c r="B8" s="446" t="s">
        <v>226</v>
      </c>
      <c r="C8" s="449">
        <f>E28/10500000000</f>
        <v>0.32761886399335532</v>
      </c>
      <c r="F8" s="448"/>
    </row>
    <row r="9" spans="2:16" x14ac:dyDescent="0.15">
      <c r="C9" s="450"/>
      <c r="F9" s="448"/>
      <c r="H9" s="451"/>
      <c r="I9" s="452"/>
      <c r="J9" s="453"/>
      <c r="K9" s="453"/>
      <c r="L9" s="454"/>
      <c r="M9" s="452"/>
      <c r="N9" s="453"/>
      <c r="O9" s="453"/>
      <c r="P9" s="454"/>
    </row>
    <row r="10" spans="2:16" x14ac:dyDescent="0.15">
      <c r="F10" s="448"/>
    </row>
    <row r="11" spans="2:16" x14ac:dyDescent="0.15">
      <c r="B11" s="445" t="s">
        <v>30</v>
      </c>
      <c r="C11" s="455" t="s">
        <v>225</v>
      </c>
      <c r="D11" s="455" t="s">
        <v>224</v>
      </c>
      <c r="E11" s="455" t="s">
        <v>229</v>
      </c>
      <c r="F11" s="456"/>
      <c r="H11" s="457"/>
      <c r="I11" s="457"/>
      <c r="J11" s="457"/>
      <c r="K11" s="457"/>
      <c r="L11" s="457"/>
      <c r="P11" s="457"/>
    </row>
    <row r="12" spans="2:16" x14ac:dyDescent="0.15">
      <c r="B12" s="474" t="s">
        <v>223</v>
      </c>
      <c r="C12" s="459">
        <v>124741</v>
      </c>
      <c r="D12" s="460">
        <v>726.50981569325234</v>
      </c>
      <c r="E12" s="460">
        <f>C12*D12</f>
        <v>90625560.91939199</v>
      </c>
      <c r="F12" s="461"/>
      <c r="G12" s="462"/>
    </row>
    <row r="13" spans="2:16" x14ac:dyDescent="0.15">
      <c r="B13" s="474" t="s">
        <v>222</v>
      </c>
      <c r="C13" s="459">
        <v>305761</v>
      </c>
      <c r="D13" s="460">
        <v>740.98623656667792</v>
      </c>
      <c r="E13" s="460">
        <f t="shared" ref="E13:E30" si="0">C13*D13</f>
        <v>226564692.678864</v>
      </c>
      <c r="F13" s="461"/>
      <c r="G13" s="462"/>
    </row>
    <row r="14" spans="2:16" x14ac:dyDescent="0.15">
      <c r="B14" s="474" t="s">
        <v>221</v>
      </c>
      <c r="C14" s="459">
        <v>295511</v>
      </c>
      <c r="D14" s="460">
        <v>766.68693173734982</v>
      </c>
      <c r="E14" s="460">
        <f t="shared" si="0"/>
        <v>226564421.88463598</v>
      </c>
      <c r="F14" s="461"/>
      <c r="G14" s="462"/>
    </row>
    <row r="15" spans="2:16" x14ac:dyDescent="0.15">
      <c r="B15" s="474" t="s">
        <v>220</v>
      </c>
      <c r="C15" s="459">
        <v>291069</v>
      </c>
      <c r="D15" s="460">
        <v>778.38820639260086</v>
      </c>
      <c r="E15" s="460">
        <f t="shared" si="0"/>
        <v>226564676.84648794</v>
      </c>
      <c r="F15" s="461"/>
      <c r="G15" s="462"/>
    </row>
    <row r="16" spans="2:16" x14ac:dyDescent="0.15">
      <c r="B16" s="474" t="s">
        <v>219</v>
      </c>
      <c r="C16" s="459">
        <v>293860</v>
      </c>
      <c r="D16" s="460">
        <v>770.99221208101812</v>
      </c>
      <c r="E16" s="460">
        <f t="shared" si="0"/>
        <v>226563771.44212797</v>
      </c>
      <c r="F16" s="461"/>
      <c r="G16" s="462"/>
    </row>
    <row r="17" spans="2:8" x14ac:dyDescent="0.15">
      <c r="B17" s="474" t="s">
        <v>218</v>
      </c>
      <c r="C17" s="459">
        <v>284111</v>
      </c>
      <c r="D17" s="460">
        <v>797.4515136196909</v>
      </c>
      <c r="E17" s="460">
        <f t="shared" si="0"/>
        <v>226564746.98600399</v>
      </c>
      <c r="F17" s="461"/>
      <c r="G17" s="462"/>
    </row>
    <row r="18" spans="2:8" x14ac:dyDescent="0.15">
      <c r="B18" s="474" t="s">
        <v>217</v>
      </c>
      <c r="C18" s="459">
        <v>273470</v>
      </c>
      <c r="D18" s="460">
        <v>828.43629595885466</v>
      </c>
      <c r="E18" s="460">
        <f t="shared" si="0"/>
        <v>226552473.85586798</v>
      </c>
      <c r="F18" s="461"/>
      <c r="G18" s="462"/>
    </row>
    <row r="19" spans="2:8" x14ac:dyDescent="0.15">
      <c r="B19" s="474" t="s">
        <v>216</v>
      </c>
      <c r="C19" s="459">
        <v>267320</v>
      </c>
      <c r="D19" s="460">
        <v>847.53431357976956</v>
      </c>
      <c r="E19" s="460">
        <f t="shared" si="0"/>
        <v>226562872.70614401</v>
      </c>
      <c r="F19" s="461"/>
      <c r="G19" s="462"/>
    </row>
    <row r="20" spans="2:8" x14ac:dyDescent="0.15">
      <c r="B20" s="474" t="s">
        <v>215</v>
      </c>
      <c r="C20" s="459">
        <v>262280</v>
      </c>
      <c r="D20" s="460">
        <v>863.82979193975893</v>
      </c>
      <c r="E20" s="460">
        <f t="shared" si="0"/>
        <v>226565277.82995996</v>
      </c>
      <c r="F20" s="461"/>
      <c r="G20" s="462"/>
    </row>
    <row r="21" spans="2:8" x14ac:dyDescent="0.15">
      <c r="B21" s="474" t="s">
        <v>214</v>
      </c>
      <c r="C21" s="459">
        <v>265924</v>
      </c>
      <c r="D21" s="460">
        <v>851.97802169103966</v>
      </c>
      <c r="E21" s="460">
        <f t="shared" si="0"/>
        <v>226561403.44016802</v>
      </c>
      <c r="F21" s="461"/>
      <c r="G21" s="462"/>
    </row>
    <row r="22" spans="2:8" x14ac:dyDescent="0.15">
      <c r="B22" s="474" t="s">
        <v>213</v>
      </c>
      <c r="C22" s="459">
        <v>290854</v>
      </c>
      <c r="D22" s="460">
        <v>778.9636789659279</v>
      </c>
      <c r="E22" s="460">
        <f t="shared" si="0"/>
        <v>226564701.88195598</v>
      </c>
      <c r="F22" s="461"/>
      <c r="G22" s="462"/>
    </row>
    <row r="23" spans="2:8" x14ac:dyDescent="0.15">
      <c r="B23" s="474" t="s">
        <v>212</v>
      </c>
      <c r="C23" s="459">
        <v>309094</v>
      </c>
      <c r="D23" s="460">
        <v>732.97854383276274</v>
      </c>
      <c r="E23" s="460">
        <f t="shared" si="0"/>
        <v>226559270.02744398</v>
      </c>
      <c r="F23" s="461"/>
      <c r="G23" s="462"/>
    </row>
    <row r="24" spans="2:8" x14ac:dyDescent="0.15">
      <c r="B24" s="474" t="s">
        <v>211</v>
      </c>
      <c r="C24" s="459">
        <v>302062</v>
      </c>
      <c r="D24" s="460">
        <v>750.05768323426321</v>
      </c>
      <c r="E24" s="460">
        <f t="shared" si="0"/>
        <v>226563923.91310802</v>
      </c>
      <c r="F24" s="461"/>
      <c r="G24" s="462"/>
    </row>
    <row r="25" spans="2:8" x14ac:dyDescent="0.15">
      <c r="B25" s="474" t="s">
        <v>210</v>
      </c>
      <c r="C25" s="459">
        <v>237359</v>
      </c>
      <c r="D25" s="460">
        <v>780.84528173295314</v>
      </c>
      <c r="E25" s="460">
        <f t="shared" si="0"/>
        <v>185340655.22685203</v>
      </c>
      <c r="F25" s="461"/>
      <c r="G25" s="462"/>
    </row>
    <row r="26" spans="2:8" x14ac:dyDescent="0.15">
      <c r="B26" s="474" t="s">
        <v>209</v>
      </c>
      <c r="C26" s="459">
        <v>327758</v>
      </c>
      <c r="D26" s="460">
        <v>800.40129447672973</v>
      </c>
      <c r="E26" s="460">
        <f t="shared" si="0"/>
        <v>262337927.47510397</v>
      </c>
      <c r="F26" s="461"/>
      <c r="G26" s="462"/>
    </row>
    <row r="27" spans="2:8" x14ac:dyDescent="0.15">
      <c r="B27" s="474" t="s">
        <v>208</v>
      </c>
      <c r="C27" s="459">
        <v>222966</v>
      </c>
      <c r="D27" s="460">
        <v>820.49144181676127</v>
      </c>
      <c r="E27" s="460">
        <f t="shared" si="0"/>
        <v>182941694.81611601</v>
      </c>
      <c r="F27" s="461"/>
      <c r="G27" s="462"/>
    </row>
    <row r="28" spans="2:8" x14ac:dyDescent="0.15">
      <c r="B28" s="445" t="s">
        <v>207</v>
      </c>
      <c r="C28" s="463">
        <f>SUM(C12:C27)</f>
        <v>4354140</v>
      </c>
      <c r="D28" s="464">
        <v>790.05224267713743</v>
      </c>
      <c r="E28" s="464">
        <f t="shared" si="0"/>
        <v>3439998071.9302311</v>
      </c>
      <c r="F28" s="465"/>
      <c r="G28" s="462"/>
    </row>
    <row r="29" spans="2:8" x14ac:dyDescent="0.15">
      <c r="F29" s="462"/>
    </row>
    <row r="30" spans="2:8" x14ac:dyDescent="0.15">
      <c r="B30" s="446" t="s">
        <v>231</v>
      </c>
      <c r="C30" s="466">
        <f>(10500000000*(1-C8))/D30</f>
        <v>8030760.2239395874</v>
      </c>
      <c r="D30" s="460">
        <f>DCF!K18</f>
        <v>879.12</v>
      </c>
      <c r="E30" s="467">
        <f t="shared" si="0"/>
        <v>7060001928.0697699</v>
      </c>
      <c r="H30" s="468"/>
    </row>
    <row r="31" spans="2:8" ht="13" x14ac:dyDescent="0.15">
      <c r="B31" s="469"/>
      <c r="C31" s="470"/>
      <c r="D31" s="471"/>
      <c r="E31" s="471"/>
      <c r="H31" s="468"/>
    </row>
    <row r="32" spans="2:8" x14ac:dyDescent="0.15">
      <c r="D32" s="471"/>
      <c r="E32" s="471"/>
      <c r="H32" s="468"/>
    </row>
    <row r="33" spans="2:8" x14ac:dyDescent="0.15">
      <c r="C33" s="449"/>
      <c r="D33" s="471"/>
      <c r="E33" s="471"/>
      <c r="H33" s="468"/>
    </row>
    <row r="34" spans="2:8" x14ac:dyDescent="0.15">
      <c r="D34" s="471"/>
      <c r="E34" s="471"/>
      <c r="H34" s="468"/>
    </row>
    <row r="35" spans="2:8" x14ac:dyDescent="0.15">
      <c r="C35" s="459"/>
      <c r="D35" s="471"/>
      <c r="E35" s="471"/>
      <c r="H35" s="468"/>
    </row>
    <row r="36" spans="2:8" x14ac:dyDescent="0.15">
      <c r="B36" s="458"/>
      <c r="D36" s="471"/>
      <c r="E36" s="471"/>
      <c r="F36" s="472"/>
      <c r="H36" s="468"/>
    </row>
    <row r="37" spans="2:8" x14ac:dyDescent="0.15">
      <c r="B37" s="458"/>
      <c r="C37" s="459"/>
      <c r="D37" s="471"/>
      <c r="E37" s="471"/>
      <c r="F37" s="472"/>
    </row>
    <row r="38" spans="2:8" x14ac:dyDescent="0.15">
      <c r="B38" s="458"/>
      <c r="C38" s="459"/>
      <c r="D38" s="471"/>
      <c r="E38" s="471"/>
      <c r="F38" s="472"/>
    </row>
    <row r="39" spans="2:8" x14ac:dyDescent="0.15">
      <c r="B39" s="458"/>
      <c r="D39" s="471"/>
      <c r="E39" s="471"/>
      <c r="F39" s="472"/>
    </row>
    <row r="40" spans="2:8" x14ac:dyDescent="0.15">
      <c r="C40" s="463"/>
      <c r="D40" s="471"/>
      <c r="E40" s="471"/>
    </row>
    <row r="41" spans="2:8" x14ac:dyDescent="0.15">
      <c r="B41" s="445"/>
      <c r="D41" s="471"/>
      <c r="E41" s="471"/>
      <c r="F41" s="473"/>
    </row>
    <row r="42" spans="2:8" x14ac:dyDescent="0.15">
      <c r="D42" s="471"/>
      <c r="E42" s="471"/>
    </row>
    <row r="43" spans="2:8" x14ac:dyDescent="0.15">
      <c r="D43" s="471"/>
      <c r="E43" s="471"/>
    </row>
    <row r="44" spans="2:8" x14ac:dyDescent="0.15">
      <c r="D44" s="471"/>
      <c r="E44" s="471"/>
    </row>
    <row r="45" spans="2:8" x14ac:dyDescent="0.15">
      <c r="D45" s="471"/>
      <c r="E45" s="471"/>
    </row>
    <row r="46" spans="2:8" x14ac:dyDescent="0.15">
      <c r="D46" s="471"/>
      <c r="E46" s="471"/>
    </row>
  </sheetData>
  <pageMargins left="0.75" right="0.75" top="1" bottom="1" header="0.5" footer="0.5"/>
  <pageSetup paperSize="9" scale="5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B1:BD132"/>
  <sheetViews>
    <sheetView showGridLines="0" zoomScaleNormal="100" workbookViewId="0">
      <pane xSplit="5" ySplit="4" topLeftCell="F5" activePane="bottomRight" state="frozen"/>
      <selection activeCell="D38" sqref="D38"/>
      <selection pane="topRight" activeCell="D38" sqref="D38"/>
      <selection pane="bottomLeft" activeCell="D38" sqref="D38"/>
      <selection pane="bottomRight"/>
    </sheetView>
  </sheetViews>
  <sheetFormatPr baseColWidth="10" defaultColWidth="9.1640625" defaultRowHeight="12" outlineLevelRow="1" outlineLevelCol="1" x14ac:dyDescent="0.15"/>
  <cols>
    <col min="1" max="1" width="2.6640625" style="98" customWidth="1"/>
    <col min="2" max="2" width="52.1640625" style="98" bestFit="1" customWidth="1"/>
    <col min="3" max="3" width="10.5" style="98" bestFit="1" customWidth="1"/>
    <col min="4" max="5" width="10.33203125" style="98" customWidth="1"/>
    <col min="6" max="8" width="11.83203125" style="82" customWidth="1" outlineLevel="1"/>
    <col min="9" max="9" width="8.6640625" style="82" customWidth="1" outlineLevel="1"/>
    <col min="10" max="10" width="11.83203125" style="96" customWidth="1"/>
    <col min="11" max="14" width="11.83203125" style="82" customWidth="1" outlineLevel="1"/>
    <col min="15" max="15" width="11.83203125" style="96" customWidth="1"/>
    <col min="16" max="19" width="11.83203125" style="82" customWidth="1" outlineLevel="1"/>
    <col min="20" max="20" width="11.83203125" style="96" customWidth="1"/>
    <col min="21" max="24" width="11.83203125" style="82" customWidth="1" outlineLevel="1"/>
    <col min="25" max="25" width="11.83203125" style="96" customWidth="1"/>
    <col min="26" max="28" width="11.83203125" style="82" customWidth="1" outlineLevel="1"/>
    <col min="29" max="29" width="18.6640625" style="82" customWidth="1" outlineLevel="1"/>
    <col min="30" max="30" width="10.5" style="96" bestFit="1" customWidth="1"/>
    <col min="31" max="31" width="14" style="82" customWidth="1" outlineLevel="1"/>
    <col min="32" max="34" width="9.1640625" style="82" customWidth="1" outlineLevel="1"/>
    <col min="35" max="35" width="10.5" style="96" bestFit="1" customWidth="1"/>
    <col min="36" max="36" width="9.1640625" style="82" customWidth="1" outlineLevel="1"/>
    <col min="37" max="37" width="9.5" style="82" customWidth="1" outlineLevel="1"/>
    <col min="38" max="39" width="9.1640625" style="82" customWidth="1" outlineLevel="1"/>
    <col min="40" max="40" width="10.83203125" style="96" bestFit="1" customWidth="1"/>
    <col min="41" max="41" width="9.5" style="82" customWidth="1" outlineLevel="1"/>
    <col min="42" max="44" width="9.1640625" style="82" customWidth="1" outlineLevel="1"/>
    <col min="45" max="45" width="11.33203125" style="96" bestFit="1" customWidth="1"/>
    <col min="46" max="49" width="9.1640625" style="82" customWidth="1" outlineLevel="1"/>
    <col min="50" max="50" width="10.1640625" style="96" bestFit="1" customWidth="1"/>
    <col min="51" max="51" width="9.1640625" style="82" customWidth="1" outlineLevel="1"/>
    <col min="52" max="52" width="9.5" style="82" customWidth="1" outlineLevel="1"/>
    <col min="53" max="54" width="9.1640625" style="82" customWidth="1" outlineLevel="1"/>
    <col min="55" max="55" width="10.5" style="96" bestFit="1" customWidth="1"/>
    <col min="56" max="16384" width="9.1640625" style="98"/>
  </cols>
  <sheetData>
    <row r="1" spans="2:56" s="82" customFormat="1" ht="13" x14ac:dyDescent="0.15">
      <c r="B1" s="506" t="s">
        <v>54</v>
      </c>
      <c r="C1" s="506"/>
      <c r="D1" s="506"/>
      <c r="E1" s="81"/>
      <c r="F1" s="518" t="s">
        <v>169</v>
      </c>
      <c r="G1" s="518"/>
      <c r="H1" s="518"/>
      <c r="I1" s="518"/>
      <c r="J1" s="518"/>
      <c r="K1" s="518"/>
      <c r="L1" s="518"/>
      <c r="M1" s="518"/>
      <c r="N1" s="518"/>
      <c r="O1" s="518"/>
      <c r="P1" s="518"/>
      <c r="Q1" s="518"/>
      <c r="R1" s="518"/>
      <c r="S1" s="518"/>
      <c r="T1" s="518"/>
      <c r="U1" s="518"/>
      <c r="V1" s="518"/>
      <c r="W1" s="518"/>
      <c r="X1" s="518"/>
      <c r="Y1" s="518"/>
      <c r="Z1" s="518"/>
      <c r="AA1" s="518"/>
      <c r="AB1" s="518"/>
      <c r="AC1" s="517" t="s">
        <v>168</v>
      </c>
      <c r="AD1" s="517"/>
      <c r="AE1" s="517"/>
      <c r="AF1" s="517"/>
      <c r="AG1" s="517"/>
      <c r="AH1" s="517"/>
      <c r="AI1" s="517"/>
      <c r="AJ1" s="517"/>
      <c r="AK1" s="517"/>
      <c r="AL1" s="517"/>
      <c r="AM1" s="517"/>
      <c r="AN1" s="517"/>
      <c r="AO1" s="517"/>
      <c r="AP1" s="517"/>
      <c r="AQ1" s="517"/>
      <c r="AR1" s="517"/>
      <c r="AS1" s="517"/>
      <c r="AT1" s="517"/>
      <c r="AU1" s="517"/>
      <c r="AV1" s="517"/>
      <c r="AW1" s="517"/>
      <c r="AX1" s="517"/>
      <c r="AY1" s="517"/>
      <c r="AZ1" s="517"/>
      <c r="BA1" s="517"/>
      <c r="BB1" s="517"/>
      <c r="BC1" s="517"/>
    </row>
    <row r="2" spans="2:56" s="82" customFormat="1" ht="14" thickBot="1" x14ac:dyDescent="0.2">
      <c r="B2" s="501" t="s">
        <v>55</v>
      </c>
      <c r="C2" s="501"/>
      <c r="D2" s="501"/>
      <c r="E2" s="83"/>
      <c r="F2" s="518"/>
      <c r="G2" s="518"/>
      <c r="H2" s="518"/>
      <c r="I2" s="518"/>
      <c r="J2" s="518"/>
      <c r="K2" s="518"/>
      <c r="L2" s="518"/>
      <c r="M2" s="518"/>
      <c r="N2" s="518"/>
      <c r="O2" s="518"/>
      <c r="P2" s="518"/>
      <c r="Q2" s="518"/>
      <c r="R2" s="518"/>
      <c r="S2" s="518"/>
      <c r="T2" s="518"/>
      <c r="U2" s="518"/>
      <c r="V2" s="518"/>
      <c r="W2" s="518"/>
      <c r="X2" s="518"/>
      <c r="Y2" s="518"/>
      <c r="Z2" s="518"/>
      <c r="AA2" s="518"/>
      <c r="AB2" s="518"/>
      <c r="AC2" s="517"/>
      <c r="AD2" s="517"/>
      <c r="AE2" s="517"/>
      <c r="AF2" s="517"/>
      <c r="AG2" s="517"/>
      <c r="AH2" s="517"/>
      <c r="AI2" s="517"/>
      <c r="AJ2" s="517"/>
      <c r="AK2" s="517"/>
      <c r="AL2" s="517"/>
      <c r="AM2" s="517"/>
      <c r="AN2" s="517"/>
      <c r="AO2" s="517"/>
      <c r="AP2" s="517"/>
      <c r="AQ2" s="517"/>
      <c r="AR2" s="517"/>
      <c r="AS2" s="517"/>
      <c r="AT2" s="517"/>
      <c r="AU2" s="517"/>
      <c r="AV2" s="517"/>
      <c r="AW2" s="517"/>
      <c r="AX2" s="517"/>
      <c r="AY2" s="517"/>
      <c r="AZ2" s="517"/>
      <c r="BA2" s="517"/>
      <c r="BB2" s="517"/>
      <c r="BC2" s="517"/>
    </row>
    <row r="3" spans="2:56" s="82" customFormat="1" ht="13" x14ac:dyDescent="0.15">
      <c r="B3" s="502" t="s">
        <v>49</v>
      </c>
      <c r="C3" s="502"/>
      <c r="D3" s="502"/>
      <c r="E3" s="84"/>
      <c r="F3" s="511">
        <v>2017</v>
      </c>
      <c r="G3" s="511"/>
      <c r="H3" s="511"/>
      <c r="I3" s="512"/>
      <c r="J3" s="85">
        <f>F3</f>
        <v>2017</v>
      </c>
      <c r="K3" s="510">
        <f>F3+1</f>
        <v>2018</v>
      </c>
      <c r="L3" s="511"/>
      <c r="M3" s="511"/>
      <c r="N3" s="512"/>
      <c r="O3" s="85">
        <f>K3</f>
        <v>2018</v>
      </c>
      <c r="P3" s="510">
        <f>K3+1</f>
        <v>2019</v>
      </c>
      <c r="Q3" s="511"/>
      <c r="R3" s="511"/>
      <c r="S3" s="512"/>
      <c r="T3" s="85">
        <f>P3</f>
        <v>2019</v>
      </c>
      <c r="U3" s="510">
        <f>P3+1</f>
        <v>2020</v>
      </c>
      <c r="V3" s="511"/>
      <c r="W3" s="511"/>
      <c r="X3" s="512"/>
      <c r="Y3" s="85">
        <f>U3</f>
        <v>2020</v>
      </c>
      <c r="Z3" s="510">
        <f>U3+1</f>
        <v>2021</v>
      </c>
      <c r="AA3" s="511"/>
      <c r="AB3" s="511"/>
      <c r="AC3" s="512"/>
      <c r="AD3" s="85">
        <f>Z3</f>
        <v>2021</v>
      </c>
      <c r="AE3" s="510">
        <f>Z3+1</f>
        <v>2022</v>
      </c>
      <c r="AF3" s="511"/>
      <c r="AG3" s="511"/>
      <c r="AH3" s="512"/>
      <c r="AI3" s="85">
        <f>AE3</f>
        <v>2022</v>
      </c>
      <c r="AJ3" s="510">
        <f>AE3+1</f>
        <v>2023</v>
      </c>
      <c r="AK3" s="511"/>
      <c r="AL3" s="511"/>
      <c r="AM3" s="512"/>
      <c r="AN3" s="85">
        <f>AJ3</f>
        <v>2023</v>
      </c>
      <c r="AO3" s="510">
        <f>AJ3+1</f>
        <v>2024</v>
      </c>
      <c r="AP3" s="511"/>
      <c r="AQ3" s="511"/>
      <c r="AR3" s="512"/>
      <c r="AS3" s="85">
        <f>AO3</f>
        <v>2024</v>
      </c>
      <c r="AT3" s="510">
        <f>AO3+1</f>
        <v>2025</v>
      </c>
      <c r="AU3" s="511"/>
      <c r="AV3" s="511"/>
      <c r="AW3" s="512"/>
      <c r="AX3" s="85">
        <f>AT3</f>
        <v>2025</v>
      </c>
      <c r="AY3" s="510">
        <f>AT3+1</f>
        <v>2026</v>
      </c>
      <c r="AZ3" s="511"/>
      <c r="BA3" s="511"/>
      <c r="BB3" s="512"/>
      <c r="BC3" s="85">
        <f>AY3</f>
        <v>2026</v>
      </c>
    </row>
    <row r="4" spans="2:56" s="82" customFormat="1" ht="14" thickBot="1" x14ac:dyDescent="0.2">
      <c r="B4" s="503" t="s">
        <v>61</v>
      </c>
      <c r="C4" s="503"/>
      <c r="D4" s="503"/>
      <c r="E4" s="86"/>
      <c r="F4" s="87">
        <v>1</v>
      </c>
      <c r="G4" s="87">
        <v>2</v>
      </c>
      <c r="H4" s="87">
        <v>3</v>
      </c>
      <c r="I4" s="87">
        <v>4</v>
      </c>
      <c r="J4" s="88" t="s">
        <v>48</v>
      </c>
      <c r="K4" s="87">
        <v>1</v>
      </c>
      <c r="L4" s="87">
        <v>2</v>
      </c>
      <c r="M4" s="87">
        <v>3</v>
      </c>
      <c r="N4" s="89">
        <v>4</v>
      </c>
      <c r="O4" s="88" t="s">
        <v>48</v>
      </c>
      <c r="P4" s="90">
        <v>1</v>
      </c>
      <c r="Q4" s="87">
        <v>2</v>
      </c>
      <c r="R4" s="87">
        <v>3</v>
      </c>
      <c r="S4" s="89">
        <v>4</v>
      </c>
      <c r="T4" s="88" t="s">
        <v>48</v>
      </c>
      <c r="U4" s="90">
        <v>1</v>
      </c>
      <c r="V4" s="87">
        <v>2</v>
      </c>
      <c r="W4" s="87">
        <v>3</v>
      </c>
      <c r="X4" s="89">
        <v>4</v>
      </c>
      <c r="Y4" s="88" t="s">
        <v>48</v>
      </c>
      <c r="Z4" s="90">
        <v>1</v>
      </c>
      <c r="AA4" s="87">
        <v>2</v>
      </c>
      <c r="AB4" s="87">
        <v>3</v>
      </c>
      <c r="AC4" s="89">
        <v>4</v>
      </c>
      <c r="AD4" s="88" t="s">
        <v>48</v>
      </c>
      <c r="AE4" s="90">
        <v>1</v>
      </c>
      <c r="AF4" s="87">
        <v>2</v>
      </c>
      <c r="AG4" s="87">
        <v>3</v>
      </c>
      <c r="AH4" s="89">
        <v>4</v>
      </c>
      <c r="AI4" s="88" t="s">
        <v>48</v>
      </c>
      <c r="AJ4" s="90">
        <v>1</v>
      </c>
      <c r="AK4" s="87">
        <v>2</v>
      </c>
      <c r="AL4" s="87">
        <v>3</v>
      </c>
      <c r="AM4" s="89">
        <v>4</v>
      </c>
      <c r="AN4" s="88" t="s">
        <v>48</v>
      </c>
      <c r="AO4" s="90">
        <v>1</v>
      </c>
      <c r="AP4" s="87">
        <v>2</v>
      </c>
      <c r="AQ4" s="87">
        <v>3</v>
      </c>
      <c r="AR4" s="89">
        <v>4</v>
      </c>
      <c r="AS4" s="88" t="s">
        <v>48</v>
      </c>
      <c r="AT4" s="90">
        <v>1</v>
      </c>
      <c r="AU4" s="87">
        <v>2</v>
      </c>
      <c r="AV4" s="87">
        <v>3</v>
      </c>
      <c r="AW4" s="89">
        <v>4</v>
      </c>
      <c r="AX4" s="88" t="s">
        <v>48</v>
      </c>
      <c r="AY4" s="90">
        <v>1</v>
      </c>
      <c r="AZ4" s="87">
        <v>2</v>
      </c>
      <c r="BA4" s="87">
        <v>3</v>
      </c>
      <c r="BB4" s="89">
        <v>4</v>
      </c>
      <c r="BC4" s="88" t="s">
        <v>48</v>
      </c>
    </row>
    <row r="5" spans="2:56" s="82" customFormat="1" ht="14.5" customHeight="1" thickBot="1" x14ac:dyDescent="0.2">
      <c r="F5" s="91"/>
      <c r="G5" s="91"/>
      <c r="H5" s="92"/>
      <c r="I5" s="92"/>
      <c r="J5" s="93"/>
      <c r="K5" s="92"/>
      <c r="M5" s="92"/>
      <c r="N5" s="92"/>
      <c r="O5" s="93"/>
      <c r="P5" s="92"/>
      <c r="R5" s="92"/>
      <c r="S5" s="92"/>
      <c r="T5" s="93"/>
      <c r="U5" s="92"/>
      <c r="W5" s="92"/>
      <c r="X5" s="92"/>
      <c r="Y5" s="93"/>
      <c r="Z5" s="92"/>
      <c r="AB5" s="94"/>
      <c r="AC5" s="92"/>
      <c r="AD5" s="93"/>
      <c r="AE5" s="92"/>
      <c r="AG5" s="92"/>
      <c r="AH5" s="92"/>
      <c r="AI5" s="93"/>
      <c r="AJ5" s="92"/>
      <c r="AL5" s="92"/>
      <c r="AM5" s="92"/>
      <c r="AN5" s="93"/>
      <c r="AO5" s="92"/>
      <c r="AQ5" s="92"/>
      <c r="AR5" s="92"/>
      <c r="AS5" s="93"/>
      <c r="AT5" s="92"/>
      <c r="AV5" s="92"/>
      <c r="AW5" s="92"/>
      <c r="AX5" s="93"/>
      <c r="AY5" s="92"/>
      <c r="AZ5" s="92"/>
      <c r="BA5" s="92"/>
      <c r="BB5" s="92"/>
      <c r="BC5" s="93"/>
      <c r="BD5" s="92"/>
    </row>
    <row r="6" spans="2:56" s="82" customFormat="1" ht="17" thickBot="1" x14ac:dyDescent="0.25">
      <c r="B6" s="507" t="s">
        <v>29</v>
      </c>
      <c r="C6" s="508"/>
      <c r="D6" s="509"/>
      <c r="E6" s="95"/>
      <c r="J6" s="96"/>
      <c r="O6" s="96"/>
      <c r="T6" s="96"/>
      <c r="Y6" s="96"/>
      <c r="AB6" s="97"/>
      <c r="AD6" s="96"/>
      <c r="AI6" s="96"/>
      <c r="AN6" s="96"/>
      <c r="AS6" s="96"/>
      <c r="AX6" s="270"/>
      <c r="BC6" s="96"/>
    </row>
    <row r="7" spans="2:56" s="248" customFormat="1" ht="16" outlineLevel="1" thickBot="1" x14ac:dyDescent="0.25">
      <c r="B7"/>
      <c r="E7" s="95"/>
      <c r="J7" s="96"/>
      <c r="O7" s="96"/>
      <c r="T7" s="96"/>
      <c r="Y7" s="96"/>
      <c r="AB7" s="97"/>
      <c r="AD7" s="96"/>
      <c r="AI7" s="96"/>
      <c r="AN7" s="96"/>
      <c r="AS7" s="96"/>
      <c r="AX7" s="222"/>
      <c r="BC7" s="96"/>
    </row>
    <row r="8" spans="2:56" s="248" customFormat="1" ht="15" outlineLevel="1" x14ac:dyDescent="0.2">
      <c r="B8"/>
      <c r="C8" s="504" t="s">
        <v>66</v>
      </c>
      <c r="D8" s="505"/>
      <c r="E8" s="95"/>
      <c r="J8" s="96"/>
      <c r="O8" s="96"/>
      <c r="T8" s="96"/>
      <c r="Y8" s="96"/>
      <c r="AB8" s="97"/>
      <c r="AD8" s="96"/>
      <c r="AI8" s="96"/>
      <c r="AN8" s="96"/>
      <c r="AS8" s="96"/>
      <c r="AX8" s="287"/>
      <c r="BC8" s="96"/>
    </row>
    <row r="9" spans="2:56" s="82" customFormat="1" outlineLevel="1" x14ac:dyDescent="0.15">
      <c r="B9" s="98"/>
      <c r="C9" s="99" t="s">
        <v>67</v>
      </c>
      <c r="D9" s="100" t="s">
        <v>45</v>
      </c>
      <c r="E9" s="101"/>
      <c r="J9" s="96"/>
      <c r="O9" s="96"/>
      <c r="T9" s="96"/>
      <c r="Y9" s="96"/>
      <c r="AB9" s="97"/>
      <c r="AD9" s="96"/>
      <c r="AI9" s="96"/>
      <c r="AN9" s="96"/>
      <c r="AS9" s="96"/>
      <c r="AX9" s="270"/>
      <c r="BC9" s="96"/>
    </row>
    <row r="10" spans="2:56" s="82" customFormat="1" ht="13" outlineLevel="1" thickBot="1" x14ac:dyDescent="0.2">
      <c r="B10" s="102" t="s">
        <v>0</v>
      </c>
      <c r="C10" s="103">
        <f>(AD10/J10)^(1/4)-1</f>
        <v>0.20177935430094807</v>
      </c>
      <c r="D10" s="104">
        <f>(BC10/AD10)^(1/4)-1</f>
        <v>0.20027604735027138</v>
      </c>
      <c r="E10" s="105"/>
      <c r="F10" s="106">
        <f>'Revenue Segments'!E9</f>
        <v>2070.8562989375005</v>
      </c>
      <c r="G10" s="106">
        <f>'Revenue Segments'!F9</f>
        <v>2313.7214148461535</v>
      </c>
      <c r="H10" s="106">
        <f>'Revenue Segments'!G9</f>
        <v>2875.511068476927</v>
      </c>
      <c r="I10" s="106">
        <f>'Revenue Segments'!H9</f>
        <v>3015.4795873846133</v>
      </c>
      <c r="J10" s="107">
        <f>SUM(F10:I10)</f>
        <v>10275.568369645194</v>
      </c>
      <c r="K10" s="106">
        <f>'Revenue Segments'!J9</f>
        <v>2809.22291484375</v>
      </c>
      <c r="L10" s="106">
        <f>'Revenue Segments'!K9</f>
        <v>3267.0776868000003</v>
      </c>
      <c r="M10" s="106">
        <f>'Revenue Segments'!L9</f>
        <v>3228.2444747307732</v>
      </c>
      <c r="N10" s="106">
        <f>'Revenue Segments'!M9</f>
        <v>3585.867849659091</v>
      </c>
      <c r="O10" s="107">
        <f>SUM(K10:N10)</f>
        <v>12890.412926033614</v>
      </c>
      <c r="P10" s="106">
        <f>'Revenue Segments'!O9</f>
        <v>2531.3971108593696</v>
      </c>
      <c r="Q10" s="106">
        <f>'Revenue Segments'!P9</f>
        <v>2885.2321931153838</v>
      </c>
      <c r="R10" s="106">
        <f>'Revenue Segments'!Q9</f>
        <v>3321.0637032500031</v>
      </c>
      <c r="S10" s="106">
        <f>'Revenue Segments'!R9</f>
        <v>4469.3604992045366</v>
      </c>
      <c r="T10" s="107">
        <f>SUM(P10:S10)</f>
        <v>13207.053506429293</v>
      </c>
      <c r="U10" s="106">
        <f>'Revenue Segments'!T9</f>
        <v>2692.4539997784623</v>
      </c>
      <c r="V10" s="106">
        <f>'Revenue Segments'!U9</f>
        <v>3659.444586075384</v>
      </c>
      <c r="W10" s="106">
        <f>'Revenue Segments'!V9</f>
        <v>4621.7883248923081</v>
      </c>
      <c r="X10" s="106">
        <f>'Revenue Segments'!W9</f>
        <v>5074.9261456697031</v>
      </c>
      <c r="Y10" s="107">
        <f>SUM(U10:X10)</f>
        <v>16048.613056415856</v>
      </c>
      <c r="Z10" s="106">
        <f>'Revenue Segments'!Y9</f>
        <v>5252.1142960687503</v>
      </c>
      <c r="AA10" s="106">
        <f>'Revenue Segments'!Z9</f>
        <v>4846.1850966646089</v>
      </c>
      <c r="AB10" s="106">
        <f>'Revenue Segments'!AA9</f>
        <v>6126.5137600000053</v>
      </c>
      <c r="AC10" s="286">
        <f>'Revenue Segments'!AB9</f>
        <v>5209.2649421825681</v>
      </c>
      <c r="AD10" s="107">
        <f>SUM(Z10:AC10)</f>
        <v>21434.078094915931</v>
      </c>
      <c r="AE10" s="106">
        <f>'Revenue Segments'!AD9</f>
        <v>6077.1817568767137</v>
      </c>
      <c r="AF10" s="106">
        <f>'Revenue Segments'!AE9</f>
        <v>5998.7759433410538</v>
      </c>
      <c r="AG10" s="106">
        <f>'Revenue Segments'!AF9</f>
        <v>7541.9004742831839</v>
      </c>
      <c r="AH10" s="106">
        <f>'Revenue Segments'!AG9</f>
        <v>6461.2734292720679</v>
      </c>
      <c r="AI10" s="107">
        <f>SUM(AE10:AH10)</f>
        <v>26079.131603773018</v>
      </c>
      <c r="AJ10" s="106">
        <f>'Revenue Segments'!AI9</f>
        <v>6545.686539426576</v>
      </c>
      <c r="AK10" s="106">
        <f>'Revenue Segments'!AJ9</f>
        <v>6765.6275031137193</v>
      </c>
      <c r="AL10" s="106">
        <f>'Revenue Segments'!AK9</f>
        <v>8379.2508971894131</v>
      </c>
      <c r="AM10" s="106">
        <f>'Revenue Segments'!AL9</f>
        <v>7238.8401295600897</v>
      </c>
      <c r="AN10" s="107">
        <f>SUM(AJ10:AM10)</f>
        <v>28929.405069289798</v>
      </c>
      <c r="AO10" s="106">
        <f>'Revenue Segments'!AN9</f>
        <v>7443.0506921509696</v>
      </c>
      <c r="AP10" s="106">
        <f>'Revenue Segments'!AO9</f>
        <v>7901.1343812221248</v>
      </c>
      <c r="AQ10" s="106">
        <f>'Revenue Segments'!AP9</f>
        <v>9644.7393994004033</v>
      </c>
      <c r="AR10" s="106">
        <f>'Revenue Segments'!AQ9</f>
        <v>8399.5348642843037</v>
      </c>
      <c r="AS10" s="107">
        <f>SUM(AO10:AR10)</f>
        <v>33388.4593370578</v>
      </c>
      <c r="AT10" s="106">
        <f>'Revenue Segments'!AS9</f>
        <v>8463.4366879997524</v>
      </c>
      <c r="AU10" s="106">
        <f>'Revenue Segments'!AT9</f>
        <v>9227.2186846525856</v>
      </c>
      <c r="AV10" s="106">
        <f>'Revenue Segments'!AU9</f>
        <v>11101.350135433679</v>
      </c>
      <c r="AW10" s="106">
        <f>'Revenue Segments'!AV9</f>
        <v>9746.338456657566</v>
      </c>
      <c r="AX10" s="107">
        <f>SUM(AT10:AW10)</f>
        <v>38538.343964743588</v>
      </c>
      <c r="AY10" s="106">
        <f>'Revenue Segments'!AX9</f>
        <v>9623.7098918749834</v>
      </c>
      <c r="AZ10" s="106">
        <f>'Revenue Segments'!AY9</f>
        <v>10775.865913222493</v>
      </c>
      <c r="BA10" s="106">
        <f>'Revenue Segments'!AZ9</f>
        <v>12777.947617449878</v>
      </c>
      <c r="BB10" s="106">
        <f>'Revenue Segments'!BA9</f>
        <v>11309.092092186471</v>
      </c>
      <c r="BC10" s="107">
        <f>SUM(AY10:BB10)</f>
        <v>44486.615514733829</v>
      </c>
    </row>
    <row r="11" spans="2:56" s="82" customFormat="1" ht="13" outlineLevel="1" thickBot="1" x14ac:dyDescent="0.2">
      <c r="B11" s="102" t="s">
        <v>2</v>
      </c>
      <c r="C11" s="102"/>
      <c r="D11" s="102"/>
      <c r="E11" s="102"/>
      <c r="F11" s="106">
        <v>1085.7184999999999</v>
      </c>
      <c r="G11" s="106">
        <v>1271.5889</v>
      </c>
      <c r="H11" s="106">
        <v>1642.4274</v>
      </c>
      <c r="I11" s="106">
        <v>1653.8969999999999</v>
      </c>
      <c r="J11" s="107">
        <f>SUM(F11:I11)</f>
        <v>5653.6317999999992</v>
      </c>
      <c r="K11" s="106">
        <v>1440.2646</v>
      </c>
      <c r="L11" s="106">
        <v>1852.0672999999999</v>
      </c>
      <c r="M11" s="106">
        <v>1674.7659000000001</v>
      </c>
      <c r="N11" s="106">
        <v>1996.4468999999999</v>
      </c>
      <c r="O11" s="107">
        <f>SUM(K11:N11)</f>
        <v>6963.5447000000004</v>
      </c>
      <c r="P11" s="106">
        <v>1477.6135999999999</v>
      </c>
      <c r="Q11" s="106">
        <v>1643.4554000000001</v>
      </c>
      <c r="R11" s="106">
        <v>1868.3137999999999</v>
      </c>
      <c r="S11" s="106">
        <v>2321.1001000000001</v>
      </c>
      <c r="T11" s="107">
        <f>SUM(P11:S11)</f>
        <v>7310.4828999999991</v>
      </c>
      <c r="U11" s="106">
        <v>1477.3967</v>
      </c>
      <c r="V11" s="106">
        <v>1895.3584000000001</v>
      </c>
      <c r="W11" s="106">
        <v>2424.8625000000002</v>
      </c>
      <c r="X11" s="106">
        <v>2437.1957000000002</v>
      </c>
      <c r="Y11" s="107">
        <f>SUM(U11:X11)</f>
        <v>8234.8133000000016</v>
      </c>
      <c r="Z11" s="106">
        <v>2420.9142999999999</v>
      </c>
      <c r="AA11" s="106">
        <v>2381.5041999999999</v>
      </c>
      <c r="AB11" s="109">
        <v>2980.6668</v>
      </c>
      <c r="AC11" s="110">
        <f>AC10-AC12</f>
        <v>2448.3545228258067</v>
      </c>
      <c r="AD11" s="111">
        <f>SUM(Z11:AC11)</f>
        <v>10231.439822825807</v>
      </c>
      <c r="AE11" s="110">
        <f>AE10-AE12</f>
        <v>2856.2754257320553</v>
      </c>
      <c r="AF11" s="110">
        <f t="shared" ref="AF11:AH11" si="0">AF10-AF12</f>
        <v>2819.4246933702952</v>
      </c>
      <c r="AG11" s="110">
        <f t="shared" si="0"/>
        <v>3469.2742181702642</v>
      </c>
      <c r="AH11" s="110">
        <f t="shared" si="0"/>
        <v>2972.1857774651512</v>
      </c>
      <c r="AI11" s="111">
        <f>SUM(AE11:AH11)</f>
        <v>12117.160114737766</v>
      </c>
      <c r="AJ11" s="110">
        <f>AJ10-AJ12</f>
        <v>2945.5589427419591</v>
      </c>
      <c r="AK11" s="110">
        <f t="shared" ref="AK11" si="1">AK10-AK12</f>
        <v>3044.5323764011732</v>
      </c>
      <c r="AL11" s="110">
        <f t="shared" ref="AL11" si="2">AL10-AL12</f>
        <v>3686.8703947633412</v>
      </c>
      <c r="AM11" s="110">
        <f t="shared" ref="AM11" si="3">AM10-AM12</f>
        <v>3185.0896570064392</v>
      </c>
      <c r="AN11" s="111">
        <f>SUM(AJ11:AM11)</f>
        <v>12862.051370912912</v>
      </c>
      <c r="AO11" s="110">
        <f>AO10-AO12</f>
        <v>3349.3728114679361</v>
      </c>
      <c r="AP11" s="110">
        <f t="shared" ref="AP11" si="4">AP10-AP12</f>
        <v>3555.5104715499556</v>
      </c>
      <c r="AQ11" s="110">
        <f t="shared" ref="AQ11" si="5">AQ10-AQ12</f>
        <v>4340.1327297301814</v>
      </c>
      <c r="AR11" s="110">
        <f t="shared" ref="AR11" si="6">AR10-AR12</f>
        <v>3779.7906889279366</v>
      </c>
      <c r="AS11" s="111">
        <f>SUM(AO11:AR11)</f>
        <v>15024.806701676011</v>
      </c>
      <c r="AT11" s="110">
        <f>AT10-AT12</f>
        <v>3808.5465095998879</v>
      </c>
      <c r="AU11" s="110">
        <f t="shared" ref="AU11" si="7">AU10-AU12</f>
        <v>4152.2484080936629</v>
      </c>
      <c r="AV11" s="110">
        <f t="shared" ref="AV11" si="8">AV10-AV12</f>
        <v>4995.6075609451545</v>
      </c>
      <c r="AW11" s="110">
        <f t="shared" ref="AW11" si="9">AW10-AW12</f>
        <v>4385.8523054959041</v>
      </c>
      <c r="AX11" s="111">
        <f>SUM(AT11:AW11)</f>
        <v>17342.25478413461</v>
      </c>
      <c r="AY11" s="110">
        <f>AY10-AY12</f>
        <v>4330.6694513437424</v>
      </c>
      <c r="AZ11" s="110">
        <f t="shared" ref="AZ11" si="10">AZ10-AZ12</f>
        <v>4849.1396609501217</v>
      </c>
      <c r="BA11" s="110">
        <f t="shared" ref="BA11" si="11">BA10-BA12</f>
        <v>5750.0764278524448</v>
      </c>
      <c r="BB11" s="110">
        <f t="shared" ref="BB11" si="12">BB10-BB12</f>
        <v>5089.0914414839117</v>
      </c>
      <c r="BC11" s="111">
        <f>SUM(AY11:BB11)</f>
        <v>20018.976981630221</v>
      </c>
    </row>
    <row r="12" spans="2:56" s="82" customFormat="1" outlineLevel="1" x14ac:dyDescent="0.15">
      <c r="B12" s="112" t="s">
        <v>1</v>
      </c>
      <c r="C12" s="113">
        <f>(AD12/J12)^(1/4)-1</f>
        <v>0.24773995718575637</v>
      </c>
      <c r="D12" s="113">
        <f>(BC12/AD12)^(1/4)-1</f>
        <v>0.21567625984078376</v>
      </c>
      <c r="E12" s="113"/>
      <c r="F12" s="114">
        <f>F10-F11</f>
        <v>985.13779893750052</v>
      </c>
      <c r="G12" s="114">
        <f t="shared" ref="G12:I12" si="13">G10-G11</f>
        <v>1042.1325148461535</v>
      </c>
      <c r="H12" s="114">
        <f t="shared" si="13"/>
        <v>1233.083668476927</v>
      </c>
      <c r="I12" s="114">
        <f t="shared" si="13"/>
        <v>1361.5825873846134</v>
      </c>
      <c r="J12" s="115">
        <f>J10-J11</f>
        <v>4621.936569645195</v>
      </c>
      <c r="K12" s="114">
        <f>K10-K11</f>
        <v>1368.95831484375</v>
      </c>
      <c r="L12" s="114">
        <f t="shared" ref="L12" si="14">L10-L11</f>
        <v>1415.0103868000003</v>
      </c>
      <c r="M12" s="114">
        <f t="shared" ref="M12" si="15">M10-M11</f>
        <v>1553.4785747307731</v>
      </c>
      <c r="N12" s="114">
        <f t="shared" ref="N12" si="16">N10-N11</f>
        <v>1589.4209496590911</v>
      </c>
      <c r="O12" s="115">
        <f>O10-O11</f>
        <v>5926.8682260336136</v>
      </c>
      <c r="P12" s="114">
        <f>P10-P11</f>
        <v>1053.7835108593697</v>
      </c>
      <c r="Q12" s="114">
        <f t="shared" ref="Q12" si="17">Q10-Q11</f>
        <v>1241.7767931153837</v>
      </c>
      <c r="R12" s="114">
        <f t="shared" ref="R12" si="18">R10-R11</f>
        <v>1452.7499032500032</v>
      </c>
      <c r="S12" s="114">
        <f t="shared" ref="S12" si="19">S10-S11</f>
        <v>2148.2603992045365</v>
      </c>
      <c r="T12" s="115">
        <f>T10-T11</f>
        <v>5896.5706064292935</v>
      </c>
      <c r="U12" s="114">
        <f>U10-U11</f>
        <v>1215.0572997784623</v>
      </c>
      <c r="V12" s="114">
        <f t="shared" ref="V12" si="20">V10-V11</f>
        <v>1764.0861860753839</v>
      </c>
      <c r="W12" s="114">
        <f t="shared" ref="W12" si="21">W10-W11</f>
        <v>2196.9258248923079</v>
      </c>
      <c r="X12" s="114">
        <f t="shared" ref="X12" si="22">X10-X11</f>
        <v>2637.7304456697029</v>
      </c>
      <c r="Y12" s="115">
        <f>Y10-Y11</f>
        <v>7813.7997564158541</v>
      </c>
      <c r="Z12" s="114">
        <f>Z10-Z11</f>
        <v>2831.1999960687504</v>
      </c>
      <c r="AA12" s="114">
        <f t="shared" ref="AA12" si="23">AA10-AA11</f>
        <v>2464.680896664609</v>
      </c>
      <c r="AB12" s="108">
        <f t="shared" ref="AB12" si="24">AB10-AB11</f>
        <v>3145.8469600000053</v>
      </c>
      <c r="AC12" s="106">
        <f>AC10*AC13</f>
        <v>2760.9104193567614</v>
      </c>
      <c r="AD12" s="107">
        <f>AD10-AD11</f>
        <v>11202.638272090124</v>
      </c>
      <c r="AE12" s="106">
        <f>AE10*AE13</f>
        <v>3220.9063311446585</v>
      </c>
      <c r="AF12" s="106">
        <f t="shared" ref="AF12:AH12" si="25">AF10*AF13</f>
        <v>3179.3512499707585</v>
      </c>
      <c r="AG12" s="106">
        <f t="shared" si="25"/>
        <v>4072.6262561129197</v>
      </c>
      <c r="AH12" s="106">
        <f t="shared" si="25"/>
        <v>3489.0876518069167</v>
      </c>
      <c r="AI12" s="107">
        <f>AI10-AI11</f>
        <v>13961.971489035252</v>
      </c>
      <c r="AJ12" s="106">
        <f>AJ10*AJ13</f>
        <v>3600.1275966846169</v>
      </c>
      <c r="AK12" s="106">
        <f t="shared" ref="AK12" si="26">AK10*AK13</f>
        <v>3721.0951267125461</v>
      </c>
      <c r="AL12" s="106">
        <f t="shared" ref="AL12" si="27">AL10*AL13</f>
        <v>4692.3805024260719</v>
      </c>
      <c r="AM12" s="106">
        <f t="shared" ref="AM12" si="28">AM10*AM13</f>
        <v>4053.7504725536505</v>
      </c>
      <c r="AN12" s="107">
        <f>AN10-AN11</f>
        <v>16067.353698376886</v>
      </c>
      <c r="AO12" s="106">
        <f>AO10*AO13</f>
        <v>4093.6778806830334</v>
      </c>
      <c r="AP12" s="106">
        <f t="shared" ref="AP12" si="29">AP10*AP13</f>
        <v>4345.6239096721692</v>
      </c>
      <c r="AQ12" s="106">
        <f t="shared" ref="AQ12" si="30">AQ10*AQ13</f>
        <v>5304.6066696702219</v>
      </c>
      <c r="AR12" s="106">
        <f t="shared" ref="AR12" si="31">AR10*AR13</f>
        <v>4619.7441753563671</v>
      </c>
      <c r="AS12" s="107">
        <f>AS10-AS11</f>
        <v>18363.65263538179</v>
      </c>
      <c r="AT12" s="106">
        <f>AT10*AT13</f>
        <v>4654.8901783998645</v>
      </c>
      <c r="AU12" s="106">
        <f t="shared" ref="AU12" si="32">AU10*AU13</f>
        <v>5074.9702765589227</v>
      </c>
      <c r="AV12" s="106">
        <f t="shared" ref="AV12" si="33">AV10*AV13</f>
        <v>6105.742574488524</v>
      </c>
      <c r="AW12" s="106">
        <f t="shared" ref="AW12" si="34">AW10*AW13</f>
        <v>5360.4861511616618</v>
      </c>
      <c r="AX12" s="107">
        <f>AX10-AX11</f>
        <v>21196.089180608978</v>
      </c>
      <c r="AY12" s="106">
        <f>AY10*AY13</f>
        <v>5293.0404405312411</v>
      </c>
      <c r="AZ12" s="106">
        <f t="shared" ref="AZ12" si="35">AZ10*AZ13</f>
        <v>5926.7262522723713</v>
      </c>
      <c r="BA12" s="106">
        <f t="shared" ref="BA12" si="36">BA10*BA13</f>
        <v>7027.8711895974329</v>
      </c>
      <c r="BB12" s="106">
        <f t="shared" ref="BB12" si="37">BB10*BB13</f>
        <v>6220.0006507025591</v>
      </c>
      <c r="BC12" s="115">
        <f>BC10-BC11</f>
        <v>24467.638533103607</v>
      </c>
      <c r="BD12" s="116"/>
    </row>
    <row r="13" spans="2:56" s="82" customFormat="1" outlineLevel="1" x14ac:dyDescent="0.15">
      <c r="B13" s="117" t="s">
        <v>57</v>
      </c>
      <c r="C13" s="102"/>
      <c r="D13" s="102"/>
      <c r="E13" s="102"/>
      <c r="F13" s="118">
        <f>F12/F$10</f>
        <v>0.47571519059190526</v>
      </c>
      <c r="G13" s="118">
        <f t="shared" ref="G13:J13" si="38">G12/G$10</f>
        <v>0.4504139989193332</v>
      </c>
      <c r="H13" s="118">
        <f t="shared" si="38"/>
        <v>0.42882243855526342</v>
      </c>
      <c r="I13" s="118">
        <f t="shared" si="38"/>
        <v>0.4515310244781135</v>
      </c>
      <c r="J13" s="119">
        <f t="shared" si="38"/>
        <v>0.44979862946547511</v>
      </c>
      <c r="K13" s="118">
        <f>K12/K$10</f>
        <v>0.4873085391729734</v>
      </c>
      <c r="L13" s="118">
        <f t="shared" ref="L13" si="39">L12/L$10</f>
        <v>0.43311194971490208</v>
      </c>
      <c r="M13" s="118">
        <f t="shared" ref="M13" si="40">M12/M$10</f>
        <v>0.48121466230042226</v>
      </c>
      <c r="N13" s="118">
        <f t="shared" ref="N13:O13" si="41">N12/N$10</f>
        <v>0.4432458239670482</v>
      </c>
      <c r="O13" s="119">
        <f t="shared" si="41"/>
        <v>0.45978885703992056</v>
      </c>
      <c r="P13" s="118">
        <f>P12/P$10</f>
        <v>0.41628534153680324</v>
      </c>
      <c r="Q13" s="118">
        <f t="shared" ref="Q13" si="42">Q12/Q$10</f>
        <v>0.4303905925070633</v>
      </c>
      <c r="R13" s="118">
        <f t="shared" ref="R13" si="43">R12/R$10</f>
        <v>0.43743512111144922</v>
      </c>
      <c r="S13" s="118">
        <f t="shared" ref="S13:T13" si="44">S12/S$10</f>
        <v>0.48066393381936567</v>
      </c>
      <c r="T13" s="119">
        <f t="shared" si="44"/>
        <v>0.44647131955350972</v>
      </c>
      <c r="U13" s="118">
        <f>U12/U$10</f>
        <v>0.45128247311873793</v>
      </c>
      <c r="V13" s="118">
        <f t="shared" ref="V13" si="45">V12/V$10</f>
        <v>0.48206391559744854</v>
      </c>
      <c r="W13" s="118">
        <f t="shared" ref="W13" si="46">W12/W$10</f>
        <v>0.47534107372680212</v>
      </c>
      <c r="X13" s="118">
        <f t="shared" ref="X13:Y13" si="47">X12/X$10</f>
        <v>0.51975740532114079</v>
      </c>
      <c r="Y13" s="119">
        <f t="shared" si="47"/>
        <v>0.48688317980799478</v>
      </c>
      <c r="Z13" s="118">
        <f>Z12/Z$10</f>
        <v>0.53905909819744902</v>
      </c>
      <c r="AA13" s="118">
        <f t="shared" ref="AA13" si="48">AA12/AA$10</f>
        <v>0.50858166733270826</v>
      </c>
      <c r="AB13" s="120">
        <f t="shared" ref="AB13:AD13" si="49">AB12/AB$10</f>
        <v>0.51348076299758483</v>
      </c>
      <c r="AC13" s="118">
        <v>0.53</v>
      </c>
      <c r="AD13" s="119">
        <f t="shared" si="49"/>
        <v>0.52265547519617095</v>
      </c>
      <c r="AE13" s="118">
        <v>0.53</v>
      </c>
      <c r="AF13" s="118">
        <v>0.53</v>
      </c>
      <c r="AG13" s="118">
        <v>0.54</v>
      </c>
      <c r="AH13" s="118">
        <v>0.54</v>
      </c>
      <c r="AI13" s="119">
        <f t="shared" ref="AI13" si="50">AI12/AI$10</f>
        <v>0.5353694939372633</v>
      </c>
      <c r="AJ13" s="105">
        <f>AE13+0.02</f>
        <v>0.55000000000000004</v>
      </c>
      <c r="AK13" s="105">
        <f t="shared" ref="AK13:AM13" si="51">AF13+0.02</f>
        <v>0.55000000000000004</v>
      </c>
      <c r="AL13" s="105">
        <f t="shared" si="51"/>
        <v>0.56000000000000005</v>
      </c>
      <c r="AM13" s="105">
        <f t="shared" si="51"/>
        <v>0.56000000000000005</v>
      </c>
      <c r="AN13" s="119">
        <f t="shared" ref="AN13" si="52">AN12/AN$10</f>
        <v>0.55539869070564785</v>
      </c>
      <c r="AO13" s="105">
        <v>0.55000000000000004</v>
      </c>
      <c r="AP13" s="105">
        <v>0.55000000000000004</v>
      </c>
      <c r="AQ13" s="105">
        <v>0.55000000000000004</v>
      </c>
      <c r="AR13" s="105">
        <v>0.55000000000000004</v>
      </c>
      <c r="AS13" s="119">
        <f t="shared" ref="AS13" si="53">AS12/AS$10</f>
        <v>0.55000000000000004</v>
      </c>
      <c r="AT13" s="105">
        <v>0.55000000000000004</v>
      </c>
      <c r="AU13" s="105">
        <v>0.55000000000000004</v>
      </c>
      <c r="AV13" s="105">
        <v>0.55000000000000004</v>
      </c>
      <c r="AW13" s="105">
        <v>0.55000000000000004</v>
      </c>
      <c r="AX13" s="119">
        <f t="shared" ref="AX13" si="54">AX12/AX$10</f>
        <v>0.55000000000000016</v>
      </c>
      <c r="AY13" s="105">
        <v>0.55000000000000004</v>
      </c>
      <c r="AZ13" s="105">
        <v>0.55000000000000004</v>
      </c>
      <c r="BA13" s="105">
        <v>0.55000000000000004</v>
      </c>
      <c r="BB13" s="105">
        <v>0.55000000000000004</v>
      </c>
      <c r="BC13" s="119">
        <f t="shared" ref="BC13" si="55">BC12/BC$10</f>
        <v>0.55000000000000004</v>
      </c>
      <c r="BD13" s="116"/>
    </row>
    <row r="14" spans="2:56" s="82" customFormat="1" ht="13" outlineLevel="1" thickBot="1" x14ac:dyDescent="0.2">
      <c r="B14" s="121" t="s">
        <v>58</v>
      </c>
      <c r="C14" s="122"/>
      <c r="D14" s="122"/>
      <c r="E14" s="122"/>
      <c r="F14" s="123"/>
      <c r="G14" s="123"/>
      <c r="H14" s="123"/>
      <c r="I14" s="123"/>
      <c r="J14" s="111"/>
      <c r="K14" s="124">
        <f>K12/F12-1</f>
        <v>0.38961099281766565</v>
      </c>
      <c r="L14" s="124">
        <f t="shared" ref="L14:N14" si="56">L12/G12-1</f>
        <v>0.35780274258969214</v>
      </c>
      <c r="M14" s="124">
        <f t="shared" si="56"/>
        <v>0.25983225181271741</v>
      </c>
      <c r="N14" s="124">
        <f t="shared" si="56"/>
        <v>0.16733348706531226</v>
      </c>
      <c r="O14" s="125">
        <f>O12/J12-1</f>
        <v>0.28233439311102271</v>
      </c>
      <c r="P14" s="124">
        <f>P12/K12-1</f>
        <v>-0.23022965751908497</v>
      </c>
      <c r="Q14" s="124">
        <f t="shared" ref="Q14" si="57">Q12/L12-1</f>
        <v>-0.12242566931001742</v>
      </c>
      <c r="R14" s="124">
        <f t="shared" ref="R14" si="58">R12/M12-1</f>
        <v>-6.4840721410159619E-2</v>
      </c>
      <c r="S14" s="124">
        <f t="shared" ref="S14" si="59">S12/N12-1</f>
        <v>0.35159939829993347</v>
      </c>
      <c r="T14" s="125">
        <f>T12/O12-1</f>
        <v>-5.1119104472812094E-3</v>
      </c>
      <c r="U14" s="124">
        <f>U12/P12-1</f>
        <v>0.15304261952967213</v>
      </c>
      <c r="V14" s="124">
        <f t="shared" ref="V14" si="60">V12/Q12-1</f>
        <v>0.42061455477004395</v>
      </c>
      <c r="W14" s="124">
        <f t="shared" ref="W14" si="61">W12/R12-1</f>
        <v>0.51225329286030585</v>
      </c>
      <c r="X14" s="124">
        <f t="shared" ref="X14" si="62">X12/S12-1</f>
        <v>0.22784483978125225</v>
      </c>
      <c r="Y14" s="125">
        <f>Y12/T12-1</f>
        <v>0.32514308365885092</v>
      </c>
      <c r="Z14" s="124">
        <f>Z12/U12-1</f>
        <v>1.3300958700342398</v>
      </c>
      <c r="AA14" s="124">
        <f t="shared" ref="AA14" si="63">AA12/V12-1</f>
        <v>0.39714313060171924</v>
      </c>
      <c r="AB14" s="126">
        <f t="shared" ref="AB14" si="64">AB12/W12-1</f>
        <v>0.43193134895858987</v>
      </c>
      <c r="AC14" s="124">
        <f t="shared" ref="AC14" si="65">AC12/X12-1</f>
        <v>4.6699227318424352E-2</v>
      </c>
      <c r="AD14" s="125">
        <f>AD12/Y12-1</f>
        <v>0.43369917598562968</v>
      </c>
      <c r="AE14" s="124">
        <f>AE12/Z12-1</f>
        <v>0.1376470527045186</v>
      </c>
      <c r="AF14" s="124">
        <f t="shared" ref="AF14" si="66">AF12/AA12-1</f>
        <v>0.28996465801041227</v>
      </c>
      <c r="AG14" s="124">
        <f t="shared" ref="AG14" si="67">AG12/AB12-1</f>
        <v>0.29460406303837261</v>
      </c>
      <c r="AH14" s="124">
        <f t="shared" ref="AH14" si="68">AH12/AC12-1</f>
        <v>0.263745331012879</v>
      </c>
      <c r="AI14" s="125">
        <f>AI12/AD12-1</f>
        <v>0.24631101620228502</v>
      </c>
      <c r="AJ14" s="124">
        <f>AJ12/AE12-1</f>
        <v>0.11773743988549623</v>
      </c>
      <c r="AK14" s="124">
        <f t="shared" ref="AK14" si="69">AK12/AF12-1</f>
        <v>0.17039447174852729</v>
      </c>
      <c r="AL14" s="124">
        <f t="shared" ref="AL14" si="70">AL12/AG12-1</f>
        <v>0.15217557598930553</v>
      </c>
      <c r="AM14" s="124">
        <f t="shared" ref="AM14" si="71">AM12/AH12-1</f>
        <v>0.16183681153848584</v>
      </c>
      <c r="AN14" s="125">
        <f>AN12/AI12-1</f>
        <v>0.15079404874842028</v>
      </c>
      <c r="AO14" s="124">
        <f>AO12/AJ12-1</f>
        <v>0.1370924420714783</v>
      </c>
      <c r="AP14" s="124">
        <f t="shared" ref="AP14" si="72">AP12/AK12-1</f>
        <v>0.16783467277585351</v>
      </c>
      <c r="AQ14" s="124">
        <f t="shared" ref="AQ14" si="73">AQ12/AL12-1</f>
        <v>0.13047240455619802</v>
      </c>
      <c r="AR14" s="124">
        <f t="shared" ref="AR14" si="74">AR12/AM12-1</f>
        <v>0.13962223541750718</v>
      </c>
      <c r="AS14" s="125">
        <f>AS12/AN12-1</f>
        <v>0.14291705903237029</v>
      </c>
      <c r="AT14" s="124">
        <f>AT12/AO12-1</f>
        <v>0.1370924420714783</v>
      </c>
      <c r="AU14" s="124">
        <f t="shared" ref="AU14" si="75">AU12/AP12-1</f>
        <v>0.16783467277585351</v>
      </c>
      <c r="AV14" s="124">
        <f t="shared" ref="AV14" si="76">AV12/AQ12-1</f>
        <v>0.15102644827540201</v>
      </c>
      <c r="AW14" s="124">
        <f t="shared" ref="AW14" si="77">AW12/AR12-1</f>
        <v>0.16034263969782558</v>
      </c>
      <c r="AX14" s="125">
        <f>AX12/AS12-1</f>
        <v>0.15424145737596073</v>
      </c>
      <c r="AY14" s="124">
        <f>AY12/AT12-1</f>
        <v>0.1370924420714783</v>
      </c>
      <c r="AZ14" s="124">
        <f t="shared" ref="AZ14" si="78">AZ12/AU12-1</f>
        <v>0.16783467277585329</v>
      </c>
      <c r="BA14" s="124">
        <f t="shared" ref="BA14" si="79">BA12/AV12-1</f>
        <v>0.15102644827540157</v>
      </c>
      <c r="BB14" s="124">
        <f t="shared" ref="BB14" si="80">BB12/AW12-1</f>
        <v>0.16034263969782536</v>
      </c>
      <c r="BC14" s="125">
        <f>BC12/AX12-1</f>
        <v>0.15434683844827246</v>
      </c>
      <c r="BD14" s="116"/>
    </row>
    <row r="15" spans="2:56" s="82" customFormat="1" outlineLevel="1" x14ac:dyDescent="0.15">
      <c r="B15" s="102"/>
      <c r="C15" s="102"/>
      <c r="D15" s="102"/>
      <c r="E15" s="102"/>
      <c r="F15" s="106"/>
      <c r="G15" s="106"/>
      <c r="H15" s="106"/>
      <c r="I15" s="106"/>
      <c r="J15" s="107"/>
      <c r="K15" s="106"/>
      <c r="L15" s="106"/>
      <c r="M15" s="106"/>
      <c r="N15" s="106"/>
      <c r="O15" s="107"/>
      <c r="P15" s="106"/>
      <c r="Q15" s="106"/>
      <c r="R15" s="106"/>
      <c r="S15" s="106"/>
      <c r="T15" s="107"/>
      <c r="U15" s="106"/>
      <c r="V15" s="106"/>
      <c r="W15" s="106"/>
      <c r="X15" s="106"/>
      <c r="Y15" s="107"/>
      <c r="Z15" s="106"/>
      <c r="AA15" s="106"/>
      <c r="AB15" s="108"/>
      <c r="AC15" s="106"/>
      <c r="AD15" s="107"/>
      <c r="AI15" s="107"/>
      <c r="AN15" s="107"/>
      <c r="AS15" s="107"/>
      <c r="AX15" s="107"/>
      <c r="BC15" s="107"/>
    </row>
    <row r="16" spans="2:56" s="82" customFormat="1" outlineLevel="1" x14ac:dyDescent="0.15">
      <c r="B16" s="102" t="s">
        <v>4</v>
      </c>
      <c r="C16" s="102"/>
      <c r="D16" s="102"/>
      <c r="E16" s="102"/>
      <c r="F16" s="106">
        <f>F18+F21+F24</f>
        <v>558.09550000000002</v>
      </c>
      <c r="G16" s="106">
        <f t="shared" ref="G16:BC16" si="81">G18+G21+G24</f>
        <v>570.99840000000006</v>
      </c>
      <c r="H16" s="106">
        <f t="shared" si="81"/>
        <v>609.78600000000006</v>
      </c>
      <c r="I16" s="106">
        <f t="shared" si="81"/>
        <v>627.02750000000003</v>
      </c>
      <c r="J16" s="107">
        <f t="shared" si="81"/>
        <v>2365.9074000000001</v>
      </c>
      <c r="K16" s="106">
        <f t="shared" si="81"/>
        <v>705.56370000000004</v>
      </c>
      <c r="L16" s="106">
        <f t="shared" si="81"/>
        <v>711.97590000000002</v>
      </c>
      <c r="M16" s="106">
        <f t="shared" si="81"/>
        <v>730.39880000000005</v>
      </c>
      <c r="N16" s="106">
        <f t="shared" si="81"/>
        <v>784.38369999999998</v>
      </c>
      <c r="O16" s="107">
        <f t="shared" si="81"/>
        <v>2932.3220999999999</v>
      </c>
      <c r="P16" s="106">
        <f t="shared" si="81"/>
        <v>793.26200000000006</v>
      </c>
      <c r="Q16" s="106">
        <f t="shared" si="81"/>
        <v>808.18860000000006</v>
      </c>
      <c r="R16" s="106">
        <f t="shared" si="81"/>
        <v>815.33699999999999</v>
      </c>
      <c r="S16" s="106">
        <f t="shared" si="81"/>
        <v>870.84159999999997</v>
      </c>
      <c r="T16" s="107">
        <f t="shared" si="81"/>
        <v>3287.6292000000003</v>
      </c>
      <c r="U16" s="106">
        <f t="shared" si="81"/>
        <v>874.83249999999998</v>
      </c>
      <c r="V16" s="106">
        <f t="shared" si="81"/>
        <v>905.8107</v>
      </c>
      <c r="W16" s="106">
        <f t="shared" si="81"/>
        <v>919.57009999999991</v>
      </c>
      <c r="X16" s="106">
        <f t="shared" si="81"/>
        <v>993.48830000000009</v>
      </c>
      <c r="Y16" s="107">
        <f t="shared" si="81"/>
        <v>3693.7016000000003</v>
      </c>
      <c r="Z16" s="106">
        <f t="shared" si="81"/>
        <v>1094.8574000000001</v>
      </c>
      <c r="AA16" s="106">
        <f t="shared" si="81"/>
        <v>1106.9727</v>
      </c>
      <c r="AB16" s="108">
        <f t="shared" si="81"/>
        <v>1070.1369999999999</v>
      </c>
      <c r="AC16" s="106">
        <f t="shared" si="81"/>
        <v>956.2645204942047</v>
      </c>
      <c r="AD16" s="107">
        <f t="shared" si="81"/>
        <v>4228.2316204942053</v>
      </c>
      <c r="AE16" s="106">
        <f t="shared" si="81"/>
        <v>869.03699123337003</v>
      </c>
      <c r="AF16" s="106">
        <f t="shared" si="81"/>
        <v>857.82495989777067</v>
      </c>
      <c r="AG16" s="106">
        <f t="shared" si="81"/>
        <v>1078.4917678224954</v>
      </c>
      <c r="AH16" s="106">
        <f t="shared" si="81"/>
        <v>923.96210038590561</v>
      </c>
      <c r="AI16" s="107">
        <f t="shared" si="81"/>
        <v>3729.315819339542</v>
      </c>
      <c r="AJ16" s="106">
        <f t="shared" si="81"/>
        <v>1001.4900405322662</v>
      </c>
      <c r="AK16" s="106">
        <f t="shared" si="81"/>
        <v>1035.1410079763991</v>
      </c>
      <c r="AL16" s="106">
        <f t="shared" si="81"/>
        <v>1282.02538726998</v>
      </c>
      <c r="AM16" s="106">
        <f t="shared" si="81"/>
        <v>1107.5425398226937</v>
      </c>
      <c r="AN16" s="107">
        <f t="shared" si="81"/>
        <v>4426.198975601339</v>
      </c>
      <c r="AO16" s="106">
        <f t="shared" si="81"/>
        <v>1138.7867558990984</v>
      </c>
      <c r="AP16" s="106">
        <f t="shared" si="81"/>
        <v>1208.8735603269852</v>
      </c>
      <c r="AQ16" s="106">
        <f t="shared" si="81"/>
        <v>1475.6451281082618</v>
      </c>
      <c r="AR16" s="106">
        <f t="shared" si="81"/>
        <v>1285.1288342354985</v>
      </c>
      <c r="AS16" s="107">
        <f t="shared" si="81"/>
        <v>5108.4342785698445</v>
      </c>
      <c r="AT16" s="106">
        <f t="shared" si="81"/>
        <v>1294.9058132639623</v>
      </c>
      <c r="AU16" s="106">
        <f t="shared" si="81"/>
        <v>1411.7644587518455</v>
      </c>
      <c r="AV16" s="106">
        <f t="shared" si="81"/>
        <v>1698.5065707213528</v>
      </c>
      <c r="AW16" s="106">
        <f t="shared" si="81"/>
        <v>1491.1897838686077</v>
      </c>
      <c r="AX16" s="107">
        <f t="shared" si="81"/>
        <v>5896.366626605768</v>
      </c>
      <c r="AY16" s="106">
        <f t="shared" si="81"/>
        <v>1472.4276134568727</v>
      </c>
      <c r="AZ16" s="106">
        <f t="shared" si="81"/>
        <v>1648.7074847230415</v>
      </c>
      <c r="BA16" s="106">
        <f t="shared" si="81"/>
        <v>1955.0259854698313</v>
      </c>
      <c r="BB16" s="106">
        <f t="shared" si="81"/>
        <v>1730.2910901045302</v>
      </c>
      <c r="BC16" s="107">
        <f t="shared" si="81"/>
        <v>6806.4521737542764</v>
      </c>
    </row>
    <row r="17" spans="2:55" s="82" customFormat="1" outlineLevel="1" x14ac:dyDescent="0.15">
      <c r="B17" s="102"/>
      <c r="C17" s="102"/>
      <c r="D17" s="102"/>
      <c r="E17" s="102"/>
      <c r="F17" s="106"/>
      <c r="G17" s="106"/>
      <c r="H17" s="106"/>
      <c r="I17" s="106"/>
      <c r="J17" s="107"/>
      <c r="K17" s="106"/>
      <c r="L17" s="106"/>
      <c r="M17" s="106"/>
      <c r="N17" s="106"/>
      <c r="O17" s="107"/>
      <c r="P17" s="106"/>
      <c r="Q17" s="106"/>
      <c r="R17" s="106"/>
      <c r="S17" s="106"/>
      <c r="T17" s="107"/>
      <c r="U17" s="106"/>
      <c r="V17" s="106"/>
      <c r="W17" s="106"/>
      <c r="X17" s="106"/>
      <c r="Y17" s="107"/>
      <c r="Z17" s="106"/>
      <c r="AA17" s="106"/>
      <c r="AB17" s="108"/>
      <c r="AC17" s="106"/>
      <c r="AD17" s="107"/>
      <c r="AE17" s="106"/>
      <c r="AF17" s="106"/>
      <c r="AG17" s="106"/>
      <c r="AH17" s="106"/>
      <c r="AI17" s="107"/>
      <c r="AJ17" s="106"/>
      <c r="AK17" s="106"/>
      <c r="AL17" s="106"/>
      <c r="AM17" s="106"/>
      <c r="AN17" s="107"/>
      <c r="AO17" s="106"/>
      <c r="AP17" s="106"/>
      <c r="AQ17" s="106"/>
      <c r="AR17" s="106"/>
      <c r="AS17" s="107"/>
      <c r="AT17" s="106"/>
      <c r="AU17" s="106"/>
      <c r="AV17" s="106"/>
      <c r="AW17" s="106"/>
      <c r="AX17" s="107"/>
      <c r="AY17" s="106"/>
      <c r="AZ17" s="106"/>
      <c r="BA17" s="106"/>
      <c r="BB17" s="106"/>
      <c r="BC17" s="107"/>
    </row>
    <row r="18" spans="2:55" s="82" customFormat="1" outlineLevel="1" x14ac:dyDescent="0.15">
      <c r="B18" s="102" t="s">
        <v>5</v>
      </c>
      <c r="C18" s="105">
        <f>(AD18/J18)^(1/4)-1</f>
        <v>0.15269024829429845</v>
      </c>
      <c r="D18" s="105">
        <f>(BC18/AD18)^(1/4)-1</f>
        <v>0.2091994882582322</v>
      </c>
      <c r="E18" s="105"/>
      <c r="F18" s="106">
        <v>105.0558</v>
      </c>
      <c r="G18" s="106">
        <v>112.30589999999999</v>
      </c>
      <c r="H18" s="106">
        <v>121.36969999999999</v>
      </c>
      <c r="I18" s="106">
        <v>132.73099999999999</v>
      </c>
      <c r="J18" s="107">
        <f>SUM(F18:I18)</f>
        <v>471.4624</v>
      </c>
      <c r="K18" s="106">
        <v>140.3997</v>
      </c>
      <c r="L18" s="106">
        <v>139.9631</v>
      </c>
      <c r="M18" s="106">
        <v>141.63759999999999</v>
      </c>
      <c r="N18" s="106">
        <v>153.59039999999999</v>
      </c>
      <c r="O18" s="107">
        <f>SUM(K18:N18)</f>
        <v>575.59079999999994</v>
      </c>
      <c r="P18" s="106">
        <v>137.41550000000001</v>
      </c>
      <c r="Q18" s="106">
        <v>138.76169999999999</v>
      </c>
      <c r="R18" s="106">
        <v>142.89529999999999</v>
      </c>
      <c r="S18" s="106">
        <v>163.31739999999999</v>
      </c>
      <c r="T18" s="107">
        <f>SUM(P18:S18)</f>
        <v>582.38990000000001</v>
      </c>
      <c r="U18" s="106">
        <v>144.1874</v>
      </c>
      <c r="V18" s="106">
        <v>144.3663</v>
      </c>
      <c r="W18" s="106">
        <v>153.55359999999999</v>
      </c>
      <c r="X18" s="106">
        <v>180.73179999999999</v>
      </c>
      <c r="Y18" s="107">
        <f>SUM(U18:X18)</f>
        <v>622.83910000000003</v>
      </c>
      <c r="Z18" s="106">
        <v>202.6756</v>
      </c>
      <c r="AA18" s="106">
        <v>207.09780000000001</v>
      </c>
      <c r="AB18" s="108">
        <v>215.48830000000001</v>
      </c>
      <c r="AC18" s="127">
        <f>AC$10*AC19</f>
        <v>207.07211493656359</v>
      </c>
      <c r="AD18" s="107">
        <f>SUM(Z18:AC18)</f>
        <v>832.33381493656361</v>
      </c>
      <c r="AE18" s="127">
        <f>AE$10*AE19</f>
        <v>243.08727027506856</v>
      </c>
      <c r="AF18" s="127">
        <f t="shared" ref="AF18:AH18" si="82">AF$10*AF19</f>
        <v>239.95103773364215</v>
      </c>
      <c r="AG18" s="127">
        <f t="shared" si="82"/>
        <v>301.67601897132738</v>
      </c>
      <c r="AH18" s="127">
        <f t="shared" si="82"/>
        <v>258.4509371708827</v>
      </c>
      <c r="AI18" s="107">
        <f>SUM(AE18:AH18)</f>
        <v>1043.1652641509208</v>
      </c>
      <c r="AJ18" s="127">
        <f>AJ$10*AJ19</f>
        <v>261.82746157706305</v>
      </c>
      <c r="AK18" s="127">
        <f t="shared" ref="AK18" si="83">AK$10*AK19</f>
        <v>270.62510012454879</v>
      </c>
      <c r="AL18" s="127">
        <f t="shared" ref="AL18" si="84">AL$10*AL19</f>
        <v>335.17003588757655</v>
      </c>
      <c r="AM18" s="127">
        <f t="shared" ref="AM18" si="85">AM$10*AM19</f>
        <v>289.5536051824036</v>
      </c>
      <c r="AN18" s="107">
        <f>SUM(AJ18:AM18)</f>
        <v>1157.176202771592</v>
      </c>
      <c r="AO18" s="127">
        <f>AO$10*AO19</f>
        <v>297.72202768603881</v>
      </c>
      <c r="AP18" s="127">
        <f t="shared" ref="AP18" si="86">AP$10*AP19</f>
        <v>316.04537524888502</v>
      </c>
      <c r="AQ18" s="127">
        <f t="shared" ref="AQ18" si="87">AQ$10*AQ19</f>
        <v>385.78957597601612</v>
      </c>
      <c r="AR18" s="127">
        <f t="shared" ref="AR18" si="88">AR$10*AR19</f>
        <v>335.98139457137216</v>
      </c>
      <c r="AS18" s="107">
        <f>SUM(AO18:AR18)</f>
        <v>1335.5383734823122</v>
      </c>
      <c r="AT18" s="127">
        <f>AT$10*AT19</f>
        <v>338.53746751999012</v>
      </c>
      <c r="AU18" s="127">
        <f t="shared" ref="AU18" si="89">AU$10*AU19</f>
        <v>369.08874738610342</v>
      </c>
      <c r="AV18" s="127">
        <f t="shared" ref="AV18" si="90">AV$10*AV19</f>
        <v>444.05400541734713</v>
      </c>
      <c r="AW18" s="127">
        <f t="shared" ref="AW18" si="91">AW$10*AW19</f>
        <v>389.85353826630262</v>
      </c>
      <c r="AX18" s="107">
        <f>SUM(AT18:AW18)</f>
        <v>1541.5337585897432</v>
      </c>
      <c r="AY18" s="127">
        <f>AY$10*AY19</f>
        <v>384.94839567499935</v>
      </c>
      <c r="AZ18" s="127">
        <f t="shared" ref="AZ18" si="92">AZ$10*AZ19</f>
        <v>431.03463652889974</v>
      </c>
      <c r="BA18" s="127">
        <f t="shared" ref="BA18" si="93">BA$10*BA19</f>
        <v>511.11790469799513</v>
      </c>
      <c r="BB18" s="127">
        <f t="shared" ref="BB18" si="94">BB$10*BB19</f>
        <v>452.36368368745883</v>
      </c>
      <c r="BC18" s="107">
        <f>SUM(AY18:BB18)</f>
        <v>1779.464620589353</v>
      </c>
    </row>
    <row r="19" spans="2:55" s="82" customFormat="1" outlineLevel="1" x14ac:dyDescent="0.15">
      <c r="B19" s="128" t="s">
        <v>62</v>
      </c>
      <c r="C19" s="128"/>
      <c r="D19" s="128"/>
      <c r="E19" s="128"/>
      <c r="F19" s="118">
        <f>F18/F10</f>
        <v>5.0730608422178428E-2</v>
      </c>
      <c r="G19" s="118">
        <f t="shared" ref="G19:AB19" si="95">G18/G10</f>
        <v>4.8539076173726631E-2</v>
      </c>
      <c r="H19" s="118">
        <f t="shared" si="95"/>
        <v>4.2208044799593114E-2</v>
      </c>
      <c r="I19" s="118">
        <f t="shared" si="95"/>
        <v>4.4016547336379185E-2</v>
      </c>
      <c r="J19" s="119">
        <f t="shared" si="95"/>
        <v>4.5881880499451064E-2</v>
      </c>
      <c r="K19" s="118">
        <f t="shared" si="95"/>
        <v>4.9978127139052288E-2</v>
      </c>
      <c r="L19" s="118">
        <f t="shared" si="95"/>
        <v>4.2840456645856333E-2</v>
      </c>
      <c r="M19" s="118">
        <f t="shared" si="95"/>
        <v>4.387449621881942E-2</v>
      </c>
      <c r="N19" s="118">
        <f t="shared" si="95"/>
        <v>4.2832141740695169E-2</v>
      </c>
      <c r="O19" s="119">
        <f t="shared" si="95"/>
        <v>4.4652626979662588E-2</v>
      </c>
      <c r="P19" s="118">
        <f t="shared" si="95"/>
        <v>5.4284450041641077E-2</v>
      </c>
      <c r="Q19" s="118">
        <f t="shared" si="95"/>
        <v>4.8093772255524928E-2</v>
      </c>
      <c r="R19" s="118">
        <f t="shared" si="95"/>
        <v>4.3026967492421846E-2</v>
      </c>
      <c r="S19" s="118">
        <f t="shared" si="95"/>
        <v>3.6541558916329854E-2</v>
      </c>
      <c r="T19" s="119">
        <f t="shared" si="95"/>
        <v>4.4096883511260725E-2</v>
      </c>
      <c r="U19" s="118">
        <f t="shared" si="95"/>
        <v>5.3552409813450434E-2</v>
      </c>
      <c r="V19" s="118">
        <f t="shared" si="95"/>
        <v>3.9450330946212635E-2</v>
      </c>
      <c r="W19" s="118">
        <f t="shared" si="95"/>
        <v>3.3223849559050916E-2</v>
      </c>
      <c r="X19" s="118">
        <f t="shared" si="95"/>
        <v>3.5612695596410511E-2</v>
      </c>
      <c r="Y19" s="119">
        <f t="shared" si="95"/>
        <v>3.8809528138695058E-2</v>
      </c>
      <c r="Z19" s="118">
        <f t="shared" si="95"/>
        <v>3.8589335375222952E-2</v>
      </c>
      <c r="AA19" s="118">
        <f t="shared" si="95"/>
        <v>4.2734191094462165E-2</v>
      </c>
      <c r="AB19" s="120">
        <f t="shared" si="95"/>
        <v>3.5173070434758938E-2</v>
      </c>
      <c r="AC19" s="118">
        <f>AVERAGE(X19,S19,N19,I19)</f>
        <v>3.9750735897453683E-2</v>
      </c>
      <c r="AD19" s="119">
        <f t="shared" ref="AD19" si="96">AD18/AD10</f>
        <v>3.8832265668285938E-2</v>
      </c>
      <c r="AE19" s="118">
        <v>0.04</v>
      </c>
      <c r="AF19" s="118">
        <v>0.04</v>
      </c>
      <c r="AG19" s="118">
        <v>0.04</v>
      </c>
      <c r="AH19" s="118">
        <v>0.04</v>
      </c>
      <c r="AI19" s="119">
        <f t="shared" ref="AI19" si="97">AI18/AI10</f>
        <v>4.0000000000000008E-2</v>
      </c>
      <c r="AJ19" s="118">
        <v>0.04</v>
      </c>
      <c r="AK19" s="118">
        <v>0.04</v>
      </c>
      <c r="AL19" s="118">
        <v>0.04</v>
      </c>
      <c r="AM19" s="118">
        <v>0.04</v>
      </c>
      <c r="AN19" s="119">
        <f t="shared" ref="AN19" si="98">AN18/AN10</f>
        <v>0.04</v>
      </c>
      <c r="AO19" s="118">
        <v>0.04</v>
      </c>
      <c r="AP19" s="118">
        <v>0.04</v>
      </c>
      <c r="AQ19" s="118">
        <v>0.04</v>
      </c>
      <c r="AR19" s="118">
        <v>0.04</v>
      </c>
      <c r="AS19" s="119">
        <f t="shared" ref="AS19" si="99">AS18/AS10</f>
        <v>4.0000000000000008E-2</v>
      </c>
      <c r="AT19" s="118">
        <v>0.04</v>
      </c>
      <c r="AU19" s="118">
        <v>0.04</v>
      </c>
      <c r="AV19" s="118">
        <v>0.04</v>
      </c>
      <c r="AW19" s="118">
        <v>0.04</v>
      </c>
      <c r="AX19" s="119">
        <f t="shared" ref="AX19" si="100">AX18/AX10</f>
        <v>3.9999999999999994E-2</v>
      </c>
      <c r="AY19" s="118">
        <v>0.04</v>
      </c>
      <c r="AZ19" s="118">
        <v>0.04</v>
      </c>
      <c r="BA19" s="118">
        <v>0.04</v>
      </c>
      <c r="BB19" s="118">
        <v>0.04</v>
      </c>
      <c r="BC19" s="119">
        <f t="shared" ref="BC19" si="101">BC18/BC10</f>
        <v>3.9999999999999994E-2</v>
      </c>
    </row>
    <row r="20" spans="2:55" s="82" customFormat="1" outlineLevel="1" x14ac:dyDescent="0.15">
      <c r="B20" s="128"/>
      <c r="C20" s="128"/>
      <c r="D20" s="128"/>
      <c r="E20" s="128"/>
      <c r="F20" s="118"/>
      <c r="G20" s="118"/>
      <c r="H20" s="118"/>
      <c r="I20" s="118"/>
      <c r="J20" s="119"/>
      <c r="K20" s="118"/>
      <c r="L20" s="118"/>
      <c r="M20" s="118"/>
      <c r="N20" s="118"/>
      <c r="O20" s="119"/>
      <c r="P20" s="118"/>
      <c r="Q20" s="118"/>
      <c r="R20" s="118"/>
      <c r="S20" s="118"/>
      <c r="T20" s="119"/>
      <c r="U20" s="118"/>
      <c r="V20" s="118"/>
      <c r="W20" s="118"/>
      <c r="X20" s="118"/>
      <c r="Y20" s="119"/>
      <c r="Z20" s="118"/>
      <c r="AA20" s="118"/>
      <c r="AB20" s="120"/>
      <c r="AC20" s="118"/>
      <c r="AD20" s="119"/>
      <c r="AE20" s="118"/>
      <c r="AF20" s="118"/>
      <c r="AG20" s="118"/>
      <c r="AH20" s="105"/>
      <c r="AI20" s="119"/>
      <c r="AJ20" s="105"/>
      <c r="AK20" s="105"/>
      <c r="AL20" s="105"/>
      <c r="AM20" s="105"/>
      <c r="AN20" s="119"/>
      <c r="AO20" s="105"/>
      <c r="AP20" s="105"/>
      <c r="AQ20" s="105"/>
      <c r="AR20" s="105"/>
      <c r="AS20" s="119"/>
      <c r="AT20" s="105"/>
      <c r="AU20" s="105"/>
      <c r="AV20" s="105"/>
      <c r="AW20" s="105"/>
      <c r="AX20" s="119"/>
      <c r="AY20" s="105"/>
      <c r="AZ20" s="105"/>
      <c r="BA20" s="105"/>
      <c r="BB20" s="105"/>
      <c r="BC20" s="119"/>
    </row>
    <row r="21" spans="2:55" s="82" customFormat="1" outlineLevel="1" x14ac:dyDescent="0.15">
      <c r="B21" s="102" t="s">
        <v>6</v>
      </c>
      <c r="C21" s="105">
        <f>(AD21/J21)^(1/4)-1</f>
        <v>0.19612442390553375</v>
      </c>
      <c r="D21" s="105">
        <f>(BC21/AD21)^(1/4)-1</f>
        <v>0.11161090198021006</v>
      </c>
      <c r="E21" s="105"/>
      <c r="F21" s="106">
        <v>335.73099999999999</v>
      </c>
      <c r="G21" s="106">
        <v>344.2946</v>
      </c>
      <c r="H21" s="106">
        <v>369.51389999999998</v>
      </c>
      <c r="I21" s="106">
        <v>373.81389999999999</v>
      </c>
      <c r="J21" s="107">
        <f>SUM(F21:I21)</f>
        <v>1423.3534</v>
      </c>
      <c r="K21" s="106">
        <v>439.0256</v>
      </c>
      <c r="L21" s="106">
        <v>453.15140000000002</v>
      </c>
      <c r="M21" s="106">
        <v>460.84550000000002</v>
      </c>
      <c r="N21" s="106">
        <v>504.81720000000001</v>
      </c>
      <c r="O21" s="107">
        <f>SUM(K21:N21)</f>
        <v>1857.8397</v>
      </c>
      <c r="P21" s="106">
        <v>536.8288</v>
      </c>
      <c r="Q21" s="106">
        <v>547.63120000000004</v>
      </c>
      <c r="R21" s="106">
        <v>547.45010000000002</v>
      </c>
      <c r="S21" s="106">
        <v>571.44479999999999</v>
      </c>
      <c r="T21" s="107">
        <f>SUM(P21:S21)</f>
        <v>2203.3549000000003</v>
      </c>
      <c r="U21" s="106">
        <v>600.13729999999998</v>
      </c>
      <c r="V21" s="106">
        <v>623.79020000000003</v>
      </c>
      <c r="W21" s="106">
        <v>623.55610000000001</v>
      </c>
      <c r="X21" s="106">
        <v>663.16060000000004</v>
      </c>
      <c r="Y21" s="107">
        <f>SUM(U21:X21)</f>
        <v>2510.6442000000002</v>
      </c>
      <c r="Z21" s="106">
        <v>750.28480000000002</v>
      </c>
      <c r="AA21" s="106">
        <v>764.01969999999994</v>
      </c>
      <c r="AB21" s="108">
        <v>717.74469999999997</v>
      </c>
      <c r="AC21" s="127">
        <f>AC$10*AC22</f>
        <v>681.47196130926773</v>
      </c>
      <c r="AD21" s="107">
        <f>SUM(Z21:AC21)</f>
        <v>2913.5211613092679</v>
      </c>
      <c r="AE21" s="127">
        <f>AE$10*AE22</f>
        <v>546.94635811890419</v>
      </c>
      <c r="AF21" s="127">
        <f t="shared" ref="AF21:AH21" si="102">AF$10*AF22</f>
        <v>539.88983490069484</v>
      </c>
      <c r="AG21" s="127">
        <f t="shared" si="102"/>
        <v>678.77104268548658</v>
      </c>
      <c r="AH21" s="127">
        <f t="shared" si="102"/>
        <v>581.51460863448608</v>
      </c>
      <c r="AI21" s="107">
        <f>SUM(AE21:AH21)</f>
        <v>2347.1218443395719</v>
      </c>
      <c r="AJ21" s="127">
        <f>AJ$10*AJ22</f>
        <v>654.56865394265765</v>
      </c>
      <c r="AK21" s="127">
        <f t="shared" ref="AK21" si="103">AK$10*AK22</f>
        <v>676.56275031137193</v>
      </c>
      <c r="AL21" s="127">
        <f t="shared" ref="AL21" si="104">AL$10*AL22</f>
        <v>837.92508971894131</v>
      </c>
      <c r="AM21" s="127">
        <f t="shared" ref="AM21" si="105">AM$10*AM22</f>
        <v>723.88401295600897</v>
      </c>
      <c r="AN21" s="107">
        <f>SUM(AJ21:AM21)</f>
        <v>2892.9405069289801</v>
      </c>
      <c r="AO21" s="127">
        <f>AO$10*AO22</f>
        <v>744.30506921509698</v>
      </c>
      <c r="AP21" s="127">
        <f t="shared" ref="AP21" si="106">AP$10*AP22</f>
        <v>790.11343812221253</v>
      </c>
      <c r="AQ21" s="127">
        <f t="shared" ref="AQ21" si="107">AQ$10*AQ22</f>
        <v>964.4739399400404</v>
      </c>
      <c r="AR21" s="127">
        <f t="shared" ref="AR21" si="108">AR$10*AR22</f>
        <v>839.95348642843044</v>
      </c>
      <c r="AS21" s="107">
        <f>SUM(AO21:AR21)</f>
        <v>3338.8459337057807</v>
      </c>
      <c r="AT21" s="127">
        <f>AT$10*AT22</f>
        <v>846.34366879997526</v>
      </c>
      <c r="AU21" s="127">
        <f t="shared" ref="AU21" si="109">AU$10*AU22</f>
        <v>922.72186846525858</v>
      </c>
      <c r="AV21" s="127">
        <f t="shared" ref="AV21" si="110">AV$10*AV22</f>
        <v>1110.1350135433679</v>
      </c>
      <c r="AW21" s="127">
        <f t="shared" ref="AW21" si="111">AW$10*AW22</f>
        <v>974.63384566575667</v>
      </c>
      <c r="AX21" s="107">
        <f>SUM(AT21:AW21)</f>
        <v>3853.8343964743585</v>
      </c>
      <c r="AY21" s="127">
        <f>AY$10*AY22</f>
        <v>962.37098918749837</v>
      </c>
      <c r="AZ21" s="127">
        <f t="shared" ref="AZ21" si="112">AZ$10*AZ22</f>
        <v>1077.5865913222494</v>
      </c>
      <c r="BA21" s="127">
        <f t="shared" ref="BA21" si="113">BA$10*BA22</f>
        <v>1277.7947617449879</v>
      </c>
      <c r="BB21" s="127">
        <f t="shared" ref="BB21" si="114">BB$10*BB22</f>
        <v>1130.9092092186472</v>
      </c>
      <c r="BC21" s="107">
        <f>SUM(AY21:BB21)</f>
        <v>4448.661551473383</v>
      </c>
    </row>
    <row r="22" spans="2:55" s="82" customFormat="1" outlineLevel="1" x14ac:dyDescent="0.15">
      <c r="B22" s="128" t="s">
        <v>62</v>
      </c>
      <c r="C22" s="128"/>
      <c r="D22" s="128"/>
      <c r="E22" s="128"/>
      <c r="F22" s="118">
        <f>F21/F10</f>
        <v>0.16212182379446335</v>
      </c>
      <c r="G22" s="118">
        <f t="shared" ref="G22:AB22" si="115">G21/G10</f>
        <v>0.14880555532347581</v>
      </c>
      <c r="H22" s="118">
        <f t="shared" si="115"/>
        <v>0.12850373071097951</v>
      </c>
      <c r="I22" s="118">
        <f t="shared" si="115"/>
        <v>0.12396499102957496</v>
      </c>
      <c r="J22" s="119">
        <f t="shared" si="115"/>
        <v>0.13851821610225412</v>
      </c>
      <c r="K22" s="118">
        <f t="shared" si="115"/>
        <v>0.15628008645387928</v>
      </c>
      <c r="L22" s="118">
        <f t="shared" si="115"/>
        <v>0.13870236444969497</v>
      </c>
      <c r="M22" s="118">
        <f t="shared" si="115"/>
        <v>0.14275421319769571</v>
      </c>
      <c r="N22" s="118">
        <f t="shared" si="115"/>
        <v>0.14077964419352293</v>
      </c>
      <c r="O22" s="119">
        <f t="shared" si="115"/>
        <v>0.14412569330869823</v>
      </c>
      <c r="P22" s="118">
        <f t="shared" si="115"/>
        <v>0.21206818862875096</v>
      </c>
      <c r="Q22" s="118">
        <f t="shared" si="115"/>
        <v>0.18980489726502217</v>
      </c>
      <c r="R22" s="118">
        <f t="shared" si="115"/>
        <v>0.1648417943516903</v>
      </c>
      <c r="S22" s="118">
        <f t="shared" si="115"/>
        <v>0.1278582920535738</v>
      </c>
      <c r="T22" s="119">
        <f t="shared" si="115"/>
        <v>0.16683167815799266</v>
      </c>
      <c r="U22" s="118">
        <f t="shared" si="115"/>
        <v>0.22289602721137663</v>
      </c>
      <c r="V22" s="118">
        <f t="shared" si="115"/>
        <v>0.17046034864787812</v>
      </c>
      <c r="W22" s="118">
        <f t="shared" si="115"/>
        <v>0.13491662883858477</v>
      </c>
      <c r="X22" s="118">
        <f t="shared" si="115"/>
        <v>0.13067394105150812</v>
      </c>
      <c r="Y22" s="119">
        <f t="shared" si="115"/>
        <v>0.15643994849737522</v>
      </c>
      <c r="Z22" s="118">
        <f t="shared" si="115"/>
        <v>0.14285385993248362</v>
      </c>
      <c r="AA22" s="118">
        <f t="shared" si="115"/>
        <v>0.15765384209650538</v>
      </c>
      <c r="AB22" s="120">
        <f t="shared" si="115"/>
        <v>0.11715385423373298</v>
      </c>
      <c r="AC22" s="118">
        <f>AVERAGE(X22,S22,N22,I22)</f>
        <v>0.13081921708204494</v>
      </c>
      <c r="AD22" s="119">
        <f>AD21/AD10</f>
        <v>0.13592939003055804</v>
      </c>
      <c r="AE22" s="118">
        <v>0.09</v>
      </c>
      <c r="AF22" s="118">
        <v>0.09</v>
      </c>
      <c r="AG22" s="118">
        <v>0.09</v>
      </c>
      <c r="AH22" s="118">
        <v>0.09</v>
      </c>
      <c r="AI22" s="119">
        <f>AI21/AI10</f>
        <v>9.0000000000000011E-2</v>
      </c>
      <c r="AJ22" s="118">
        <v>0.1</v>
      </c>
      <c r="AK22" s="118">
        <v>0.1</v>
      </c>
      <c r="AL22" s="118">
        <v>0.1</v>
      </c>
      <c r="AM22" s="118">
        <v>0.1</v>
      </c>
      <c r="AN22" s="119">
        <f>AN21/AN10</f>
        <v>0.1</v>
      </c>
      <c r="AO22" s="118">
        <v>0.1</v>
      </c>
      <c r="AP22" s="118">
        <v>0.1</v>
      </c>
      <c r="AQ22" s="118">
        <v>0.1</v>
      </c>
      <c r="AR22" s="118">
        <v>0.1</v>
      </c>
      <c r="AS22" s="119">
        <f>AS21/AS10</f>
        <v>0.10000000000000002</v>
      </c>
      <c r="AT22" s="118">
        <v>0.1</v>
      </c>
      <c r="AU22" s="118">
        <v>0.1</v>
      </c>
      <c r="AV22" s="118">
        <v>0.1</v>
      </c>
      <c r="AW22" s="118">
        <v>0.1</v>
      </c>
      <c r="AX22" s="119">
        <f>AX21/AX10</f>
        <v>9.9999999999999992E-2</v>
      </c>
      <c r="AY22" s="118">
        <v>0.1</v>
      </c>
      <c r="AZ22" s="118">
        <v>0.1</v>
      </c>
      <c r="BA22" s="118">
        <v>0.1</v>
      </c>
      <c r="BB22" s="118">
        <v>0.1</v>
      </c>
      <c r="BC22" s="119">
        <f>BC21/BC10</f>
        <v>0.1</v>
      </c>
    </row>
    <row r="23" spans="2:55" s="82" customFormat="1" outlineLevel="1" x14ac:dyDescent="0.15">
      <c r="B23" s="128"/>
      <c r="C23" s="128"/>
      <c r="D23" s="128"/>
      <c r="E23" s="128"/>
      <c r="F23" s="118"/>
      <c r="G23" s="118"/>
      <c r="H23" s="118"/>
      <c r="I23" s="118"/>
      <c r="J23" s="119"/>
      <c r="K23" s="118"/>
      <c r="L23" s="118"/>
      <c r="M23" s="118"/>
      <c r="N23" s="118"/>
      <c r="O23" s="119"/>
      <c r="P23" s="118"/>
      <c r="Q23" s="118"/>
      <c r="R23" s="118"/>
      <c r="S23" s="118"/>
      <c r="T23" s="119"/>
      <c r="U23" s="118"/>
      <c r="V23" s="118"/>
      <c r="W23" s="118"/>
      <c r="X23" s="118"/>
      <c r="Y23" s="119"/>
      <c r="Z23" s="118"/>
      <c r="AA23" s="118"/>
      <c r="AB23" s="120"/>
      <c r="AC23" s="118"/>
      <c r="AD23" s="119"/>
      <c r="AE23" s="118"/>
      <c r="AF23" s="118"/>
      <c r="AG23" s="118"/>
      <c r="AH23" s="105"/>
      <c r="AI23" s="119"/>
      <c r="AJ23" s="105"/>
      <c r="AK23" s="105"/>
      <c r="AL23" s="105"/>
      <c r="AM23" s="105"/>
      <c r="AN23" s="119"/>
      <c r="AO23" s="105"/>
      <c r="AP23" s="105"/>
      <c r="AQ23" s="105"/>
      <c r="AR23" s="105"/>
      <c r="AS23" s="119"/>
      <c r="AT23" s="105"/>
      <c r="AU23" s="105"/>
      <c r="AV23" s="105"/>
      <c r="AW23" s="105"/>
      <c r="AX23" s="119"/>
      <c r="AY23" s="105"/>
      <c r="AZ23" s="105"/>
      <c r="BA23" s="105"/>
      <c r="BB23" s="105"/>
      <c r="BC23" s="119"/>
    </row>
    <row r="24" spans="2:55" s="82" customFormat="1" outlineLevel="1" x14ac:dyDescent="0.15">
      <c r="B24" s="102" t="s">
        <v>65</v>
      </c>
      <c r="C24" s="105">
        <f>(AD24/J24)^(1/4)-1</f>
        <v>5.935715348227566E-3</v>
      </c>
      <c r="D24" s="105">
        <f>(BC24/AD24)^(1/4)-1</f>
        <v>4.6397303183512983E-2</v>
      </c>
      <c r="E24" s="105"/>
      <c r="F24" s="106">
        <v>117.3087</v>
      </c>
      <c r="G24" s="106">
        <v>114.39790000000001</v>
      </c>
      <c r="H24" s="106">
        <v>118.9024</v>
      </c>
      <c r="I24" s="106">
        <v>120.48260000000001</v>
      </c>
      <c r="J24" s="107">
        <f>SUM(F24:I24)</f>
        <v>471.09160000000003</v>
      </c>
      <c r="K24" s="106">
        <v>126.1384</v>
      </c>
      <c r="L24" s="106">
        <v>118.8614</v>
      </c>
      <c r="M24" s="106">
        <v>127.9157</v>
      </c>
      <c r="N24" s="106">
        <v>125.9761</v>
      </c>
      <c r="O24" s="107">
        <f>SUM(K24:N24)</f>
        <v>498.89160000000004</v>
      </c>
      <c r="P24" s="106">
        <v>119.0177</v>
      </c>
      <c r="Q24" s="106">
        <v>121.7957</v>
      </c>
      <c r="R24" s="106">
        <v>124.99160000000001</v>
      </c>
      <c r="S24" s="106">
        <v>136.07939999999999</v>
      </c>
      <c r="T24" s="107">
        <f>SUM(P24:S24)</f>
        <v>501.88440000000003</v>
      </c>
      <c r="U24" s="106">
        <v>130.5078</v>
      </c>
      <c r="V24" s="106">
        <v>137.6542</v>
      </c>
      <c r="W24" s="106">
        <v>142.46039999999999</v>
      </c>
      <c r="X24" s="106">
        <v>149.5959</v>
      </c>
      <c r="Y24" s="107">
        <f>SUM(U24:X24)</f>
        <v>560.2183</v>
      </c>
      <c r="Z24" s="106">
        <v>141.89699999999999</v>
      </c>
      <c r="AA24" s="106">
        <v>135.8552</v>
      </c>
      <c r="AB24" s="108">
        <v>136.904</v>
      </c>
      <c r="AC24" s="127">
        <f>AC98</f>
        <v>67.720444248373397</v>
      </c>
      <c r="AD24" s="107">
        <f>SUM(Z24:AC24)</f>
        <v>482.3766442483734</v>
      </c>
      <c r="AE24" s="127">
        <f>AE98</f>
        <v>79.003362839397283</v>
      </c>
      <c r="AF24" s="127">
        <f t="shared" ref="AF24:AH24" si="116">AF98</f>
        <v>77.984087263433707</v>
      </c>
      <c r="AG24" s="127">
        <f t="shared" si="116"/>
        <v>98.044706165681404</v>
      </c>
      <c r="AH24" s="127">
        <f t="shared" si="116"/>
        <v>83.996554580536881</v>
      </c>
      <c r="AI24" s="107">
        <f>SUM(AE24:AH24)</f>
        <v>339.02871084904928</v>
      </c>
      <c r="AJ24" s="127">
        <f>AJ98</f>
        <v>85.093925012545498</v>
      </c>
      <c r="AK24" s="127">
        <f t="shared" ref="AK24:AM24" si="117">AK98</f>
        <v>87.953157540478358</v>
      </c>
      <c r="AL24" s="127">
        <f t="shared" si="117"/>
        <v>108.93026166346237</v>
      </c>
      <c r="AM24" s="127">
        <f t="shared" si="117"/>
        <v>94.10492168428118</v>
      </c>
      <c r="AN24" s="107">
        <f>SUM(AJ24:AM24)</f>
        <v>376.08226590076742</v>
      </c>
      <c r="AO24" s="127">
        <f>AO98</f>
        <v>96.759658997962617</v>
      </c>
      <c r="AP24" s="127">
        <f t="shared" ref="AP24:AR24" si="118">AP98</f>
        <v>102.71474695588763</v>
      </c>
      <c r="AQ24" s="127">
        <f t="shared" si="118"/>
        <v>125.38161219220524</v>
      </c>
      <c r="AR24" s="127">
        <f t="shared" si="118"/>
        <v>109.19395323569596</v>
      </c>
      <c r="AS24" s="107">
        <f>SUM(AO24:AR24)</f>
        <v>434.04997138175145</v>
      </c>
      <c r="AT24" s="127">
        <f>AT98</f>
        <v>110.02467694399679</v>
      </c>
      <c r="AU24" s="127">
        <f t="shared" ref="AU24:AW24" si="119">AU98</f>
        <v>119.95384290048362</v>
      </c>
      <c r="AV24" s="127">
        <f t="shared" si="119"/>
        <v>144.31755176063783</v>
      </c>
      <c r="AW24" s="127">
        <f t="shared" si="119"/>
        <v>126.70239993654836</v>
      </c>
      <c r="AX24" s="107">
        <f>SUM(AT24:AW24)</f>
        <v>500.99847154166662</v>
      </c>
      <c r="AY24" s="127">
        <f>AY98</f>
        <v>125.10822859437479</v>
      </c>
      <c r="AZ24" s="127">
        <f t="shared" ref="AZ24:BB24" si="120">AZ98</f>
        <v>140.08625687189243</v>
      </c>
      <c r="BA24" s="127">
        <f t="shared" si="120"/>
        <v>166.11331902684842</v>
      </c>
      <c r="BB24" s="127">
        <f t="shared" si="120"/>
        <v>147.01819719842413</v>
      </c>
      <c r="BC24" s="107">
        <f>SUM(AY24:BB24)</f>
        <v>578.32600169153977</v>
      </c>
    </row>
    <row r="25" spans="2:55" s="82" customFormat="1" outlineLevel="1" x14ac:dyDescent="0.15">
      <c r="B25" s="128" t="s">
        <v>62</v>
      </c>
      <c r="C25" s="128"/>
      <c r="D25" s="128"/>
      <c r="E25" s="128"/>
      <c r="F25" s="118">
        <f>F24/F10</f>
        <v>5.6647436164541147E-2</v>
      </c>
      <c r="G25" s="118">
        <f t="shared" ref="G25:AB25" si="121">G24/G10</f>
        <v>4.9443247257840967E-2</v>
      </c>
      <c r="H25" s="118">
        <f t="shared" si="121"/>
        <v>4.1350006022748187E-2</v>
      </c>
      <c r="I25" s="118">
        <f t="shared" si="121"/>
        <v>3.9954705879636551E-2</v>
      </c>
      <c r="J25" s="119">
        <f t="shared" si="121"/>
        <v>4.584579490431305E-2</v>
      </c>
      <c r="K25" s="118">
        <f t="shared" si="121"/>
        <v>4.4901527512641648E-2</v>
      </c>
      <c r="L25" s="118">
        <f t="shared" si="121"/>
        <v>3.6381565238021933E-2</v>
      </c>
      <c r="M25" s="118">
        <f t="shared" si="121"/>
        <v>3.962391974996498E-2</v>
      </c>
      <c r="N25" s="118">
        <f t="shared" si="121"/>
        <v>3.5131272339547194E-2</v>
      </c>
      <c r="O25" s="119">
        <f t="shared" si="121"/>
        <v>3.8702530544419821E-2</v>
      </c>
      <c r="P25" s="118">
        <f t="shared" si="121"/>
        <v>4.7016605766605844E-2</v>
      </c>
      <c r="Q25" s="118">
        <f t="shared" si="121"/>
        <v>4.22134829531653E-2</v>
      </c>
      <c r="R25" s="118">
        <f t="shared" si="121"/>
        <v>3.7636013990843611E-2</v>
      </c>
      <c r="S25" s="118">
        <f t="shared" si="121"/>
        <v>3.0447174718669395E-2</v>
      </c>
      <c r="T25" s="119">
        <f t="shared" si="121"/>
        <v>3.8001239243535961E-2</v>
      </c>
      <c r="U25" s="118">
        <f t="shared" si="121"/>
        <v>4.8471691628060615E-2</v>
      </c>
      <c r="V25" s="118">
        <f t="shared" si="121"/>
        <v>3.7616145500273562E-2</v>
      </c>
      <c r="W25" s="118">
        <f t="shared" si="121"/>
        <v>3.0823653093917807E-2</v>
      </c>
      <c r="X25" s="118">
        <f t="shared" si="121"/>
        <v>2.9477453603466944E-2</v>
      </c>
      <c r="Y25" s="119">
        <f t="shared" si="121"/>
        <v>3.4907583479685055E-2</v>
      </c>
      <c r="Z25" s="118">
        <f t="shared" si="121"/>
        <v>2.7017119582909883E-2</v>
      </c>
      <c r="AA25" s="118">
        <f t="shared" si="121"/>
        <v>2.8033431924319698E-2</v>
      </c>
      <c r="AB25" s="120">
        <f t="shared" si="121"/>
        <v>2.2346150741363858E-2</v>
      </c>
      <c r="AC25" s="118">
        <f>AC24/AC10</f>
        <v>1.3000000000000003E-2</v>
      </c>
      <c r="AD25" s="119">
        <f>AD24/AD10</f>
        <v>2.2505126747802185E-2</v>
      </c>
      <c r="AE25" s="118">
        <f>AE24/AE10</f>
        <v>1.3000000000000001E-2</v>
      </c>
      <c r="AF25" s="118">
        <f t="shared" ref="AF25" si="122">AF24/AF10</f>
        <v>1.3000000000000001E-2</v>
      </c>
      <c r="AG25" s="118">
        <f t="shared" ref="AG25" si="123">AG24/AG10</f>
        <v>1.3000000000000001E-2</v>
      </c>
      <c r="AH25" s="118">
        <f t="shared" ref="AH25" si="124">AH24/AH10</f>
        <v>1.2999999999999999E-2</v>
      </c>
      <c r="AI25" s="119">
        <f>AI24/AI10</f>
        <v>1.3000000000000001E-2</v>
      </c>
      <c r="AJ25" s="118">
        <f>AJ24/AJ10</f>
        <v>1.3000000000000001E-2</v>
      </c>
      <c r="AK25" s="118">
        <f t="shared" ref="AK25" si="125">AK24/AK10</f>
        <v>1.3000000000000001E-2</v>
      </c>
      <c r="AL25" s="118">
        <f t="shared" ref="AL25" si="126">AL24/AL10</f>
        <v>1.3000000000000001E-2</v>
      </c>
      <c r="AM25" s="118">
        <f t="shared" ref="AM25" si="127">AM24/AM10</f>
        <v>1.3000000000000001E-2</v>
      </c>
      <c r="AN25" s="119">
        <f>AN24/AN10</f>
        <v>1.3000000000000001E-2</v>
      </c>
      <c r="AO25" s="118">
        <f>AO24/AO10</f>
        <v>1.3000000000000001E-2</v>
      </c>
      <c r="AP25" s="118">
        <f t="shared" ref="AP25" si="128">AP24/AP10</f>
        <v>1.3000000000000001E-2</v>
      </c>
      <c r="AQ25" s="118">
        <f t="shared" ref="AQ25" si="129">AQ24/AQ10</f>
        <v>1.2999999999999999E-2</v>
      </c>
      <c r="AR25" s="118">
        <f t="shared" ref="AR25" si="130">AR24/AR10</f>
        <v>1.3000000000000001E-2</v>
      </c>
      <c r="AS25" s="119">
        <f>AS24/AS10</f>
        <v>1.3000000000000001E-2</v>
      </c>
      <c r="AT25" s="118">
        <f>AT24/AT10</f>
        <v>1.3000000000000001E-2</v>
      </c>
      <c r="AU25" s="118">
        <f t="shared" ref="AU25" si="131">AU24/AU10</f>
        <v>1.3000000000000001E-2</v>
      </c>
      <c r="AV25" s="118">
        <f t="shared" ref="AV25" si="132">AV24/AV10</f>
        <v>1.3000000000000001E-2</v>
      </c>
      <c r="AW25" s="118">
        <f t="shared" ref="AW25" si="133">AW24/AW10</f>
        <v>1.2999999999999999E-2</v>
      </c>
      <c r="AX25" s="119">
        <f>AX24/AX10</f>
        <v>1.2999999999999999E-2</v>
      </c>
      <c r="AY25" s="118">
        <f>AY24/AY10</f>
        <v>1.3000000000000001E-2</v>
      </c>
      <c r="AZ25" s="118">
        <f t="shared" ref="AZ25:BB25" si="134">AZ24/AZ10</f>
        <v>1.3000000000000003E-2</v>
      </c>
      <c r="BA25" s="118">
        <f t="shared" si="134"/>
        <v>1.3000000000000001E-2</v>
      </c>
      <c r="BB25" s="118">
        <f t="shared" si="134"/>
        <v>1.3000000000000001E-2</v>
      </c>
      <c r="BC25" s="119">
        <f>BC24/BC10</f>
        <v>1.2999999999999999E-2</v>
      </c>
    </row>
    <row r="26" spans="2:55" s="82" customFormat="1" ht="13" outlineLevel="1" thickBot="1" x14ac:dyDescent="0.2">
      <c r="B26" s="128"/>
      <c r="C26" s="128"/>
      <c r="D26" s="128"/>
      <c r="E26" s="128"/>
      <c r="F26" s="118"/>
      <c r="G26" s="118"/>
      <c r="H26" s="118"/>
      <c r="I26" s="118"/>
      <c r="J26" s="119"/>
      <c r="K26" s="118"/>
      <c r="L26" s="118"/>
      <c r="M26" s="118"/>
      <c r="N26" s="118"/>
      <c r="O26" s="119"/>
      <c r="P26" s="118"/>
      <c r="Q26" s="118"/>
      <c r="R26" s="118"/>
      <c r="S26" s="118"/>
      <c r="T26" s="119"/>
      <c r="U26" s="118"/>
      <c r="V26" s="118"/>
      <c r="W26" s="118"/>
      <c r="X26" s="118"/>
      <c r="Y26" s="119"/>
      <c r="Z26" s="118"/>
      <c r="AA26" s="118"/>
      <c r="AB26" s="120"/>
      <c r="AC26" s="118"/>
      <c r="AD26" s="119"/>
      <c r="AE26" s="118"/>
      <c r="AF26" s="118"/>
      <c r="AG26" s="118"/>
      <c r="AH26" s="105"/>
      <c r="AI26" s="119"/>
      <c r="AJ26" s="105"/>
      <c r="AK26" s="105"/>
      <c r="AL26" s="105"/>
      <c r="AM26" s="105"/>
      <c r="AN26" s="119"/>
      <c r="AO26" s="105"/>
      <c r="AP26" s="105"/>
      <c r="AQ26" s="105"/>
      <c r="AR26" s="105"/>
      <c r="AS26" s="119"/>
      <c r="AT26" s="105"/>
      <c r="AU26" s="105"/>
      <c r="AV26" s="105"/>
      <c r="AW26" s="105"/>
      <c r="AX26" s="119"/>
      <c r="AY26" s="105"/>
      <c r="AZ26" s="105"/>
      <c r="BA26" s="105"/>
      <c r="BB26" s="105"/>
      <c r="BC26" s="119"/>
    </row>
    <row r="27" spans="2:55" s="82" customFormat="1" outlineLevel="1" x14ac:dyDescent="0.15">
      <c r="B27" s="112" t="s">
        <v>56</v>
      </c>
      <c r="C27" s="113">
        <f>(AD27/J27)^(1/4)-1</f>
        <v>0.32599119068303217</v>
      </c>
      <c r="D27" s="113">
        <f>(BC27/AD27)^(1/4)-1</f>
        <v>0.26147355862916077</v>
      </c>
      <c r="E27" s="113"/>
      <c r="F27" s="114">
        <f t="shared" ref="F27:N27" si="135">F12-F16</f>
        <v>427.0422989375005</v>
      </c>
      <c r="G27" s="114">
        <f t="shared" si="135"/>
        <v>471.13411484615347</v>
      </c>
      <c r="H27" s="114">
        <f t="shared" si="135"/>
        <v>623.2976684769269</v>
      </c>
      <c r="I27" s="114">
        <f t="shared" si="135"/>
        <v>734.55508738461333</v>
      </c>
      <c r="J27" s="115">
        <f t="shared" si="135"/>
        <v>2256.029169645195</v>
      </c>
      <c r="K27" s="114">
        <f t="shared" si="135"/>
        <v>663.39461484374999</v>
      </c>
      <c r="L27" s="114">
        <f t="shared" si="135"/>
        <v>703.03448680000031</v>
      </c>
      <c r="M27" s="114">
        <f t="shared" si="135"/>
        <v>823.07977473077301</v>
      </c>
      <c r="N27" s="114">
        <f t="shared" si="135"/>
        <v>805.03724965909112</v>
      </c>
      <c r="O27" s="115">
        <f t="shared" ref="O27" si="136">O12-O16</f>
        <v>2994.5461260336137</v>
      </c>
      <c r="P27" s="114">
        <f>P12-P16</f>
        <v>260.52151085936964</v>
      </c>
      <c r="Q27" s="114">
        <f>Q12-Q16</f>
        <v>433.58819311538366</v>
      </c>
      <c r="R27" s="114">
        <f>R12-R16</f>
        <v>637.41290325000318</v>
      </c>
      <c r="S27" s="114">
        <f>S12-S16</f>
        <v>1277.4187992045365</v>
      </c>
      <c r="T27" s="115">
        <f t="shared" ref="T27" si="137">T12-T16</f>
        <v>2608.9414064292932</v>
      </c>
      <c r="U27" s="114">
        <f>U12-U16</f>
        <v>340.22479977846228</v>
      </c>
      <c r="V27" s="114">
        <f>V12-V16</f>
        <v>858.27548607538392</v>
      </c>
      <c r="W27" s="114">
        <f>W12-W16</f>
        <v>1277.355724892308</v>
      </c>
      <c r="X27" s="114">
        <f>X12-X16</f>
        <v>1644.2421456697029</v>
      </c>
      <c r="Y27" s="115">
        <f t="shared" ref="Y27" si="138">Y12-Y16</f>
        <v>4120.0981564158537</v>
      </c>
      <c r="Z27" s="114">
        <f>Z12-Z16</f>
        <v>1736.3425960687503</v>
      </c>
      <c r="AA27" s="114">
        <f>AA12-AA16</f>
        <v>1357.708196664609</v>
      </c>
      <c r="AB27" s="129">
        <f>AB12-AB16</f>
        <v>2075.7099600000056</v>
      </c>
      <c r="AC27" s="114">
        <f t="shared" ref="AC27:BC27" si="139">AC12-AC16</f>
        <v>1804.6458988625568</v>
      </c>
      <c r="AD27" s="115">
        <f t="shared" si="139"/>
        <v>6974.4066515959184</v>
      </c>
      <c r="AE27" s="114">
        <f t="shared" si="139"/>
        <v>2351.8693399112885</v>
      </c>
      <c r="AF27" s="114">
        <f t="shared" si="139"/>
        <v>2321.5262900729876</v>
      </c>
      <c r="AG27" s="114">
        <f t="shared" si="139"/>
        <v>2994.1344882904241</v>
      </c>
      <c r="AH27" s="114">
        <f t="shared" si="139"/>
        <v>2565.1255514210111</v>
      </c>
      <c r="AI27" s="115">
        <f t="shared" si="139"/>
        <v>10232.655669695709</v>
      </c>
      <c r="AJ27" s="114">
        <f t="shared" si="139"/>
        <v>2598.637556152351</v>
      </c>
      <c r="AK27" s="114">
        <f t="shared" si="139"/>
        <v>2685.9541187361469</v>
      </c>
      <c r="AL27" s="114">
        <f t="shared" si="139"/>
        <v>3410.3551151560919</v>
      </c>
      <c r="AM27" s="114">
        <f t="shared" si="139"/>
        <v>2946.2079327309566</v>
      </c>
      <c r="AN27" s="115">
        <f t="shared" si="139"/>
        <v>11641.154722775547</v>
      </c>
      <c r="AO27" s="114">
        <f t="shared" si="139"/>
        <v>2954.8911247839351</v>
      </c>
      <c r="AP27" s="114">
        <f t="shared" si="139"/>
        <v>3136.7503493451841</v>
      </c>
      <c r="AQ27" s="114">
        <f t="shared" si="139"/>
        <v>3828.9615415619601</v>
      </c>
      <c r="AR27" s="114">
        <f t="shared" si="139"/>
        <v>3334.6153411208688</v>
      </c>
      <c r="AS27" s="115">
        <f t="shared" si="139"/>
        <v>13255.218356811945</v>
      </c>
      <c r="AT27" s="114">
        <f t="shared" si="139"/>
        <v>3359.9843651359024</v>
      </c>
      <c r="AU27" s="114">
        <f t="shared" si="139"/>
        <v>3663.2058178070774</v>
      </c>
      <c r="AV27" s="114">
        <f t="shared" si="139"/>
        <v>4407.2360037671715</v>
      </c>
      <c r="AW27" s="114">
        <f t="shared" si="139"/>
        <v>3869.2963672930541</v>
      </c>
      <c r="AX27" s="115">
        <f t="shared" si="139"/>
        <v>15299.72255400321</v>
      </c>
      <c r="AY27" s="114">
        <f t="shared" si="139"/>
        <v>3820.6128270743684</v>
      </c>
      <c r="AZ27" s="114">
        <f t="shared" si="139"/>
        <v>4278.0187675493298</v>
      </c>
      <c r="BA27" s="114">
        <f t="shared" si="139"/>
        <v>5072.8452041276014</v>
      </c>
      <c r="BB27" s="114">
        <f t="shared" si="139"/>
        <v>4489.7095605980285</v>
      </c>
      <c r="BC27" s="130">
        <f t="shared" si="139"/>
        <v>17661.186359349333</v>
      </c>
    </row>
    <row r="28" spans="2:55" s="82" customFormat="1" outlineLevel="1" x14ac:dyDescent="0.15">
      <c r="B28" s="117" t="s">
        <v>57</v>
      </c>
      <c r="C28" s="102"/>
      <c r="D28" s="102"/>
      <c r="E28" s="102"/>
      <c r="F28" s="118">
        <f>F27/F$10</f>
        <v>0.20621532221072228</v>
      </c>
      <c r="G28" s="118">
        <f t="shared" ref="G28" si="140">G27/G$10</f>
        <v>0.2036261201642898</v>
      </c>
      <c r="H28" s="118">
        <f t="shared" ref="H28" si="141">H27/H$10</f>
        <v>0.21676065702194261</v>
      </c>
      <c r="I28" s="118">
        <f t="shared" ref="I28:J28" si="142">I27/I$10</f>
        <v>0.24359478023252276</v>
      </c>
      <c r="J28" s="119">
        <f t="shared" si="142"/>
        <v>0.2195527379594569</v>
      </c>
      <c r="K28" s="118">
        <f>K27/K$10</f>
        <v>0.23614879806740016</v>
      </c>
      <c r="L28" s="118">
        <f t="shared" ref="L28" si="143">L27/L$10</f>
        <v>0.21518756338132886</v>
      </c>
      <c r="M28" s="118">
        <f t="shared" ref="M28" si="144">M27/M$10</f>
        <v>0.25496203313394211</v>
      </c>
      <c r="N28" s="118">
        <f t="shared" ref="N28:O28" si="145">N27/N$10</f>
        <v>0.2245027656932829</v>
      </c>
      <c r="O28" s="119">
        <f t="shared" si="145"/>
        <v>0.23230800620713996</v>
      </c>
      <c r="P28" s="118">
        <f>P27/P$10</f>
        <v>0.10291609709980536</v>
      </c>
      <c r="Q28" s="118">
        <f t="shared" ref="Q28" si="146">Q27/Q$10</f>
        <v>0.15027844003335089</v>
      </c>
      <c r="R28" s="118">
        <f t="shared" ref="R28" si="147">R27/R$10</f>
        <v>0.1919303452764935</v>
      </c>
      <c r="S28" s="118">
        <f t="shared" ref="S28:T28" si="148">S27/S$10</f>
        <v>0.28581690813079264</v>
      </c>
      <c r="T28" s="119">
        <f t="shared" si="148"/>
        <v>0.19754151864072036</v>
      </c>
      <c r="U28" s="118">
        <f>U27/U$10</f>
        <v>0.12636234446585023</v>
      </c>
      <c r="V28" s="118">
        <f t="shared" ref="V28" si="149">V27/V$10</f>
        <v>0.23453709050308422</v>
      </c>
      <c r="W28" s="118">
        <f t="shared" ref="W28" si="150">W27/W$10</f>
        <v>0.27637694223524861</v>
      </c>
      <c r="X28" s="118">
        <f t="shared" ref="X28:Y28" si="151">X27/X$10</f>
        <v>0.32399331506975526</v>
      </c>
      <c r="Y28" s="119">
        <f t="shared" si="151"/>
        <v>0.25672611969223946</v>
      </c>
      <c r="Z28" s="118">
        <f>Z27/Z$10</f>
        <v>0.33059878330683257</v>
      </c>
      <c r="AA28" s="118">
        <f t="shared" ref="AA28" si="152">AA27/AA$10</f>
        <v>0.28016020221742105</v>
      </c>
      <c r="AB28" s="120">
        <f t="shared" ref="AB28" si="153">AB27/AB$10</f>
        <v>0.33880768758772917</v>
      </c>
      <c r="AC28" s="118">
        <f t="shared" ref="AC28" si="154">AC27/AC$10</f>
        <v>0.34643004702050145</v>
      </c>
      <c r="AD28" s="119">
        <f t="shared" ref="AD28" si="155">AD27/AD$10</f>
        <v>0.32538869274952475</v>
      </c>
      <c r="AE28" s="118">
        <f t="shared" ref="AE28" si="156">AE27/AE$10</f>
        <v>0.38700000000000007</v>
      </c>
      <c r="AF28" s="118">
        <f t="shared" ref="AF28" si="157">AF27/AF$10</f>
        <v>0.38699999999999996</v>
      </c>
      <c r="AG28" s="118">
        <f t="shared" ref="AG28" si="158">AG27/AG$10</f>
        <v>0.39700000000000002</v>
      </c>
      <c r="AH28" s="118">
        <f t="shared" ref="AH28" si="159">AH27/AH$10</f>
        <v>0.39700000000000002</v>
      </c>
      <c r="AI28" s="119">
        <f t="shared" ref="AI28" si="160">AI27/AI$10</f>
        <v>0.39236949393726328</v>
      </c>
      <c r="AJ28" s="118">
        <f t="shared" ref="AJ28" si="161">AJ27/AJ$10</f>
        <v>0.39700000000000002</v>
      </c>
      <c r="AK28" s="118">
        <f t="shared" ref="AK28" si="162">AK27/AK$10</f>
        <v>0.39700000000000008</v>
      </c>
      <c r="AL28" s="118">
        <f t="shared" ref="AL28" si="163">AL27/AL$10</f>
        <v>0.40700000000000008</v>
      </c>
      <c r="AM28" s="118">
        <f t="shared" ref="AM28" si="164">AM27/AM$10</f>
        <v>0.40700000000000003</v>
      </c>
      <c r="AN28" s="119">
        <f t="shared" ref="AN28" si="165">AN27/AN$10</f>
        <v>0.40239869070564788</v>
      </c>
      <c r="AO28" s="118">
        <f t="shared" ref="AO28" si="166">AO27/AO$10</f>
        <v>0.39700000000000002</v>
      </c>
      <c r="AP28" s="118">
        <f t="shared" ref="AP28" si="167">AP27/AP$10</f>
        <v>0.39700000000000008</v>
      </c>
      <c r="AQ28" s="118">
        <f t="shared" ref="AQ28" si="168">AQ27/AQ$10</f>
        <v>0.39700000000000002</v>
      </c>
      <c r="AR28" s="118">
        <f t="shared" ref="AR28" si="169">AR27/AR$10</f>
        <v>0.39700000000000002</v>
      </c>
      <c r="AS28" s="119">
        <f t="shared" ref="AS28" si="170">AS27/AS$10</f>
        <v>0.39699999999999996</v>
      </c>
      <c r="AT28" s="118">
        <f t="shared" ref="AT28" si="171">AT27/AT$10</f>
        <v>0.39700000000000008</v>
      </c>
      <c r="AU28" s="118">
        <f t="shared" ref="AU28" si="172">AU27/AU$10</f>
        <v>0.39700000000000013</v>
      </c>
      <c r="AV28" s="118">
        <f t="shared" ref="AV28" si="173">AV27/AV$10</f>
        <v>0.39700000000000008</v>
      </c>
      <c r="AW28" s="118">
        <f t="shared" ref="AW28" si="174">AW27/AW$10</f>
        <v>0.39700000000000002</v>
      </c>
      <c r="AX28" s="119">
        <f t="shared" ref="AX28" si="175">AX27/AX$10</f>
        <v>0.39700000000000013</v>
      </c>
      <c r="AY28" s="118">
        <f t="shared" ref="AY28" si="176">AY27/AY$10</f>
        <v>0.39700000000000002</v>
      </c>
      <c r="AZ28" s="118">
        <f t="shared" ref="AZ28" si="177">AZ27/AZ$10</f>
        <v>0.39700000000000002</v>
      </c>
      <c r="BA28" s="118">
        <f t="shared" ref="BA28" si="178">BA27/BA$10</f>
        <v>0.39700000000000002</v>
      </c>
      <c r="BB28" s="118">
        <f t="shared" ref="BB28" si="179">BB27/BB$10</f>
        <v>0.39699999999999996</v>
      </c>
      <c r="BC28" s="131">
        <f t="shared" ref="BC28" si="180">BC27/BC$10</f>
        <v>0.39700000000000008</v>
      </c>
    </row>
    <row r="29" spans="2:55" s="82" customFormat="1" ht="13" outlineLevel="1" thickBot="1" x14ac:dyDescent="0.2">
      <c r="B29" s="121" t="s">
        <v>58</v>
      </c>
      <c r="C29" s="122"/>
      <c r="D29" s="122"/>
      <c r="E29" s="122"/>
      <c r="F29" s="123"/>
      <c r="G29" s="123"/>
      <c r="H29" s="123"/>
      <c r="I29" s="123"/>
      <c r="J29" s="111"/>
      <c r="K29" s="124">
        <f>K27/F27-1</f>
        <v>0.5534634777264551</v>
      </c>
      <c r="L29" s="124">
        <f t="shared" ref="L29" si="181">L27/G27-1</f>
        <v>0.49221732123892736</v>
      </c>
      <c r="M29" s="124">
        <f t="shared" ref="M29" si="182">M27/H27-1</f>
        <v>0.32052439204855077</v>
      </c>
      <c r="N29" s="124">
        <f t="shared" ref="N29" si="183">N27/I27-1</f>
        <v>9.5952180421797761E-2</v>
      </c>
      <c r="O29" s="125">
        <f>O27/J27-1</f>
        <v>0.32735257430406595</v>
      </c>
      <c r="P29" s="124">
        <f>P27/K27-1</f>
        <v>-0.60729028389726891</v>
      </c>
      <c r="Q29" s="124">
        <f t="shared" ref="Q29" si="184">Q27/L27-1</f>
        <v>-0.3832618438265446</v>
      </c>
      <c r="R29" s="124">
        <f t="shared" ref="R29" si="185">R27/M27-1</f>
        <v>-0.22557579129131311</v>
      </c>
      <c r="S29" s="124">
        <f t="shared" ref="S29" si="186">S27/N27-1</f>
        <v>0.58678222622056886</v>
      </c>
      <c r="T29" s="125">
        <f>T27/O27-1</f>
        <v>-0.12876900317280071</v>
      </c>
      <c r="U29" s="124">
        <f>U27/P27-1</f>
        <v>0.3059374585084329</v>
      </c>
      <c r="V29" s="124">
        <f t="shared" ref="V29" si="187">V27/Q27-1</f>
        <v>0.97947153474952953</v>
      </c>
      <c r="W29" s="124">
        <f t="shared" ref="W29" si="188">W27/R27-1</f>
        <v>1.0039690416987201</v>
      </c>
      <c r="X29" s="124">
        <f t="shared" ref="X29" si="189">X27/S27-1</f>
        <v>0.28715981531944856</v>
      </c>
      <c r="Y29" s="125">
        <f>Y27/T27-1</f>
        <v>0.57922218807312853</v>
      </c>
      <c r="Z29" s="124">
        <f>Z27/U27-1</f>
        <v>4.1035156672863691</v>
      </c>
      <c r="AA29" s="124">
        <f t="shared" ref="AA29" si="190">AA27/V27-1</f>
        <v>0.5819025693870965</v>
      </c>
      <c r="AB29" s="126">
        <f t="shared" ref="AB29" si="191">AB27/W27-1</f>
        <v>0.6250054073034399</v>
      </c>
      <c r="AC29" s="124">
        <f t="shared" ref="AC29" si="192">AC27/X27-1</f>
        <v>9.7554824035678278E-2</v>
      </c>
      <c r="AD29" s="125">
        <f>AD27/Y27-1</f>
        <v>0.69277681909963973</v>
      </c>
      <c r="AE29" s="124">
        <f>AE27/Z27-1</f>
        <v>0.35449613759182719</v>
      </c>
      <c r="AF29" s="124">
        <f t="shared" ref="AF29" si="193">AF27/AA27-1</f>
        <v>0.70988603867615008</v>
      </c>
      <c r="AG29" s="124">
        <f t="shared" ref="AG29" si="194">AG27/AB27-1</f>
        <v>0.44246284210652242</v>
      </c>
      <c r="AH29" s="124">
        <f t="shared" ref="AH29" si="195">AH27/AC27-1</f>
        <v>0.42140103664534645</v>
      </c>
      <c r="AI29" s="125">
        <f>AI27/AD27-1</f>
        <v>0.4671722170593855</v>
      </c>
      <c r="AJ29" s="124">
        <f>AJ27/AE27-1</f>
        <v>0.10492428811983689</v>
      </c>
      <c r="AK29" s="124">
        <f t="shared" ref="AK29" si="196">AK27/AF27-1</f>
        <v>0.1569776875762634</v>
      </c>
      <c r="AL29" s="124">
        <f t="shared" ref="AL29" si="197">AL27/AG27-1</f>
        <v>0.13901200112868661</v>
      </c>
      <c r="AM29" s="124">
        <f t="shared" ref="AM29" si="198">AM27/AH27-1</f>
        <v>0.14856285732245578</v>
      </c>
      <c r="AN29" s="125">
        <f>AN27/AI27-1</f>
        <v>0.13764745912941723</v>
      </c>
      <c r="AO29" s="124">
        <f>AO27/AJ27-1</f>
        <v>0.1370924420714783</v>
      </c>
      <c r="AP29" s="124">
        <f t="shared" ref="AP29" si="199">AP27/AK27-1</f>
        <v>0.16783467277585351</v>
      </c>
      <c r="AQ29" s="124">
        <f t="shared" ref="AQ29" si="200">AQ27/AL27-1</f>
        <v>0.12274570016052677</v>
      </c>
      <c r="AR29" s="124">
        <f t="shared" ref="AR29" si="201">AR27/AM27-1</f>
        <v>0.13183299253080283</v>
      </c>
      <c r="AS29" s="125">
        <f>AS27/AN27-1</f>
        <v>0.1386515060124176</v>
      </c>
      <c r="AT29" s="124">
        <f>AT27/AO27-1</f>
        <v>0.13709244207147853</v>
      </c>
      <c r="AU29" s="124">
        <f t="shared" ref="AU29" si="202">AU27/AP27-1</f>
        <v>0.16783467277585351</v>
      </c>
      <c r="AV29" s="124">
        <f t="shared" ref="AV29" si="203">AV27/AQ27-1</f>
        <v>0.15102644827540224</v>
      </c>
      <c r="AW29" s="124">
        <f t="shared" ref="AW29" si="204">AW27/AR27-1</f>
        <v>0.16034263969782558</v>
      </c>
      <c r="AX29" s="125">
        <f>AX27/AS27-1</f>
        <v>0.15424145737596096</v>
      </c>
      <c r="AY29" s="124">
        <f>AY27/AT27-1</f>
        <v>0.13709244207147808</v>
      </c>
      <c r="AZ29" s="124">
        <f t="shared" ref="AZ29" si="205">AZ27/AU27-1</f>
        <v>0.16783467277585307</v>
      </c>
      <c r="BA29" s="124">
        <f t="shared" ref="BA29" si="206">BA27/AV27-1</f>
        <v>0.15102644827540157</v>
      </c>
      <c r="BB29" s="124">
        <f t="shared" ref="BB29" si="207">BB27/AW27-1</f>
        <v>0.16034263969782536</v>
      </c>
      <c r="BC29" s="132">
        <f>BC27/AX27-1</f>
        <v>0.15434683844827224</v>
      </c>
    </row>
    <row r="30" spans="2:55" s="338" customFormat="1" outlineLevel="1" x14ac:dyDescent="0.15">
      <c r="B30" s="102"/>
      <c r="C30" s="102"/>
      <c r="D30" s="102"/>
      <c r="E30" s="102"/>
      <c r="F30" s="106"/>
      <c r="G30" s="106"/>
      <c r="H30" s="106"/>
      <c r="I30" s="106"/>
      <c r="J30" s="107"/>
      <c r="K30" s="118"/>
      <c r="L30" s="118"/>
      <c r="M30" s="118"/>
      <c r="N30" s="118"/>
      <c r="O30" s="119"/>
      <c r="P30" s="118"/>
      <c r="Q30" s="118"/>
      <c r="R30" s="118"/>
      <c r="S30" s="118"/>
      <c r="T30" s="119"/>
      <c r="U30" s="118"/>
      <c r="V30" s="118"/>
      <c r="W30" s="118"/>
      <c r="X30" s="118"/>
      <c r="Y30" s="119"/>
      <c r="Z30" s="118"/>
      <c r="AA30" s="118"/>
      <c r="AB30" s="120"/>
      <c r="AC30" s="118"/>
      <c r="AD30" s="119"/>
      <c r="AE30" s="118"/>
      <c r="AF30" s="118"/>
      <c r="AG30" s="118"/>
      <c r="AH30" s="118"/>
      <c r="AI30" s="119"/>
      <c r="AJ30" s="118"/>
      <c r="AK30" s="118"/>
      <c r="AL30" s="118"/>
      <c r="AM30" s="118"/>
      <c r="AN30" s="119"/>
      <c r="AO30" s="118"/>
      <c r="AP30" s="118"/>
      <c r="AQ30" s="118"/>
      <c r="AR30" s="118"/>
      <c r="AS30" s="119"/>
      <c r="AT30" s="118"/>
      <c r="AU30" s="118"/>
      <c r="AV30" s="118"/>
      <c r="AW30" s="118"/>
      <c r="AX30" s="119"/>
      <c r="AY30" s="118"/>
      <c r="AZ30" s="118"/>
      <c r="BA30" s="118"/>
      <c r="BB30" s="118"/>
      <c r="BC30" s="119"/>
    </row>
    <row r="31" spans="2:55" s="82" customFormat="1" outlineLevel="1" x14ac:dyDescent="0.15">
      <c r="B31" s="102" t="s">
        <v>3</v>
      </c>
      <c r="C31" s="102"/>
      <c r="D31" s="102"/>
      <c r="E31" s="102"/>
      <c r="F31" s="106">
        <v>25.4648</v>
      </c>
      <c r="G31" s="106">
        <v>26.424900000000001</v>
      </c>
      <c r="H31" s="106">
        <v>28.0807</v>
      </c>
      <c r="I31" s="106">
        <v>28.265699999999999</v>
      </c>
      <c r="J31" s="107">
        <f>SUM(F31:I31)</f>
        <v>108.23610000000001</v>
      </c>
      <c r="K31" s="133">
        <v>0</v>
      </c>
      <c r="L31" s="133">
        <v>0</v>
      </c>
      <c r="M31" s="133">
        <v>0</v>
      </c>
      <c r="N31" s="133">
        <v>0</v>
      </c>
      <c r="O31" s="107">
        <f>SUM(K31:N31)</f>
        <v>0</v>
      </c>
      <c r="P31" s="133">
        <v>0</v>
      </c>
      <c r="Q31" s="133">
        <v>0</v>
      </c>
      <c r="R31" s="133">
        <v>0</v>
      </c>
      <c r="S31" s="133">
        <v>0</v>
      </c>
      <c r="T31" s="107">
        <f>SUM(P31:S31)</f>
        <v>0</v>
      </c>
      <c r="U31" s="133">
        <v>0</v>
      </c>
      <c r="V31" s="133">
        <v>0</v>
      </c>
      <c r="W31" s="133">
        <v>0</v>
      </c>
      <c r="X31" s="133">
        <v>0</v>
      </c>
      <c r="Y31" s="107">
        <f>SUM(U31:X31)</f>
        <v>0</v>
      </c>
      <c r="Z31" s="133">
        <v>0</v>
      </c>
      <c r="AA31" s="133">
        <v>0</v>
      </c>
      <c r="AB31" s="134">
        <v>0</v>
      </c>
      <c r="AC31" s="133"/>
      <c r="AD31" s="107"/>
      <c r="AI31" s="107"/>
      <c r="AN31" s="107"/>
      <c r="AS31" s="107"/>
      <c r="AX31" s="107"/>
      <c r="BC31" s="107"/>
    </row>
    <row r="32" spans="2:55" s="82" customFormat="1" ht="13" outlineLevel="1" thickBot="1" x14ac:dyDescent="0.2">
      <c r="B32" s="102"/>
      <c r="C32" s="102"/>
      <c r="D32" s="102"/>
      <c r="E32" s="102"/>
      <c r="F32" s="106"/>
      <c r="G32" s="106"/>
      <c r="H32" s="106"/>
      <c r="I32" s="106"/>
      <c r="J32" s="107"/>
      <c r="K32" s="133"/>
      <c r="L32" s="133"/>
      <c r="M32" s="133"/>
      <c r="N32" s="133"/>
      <c r="O32" s="107"/>
      <c r="P32" s="133"/>
      <c r="Q32" s="133"/>
      <c r="R32" s="133"/>
      <c r="S32" s="133"/>
      <c r="T32" s="107"/>
      <c r="U32" s="133"/>
      <c r="V32" s="133"/>
      <c r="W32" s="133"/>
      <c r="X32" s="133"/>
      <c r="Y32" s="107"/>
      <c r="Z32" s="133"/>
      <c r="AA32" s="133"/>
      <c r="AB32" s="134"/>
      <c r="AC32" s="133"/>
      <c r="AD32" s="107"/>
      <c r="AI32" s="107"/>
      <c r="AN32" s="107"/>
      <c r="AS32" s="107"/>
      <c r="AX32" s="107"/>
      <c r="BC32" s="107"/>
    </row>
    <row r="33" spans="2:55" s="139" customFormat="1" outlineLevel="1" x14ac:dyDescent="0.15">
      <c r="B33" s="112" t="s">
        <v>70</v>
      </c>
      <c r="C33" s="113">
        <f>(AD33/J33)^(1/4)-1</f>
        <v>0.28591359491099588</v>
      </c>
      <c r="D33" s="113">
        <f>(BC33/AD33)^(1/4)-1</f>
        <v>0.25059136384083835</v>
      </c>
      <c r="E33" s="113"/>
      <c r="F33" s="135">
        <f>F27+F24</f>
        <v>544.35099893750055</v>
      </c>
      <c r="G33" s="135">
        <f t="shared" ref="G33:AA33" si="208">G27+G24</f>
        <v>585.53201484615352</v>
      </c>
      <c r="H33" s="135">
        <f t="shared" si="208"/>
        <v>742.20006847692684</v>
      </c>
      <c r="I33" s="135">
        <f t="shared" si="208"/>
        <v>855.03768738461338</v>
      </c>
      <c r="J33" s="136">
        <f t="shared" si="208"/>
        <v>2727.1207696451952</v>
      </c>
      <c r="K33" s="135">
        <f t="shared" si="208"/>
        <v>789.53301484375004</v>
      </c>
      <c r="L33" s="135">
        <f t="shared" si="208"/>
        <v>821.89588680000031</v>
      </c>
      <c r="M33" s="135">
        <f t="shared" si="208"/>
        <v>950.99547473077303</v>
      </c>
      <c r="N33" s="135">
        <f t="shared" si="208"/>
        <v>931.01334965909109</v>
      </c>
      <c r="O33" s="136">
        <f t="shared" si="208"/>
        <v>3493.4377260336137</v>
      </c>
      <c r="P33" s="135">
        <f t="shared" si="208"/>
        <v>379.53921085936963</v>
      </c>
      <c r="Q33" s="135">
        <f t="shared" si="208"/>
        <v>555.38389311538367</v>
      </c>
      <c r="R33" s="135">
        <f t="shared" si="208"/>
        <v>762.40450325000324</v>
      </c>
      <c r="S33" s="135">
        <f t="shared" si="208"/>
        <v>1413.4981992045366</v>
      </c>
      <c r="T33" s="136">
        <f t="shared" si="208"/>
        <v>3110.8258064292932</v>
      </c>
      <c r="U33" s="135">
        <f t="shared" si="208"/>
        <v>470.73259977846226</v>
      </c>
      <c r="V33" s="135">
        <f t="shared" si="208"/>
        <v>995.92968607538387</v>
      </c>
      <c r="W33" s="135">
        <f t="shared" si="208"/>
        <v>1419.8161248923079</v>
      </c>
      <c r="X33" s="135">
        <f t="shared" si="208"/>
        <v>1793.838045669703</v>
      </c>
      <c r="Y33" s="136">
        <f t="shared" si="208"/>
        <v>4680.3164564158542</v>
      </c>
      <c r="Z33" s="135">
        <f t="shared" si="208"/>
        <v>1878.2395960687502</v>
      </c>
      <c r="AA33" s="135">
        <f t="shared" si="208"/>
        <v>1493.5633966646089</v>
      </c>
      <c r="AB33" s="137">
        <f>AB27+AB24</f>
        <v>2212.6139600000056</v>
      </c>
      <c r="AC33" s="135">
        <f>AC27+AC24</f>
        <v>1872.3663431109303</v>
      </c>
      <c r="AD33" s="136">
        <f t="shared" ref="AD33:BC33" si="209">AD27+AD24</f>
        <v>7456.7832958442923</v>
      </c>
      <c r="AE33" s="135">
        <f t="shared" si="209"/>
        <v>2430.8727027506857</v>
      </c>
      <c r="AF33" s="135">
        <f t="shared" si="209"/>
        <v>2399.5103773364212</v>
      </c>
      <c r="AG33" s="135">
        <f t="shared" si="209"/>
        <v>3092.1791944561055</v>
      </c>
      <c r="AH33" s="135">
        <f t="shared" si="209"/>
        <v>2649.1221060015478</v>
      </c>
      <c r="AI33" s="136">
        <f t="shared" si="209"/>
        <v>10571.684380544757</v>
      </c>
      <c r="AJ33" s="135">
        <f t="shared" si="209"/>
        <v>2683.7314811648966</v>
      </c>
      <c r="AK33" s="135">
        <f t="shared" si="209"/>
        <v>2773.9072762766255</v>
      </c>
      <c r="AL33" s="135">
        <f t="shared" si="209"/>
        <v>3519.2853768195541</v>
      </c>
      <c r="AM33" s="135">
        <f t="shared" si="209"/>
        <v>3040.3128544152378</v>
      </c>
      <c r="AN33" s="136">
        <f t="shared" si="209"/>
        <v>12017.236988676315</v>
      </c>
      <c r="AO33" s="135">
        <f t="shared" si="209"/>
        <v>3051.6507837818976</v>
      </c>
      <c r="AP33" s="135">
        <f t="shared" si="209"/>
        <v>3239.4650963010718</v>
      </c>
      <c r="AQ33" s="135">
        <f t="shared" si="209"/>
        <v>3954.3431537541655</v>
      </c>
      <c r="AR33" s="135">
        <f t="shared" si="209"/>
        <v>3443.8092943565648</v>
      </c>
      <c r="AS33" s="136">
        <f t="shared" si="209"/>
        <v>13689.268328193697</v>
      </c>
      <c r="AT33" s="135">
        <f t="shared" si="209"/>
        <v>3470.0090420798992</v>
      </c>
      <c r="AU33" s="135">
        <f t="shared" si="209"/>
        <v>3783.1596607075612</v>
      </c>
      <c r="AV33" s="135">
        <f t="shared" si="209"/>
        <v>4551.5535555278093</v>
      </c>
      <c r="AW33" s="135">
        <f t="shared" si="209"/>
        <v>3995.9987672296024</v>
      </c>
      <c r="AX33" s="136">
        <f t="shared" si="209"/>
        <v>15800.721025544877</v>
      </c>
      <c r="AY33" s="135">
        <f t="shared" si="209"/>
        <v>3945.7210556687432</v>
      </c>
      <c r="AZ33" s="135">
        <f t="shared" si="209"/>
        <v>4418.105024421222</v>
      </c>
      <c r="BA33" s="135">
        <f t="shared" si="209"/>
        <v>5238.9585231544497</v>
      </c>
      <c r="BB33" s="135">
        <f t="shared" si="209"/>
        <v>4636.7277577964524</v>
      </c>
      <c r="BC33" s="138">
        <f t="shared" si="209"/>
        <v>18239.512361040874</v>
      </c>
    </row>
    <row r="34" spans="2:55" s="82" customFormat="1" outlineLevel="1" x14ac:dyDescent="0.15">
      <c r="B34" s="117" t="s">
        <v>57</v>
      </c>
      <c r="C34" s="102"/>
      <c r="D34" s="102"/>
      <c r="E34" s="102"/>
      <c r="F34" s="118">
        <f>F33/F$10</f>
        <v>0.26286275837526346</v>
      </c>
      <c r="G34" s="118">
        <f t="shared" ref="G34" si="210">G33/G$10</f>
        <v>0.25306936742213076</v>
      </c>
      <c r="H34" s="118">
        <f t="shared" ref="H34" si="211">H33/H$10</f>
        <v>0.25811066304469077</v>
      </c>
      <c r="I34" s="118">
        <f t="shared" ref="I34" si="212">I33/I$10</f>
        <v>0.28354948611215935</v>
      </c>
      <c r="J34" s="119">
        <f t="shared" ref="J34" si="213">J33/J$10</f>
        <v>0.26539853286376996</v>
      </c>
      <c r="K34" s="118">
        <f>K33/K$10</f>
        <v>0.28105032558004184</v>
      </c>
      <c r="L34" s="118">
        <f t="shared" ref="L34" si="214">L33/L$10</f>
        <v>0.25156912861935077</v>
      </c>
      <c r="M34" s="118">
        <f t="shared" ref="M34" si="215">M33/M$10</f>
        <v>0.2945859528839071</v>
      </c>
      <c r="N34" s="118">
        <f t="shared" ref="N34" si="216">N33/N$10</f>
        <v>0.25963403803283008</v>
      </c>
      <c r="O34" s="119">
        <f t="shared" ref="O34" si="217">O33/O$10</f>
        <v>0.27101053675155978</v>
      </c>
      <c r="P34" s="118">
        <f>P33/P$10</f>
        <v>0.14993270286641119</v>
      </c>
      <c r="Q34" s="118">
        <f t="shared" ref="Q34" si="218">Q33/Q$10</f>
        <v>0.19249192298651618</v>
      </c>
      <c r="R34" s="118">
        <f t="shared" ref="R34" si="219">R33/R$10</f>
        <v>0.22956635926733712</v>
      </c>
      <c r="S34" s="118">
        <f t="shared" ref="S34" si="220">S33/S$10</f>
        <v>0.31626408284946206</v>
      </c>
      <c r="T34" s="119">
        <f t="shared" ref="T34" si="221">T33/T$10</f>
        <v>0.2355427578842563</v>
      </c>
      <c r="U34" s="118">
        <f>U33/U$10</f>
        <v>0.17483403609391082</v>
      </c>
      <c r="V34" s="118">
        <f t="shared" ref="V34" si="222">V33/V$10</f>
        <v>0.27215323600335778</v>
      </c>
      <c r="W34" s="118">
        <f t="shared" ref="W34" si="223">W33/W$10</f>
        <v>0.30720059532916644</v>
      </c>
      <c r="X34" s="118">
        <f t="shared" ref="X34" si="224">X33/X$10</f>
        <v>0.35347076867322225</v>
      </c>
      <c r="Y34" s="119">
        <f t="shared" ref="Y34" si="225">Y33/Y$10</f>
        <v>0.29163370317192455</v>
      </c>
      <c r="Z34" s="118">
        <f>Z33/Z$10</f>
        <v>0.35761590288974243</v>
      </c>
      <c r="AA34" s="118">
        <f t="shared" ref="AA34" si="226">AA33/AA$10</f>
        <v>0.30819363414174072</v>
      </c>
      <c r="AB34" s="120">
        <f t="shared" ref="AB34" si="227">AB33/AB$10</f>
        <v>0.36115383832909298</v>
      </c>
      <c r="AC34" s="118">
        <f t="shared" ref="AC34" si="228">AC33/AC$10</f>
        <v>0.35943004702050146</v>
      </c>
      <c r="AD34" s="119">
        <f t="shared" ref="AD34" si="229">AD33/AD$10</f>
        <v>0.34789381949732695</v>
      </c>
      <c r="AE34" s="118">
        <f t="shared" ref="AE34" si="230">AE33/AE$10</f>
        <v>0.4</v>
      </c>
      <c r="AF34" s="118">
        <f t="shared" ref="AF34" si="231">AF33/AF$10</f>
        <v>0.39999999999999997</v>
      </c>
      <c r="AG34" s="118">
        <f t="shared" ref="AG34" si="232">AG33/AG$10</f>
        <v>0.41000000000000003</v>
      </c>
      <c r="AH34" s="118">
        <f t="shared" ref="AH34" si="233">AH33/AH$10</f>
        <v>0.41</v>
      </c>
      <c r="AI34" s="119">
        <f t="shared" ref="AI34" si="234">AI33/AI$10</f>
        <v>0.40536949393726324</v>
      </c>
      <c r="AJ34" s="118">
        <f t="shared" ref="AJ34" si="235">AJ33/AJ$10</f>
        <v>0.41000000000000009</v>
      </c>
      <c r="AK34" s="118">
        <f t="shared" ref="AK34" si="236">AK33/AK$10</f>
        <v>0.41000000000000009</v>
      </c>
      <c r="AL34" s="118">
        <f t="shared" ref="AL34" si="237">AL33/AL$10</f>
        <v>0.4200000000000001</v>
      </c>
      <c r="AM34" s="118">
        <f t="shared" ref="AM34" si="238">AM33/AM$10</f>
        <v>0.42000000000000004</v>
      </c>
      <c r="AN34" s="119">
        <f t="shared" ref="AN34" si="239">AN33/AN$10</f>
        <v>0.41539869070564789</v>
      </c>
      <c r="AO34" s="118">
        <f t="shared" ref="AO34" si="240">AO33/AO$10</f>
        <v>0.41000000000000003</v>
      </c>
      <c r="AP34" s="118">
        <f t="shared" ref="AP34" si="241">AP33/AP$10</f>
        <v>0.41000000000000009</v>
      </c>
      <c r="AQ34" s="118">
        <f t="shared" ref="AQ34" si="242">AQ33/AQ$10</f>
        <v>0.41000000000000003</v>
      </c>
      <c r="AR34" s="118">
        <f t="shared" ref="AR34" si="243">AR33/AR$10</f>
        <v>0.41000000000000003</v>
      </c>
      <c r="AS34" s="119">
        <f t="shared" ref="AS34" si="244">AS33/AS$10</f>
        <v>0.41</v>
      </c>
      <c r="AT34" s="118">
        <f t="shared" ref="AT34" si="245">AT33/AT$10</f>
        <v>0.41000000000000009</v>
      </c>
      <c r="AU34" s="118">
        <f t="shared" ref="AU34" si="246">AU33/AU$10</f>
        <v>0.41000000000000014</v>
      </c>
      <c r="AV34" s="118">
        <f t="shared" ref="AV34" si="247">AV33/AV$10</f>
        <v>0.41000000000000009</v>
      </c>
      <c r="AW34" s="118">
        <f t="shared" ref="AW34" si="248">AW33/AW$10</f>
        <v>0.41000000000000003</v>
      </c>
      <c r="AX34" s="119">
        <f t="shared" ref="AX34" si="249">AX33/AX$10</f>
        <v>0.41000000000000014</v>
      </c>
      <c r="AY34" s="118">
        <f t="shared" ref="AY34" si="250">AY33/AY$10</f>
        <v>0.41000000000000003</v>
      </c>
      <c r="AZ34" s="118">
        <f t="shared" ref="AZ34" si="251">AZ33/AZ$10</f>
        <v>0.41</v>
      </c>
      <c r="BA34" s="118">
        <f t="shared" ref="BA34" si="252">BA33/BA$10</f>
        <v>0.41</v>
      </c>
      <c r="BB34" s="118">
        <f t="shared" ref="BB34" si="253">BB33/BB$10</f>
        <v>0.40999999999999992</v>
      </c>
      <c r="BC34" s="131">
        <f t="shared" ref="BC34" si="254">BC33/BC$10</f>
        <v>0.41000000000000009</v>
      </c>
    </row>
    <row r="35" spans="2:55" s="82" customFormat="1" ht="13" outlineLevel="1" thickBot="1" x14ac:dyDescent="0.2">
      <c r="B35" s="121" t="s">
        <v>58</v>
      </c>
      <c r="C35" s="122"/>
      <c r="D35" s="122"/>
      <c r="E35" s="122"/>
      <c r="F35" s="123"/>
      <c r="G35" s="123"/>
      <c r="H35" s="123"/>
      <c r="I35" s="123"/>
      <c r="J35" s="111"/>
      <c r="K35" s="124">
        <f>K33/F33-1</f>
        <v>0.45041162115034528</v>
      </c>
      <c r="L35" s="124">
        <f t="shared" ref="L35" si="255">L33/G33-1</f>
        <v>0.40367369496602268</v>
      </c>
      <c r="M35" s="124">
        <f t="shared" ref="M35" si="256">M33/H33-1</f>
        <v>0.28131957287785814</v>
      </c>
      <c r="N35" s="124">
        <f t="shared" ref="N35" si="257">N33/I33-1</f>
        <v>8.8856507023534537E-2</v>
      </c>
      <c r="O35" s="125">
        <f>O33/J33-1</f>
        <v>0.28099854062866392</v>
      </c>
      <c r="P35" s="124">
        <f>P33/K33-1</f>
        <v>-0.51928645956055286</v>
      </c>
      <c r="Q35" s="124">
        <f t="shared" ref="Q35" si="258">Q33/L33-1</f>
        <v>-0.32426490747175318</v>
      </c>
      <c r="R35" s="124">
        <f t="shared" ref="R35" si="259">R33/M33-1</f>
        <v>-0.19830901039162141</v>
      </c>
      <c r="S35" s="124">
        <f t="shared" ref="S35" si="260">S33/N33-1</f>
        <v>0.51823623122280349</v>
      </c>
      <c r="T35" s="125">
        <f>T33/O33-1</f>
        <v>-0.10952303994230095</v>
      </c>
      <c r="U35" s="124">
        <f>U33/P33-1</f>
        <v>0.24027395934298457</v>
      </c>
      <c r="V35" s="124">
        <f t="shared" ref="V35" si="261">V33/Q33-1</f>
        <v>0.79322752859970813</v>
      </c>
      <c r="W35" s="124">
        <f t="shared" ref="W35" si="262">W33/R33-1</f>
        <v>0.86228717018310963</v>
      </c>
      <c r="X35" s="124">
        <f t="shared" ref="X35" si="263">X33/S33-1</f>
        <v>0.26907699399914864</v>
      </c>
      <c r="Y35" s="125">
        <f>Y33/T33-1</f>
        <v>0.50452540503644383</v>
      </c>
      <c r="Z35" s="124">
        <f>Z33/U33-1</f>
        <v>2.9900351005065158</v>
      </c>
      <c r="AA35" s="124">
        <f t="shared" ref="AA35" si="264">AA33/V33-1</f>
        <v>0.49966751423007416</v>
      </c>
      <c r="AB35" s="126">
        <f t="shared" ref="AB35" si="265">AB33/W33-1</f>
        <v>0.55838063901959889</v>
      </c>
      <c r="AC35" s="124">
        <f t="shared" ref="AC35" si="266">AC33/X33-1</f>
        <v>4.3776693013504397E-2</v>
      </c>
      <c r="AD35" s="125">
        <f>AD33/Y33-1</f>
        <v>0.59322203216032787</v>
      </c>
      <c r="AE35" s="124">
        <f>AE33/Z33-1</f>
        <v>0.29422929206615822</v>
      </c>
      <c r="AF35" s="124">
        <f t="shared" ref="AF35" si="267">AF33/AA33-1</f>
        <v>0.60656747660993293</v>
      </c>
      <c r="AG35" s="124">
        <f t="shared" ref="AG35" si="268">AG33/AB33-1</f>
        <v>0.3975231334326832</v>
      </c>
      <c r="AH35" s="124">
        <f t="shared" ref="AH35" si="269">AH33/AC33-1</f>
        <v>0.41485244901381879</v>
      </c>
      <c r="AI35" s="125">
        <f>AI33/AD33-1</f>
        <v>0.41772718357477512</v>
      </c>
      <c r="AJ35" s="124">
        <f>AJ33/AE33-1</f>
        <v>0.10401975312326539</v>
      </c>
      <c r="AK35" s="124">
        <f t="shared" ref="AK35" si="270">AK33/AF33-1</f>
        <v>0.15603053959525015</v>
      </c>
      <c r="AL35" s="124">
        <f t="shared" ref="AL35" si="271">AL33/AG33-1</f>
        <v>0.13812465433089938</v>
      </c>
      <c r="AM35" s="124">
        <f t="shared" ref="AM35" si="272">AM33/AH33-1</f>
        <v>0.14766806993435799</v>
      </c>
      <c r="AN35" s="125">
        <f>AN33/AI33-1</f>
        <v>0.13673815411968149</v>
      </c>
      <c r="AO35" s="124">
        <f>AO33/AJ33-1</f>
        <v>0.1370924420714783</v>
      </c>
      <c r="AP35" s="124">
        <f t="shared" ref="AP35" si="273">AP33/AK33-1</f>
        <v>0.16783467277585351</v>
      </c>
      <c r="AQ35" s="124">
        <f t="shared" ref="AQ35" si="274">AQ33/AL33-1</f>
        <v>0.12362105664979683</v>
      </c>
      <c r="AR35" s="124">
        <f t="shared" ref="AR35" si="275">AR33/AM33-1</f>
        <v>0.13271543399073438</v>
      </c>
      <c r="AS35" s="125">
        <f>AS33/AN33-1</f>
        <v>0.13913608769577523</v>
      </c>
      <c r="AT35" s="124">
        <f>AT33/AO33-1</f>
        <v>0.13709244207147853</v>
      </c>
      <c r="AU35" s="124">
        <f t="shared" ref="AU35" si="276">AU33/AP33-1</f>
        <v>0.16783467277585351</v>
      </c>
      <c r="AV35" s="124">
        <f t="shared" ref="AV35" si="277">AV33/AQ33-1</f>
        <v>0.15102644827540201</v>
      </c>
      <c r="AW35" s="124">
        <f t="shared" ref="AW35" si="278">AW33/AR33-1</f>
        <v>0.16034263969782558</v>
      </c>
      <c r="AX35" s="125">
        <f>AX33/AS33-1</f>
        <v>0.15424145737596096</v>
      </c>
      <c r="AY35" s="124">
        <f>AY33/AT33-1</f>
        <v>0.13709244207147808</v>
      </c>
      <c r="AZ35" s="124">
        <f t="shared" ref="AZ35" si="279">AZ33/AU33-1</f>
        <v>0.16783467277585307</v>
      </c>
      <c r="BA35" s="124">
        <f t="shared" ref="BA35" si="280">BA33/AV33-1</f>
        <v>0.15102644827540157</v>
      </c>
      <c r="BB35" s="124">
        <f t="shared" ref="BB35" si="281">BB33/AW33-1</f>
        <v>0.16034263969782514</v>
      </c>
      <c r="BC35" s="132">
        <f>BC33/AX33-1</f>
        <v>0.15434683844827246</v>
      </c>
    </row>
    <row r="36" spans="2:55" s="82" customFormat="1" outlineLevel="1" x14ac:dyDescent="0.15">
      <c r="B36" s="102"/>
      <c r="C36" s="102"/>
      <c r="D36" s="102"/>
      <c r="E36" s="102"/>
      <c r="F36" s="106"/>
      <c r="G36" s="106"/>
      <c r="H36" s="106"/>
      <c r="I36" s="106"/>
      <c r="J36" s="107"/>
      <c r="K36" s="133"/>
      <c r="L36" s="133"/>
      <c r="M36" s="133"/>
      <c r="N36" s="133"/>
      <c r="O36" s="107"/>
      <c r="P36" s="133"/>
      <c r="Q36" s="133"/>
      <c r="R36" s="133"/>
      <c r="S36" s="133"/>
      <c r="T36" s="107"/>
      <c r="U36" s="133"/>
      <c r="V36" s="133"/>
      <c r="W36" s="133"/>
      <c r="X36" s="133"/>
      <c r="Y36" s="107"/>
      <c r="Z36" s="133"/>
      <c r="AA36" s="133"/>
      <c r="AB36" s="134"/>
      <c r="AC36" s="133"/>
      <c r="AD36" s="107"/>
      <c r="AI36" s="107"/>
      <c r="AN36" s="107"/>
      <c r="AS36" s="107"/>
      <c r="AX36" s="107"/>
      <c r="BC36" s="107"/>
    </row>
    <row r="37" spans="2:55" s="82" customFormat="1" outlineLevel="1" x14ac:dyDescent="0.15">
      <c r="B37" s="102" t="s">
        <v>63</v>
      </c>
      <c r="C37" s="102"/>
      <c r="D37" s="102"/>
      <c r="E37" s="102"/>
      <c r="F37" s="106">
        <v>15.023199999999999</v>
      </c>
      <c r="G37" s="106">
        <v>11.8912</v>
      </c>
      <c r="H37" s="106">
        <v>14.6866</v>
      </c>
      <c r="I37" s="106">
        <v>15.1928</v>
      </c>
      <c r="J37" s="107">
        <f>SUM(F37:I37)</f>
        <v>56.793799999999997</v>
      </c>
      <c r="K37" s="106">
        <v>12.908899999999999</v>
      </c>
      <c r="L37" s="106">
        <v>2.6227999999999998</v>
      </c>
      <c r="M37" s="106">
        <v>9.4192999999999998</v>
      </c>
      <c r="N37" s="106">
        <v>8.5581999999999994</v>
      </c>
      <c r="O37" s="107">
        <f>SUM(K37:N37)</f>
        <v>33.5092</v>
      </c>
      <c r="P37" s="106">
        <v>8.9718</v>
      </c>
      <c r="Q37" s="106">
        <v>7.7526999999999999</v>
      </c>
      <c r="R37" s="106">
        <v>6.0049000000000001</v>
      </c>
      <c r="S37" s="106">
        <v>5.3147000000000002</v>
      </c>
      <c r="T37" s="107">
        <f>SUM(P37:S37)</f>
        <v>28.0441</v>
      </c>
      <c r="U37" s="106">
        <v>12.5764</v>
      </c>
      <c r="V37" s="106">
        <v>7.8125</v>
      </c>
      <c r="W37" s="106">
        <v>9.8087</v>
      </c>
      <c r="X37" s="106">
        <v>9.5435999999999996</v>
      </c>
      <c r="Y37" s="107">
        <f>SUM(U37:X37)</f>
        <v>39.741199999999999</v>
      </c>
      <c r="Z37" s="106">
        <v>14.562799999999999</v>
      </c>
      <c r="AA37" s="106">
        <v>11.813499999999999</v>
      </c>
      <c r="AB37" s="108">
        <v>12.370799999999999</v>
      </c>
      <c r="AC37" s="106">
        <f>AC104</f>
        <v>14.172146919413343</v>
      </c>
      <c r="AD37" s="107">
        <f>SUM(Z37:AC37)</f>
        <v>52.919246919413347</v>
      </c>
      <c r="AE37" s="106">
        <f>AE104</f>
        <v>14.026294557248303</v>
      </c>
      <c r="AF37" s="106">
        <f t="shared" ref="AF37:AH37" si="282">AF104</f>
        <v>13.882323934608118</v>
      </c>
      <c r="AG37" s="106">
        <f t="shared" si="282"/>
        <v>13.696793182940754</v>
      </c>
      <c r="AH37" s="106">
        <f t="shared" si="282"/>
        <v>13.53784585658066</v>
      </c>
      <c r="AI37" s="107">
        <f>SUM(AE37:AH37)</f>
        <v>55.143257531377834</v>
      </c>
      <c r="AJ37" s="106">
        <f>AJ104</f>
        <v>13.376821967710766</v>
      </c>
      <c r="AK37" s="106">
        <f t="shared" ref="AK37:AM37" si="283">AK104</f>
        <v>13.210387531134169</v>
      </c>
      <c r="AL37" s="106">
        <f t="shared" si="283"/>
        <v>12.999230408524996</v>
      </c>
      <c r="AM37" s="106">
        <f t="shared" si="283"/>
        <v>12.816811637260081</v>
      </c>
      <c r="AN37" s="107">
        <f>SUM(AJ37:AM37)</f>
        <v>52.40325154463001</v>
      </c>
      <c r="AO37" s="106">
        <f>AO104</f>
        <v>12.633712590233166</v>
      </c>
      <c r="AP37" s="106">
        <f t="shared" ref="AP37:AR37" si="284">AP104</f>
        <v>12.439344684455101</v>
      </c>
      <c r="AQ37" s="106">
        <f t="shared" si="284"/>
        <v>12.202084095229852</v>
      </c>
      <c r="AR37" s="106">
        <f t="shared" si="284"/>
        <v>11.995455537568457</v>
      </c>
      <c r="AS37" s="107">
        <f>SUM(AO37:AR37)</f>
        <v>49.270596907486578</v>
      </c>
      <c r="AT37" s="106">
        <f>AT104</f>
        <v>11.787254995043664</v>
      </c>
      <c r="AU37" s="106">
        <f t="shared" ref="AU37:AW37" si="285">AU104</f>
        <v>11.56026541540121</v>
      </c>
      <c r="AV37" s="106">
        <f t="shared" si="285"/>
        <v>11.287172202069542</v>
      </c>
      <c r="AW37" s="106">
        <f t="shared" si="285"/>
        <v>11.047412276035766</v>
      </c>
      <c r="AX37" s="107">
        <f>SUM(AT37:AW37)</f>
        <v>45.682104888550178</v>
      </c>
      <c r="AY37" s="106">
        <f>AY104</f>
        <v>10.810669012695641</v>
      </c>
      <c r="AZ37" s="106">
        <f t="shared" ref="AZ37:BB37" si="286">AZ104</f>
        <v>10.545582711230368</v>
      </c>
      <c r="BA37" s="106">
        <f t="shared" si="286"/>
        <v>10.231245199841101</v>
      </c>
      <c r="BB37" s="106">
        <f t="shared" si="286"/>
        <v>9.9530415343733125</v>
      </c>
      <c r="BC37" s="107">
        <f>SUM(AY37:BB37)</f>
        <v>41.540538458140418</v>
      </c>
    </row>
    <row r="38" spans="2:55" s="82" customFormat="1" ht="13" outlineLevel="1" thickBot="1" x14ac:dyDescent="0.2">
      <c r="B38" s="102"/>
      <c r="C38" s="102"/>
      <c r="D38" s="102"/>
      <c r="E38" s="102"/>
      <c r="F38" s="106"/>
      <c r="G38" s="106"/>
      <c r="H38" s="106"/>
      <c r="I38" s="106"/>
      <c r="J38" s="107"/>
      <c r="K38" s="106"/>
      <c r="L38" s="106"/>
      <c r="M38" s="106"/>
      <c r="N38" s="106"/>
      <c r="O38" s="107"/>
      <c r="P38" s="106"/>
      <c r="Q38" s="106"/>
      <c r="R38" s="106"/>
      <c r="S38" s="106"/>
      <c r="T38" s="107"/>
      <c r="U38" s="106"/>
      <c r="V38" s="106"/>
      <c r="W38" s="106"/>
      <c r="X38" s="106"/>
      <c r="Y38" s="107"/>
      <c r="Z38" s="106"/>
      <c r="AA38" s="106"/>
      <c r="AB38" s="108"/>
      <c r="AC38" s="106"/>
      <c r="AD38" s="107"/>
      <c r="AI38" s="107"/>
      <c r="AN38" s="107"/>
      <c r="AS38" s="107"/>
      <c r="AX38" s="107"/>
      <c r="BC38" s="107"/>
    </row>
    <row r="39" spans="2:55" s="82" customFormat="1" outlineLevel="1" x14ac:dyDescent="0.15">
      <c r="B39" s="112" t="s">
        <v>59</v>
      </c>
      <c r="C39" s="155"/>
      <c r="D39" s="155"/>
      <c r="E39" s="155"/>
      <c r="F39" s="114">
        <f t="shared" ref="F39:AB39" si="287">F27+F31-F37</f>
        <v>437.48389893750056</v>
      </c>
      <c r="G39" s="114">
        <f t="shared" si="287"/>
        <v>485.66781484615342</v>
      </c>
      <c r="H39" s="114">
        <f t="shared" si="287"/>
        <v>636.69176847692688</v>
      </c>
      <c r="I39" s="114">
        <f t="shared" si="287"/>
        <v>747.62798738461333</v>
      </c>
      <c r="J39" s="115">
        <f t="shared" si="287"/>
        <v>2307.4714696451952</v>
      </c>
      <c r="K39" s="114">
        <f t="shared" si="287"/>
        <v>650.48571484374997</v>
      </c>
      <c r="L39" s="114">
        <f t="shared" si="287"/>
        <v>700.41168680000033</v>
      </c>
      <c r="M39" s="114">
        <f t="shared" si="287"/>
        <v>813.66047473077299</v>
      </c>
      <c r="N39" s="114">
        <f t="shared" si="287"/>
        <v>796.47904965909106</v>
      </c>
      <c r="O39" s="115">
        <f t="shared" si="287"/>
        <v>2961.0369260336138</v>
      </c>
      <c r="P39" s="114">
        <f t="shared" si="287"/>
        <v>251.54971085936964</v>
      </c>
      <c r="Q39" s="114">
        <f t="shared" si="287"/>
        <v>425.83549311538366</v>
      </c>
      <c r="R39" s="114">
        <f t="shared" si="287"/>
        <v>631.40800325000316</v>
      </c>
      <c r="S39" s="114">
        <f t="shared" si="287"/>
        <v>1272.1040992045366</v>
      </c>
      <c r="T39" s="115">
        <f t="shared" si="287"/>
        <v>2580.8973064292932</v>
      </c>
      <c r="U39" s="114">
        <f t="shared" si="287"/>
        <v>327.64839977846231</v>
      </c>
      <c r="V39" s="114">
        <f t="shared" si="287"/>
        <v>850.46298607538392</v>
      </c>
      <c r="W39" s="114">
        <f t="shared" si="287"/>
        <v>1267.5470248923079</v>
      </c>
      <c r="X39" s="114">
        <f t="shared" si="287"/>
        <v>1634.698545669703</v>
      </c>
      <c r="Y39" s="115">
        <f t="shared" si="287"/>
        <v>4080.3569564158538</v>
      </c>
      <c r="Z39" s="114">
        <f t="shared" si="287"/>
        <v>1721.7797960687503</v>
      </c>
      <c r="AA39" s="114">
        <f t="shared" si="287"/>
        <v>1345.894696664609</v>
      </c>
      <c r="AB39" s="129">
        <f t="shared" si="287"/>
        <v>2063.3391600000054</v>
      </c>
      <c r="AC39" s="114">
        <f t="shared" ref="AC39:BC39" si="288">AC27+AC31-AC37</f>
        <v>1790.4737519431435</v>
      </c>
      <c r="AD39" s="115">
        <f t="shared" si="288"/>
        <v>6921.4874046765053</v>
      </c>
      <c r="AE39" s="114">
        <f t="shared" si="288"/>
        <v>2337.8430453540404</v>
      </c>
      <c r="AF39" s="114">
        <f t="shared" si="288"/>
        <v>2307.6439661383797</v>
      </c>
      <c r="AG39" s="114">
        <f t="shared" si="288"/>
        <v>2980.4376951074833</v>
      </c>
      <c r="AH39" s="114">
        <f t="shared" si="288"/>
        <v>2551.5877055644305</v>
      </c>
      <c r="AI39" s="115">
        <f t="shared" si="288"/>
        <v>10177.512412164331</v>
      </c>
      <c r="AJ39" s="114">
        <f t="shared" si="288"/>
        <v>2585.2607341846401</v>
      </c>
      <c r="AK39" s="114">
        <f t="shared" si="288"/>
        <v>2672.7437312050129</v>
      </c>
      <c r="AL39" s="114">
        <f t="shared" si="288"/>
        <v>3397.355884747567</v>
      </c>
      <c r="AM39" s="114">
        <f t="shared" si="288"/>
        <v>2933.3911210936967</v>
      </c>
      <c r="AN39" s="115">
        <f t="shared" si="288"/>
        <v>11588.751471230917</v>
      </c>
      <c r="AO39" s="114">
        <f t="shared" si="288"/>
        <v>2942.2574121937018</v>
      </c>
      <c r="AP39" s="114">
        <f t="shared" si="288"/>
        <v>3124.3110046607289</v>
      </c>
      <c r="AQ39" s="114">
        <f t="shared" si="288"/>
        <v>3816.7594574667301</v>
      </c>
      <c r="AR39" s="114">
        <f t="shared" si="288"/>
        <v>3322.6198855833004</v>
      </c>
      <c r="AS39" s="115">
        <f t="shared" si="288"/>
        <v>13205.947759904459</v>
      </c>
      <c r="AT39" s="114">
        <f t="shared" si="288"/>
        <v>3348.197110140859</v>
      </c>
      <c r="AU39" s="114">
        <f t="shared" si="288"/>
        <v>3651.6455523916761</v>
      </c>
      <c r="AV39" s="114">
        <f t="shared" si="288"/>
        <v>4395.9488315651015</v>
      </c>
      <c r="AW39" s="114">
        <f t="shared" si="288"/>
        <v>3858.2489550170185</v>
      </c>
      <c r="AX39" s="115">
        <f t="shared" si="288"/>
        <v>15254.04044911466</v>
      </c>
      <c r="AY39" s="114">
        <f t="shared" si="288"/>
        <v>3809.8021580616728</v>
      </c>
      <c r="AZ39" s="114">
        <f t="shared" si="288"/>
        <v>4267.4731848380998</v>
      </c>
      <c r="BA39" s="114">
        <f t="shared" si="288"/>
        <v>5062.61395892776</v>
      </c>
      <c r="BB39" s="114">
        <f t="shared" si="288"/>
        <v>4479.7565190636551</v>
      </c>
      <c r="BC39" s="130">
        <f t="shared" si="288"/>
        <v>17619.645820891194</v>
      </c>
    </row>
    <row r="40" spans="2:55" s="82" customFormat="1" outlineLevel="1" x14ac:dyDescent="0.15">
      <c r="B40" s="117" t="s">
        <v>7</v>
      </c>
      <c r="C40" s="102"/>
      <c r="D40" s="102"/>
      <c r="E40" s="102"/>
      <c r="F40" s="106">
        <v>73.0916</v>
      </c>
      <c r="G40" s="106">
        <v>86.651700000000005</v>
      </c>
      <c r="H40" s="106">
        <v>101.04349999999999</v>
      </c>
      <c r="I40" s="106">
        <v>91.156899999999993</v>
      </c>
      <c r="J40" s="107">
        <f>SUM(F40:I40)</f>
        <v>351.94369999999998</v>
      </c>
      <c r="K40" s="106">
        <v>91.468800000000002</v>
      </c>
      <c r="L40" s="106">
        <v>128.16040000000001</v>
      </c>
      <c r="M40" s="106">
        <v>150.708</v>
      </c>
      <c r="N40" s="106">
        <v>45.757599999999996</v>
      </c>
      <c r="O40" s="107">
        <f>SUM(K40:N40)</f>
        <v>416.09480000000008</v>
      </c>
      <c r="P40" s="106">
        <v>-19.3063</v>
      </c>
      <c r="Q40" s="106">
        <v>21.4603</v>
      </c>
      <c r="R40" s="106">
        <v>72.281599999999997</v>
      </c>
      <c r="S40" s="106">
        <v>137.96170000000001</v>
      </c>
      <c r="T40" s="107">
        <f>SUM(P40:S40)</f>
        <v>212.3973</v>
      </c>
      <c r="U40" s="106">
        <v>53.504899999999999</v>
      </c>
      <c r="V40" s="106">
        <v>183.09880000000001</v>
      </c>
      <c r="W40" s="106">
        <v>194.42339999999999</v>
      </c>
      <c r="X40" s="106">
        <v>202.92070000000001</v>
      </c>
      <c r="Y40" s="107">
        <f>SUM(U40:X40)</f>
        <v>633.94780000000003</v>
      </c>
      <c r="Z40" s="106">
        <v>277.17450000000002</v>
      </c>
      <c r="AA40" s="106">
        <v>246.15469999999999</v>
      </c>
      <c r="AB40" s="108">
        <v>319.1678</v>
      </c>
      <c r="AC40" s="140">
        <f>AC39*AC41</f>
        <v>447.61843798578587</v>
      </c>
      <c r="AD40" s="141">
        <f>SUM(Z40:AC40)</f>
        <v>1290.115437985786</v>
      </c>
      <c r="AE40" s="140">
        <f>AE39*AE41</f>
        <v>584.46076133851011</v>
      </c>
      <c r="AF40" s="140">
        <f t="shared" ref="AF40:AH40" si="289">AF39*AF41</f>
        <v>576.91099153459493</v>
      </c>
      <c r="AG40" s="140">
        <f t="shared" si="289"/>
        <v>745.10942377687081</v>
      </c>
      <c r="AH40" s="140">
        <f t="shared" si="289"/>
        <v>637.89692639110763</v>
      </c>
      <c r="AI40" s="141">
        <f>SUM(AE40:AH40)</f>
        <v>2544.3781030410832</v>
      </c>
      <c r="AJ40" s="140">
        <f>AJ39*AJ41</f>
        <v>646.31518354616003</v>
      </c>
      <c r="AK40" s="140">
        <f t="shared" ref="AK40" si="290">AK39*AK41</f>
        <v>668.18593280125322</v>
      </c>
      <c r="AL40" s="140">
        <f t="shared" ref="AL40" si="291">AL39*AL41</f>
        <v>849.33897118689174</v>
      </c>
      <c r="AM40" s="140">
        <f t="shared" ref="AM40" si="292">AM39*AM41</f>
        <v>733.34778027342418</v>
      </c>
      <c r="AN40" s="141">
        <f>SUM(AJ40:AM40)</f>
        <v>2897.1878678077292</v>
      </c>
      <c r="AO40" s="140">
        <f>AO39*AO41</f>
        <v>735.56435304842546</v>
      </c>
      <c r="AP40" s="140">
        <f t="shared" ref="AP40" si="293">AP39*AP41</f>
        <v>781.07775116518224</v>
      </c>
      <c r="AQ40" s="140">
        <f t="shared" ref="AQ40" si="294">AQ39*AQ41</f>
        <v>954.18986436668251</v>
      </c>
      <c r="AR40" s="140">
        <f t="shared" ref="AR40" si="295">AR39*AR41</f>
        <v>830.6549713958251</v>
      </c>
      <c r="AS40" s="141">
        <f>SUM(AO40:AR40)</f>
        <v>3301.4869399761151</v>
      </c>
      <c r="AT40" s="140">
        <f>AT39*AT41</f>
        <v>837.04927753521474</v>
      </c>
      <c r="AU40" s="140">
        <f t="shared" ref="AU40" si="296">AU39*AU41</f>
        <v>912.91138809791903</v>
      </c>
      <c r="AV40" s="140">
        <f t="shared" ref="AV40" si="297">AV39*AV41</f>
        <v>1098.9872078912754</v>
      </c>
      <c r="AW40" s="140">
        <f t="shared" ref="AW40" si="298">AW39*AW41</f>
        <v>964.56223875425462</v>
      </c>
      <c r="AX40" s="141">
        <f>SUM(AT40:AW40)</f>
        <v>3813.5101122786637</v>
      </c>
      <c r="AY40" s="140">
        <f>AY39*AY41</f>
        <v>952.4505395154182</v>
      </c>
      <c r="AZ40" s="140">
        <f t="shared" ref="AZ40" si="299">AZ39*AZ41</f>
        <v>1066.8682962095249</v>
      </c>
      <c r="BA40" s="140">
        <f t="shared" ref="BA40" si="300">BA39*BA41</f>
        <v>1265.65348973194</v>
      </c>
      <c r="BB40" s="140">
        <f t="shared" ref="BB40" si="301">BB39*BB41</f>
        <v>1119.9391297659138</v>
      </c>
      <c r="BC40" s="159">
        <f>SUM(AY40:BB40)</f>
        <v>4404.9114552227975</v>
      </c>
    </row>
    <row r="41" spans="2:55" s="82" customFormat="1" outlineLevel="1" x14ac:dyDescent="0.15">
      <c r="B41" s="430" t="s">
        <v>64</v>
      </c>
      <c r="C41" s="102"/>
      <c r="D41" s="102"/>
      <c r="E41" s="102"/>
      <c r="F41" s="118">
        <f>F40/F39</f>
        <v>0.16707266296545908</v>
      </c>
      <c r="G41" s="118">
        <f t="shared" ref="G41:AD41" si="302">G40/G39</f>
        <v>0.17841762898669525</v>
      </c>
      <c r="H41" s="118">
        <f t="shared" si="302"/>
        <v>0.15870081097752045</v>
      </c>
      <c r="I41" s="118">
        <f t="shared" si="302"/>
        <v>0.12192815349100193</v>
      </c>
      <c r="J41" s="119">
        <f t="shared" si="302"/>
        <v>0.15252353263293697</v>
      </c>
      <c r="K41" s="118">
        <f t="shared" si="302"/>
        <v>0.1406161548404968</v>
      </c>
      <c r="L41" s="118">
        <f t="shared" si="302"/>
        <v>0.18297867156604952</v>
      </c>
      <c r="M41" s="118">
        <f t="shared" si="302"/>
        <v>0.1852222206687216</v>
      </c>
      <c r="N41" s="118">
        <f t="shared" si="302"/>
        <v>5.7449847575507682E-2</v>
      </c>
      <c r="O41" s="119">
        <f t="shared" si="302"/>
        <v>0.14052334043580128</v>
      </c>
      <c r="P41" s="118">
        <f t="shared" si="302"/>
        <v>-7.6749442223741221E-2</v>
      </c>
      <c r="Q41" s="118">
        <f t="shared" si="302"/>
        <v>5.0395752225813537E-2</v>
      </c>
      <c r="R41" s="118">
        <f t="shared" si="302"/>
        <v>0.11447685114529729</v>
      </c>
      <c r="S41" s="118">
        <f t="shared" si="302"/>
        <v>0.10845158040624919</v>
      </c>
      <c r="T41" s="119">
        <f t="shared" si="302"/>
        <v>8.229591292566947E-2</v>
      </c>
      <c r="U41" s="118">
        <f t="shared" si="302"/>
        <v>0.16329974459260918</v>
      </c>
      <c r="V41" s="118">
        <f t="shared" si="302"/>
        <v>0.21529308505822542</v>
      </c>
      <c r="W41" s="118">
        <f t="shared" si="302"/>
        <v>0.15338555192184558</v>
      </c>
      <c r="X41" s="118">
        <f t="shared" si="302"/>
        <v>0.12413340706611291</v>
      </c>
      <c r="Y41" s="119">
        <f t="shared" si="302"/>
        <v>0.15536576989990936</v>
      </c>
      <c r="Z41" s="118">
        <f t="shared" si="302"/>
        <v>0.16098138718601418</v>
      </c>
      <c r="AA41" s="118">
        <f t="shared" si="302"/>
        <v>0.18289298606348595</v>
      </c>
      <c r="AB41" s="120">
        <f t="shared" si="302"/>
        <v>0.15468508822369229</v>
      </c>
      <c r="AC41" s="118">
        <v>0.25</v>
      </c>
      <c r="AD41" s="119">
        <f t="shared" si="302"/>
        <v>0.18639280295650312</v>
      </c>
      <c r="AE41" s="118">
        <f>AC41</f>
        <v>0.25</v>
      </c>
      <c r="AF41" s="118">
        <f>AE41</f>
        <v>0.25</v>
      </c>
      <c r="AG41" s="118">
        <f t="shared" ref="AG41:AH41" si="303">AF41</f>
        <v>0.25</v>
      </c>
      <c r="AH41" s="118">
        <f t="shared" si="303"/>
        <v>0.25</v>
      </c>
      <c r="AI41" s="119">
        <f t="shared" ref="AI41" si="304">AI40/AI39</f>
        <v>0.25000000000000006</v>
      </c>
      <c r="AJ41" s="118">
        <f>AH41</f>
        <v>0.25</v>
      </c>
      <c r="AK41" s="118">
        <f>AJ41</f>
        <v>0.25</v>
      </c>
      <c r="AL41" s="118">
        <f t="shared" ref="AL41:AM41" si="305">AK41</f>
        <v>0.25</v>
      </c>
      <c r="AM41" s="118">
        <f t="shared" si="305"/>
        <v>0.25</v>
      </c>
      <c r="AN41" s="119">
        <f t="shared" ref="AN41" si="306">AN40/AN39</f>
        <v>0.25</v>
      </c>
      <c r="AO41" s="105">
        <f>AJ41</f>
        <v>0.25</v>
      </c>
      <c r="AP41" s="105">
        <f t="shared" ref="AP41:AP42" si="307">AK41</f>
        <v>0.25</v>
      </c>
      <c r="AQ41" s="105">
        <f t="shared" ref="AQ41:AQ42" si="308">AL41</f>
        <v>0.25</v>
      </c>
      <c r="AR41" s="105">
        <f t="shared" ref="AR41:AR42" si="309">AM41</f>
        <v>0.25</v>
      </c>
      <c r="AS41" s="119">
        <f t="shared" ref="AS41" si="310">AS40/AS39</f>
        <v>0.25000000000000006</v>
      </c>
      <c r="AT41" s="105">
        <f>AO41</f>
        <v>0.25</v>
      </c>
      <c r="AU41" s="105">
        <f t="shared" ref="AU41:AU42" si="311">AP41</f>
        <v>0.25</v>
      </c>
      <c r="AV41" s="105">
        <f t="shared" ref="AV41:AV42" si="312">AQ41</f>
        <v>0.25</v>
      </c>
      <c r="AW41" s="105">
        <f t="shared" ref="AW41:AW42" si="313">AR41</f>
        <v>0.25</v>
      </c>
      <c r="AX41" s="119">
        <f t="shared" ref="AX41" si="314">AX40/AX39</f>
        <v>0.24999999999999992</v>
      </c>
      <c r="AY41" s="105">
        <f>AT41</f>
        <v>0.25</v>
      </c>
      <c r="AZ41" s="105">
        <f t="shared" ref="AZ41:AZ42" si="315">AU41</f>
        <v>0.25</v>
      </c>
      <c r="BA41" s="105">
        <f t="shared" ref="BA41:BA42" si="316">AV41</f>
        <v>0.25</v>
      </c>
      <c r="BB41" s="105">
        <f t="shared" ref="BB41:BB42" si="317">AW41</f>
        <v>0.25</v>
      </c>
      <c r="BC41" s="131">
        <f t="shared" ref="BC41" si="318">BC40/BC39</f>
        <v>0.24999999999999994</v>
      </c>
    </row>
    <row r="42" spans="2:55" s="82" customFormat="1" ht="13" outlineLevel="1" thickBot="1" x14ac:dyDescent="0.2">
      <c r="B42" s="121" t="s">
        <v>8</v>
      </c>
      <c r="C42" s="122"/>
      <c r="D42" s="122"/>
      <c r="E42" s="122"/>
      <c r="F42" s="431">
        <v>0</v>
      </c>
      <c r="G42" s="431">
        <v>0</v>
      </c>
      <c r="H42" s="431">
        <v>0</v>
      </c>
      <c r="I42" s="123">
        <v>19.668199999999999</v>
      </c>
      <c r="J42" s="111">
        <f>SUM(F42:I42)</f>
        <v>19.668199999999999</v>
      </c>
      <c r="K42" s="123">
        <v>21.637799999999999</v>
      </c>
      <c r="L42" s="123">
        <v>-5.1264000000000003</v>
      </c>
      <c r="M42" s="123">
        <v>-0.34889999999999999</v>
      </c>
      <c r="N42" s="123">
        <v>-21.908899999999999</v>
      </c>
      <c r="O42" s="111">
        <f>SUM(K42:N42)</f>
        <v>-5.7464000000000013</v>
      </c>
      <c r="P42" s="123">
        <v>-13.628</v>
      </c>
      <c r="Q42" s="123">
        <v>-8.6515000000000004</v>
      </c>
      <c r="R42" s="123">
        <v>-12.8995</v>
      </c>
      <c r="S42" s="123">
        <v>14.504799999999999</v>
      </c>
      <c r="T42" s="111">
        <f>SUM(P42:S42)</f>
        <v>-20.674200000000003</v>
      </c>
      <c r="U42" s="123">
        <v>-26.256</v>
      </c>
      <c r="V42" s="123">
        <v>-21.346900000000002</v>
      </c>
      <c r="W42" s="123">
        <v>-23.937999999999999</v>
      </c>
      <c r="X42" s="123">
        <v>-29.7044</v>
      </c>
      <c r="Y42" s="111">
        <f>SUM(U42:X42)</f>
        <v>-101.24530000000001</v>
      </c>
      <c r="Z42" s="123">
        <v>-15.886699999999999</v>
      </c>
      <c r="AA42" s="123">
        <v>-15.912100000000001</v>
      </c>
      <c r="AB42" s="123">
        <v>-120.5274</v>
      </c>
      <c r="AC42" s="432">
        <v>0</v>
      </c>
      <c r="AD42" s="111">
        <f>SUM(Z42:AC42)</f>
        <v>-152.3262</v>
      </c>
      <c r="AE42" s="433">
        <v>0</v>
      </c>
      <c r="AF42" s="433">
        <v>0</v>
      </c>
      <c r="AG42" s="433">
        <v>0</v>
      </c>
      <c r="AH42" s="434">
        <f>AC42</f>
        <v>0</v>
      </c>
      <c r="AI42" s="111">
        <f>SUM(AE42:AH42)</f>
        <v>0</v>
      </c>
      <c r="AJ42" s="434">
        <f>AE42</f>
        <v>0</v>
      </c>
      <c r="AK42" s="434">
        <f t="shared" ref="AK42" si="319">AF42</f>
        <v>0</v>
      </c>
      <c r="AL42" s="434">
        <f t="shared" ref="AL42" si="320">AG42</f>
        <v>0</v>
      </c>
      <c r="AM42" s="434">
        <f t="shared" ref="AM42" si="321">AH42</f>
        <v>0</v>
      </c>
      <c r="AN42" s="111">
        <f>SUM(AJ42:AM42)</f>
        <v>0</v>
      </c>
      <c r="AO42" s="434">
        <f>AJ42</f>
        <v>0</v>
      </c>
      <c r="AP42" s="434">
        <f t="shared" si="307"/>
        <v>0</v>
      </c>
      <c r="AQ42" s="434">
        <f t="shared" si="308"/>
        <v>0</v>
      </c>
      <c r="AR42" s="434">
        <f t="shared" si="309"/>
        <v>0</v>
      </c>
      <c r="AS42" s="111">
        <f>SUM(AO42:AR42)</f>
        <v>0</v>
      </c>
      <c r="AT42" s="434">
        <f>AO42</f>
        <v>0</v>
      </c>
      <c r="AU42" s="434">
        <f t="shared" si="311"/>
        <v>0</v>
      </c>
      <c r="AV42" s="434">
        <f t="shared" si="312"/>
        <v>0</v>
      </c>
      <c r="AW42" s="434">
        <f t="shared" si="313"/>
        <v>0</v>
      </c>
      <c r="AX42" s="111">
        <f>SUM(AT42:AW42)</f>
        <v>0</v>
      </c>
      <c r="AY42" s="434">
        <f>AT42</f>
        <v>0</v>
      </c>
      <c r="AZ42" s="434">
        <f t="shared" si="315"/>
        <v>0</v>
      </c>
      <c r="BA42" s="434">
        <f t="shared" si="316"/>
        <v>0</v>
      </c>
      <c r="BB42" s="434">
        <f t="shared" si="317"/>
        <v>0</v>
      </c>
      <c r="BC42" s="158">
        <f>SUM(AY42:BB42)</f>
        <v>0</v>
      </c>
    </row>
    <row r="43" spans="2:55" s="82" customFormat="1" ht="13" outlineLevel="1" thickBot="1" x14ac:dyDescent="0.2">
      <c r="B43" s="102"/>
      <c r="C43" s="102"/>
      <c r="D43" s="102"/>
      <c r="E43" s="102"/>
      <c r="F43" s="133"/>
      <c r="G43" s="133"/>
      <c r="H43" s="133"/>
      <c r="I43" s="106"/>
      <c r="J43" s="107"/>
      <c r="K43" s="106"/>
      <c r="L43" s="106"/>
      <c r="M43" s="106"/>
      <c r="N43" s="106"/>
      <c r="O43" s="107"/>
      <c r="P43" s="106"/>
      <c r="Q43" s="106"/>
      <c r="R43" s="106"/>
      <c r="S43" s="106"/>
      <c r="T43" s="107"/>
      <c r="U43" s="106"/>
      <c r="V43" s="106"/>
      <c r="W43" s="106"/>
      <c r="X43" s="106"/>
      <c r="Y43" s="107"/>
      <c r="Z43" s="106"/>
      <c r="AA43" s="106"/>
      <c r="AB43" s="108"/>
      <c r="AC43" s="142"/>
      <c r="AD43" s="107"/>
      <c r="AE43" s="142"/>
      <c r="AF43" s="142"/>
      <c r="AG43" s="142"/>
      <c r="AH43" s="143"/>
      <c r="AI43" s="107"/>
      <c r="AJ43" s="143"/>
      <c r="AK43" s="143"/>
      <c r="AL43" s="143"/>
      <c r="AM43" s="143"/>
      <c r="AN43" s="107"/>
      <c r="AO43" s="143"/>
      <c r="AP43" s="143"/>
      <c r="AQ43" s="143"/>
      <c r="AR43" s="143"/>
      <c r="AS43" s="107"/>
      <c r="AT43" s="143"/>
      <c r="AU43" s="143"/>
      <c r="AV43" s="143"/>
      <c r="AW43" s="143"/>
      <c r="AX43" s="107"/>
      <c r="AY43" s="143"/>
      <c r="AZ43" s="143"/>
      <c r="BA43" s="143"/>
      <c r="BB43" s="143"/>
      <c r="BC43" s="107"/>
    </row>
    <row r="44" spans="2:55" s="82" customFormat="1" outlineLevel="1" x14ac:dyDescent="0.15">
      <c r="B44" s="112" t="s">
        <v>60</v>
      </c>
      <c r="C44" s="113">
        <f>(AD44/J44)^(1/4)-1</f>
        <v>0.31471901022214732</v>
      </c>
      <c r="D44" s="113">
        <f>(BC44/AD44)^(1/4)-1</f>
        <v>0.22945660460251127</v>
      </c>
      <c r="E44" s="113"/>
      <c r="F44" s="114">
        <f>F39-F40-F42</f>
        <v>364.39229893750053</v>
      </c>
      <c r="G44" s="114">
        <f>G39-G40-G42</f>
        <v>399.01611484615341</v>
      </c>
      <c r="H44" s="114">
        <f>H39-H40-H42</f>
        <v>535.64826847692689</v>
      </c>
      <c r="I44" s="114">
        <f>I39-I40-I42</f>
        <v>636.80288738461343</v>
      </c>
      <c r="J44" s="115">
        <f>SUM(F44:I44)</f>
        <v>1935.8595696451944</v>
      </c>
      <c r="K44" s="114">
        <f>K39-K40-K42</f>
        <v>537.37911484375002</v>
      </c>
      <c r="L44" s="114">
        <f>L39-L40-L42</f>
        <v>577.37768680000033</v>
      </c>
      <c r="M44" s="114">
        <f>M39-M40-M42</f>
        <v>663.30137473077298</v>
      </c>
      <c r="N44" s="114">
        <f>N39-N40-N42</f>
        <v>772.63034965909105</v>
      </c>
      <c r="O44" s="115">
        <f>SUM(K44:N44)</f>
        <v>2550.6885260336144</v>
      </c>
      <c r="P44" s="114">
        <f>P39-P40-P42</f>
        <v>284.48401085936962</v>
      </c>
      <c r="Q44" s="114">
        <f>Q39-Q40-Q42</f>
        <v>413.02669311538364</v>
      </c>
      <c r="R44" s="114">
        <f>R39-R40-R42</f>
        <v>572.02590325000313</v>
      </c>
      <c r="S44" s="114">
        <f>S39-S40-S42</f>
        <v>1119.6375992045366</v>
      </c>
      <c r="T44" s="115">
        <f>SUM(P44:S44)</f>
        <v>2389.174206429293</v>
      </c>
      <c r="U44" s="114">
        <f>U39-U40-U42</f>
        <v>300.39949977846231</v>
      </c>
      <c r="V44" s="114">
        <f>V39-V40-V42</f>
        <v>688.71108607538395</v>
      </c>
      <c r="W44" s="114">
        <f>W39-W40-W42</f>
        <v>1097.0616248923081</v>
      </c>
      <c r="X44" s="114">
        <f>X39-X40-X42</f>
        <v>1461.4822456697029</v>
      </c>
      <c r="Y44" s="115">
        <f>SUM(U44:X44)</f>
        <v>3547.6544564158576</v>
      </c>
      <c r="Z44" s="114">
        <f t="shared" ref="Z44:BC44" si="322">Z39-Z40-Z42</f>
        <v>1460.4919960687503</v>
      </c>
      <c r="AA44" s="114">
        <f t="shared" si="322"/>
        <v>1115.652096664609</v>
      </c>
      <c r="AB44" s="129">
        <f t="shared" si="322"/>
        <v>1864.6987600000054</v>
      </c>
      <c r="AC44" s="114">
        <f t="shared" si="322"/>
        <v>1342.8553139573576</v>
      </c>
      <c r="AD44" s="115">
        <f t="shared" si="322"/>
        <v>5783.6981666907195</v>
      </c>
      <c r="AE44" s="114">
        <f t="shared" si="322"/>
        <v>1753.3822840155303</v>
      </c>
      <c r="AF44" s="114">
        <f t="shared" si="322"/>
        <v>1730.7329746037849</v>
      </c>
      <c r="AG44" s="114">
        <f t="shared" si="322"/>
        <v>2235.3282713306126</v>
      </c>
      <c r="AH44" s="114">
        <f t="shared" si="322"/>
        <v>1913.6907791733229</v>
      </c>
      <c r="AI44" s="115">
        <f t="shared" si="322"/>
        <v>7633.1343091232484</v>
      </c>
      <c r="AJ44" s="114">
        <f t="shared" si="322"/>
        <v>1938.9455506384802</v>
      </c>
      <c r="AK44" s="114">
        <f t="shared" si="322"/>
        <v>2004.5577984037595</v>
      </c>
      <c r="AL44" s="114">
        <f t="shared" si="322"/>
        <v>2548.0169135606752</v>
      </c>
      <c r="AM44" s="114">
        <f t="shared" si="322"/>
        <v>2200.0433408202725</v>
      </c>
      <c r="AN44" s="115">
        <f t="shared" si="322"/>
        <v>8691.5636034231866</v>
      </c>
      <c r="AO44" s="114">
        <f t="shared" si="322"/>
        <v>2206.6930591452765</v>
      </c>
      <c r="AP44" s="114">
        <f t="shared" si="322"/>
        <v>2343.2332534955467</v>
      </c>
      <c r="AQ44" s="114">
        <f t="shared" si="322"/>
        <v>2862.5695931000473</v>
      </c>
      <c r="AR44" s="114">
        <f t="shared" si="322"/>
        <v>2491.9649141874752</v>
      </c>
      <c r="AS44" s="115">
        <f t="shared" si="322"/>
        <v>9904.460819928343</v>
      </c>
      <c r="AT44" s="114">
        <f t="shared" si="322"/>
        <v>2511.147832605644</v>
      </c>
      <c r="AU44" s="114">
        <f t="shared" si="322"/>
        <v>2738.7341642937572</v>
      </c>
      <c r="AV44" s="114">
        <f t="shared" si="322"/>
        <v>3296.9616236738261</v>
      </c>
      <c r="AW44" s="114">
        <f t="shared" si="322"/>
        <v>2893.6867162627641</v>
      </c>
      <c r="AX44" s="115">
        <f t="shared" si="322"/>
        <v>11440.530336835996</v>
      </c>
      <c r="AY44" s="114">
        <f t="shared" si="322"/>
        <v>2857.3516185462545</v>
      </c>
      <c r="AZ44" s="114">
        <f t="shared" si="322"/>
        <v>3200.6048886285748</v>
      </c>
      <c r="BA44" s="114">
        <f t="shared" si="322"/>
        <v>3796.9604691958202</v>
      </c>
      <c r="BB44" s="114">
        <f t="shared" si="322"/>
        <v>3359.8173892977411</v>
      </c>
      <c r="BC44" s="130">
        <f t="shared" si="322"/>
        <v>13214.734365668395</v>
      </c>
    </row>
    <row r="45" spans="2:55" s="82" customFormat="1" outlineLevel="1" x14ac:dyDescent="0.15">
      <c r="B45" s="117" t="s">
        <v>57</v>
      </c>
      <c r="C45" s="102"/>
      <c r="D45" s="102"/>
      <c r="E45" s="102"/>
      <c r="F45" s="118">
        <f>F44/F$10</f>
        <v>0.17596213659270332</v>
      </c>
      <c r="G45" s="118">
        <f t="shared" ref="G45" si="323">G44/G$10</f>
        <v>0.17245642119480717</v>
      </c>
      <c r="H45" s="118">
        <f t="shared" ref="H45" si="324">H44/H$10</f>
        <v>0.18627932764683947</v>
      </c>
      <c r="I45" s="118">
        <f t="shared" ref="I45:J45" si="325">I44/I$10</f>
        <v>0.21117797979754374</v>
      </c>
      <c r="J45" s="119">
        <f t="shared" si="325"/>
        <v>0.18839440311290906</v>
      </c>
      <c r="K45" s="118">
        <f>K44/K$10</f>
        <v>0.19129101930796377</v>
      </c>
      <c r="L45" s="118">
        <f t="shared" ref="L45" si="326">L44/L$10</f>
        <v>0.17672603535960713</v>
      </c>
      <c r="M45" s="118">
        <f t="shared" ref="M45" si="327">M44/M$10</f>
        <v>0.2054681359862284</v>
      </c>
      <c r="N45" s="118">
        <f t="shared" ref="N45:O45" si="328">N44/N$10</f>
        <v>0.21546537185762302</v>
      </c>
      <c r="O45" s="119">
        <f t="shared" si="328"/>
        <v>0.19787485014403355</v>
      </c>
      <c r="P45" s="118">
        <f>P44/P$10</f>
        <v>0.11238221361593945</v>
      </c>
      <c r="Q45" s="118">
        <f t="shared" ref="Q45" si="329">Q44/Q$10</f>
        <v>0.14315197719647316</v>
      </c>
      <c r="R45" s="118">
        <f t="shared" ref="R45" si="330">R44/R$10</f>
        <v>0.17224177382993794</v>
      </c>
      <c r="S45" s="118">
        <f t="shared" ref="S45:T45" si="331">S44/S$10</f>
        <v>0.25051404991918003</v>
      </c>
      <c r="T45" s="119">
        <f t="shared" si="331"/>
        <v>0.18090138010467097</v>
      </c>
      <c r="U45" s="118">
        <f>U44/U$10</f>
        <v>0.11157089398859905</v>
      </c>
      <c r="V45" s="118">
        <f t="shared" ref="V45" si="332">V44/V$10</f>
        <v>0.18820098784826814</v>
      </c>
      <c r="W45" s="118">
        <f t="shared" ref="W45" si="333">W44/W$10</f>
        <v>0.23736734522948338</v>
      </c>
      <c r="X45" s="118">
        <f t="shared" ref="X45:Y45" si="334">X44/X$10</f>
        <v>0.28798098804191391</v>
      </c>
      <c r="Y45" s="119">
        <f t="shared" si="334"/>
        <v>0.22105676321964715</v>
      </c>
      <c r="Z45" s="118">
        <f>Z44/Z$10</f>
        <v>0.27807696362623718</v>
      </c>
      <c r="AA45" s="118">
        <f t="shared" ref="AA45" si="335">AA44/AA$10</f>
        <v>0.23021244017948417</v>
      </c>
      <c r="AB45" s="120">
        <f t="shared" ref="AB45:AD45" si="336">AB44/AB$10</f>
        <v>0.30436539164812126</v>
      </c>
      <c r="AC45" s="118">
        <f t="shared" si="336"/>
        <v>0.25778211107740867</v>
      </c>
      <c r="AD45" s="119">
        <f t="shared" si="336"/>
        <v>0.26983657244687315</v>
      </c>
      <c r="AE45" s="118">
        <f t="shared" ref="AE45" si="337">AE44/AE$10</f>
        <v>0.28851898036971957</v>
      </c>
      <c r="AF45" s="118">
        <f t="shared" ref="AF45" si="338">AF44/AF$10</f>
        <v>0.2885143554202898</v>
      </c>
      <c r="AG45" s="118">
        <f t="shared" ref="AG45" si="339">AG44/AG$10</f>
        <v>0.2963879301978018</v>
      </c>
      <c r="AH45" s="118">
        <f t="shared" ref="AH45" si="340">AH44/AH$10</f>
        <v>0.29617857843680834</v>
      </c>
      <c r="AI45" s="119">
        <f t="shared" ref="AI45" si="341">AI44/AI$10</f>
        <v>0.29269127611668322</v>
      </c>
      <c r="AJ45" s="118">
        <f t="shared" ref="AJ45" si="342">AJ44/AJ$10</f>
        <v>0.29621729347405296</v>
      </c>
      <c r="AK45" s="118">
        <f t="shared" ref="AK45" si="343">AK44/AK$10</f>
        <v>0.29628556959146946</v>
      </c>
      <c r="AL45" s="118">
        <f t="shared" ref="AL45" si="344">AL44/AL$10</f>
        <v>0.30408648038159791</v>
      </c>
      <c r="AM45" s="118">
        <f t="shared" ref="AM45" si="345">AM44/AM$10</f>
        <v>0.30392207887508227</v>
      </c>
      <c r="AN45" s="119">
        <f t="shared" ref="AN45" si="346">AN44/AN$10</f>
        <v>0.30044045436142663</v>
      </c>
      <c r="AO45" s="118">
        <f t="shared" ref="AO45" si="347">AO44/AO$10</f>
        <v>0.29647696225854447</v>
      </c>
      <c r="AP45" s="118">
        <f t="shared" ref="AP45" si="348">AP44/AP$10</f>
        <v>0.29656921910662432</v>
      </c>
      <c r="AQ45" s="118">
        <f t="shared" ref="AQ45" si="349">AQ44/AQ$10</f>
        <v>0.29680113423054316</v>
      </c>
      <c r="AR45" s="118">
        <f t="shared" ref="AR45" si="350">AR44/AR$10</f>
        <v>0.29667891787479439</v>
      </c>
      <c r="AS45" s="119">
        <f t="shared" ref="AS45" si="351">AS44/AS$10</f>
        <v>0.29664324190410896</v>
      </c>
      <c r="AT45" s="118">
        <f t="shared" ref="AT45" si="352">AT44/AT$10</f>
        <v>0.29670545490890043</v>
      </c>
      <c r="AU45" s="118">
        <f t="shared" ref="AU45" si="353">AU44/AU$10</f>
        <v>0.29681036701222102</v>
      </c>
      <c r="AV45" s="118">
        <f t="shared" ref="AV45" si="354">AV44/AV$10</f>
        <v>0.29698744598195026</v>
      </c>
      <c r="AW45" s="118">
        <f t="shared" ref="AW45" si="355">AW44/AW$10</f>
        <v>0.29689987979907811</v>
      </c>
      <c r="AX45" s="119">
        <f t="shared" ref="AX45" si="356">AX44/AX$10</f>
        <v>0.29686097428841907</v>
      </c>
      <c r="AY45" s="118">
        <f t="shared" ref="AY45" si="357">AY44/AY$10</f>
        <v>0.2969074972800908</v>
      </c>
      <c r="AZ45" s="118">
        <f t="shared" ref="AZ45" si="358">AZ44/AZ$10</f>
        <v>0.29701602770514085</v>
      </c>
      <c r="BA45" s="118">
        <f t="shared" ref="BA45" si="359">BA44/BA$10</f>
        <v>0.29714947837245775</v>
      </c>
      <c r="BB45" s="118">
        <f t="shared" ref="BB45" si="360">BB44/BB$10</f>
        <v>0.2970899309962346</v>
      </c>
      <c r="BC45" s="131">
        <f t="shared" ref="BC45" si="361">BC44/BC$10</f>
        <v>0.297049667922967</v>
      </c>
    </row>
    <row r="46" spans="2:55" s="82" customFormat="1" ht="13" outlineLevel="1" thickBot="1" x14ac:dyDescent="0.2">
      <c r="B46" s="121" t="s">
        <v>58</v>
      </c>
      <c r="C46" s="122"/>
      <c r="D46" s="122"/>
      <c r="E46" s="122"/>
      <c r="F46" s="123"/>
      <c r="G46" s="123"/>
      <c r="H46" s="123"/>
      <c r="I46" s="123"/>
      <c r="J46" s="111"/>
      <c r="K46" s="124">
        <f>K44/F44-1</f>
        <v>0.47472687104158506</v>
      </c>
      <c r="L46" s="124">
        <f t="shared" ref="L46" si="362">L44/G44-1</f>
        <v>0.44700342998080878</v>
      </c>
      <c r="M46" s="124">
        <f t="shared" ref="M46" si="363">M44/H44-1</f>
        <v>0.23831516643714257</v>
      </c>
      <c r="N46" s="124">
        <f t="shared" ref="N46" si="364">N44/I44-1</f>
        <v>0.2132959271468271</v>
      </c>
      <c r="O46" s="125">
        <f>O44/J44-1</f>
        <v>0.31759997782334293</v>
      </c>
      <c r="P46" s="124">
        <f>P44/K44-1</f>
        <v>-0.47060836009213525</v>
      </c>
      <c r="Q46" s="124">
        <f t="shared" ref="Q46" si="365">Q44/L44-1</f>
        <v>-0.28465075364359682</v>
      </c>
      <c r="R46" s="124">
        <f t="shared" ref="R46" si="366">R44/M44-1</f>
        <v>-0.13760784306804374</v>
      </c>
      <c r="S46" s="124">
        <f t="shared" ref="S46" si="367">S44/N44-1</f>
        <v>0.44912453891897486</v>
      </c>
      <c r="T46" s="125">
        <f>T44/O44-1</f>
        <v>-6.332185131811463E-2</v>
      </c>
      <c r="U46" s="124">
        <f>U44/P44-1</f>
        <v>5.5945108728659987E-2</v>
      </c>
      <c r="V46" s="124">
        <f t="shared" ref="V46" si="368">V44/Q44-1</f>
        <v>0.66747354966470596</v>
      </c>
      <c r="W46" s="124">
        <f t="shared" ref="W46" si="369">W44/R44-1</f>
        <v>0.91785305291120522</v>
      </c>
      <c r="X46" s="124">
        <f t="shared" ref="X46" si="370">X44/S44-1</f>
        <v>0.30531722649188886</v>
      </c>
      <c r="Y46" s="125">
        <f>Y44/T44-1</f>
        <v>0.48488730828797744</v>
      </c>
      <c r="Z46" s="124">
        <f>Z44/U44-1</f>
        <v>3.8618323171171367</v>
      </c>
      <c r="AA46" s="124">
        <f t="shared" ref="AA46" si="371">AA44/V44-1</f>
        <v>0.61991307998560874</v>
      </c>
      <c r="AB46" s="126">
        <f t="shared" ref="AB46" si="372">AB44/W44-1</f>
        <v>0.69972107098637371</v>
      </c>
      <c r="AC46" s="124">
        <f t="shared" ref="AC46" si="373">AC44/X44-1</f>
        <v>-8.1168917421905684E-2</v>
      </c>
      <c r="AD46" s="125">
        <f>AD44/Y44-1</f>
        <v>0.630287909306112</v>
      </c>
      <c r="AE46" s="124">
        <f>AE44/Z44-1</f>
        <v>0.20054220682835755</v>
      </c>
      <c r="AF46" s="124">
        <f t="shared" ref="AF46" si="374">AF44/AA44-1</f>
        <v>0.55131960920258427</v>
      </c>
      <c r="AG46" s="124">
        <f t="shared" ref="AG46" si="375">AG44/AB44-1</f>
        <v>0.19876106494037993</v>
      </c>
      <c r="AH46" s="124">
        <f t="shared" ref="AH46" si="376">AH44/AC44-1</f>
        <v>0.42509081900545853</v>
      </c>
      <c r="AI46" s="125">
        <f>AI44/AD44-1</f>
        <v>0.31976705718907317</v>
      </c>
      <c r="AJ46" s="124">
        <f>AJ44/AE44-1</f>
        <v>0.10583160803813985</v>
      </c>
      <c r="AK46" s="124">
        <f t="shared" ref="AK46" si="377">AK44/AF44-1</f>
        <v>0.1582132124469755</v>
      </c>
      <c r="AL46" s="124">
        <f t="shared" ref="AL46" si="378">AL44/AG44-1</f>
        <v>0.13988488681527311</v>
      </c>
      <c r="AM46" s="124">
        <f t="shared" ref="AM46" si="379">AM44/AH44-1</f>
        <v>0.14963366326645966</v>
      </c>
      <c r="AN46" s="125">
        <f>AN44/AI44-1</f>
        <v>0.13866247486761574</v>
      </c>
      <c r="AO46" s="124">
        <f>AO44/AJ44-1</f>
        <v>0.13808923536745477</v>
      </c>
      <c r="AP46" s="124">
        <f t="shared" ref="AP46" si="380">AP44/AK44-1</f>
        <v>0.16895270136958707</v>
      </c>
      <c r="AQ46" s="124">
        <f t="shared" ref="AQ46" si="381">AQ44/AL44-1</f>
        <v>0.12344999668774048</v>
      </c>
      <c r="AR46" s="124">
        <f t="shared" ref="AR46" si="382">AR44/AM44-1</f>
        <v>0.13268901023484458</v>
      </c>
      <c r="AS46" s="125">
        <f>AS44/AN44-1</f>
        <v>0.13954879373228701</v>
      </c>
      <c r="AT46" s="124">
        <f>AT44/AO44-1</f>
        <v>0.13796879099184389</v>
      </c>
      <c r="AU46" s="124">
        <f t="shared" ref="AU46" si="383">AU44/AP44-1</f>
        <v>0.16878426857770878</v>
      </c>
      <c r="AV46" s="124">
        <f t="shared" ref="AV46" si="384">AV44/AQ44-1</f>
        <v>0.15174898511492607</v>
      </c>
      <c r="AW46" s="124">
        <f t="shared" ref="AW46" si="385">AW44/AR44-1</f>
        <v>0.16120684516389883</v>
      </c>
      <c r="AX46" s="125">
        <f>AX44/AS44-1</f>
        <v>0.15508865599397326</v>
      </c>
      <c r="AY46" s="124">
        <f>AY44/AT44-1</f>
        <v>0.13786674820389955</v>
      </c>
      <c r="AZ46" s="124">
        <f t="shared" ref="AZ46" si="386">AZ44/AU44-1</f>
        <v>0.16864386852745938</v>
      </c>
      <c r="BA46" s="124">
        <f t="shared" ref="BA46" si="387">BA44/AV44-1</f>
        <v>0.15165443295783398</v>
      </c>
      <c r="BB46" s="124">
        <f t="shared" ref="BB46" si="388">BB44/AW44-1</f>
        <v>0.16108539684523659</v>
      </c>
      <c r="BC46" s="132">
        <f>BC44/AX44-1</f>
        <v>0.15508057551491738</v>
      </c>
    </row>
    <row r="47" spans="2:55" s="82" customFormat="1" outlineLevel="1" x14ac:dyDescent="0.15">
      <c r="B47" s="102"/>
      <c r="C47" s="102"/>
      <c r="D47" s="102"/>
      <c r="E47" s="102"/>
      <c r="F47" s="144"/>
      <c r="G47" s="144"/>
      <c r="H47" s="144"/>
      <c r="I47" s="144"/>
      <c r="J47" s="145"/>
      <c r="K47" s="144"/>
      <c r="L47" s="144"/>
      <c r="M47" s="144"/>
      <c r="N47" s="144"/>
      <c r="O47" s="145"/>
      <c r="P47" s="144"/>
      <c r="Q47" s="144"/>
      <c r="R47" s="144"/>
      <c r="S47" s="144"/>
      <c r="T47" s="145"/>
      <c r="U47" s="144"/>
      <c r="V47" s="144"/>
      <c r="W47" s="144"/>
      <c r="X47" s="144"/>
      <c r="Y47" s="145"/>
      <c r="Z47" s="144"/>
      <c r="AA47" s="144"/>
      <c r="AB47" s="146"/>
      <c r="AD47" s="145"/>
      <c r="AI47" s="145"/>
      <c r="AN47" s="145"/>
      <c r="AS47" s="145"/>
      <c r="AX47" s="145"/>
      <c r="BC47" s="145"/>
    </row>
    <row r="48" spans="2:55" s="82" customFormat="1" ht="13" outlineLevel="1" thickBot="1" x14ac:dyDescent="0.2">
      <c r="B48" s="102" t="s">
        <v>9</v>
      </c>
      <c r="C48" s="102"/>
      <c r="D48" s="102"/>
      <c r="E48" s="102"/>
      <c r="F48" s="106">
        <v>432.3</v>
      </c>
      <c r="G48" s="106">
        <v>432.4</v>
      </c>
      <c r="H48" s="106">
        <v>432</v>
      </c>
      <c r="I48" s="106">
        <v>430.3</v>
      </c>
      <c r="J48" s="107">
        <f>I48</f>
        <v>430.3</v>
      </c>
      <c r="K48" s="106">
        <v>428.9</v>
      </c>
      <c r="L48" s="106">
        <v>427.6</v>
      </c>
      <c r="M48" s="106">
        <v>425.9</v>
      </c>
      <c r="N48" s="106">
        <v>423.6</v>
      </c>
      <c r="O48" s="107">
        <f>N48</f>
        <v>423.6</v>
      </c>
      <c r="P48" s="106">
        <v>422.5</v>
      </c>
      <c r="Q48" s="106">
        <v>421.8</v>
      </c>
      <c r="R48" s="106">
        <v>421.7</v>
      </c>
      <c r="S48" s="106">
        <v>420.4</v>
      </c>
      <c r="T48" s="107">
        <f>S48</f>
        <v>420.4</v>
      </c>
      <c r="U48" s="106">
        <v>419.7</v>
      </c>
      <c r="V48" s="106">
        <v>419</v>
      </c>
      <c r="W48" s="106">
        <v>419.2</v>
      </c>
      <c r="X48" s="106">
        <v>418.5</v>
      </c>
      <c r="Y48" s="107">
        <f>X48</f>
        <v>418.5</v>
      </c>
      <c r="Z48" s="106">
        <v>415.8</v>
      </c>
      <c r="AA48" s="106">
        <v>412</v>
      </c>
      <c r="AB48" s="108">
        <v>408.6</v>
      </c>
      <c r="AC48" s="106">
        <f>AB48-(SUM('Share Buyback Program'!C23:C27)/100000)</f>
        <v>394.60761000000002</v>
      </c>
      <c r="AD48" s="107">
        <f>AC48</f>
        <v>394.60761000000002</v>
      </c>
      <c r="AE48" s="106">
        <f>AC48-('Share Buyback Program'!$C$30/100000)/8</f>
        <v>384.56915972007556</v>
      </c>
      <c r="AF48" s="106">
        <f>AD48-('Share Buyback Program'!$C$30/100000)/8</f>
        <v>384.56915972007556</v>
      </c>
      <c r="AG48" s="106">
        <f>AE48-('Share Buyback Program'!$C$30/100000)/8</f>
        <v>374.5307094401511</v>
      </c>
      <c r="AH48" s="106">
        <f>AF48-('Share Buyback Program'!$C$30/100000)/8</f>
        <v>374.5307094401511</v>
      </c>
      <c r="AI48" s="107">
        <f>AH48</f>
        <v>374.5307094401511</v>
      </c>
      <c r="AJ48" s="106">
        <f>AI48-('Share Buyback Program'!$C$30/100000)/8</f>
        <v>364.49225916022664</v>
      </c>
      <c r="AK48" s="106">
        <f>AJ48-('Share Buyback Program'!$C$30/100000)/8</f>
        <v>354.45380888030218</v>
      </c>
      <c r="AL48" s="106">
        <f>AK48-('Share Buyback Program'!$C$30/100000)/8</f>
        <v>344.41535860037771</v>
      </c>
      <c r="AM48" s="106">
        <f>AL48-('Share Buyback Program'!$C$30/100000)/8</f>
        <v>334.37690832045325</v>
      </c>
      <c r="AN48" s="107">
        <f>AM48</f>
        <v>334.37690832045325</v>
      </c>
      <c r="AO48" s="106">
        <f>AN48</f>
        <v>334.37690832045325</v>
      </c>
      <c r="AP48" s="106">
        <f t="shared" ref="AP48:AR48" si="389">AO48</f>
        <v>334.37690832045325</v>
      </c>
      <c r="AQ48" s="106">
        <f t="shared" si="389"/>
        <v>334.37690832045325</v>
      </c>
      <c r="AR48" s="106">
        <f t="shared" si="389"/>
        <v>334.37690832045325</v>
      </c>
      <c r="AS48" s="107">
        <f>AR48</f>
        <v>334.37690832045325</v>
      </c>
      <c r="AT48" s="106">
        <f>AR48</f>
        <v>334.37690832045325</v>
      </c>
      <c r="AU48" s="140">
        <f>AT48</f>
        <v>334.37690832045325</v>
      </c>
      <c r="AV48" s="140">
        <f t="shared" ref="AV48:AW48" si="390">AU48</f>
        <v>334.37690832045325</v>
      </c>
      <c r="AW48" s="140">
        <f t="shared" si="390"/>
        <v>334.37690832045325</v>
      </c>
      <c r="AX48" s="107">
        <f>AW48</f>
        <v>334.37690832045325</v>
      </c>
      <c r="AY48" s="106">
        <f>AW48</f>
        <v>334.37690832045325</v>
      </c>
      <c r="AZ48" s="140">
        <f>AY48</f>
        <v>334.37690832045325</v>
      </c>
      <c r="BA48" s="140">
        <f t="shared" ref="BA48:BB48" si="391">AZ48</f>
        <v>334.37690832045325</v>
      </c>
      <c r="BB48" s="140">
        <f t="shared" si="391"/>
        <v>334.37690832045325</v>
      </c>
      <c r="BC48" s="107">
        <f>BB48</f>
        <v>334.37690832045325</v>
      </c>
    </row>
    <row r="49" spans="2:56" s="82" customFormat="1" ht="13" outlineLevel="1" thickBot="1" x14ac:dyDescent="0.2">
      <c r="B49" s="102" t="s">
        <v>10</v>
      </c>
      <c r="C49" s="102"/>
      <c r="D49" s="102"/>
      <c r="E49" s="102"/>
      <c r="F49" s="147">
        <f>F44/F48</f>
        <v>0.8429153341140424</v>
      </c>
      <c r="G49" s="147">
        <f t="shared" ref="G49:I49" si="392">G44/G48</f>
        <v>0.92279397512986461</v>
      </c>
      <c r="H49" s="147">
        <f t="shared" si="392"/>
        <v>1.2399265474002936</v>
      </c>
      <c r="I49" s="147">
        <f t="shared" si="392"/>
        <v>1.4799044559251997</v>
      </c>
      <c r="J49" s="148">
        <f>SUM(F49:I49)</f>
        <v>4.4855403125694</v>
      </c>
      <c r="K49" s="147">
        <f>K44/K48</f>
        <v>1.2529240262153183</v>
      </c>
      <c r="L49" s="147">
        <f t="shared" ref="L49" si="393">L44/L48</f>
        <v>1.3502752263797948</v>
      </c>
      <c r="M49" s="147">
        <f t="shared" ref="M49" si="394">M44/M48</f>
        <v>1.5574110700417305</v>
      </c>
      <c r="N49" s="147">
        <f t="shared" ref="N49" si="395">N44/N48</f>
        <v>1.8239621096767966</v>
      </c>
      <c r="O49" s="148">
        <f>SUM(K49:N49)</f>
        <v>5.98457243231364</v>
      </c>
      <c r="P49" s="147">
        <f>P44/P48</f>
        <v>0.67333493694525348</v>
      </c>
      <c r="Q49" s="147">
        <f t="shared" ref="Q49" si="396">Q44/Q48</f>
        <v>0.97920031558886589</v>
      </c>
      <c r="R49" s="147">
        <f t="shared" ref="R49" si="397">R44/R48</f>
        <v>1.35647593846337</v>
      </c>
      <c r="S49" s="147">
        <f t="shared" ref="S49" si="398">S44/S48</f>
        <v>2.6632673625226846</v>
      </c>
      <c r="T49" s="148">
        <f>SUM(P49:S49)</f>
        <v>5.6722785535201741</v>
      </c>
      <c r="U49" s="147">
        <f>U44/U48</f>
        <v>0.71574815291508775</v>
      </c>
      <c r="V49" s="147">
        <f t="shared" ref="V49" si="399">V44/V48</f>
        <v>1.643701876074902</v>
      </c>
      <c r="W49" s="147">
        <f t="shared" ref="W49" si="400">W44/W48</f>
        <v>2.6170363189224908</v>
      </c>
      <c r="X49" s="147">
        <f t="shared" ref="X49" si="401">X44/X48</f>
        <v>3.4921917459252163</v>
      </c>
      <c r="Y49" s="148">
        <f>SUM(U49:X49)</f>
        <v>8.4686780938376973</v>
      </c>
      <c r="Z49" s="147">
        <f>Z44/Z48</f>
        <v>3.5124867630321073</v>
      </c>
      <c r="AA49" s="147">
        <f t="shared" ref="AA49" si="402">AA44/AA48</f>
        <v>2.7078934385063325</v>
      </c>
      <c r="AB49" s="149">
        <f t="shared" ref="AB49:AC49" si="403">AB44/AB48</f>
        <v>4.5636288790993769</v>
      </c>
      <c r="AC49" s="147">
        <f t="shared" si="403"/>
        <v>3.4030142347162475</v>
      </c>
      <c r="AD49" s="148">
        <f>SUM(Z49:AC49)</f>
        <v>14.187023315354063</v>
      </c>
      <c r="AE49" s="147">
        <f>AE44/AE48</f>
        <v>4.5593419017057988</v>
      </c>
      <c r="AF49" s="147">
        <f t="shared" ref="AF49:AH49" si="404">AF44/AF48</f>
        <v>4.50044661892173</v>
      </c>
      <c r="AG49" s="147">
        <f t="shared" si="404"/>
        <v>5.9683444240713497</v>
      </c>
      <c r="AH49" s="147">
        <f t="shared" si="404"/>
        <v>5.1095697387109054</v>
      </c>
      <c r="AI49" s="150">
        <f>SUM(AE49:AH49)</f>
        <v>20.137702683409785</v>
      </c>
      <c r="AJ49" s="147">
        <f>AJ44/AJ48</f>
        <v>5.3195795024720729</v>
      </c>
      <c r="AK49" s="147">
        <f t="shared" ref="AK49:AM49" si="405">AK44/AK48</f>
        <v>5.6553428068273117</v>
      </c>
      <c r="AL49" s="147">
        <f t="shared" si="405"/>
        <v>7.3980931742278022</v>
      </c>
      <c r="AM49" s="147">
        <f t="shared" si="405"/>
        <v>6.5795313195247331</v>
      </c>
      <c r="AN49" s="150">
        <f>SUM(AJ49:AM49)</f>
        <v>24.95254680305192</v>
      </c>
      <c r="AO49" s="147">
        <f>AO44/AO48</f>
        <v>6.5994182141024869</v>
      </c>
      <c r="AP49" s="147">
        <f t="shared" ref="AP49:AR49" si="406">AP44/AP48</f>
        <v>7.0077603901100947</v>
      </c>
      <c r="AQ49" s="147">
        <f t="shared" si="406"/>
        <v>8.5609069342691484</v>
      </c>
      <c r="AR49" s="147">
        <f t="shared" si="406"/>
        <v>7.4525628181216304</v>
      </c>
      <c r="AS49" s="150">
        <f>SUM(AO49:AR49)</f>
        <v>29.620648356603361</v>
      </c>
      <c r="AT49" s="147">
        <f>AT44/AT48</f>
        <v>7.5099319663517612</v>
      </c>
      <c r="AU49" s="147">
        <f t="shared" ref="AU49:AW49" si="407">AU44/AU48</f>
        <v>8.1905601019226655</v>
      </c>
      <c r="AV49" s="147">
        <f t="shared" si="407"/>
        <v>9.8600158732078231</v>
      </c>
      <c r="AW49" s="147">
        <f t="shared" si="407"/>
        <v>8.6539669584167935</v>
      </c>
      <c r="AX49" s="150">
        <f>SUM(AT49:AW49)</f>
        <v>34.214474899899045</v>
      </c>
      <c r="AY49" s="147">
        <f>AY44/AY48</f>
        <v>8.5453018657851949</v>
      </c>
      <c r="AZ49" s="147">
        <f t="shared" ref="AZ49:BB49" si="408">AZ44/AZ48</f>
        <v>9.5718478429175651</v>
      </c>
      <c r="BA49" s="147">
        <f t="shared" si="408"/>
        <v>11.3553309894144</v>
      </c>
      <c r="BB49" s="147">
        <f t="shared" si="408"/>
        <v>10.047994660198929</v>
      </c>
      <c r="BC49" s="150">
        <f>SUM(AY49:BB49)</f>
        <v>39.520475358316091</v>
      </c>
    </row>
    <row r="50" spans="2:56" s="82" customFormat="1" outlineLevel="1" x14ac:dyDescent="0.15">
      <c r="B50" s="102"/>
      <c r="C50" s="102"/>
      <c r="D50" s="102"/>
      <c r="E50" s="102"/>
      <c r="F50" s="147"/>
      <c r="G50" s="147"/>
      <c r="H50" s="147"/>
      <c r="I50" s="147"/>
      <c r="J50" s="151"/>
      <c r="K50" s="147"/>
      <c r="L50" s="147"/>
      <c r="M50" s="147"/>
      <c r="N50" s="147"/>
      <c r="O50" s="151"/>
      <c r="P50" s="147"/>
      <c r="Q50" s="147"/>
      <c r="R50" s="147"/>
      <c r="S50" s="147"/>
      <c r="T50" s="151"/>
      <c r="U50" s="147"/>
      <c r="V50" s="147"/>
      <c r="W50" s="147"/>
      <c r="X50" s="147"/>
      <c r="Y50" s="151"/>
      <c r="Z50" s="147"/>
      <c r="AA50" s="147"/>
      <c r="AB50" s="149"/>
      <c r="AC50" s="147"/>
      <c r="AD50" s="152"/>
      <c r="AI50" s="96"/>
      <c r="AN50" s="96"/>
      <c r="AS50" s="96"/>
      <c r="AX50" s="96"/>
      <c r="BC50" s="96"/>
    </row>
    <row r="51" spans="2:56" s="82" customFormat="1" outlineLevel="1" x14ac:dyDescent="0.15">
      <c r="B51" s="102"/>
      <c r="C51" s="102"/>
      <c r="D51" s="102"/>
      <c r="E51" s="102"/>
      <c r="F51" s="147"/>
      <c r="G51" s="147"/>
      <c r="H51" s="147"/>
      <c r="I51" s="147"/>
      <c r="J51" s="151"/>
      <c r="K51" s="147"/>
      <c r="L51" s="147"/>
      <c r="M51" s="147"/>
      <c r="N51" s="147"/>
      <c r="O51" s="151"/>
      <c r="P51" s="147"/>
      <c r="Q51" s="147"/>
      <c r="R51" s="147"/>
      <c r="S51" s="147"/>
      <c r="T51" s="151"/>
      <c r="U51" s="147"/>
      <c r="V51" s="147"/>
      <c r="W51" s="147"/>
      <c r="X51" s="147"/>
      <c r="Y51" s="151"/>
      <c r="Z51" s="147"/>
      <c r="AA51" s="147"/>
      <c r="AB51" s="149"/>
      <c r="AC51" s="147"/>
      <c r="AD51" s="96"/>
      <c r="AI51" s="96"/>
      <c r="AN51" s="96"/>
      <c r="AS51" s="96"/>
      <c r="AX51" s="96"/>
      <c r="BC51" s="96"/>
    </row>
    <row r="52" spans="2:56" s="82" customFormat="1" ht="13" thickBot="1" x14ac:dyDescent="0.2">
      <c r="B52" s="102"/>
      <c r="C52" s="102"/>
      <c r="D52" s="102"/>
      <c r="E52" s="102"/>
      <c r="F52" s="147"/>
      <c r="G52" s="147"/>
      <c r="H52" s="147"/>
      <c r="I52" s="147"/>
      <c r="J52" s="151"/>
      <c r="K52" s="147"/>
      <c r="L52" s="147"/>
      <c r="M52" s="147"/>
      <c r="N52" s="147"/>
      <c r="O52" s="151"/>
      <c r="P52" s="147"/>
      <c r="Q52" s="147"/>
      <c r="R52" s="147"/>
      <c r="S52" s="147"/>
      <c r="T52" s="151"/>
      <c r="U52" s="147"/>
      <c r="V52" s="147"/>
      <c r="W52" s="147"/>
      <c r="X52" s="147"/>
      <c r="Y52" s="151"/>
      <c r="Z52" s="147"/>
      <c r="AA52" s="147"/>
      <c r="AB52" s="149"/>
      <c r="AC52" s="147"/>
      <c r="AD52" s="96"/>
      <c r="AI52" s="96"/>
      <c r="AN52" s="96"/>
      <c r="AS52" s="96"/>
      <c r="AX52" s="96"/>
      <c r="BC52" s="96"/>
    </row>
    <row r="53" spans="2:56" s="82" customFormat="1" ht="17" thickBot="1" x14ac:dyDescent="0.25">
      <c r="B53" s="513" t="s">
        <v>28</v>
      </c>
      <c r="C53" s="514"/>
      <c r="D53" s="515"/>
      <c r="E53" s="153"/>
      <c r="F53" s="147"/>
      <c r="G53" s="147"/>
      <c r="H53" s="147"/>
      <c r="I53" s="147"/>
      <c r="J53" s="151"/>
      <c r="K53" s="147"/>
      <c r="L53" s="147"/>
      <c r="M53" s="147"/>
      <c r="N53" s="147"/>
      <c r="O53" s="151"/>
      <c r="P53" s="147"/>
      <c r="Q53" s="147"/>
      <c r="R53" s="147"/>
      <c r="S53" s="147"/>
      <c r="T53" s="151"/>
      <c r="U53" s="147"/>
      <c r="V53" s="147"/>
      <c r="W53" s="147"/>
      <c r="X53" s="147"/>
      <c r="Y53" s="151"/>
      <c r="Z53" s="147"/>
      <c r="AA53" s="147"/>
      <c r="AB53" s="149"/>
      <c r="AC53" s="147"/>
      <c r="AD53" s="96"/>
      <c r="AI53" s="96"/>
      <c r="AN53" s="96"/>
      <c r="AS53" s="96"/>
      <c r="AX53" s="96"/>
      <c r="BC53" s="96"/>
    </row>
    <row r="54" spans="2:56" s="82" customFormat="1" outlineLevel="1" x14ac:dyDescent="0.15">
      <c r="B54" s="98"/>
      <c r="C54" s="98"/>
      <c r="D54" s="98"/>
      <c r="E54" s="98"/>
      <c r="J54" s="96"/>
      <c r="O54" s="96"/>
      <c r="T54" s="96"/>
      <c r="Y54" s="96"/>
      <c r="AB54" s="97"/>
      <c r="AD54" s="96"/>
      <c r="AI54" s="96"/>
      <c r="AN54" s="96"/>
      <c r="AS54" s="96"/>
      <c r="AX54" s="96"/>
      <c r="BC54" s="96"/>
    </row>
    <row r="55" spans="2:56" s="82" customFormat="1" ht="13" outlineLevel="1" thickBot="1" x14ac:dyDescent="0.2">
      <c r="B55" s="154" t="s">
        <v>12</v>
      </c>
      <c r="C55" s="102"/>
      <c r="D55" s="102"/>
      <c r="E55" s="102"/>
      <c r="F55" s="144"/>
      <c r="G55" s="144"/>
      <c r="H55" s="144"/>
      <c r="I55" s="144"/>
      <c r="J55" s="145"/>
      <c r="K55" s="144"/>
      <c r="L55" s="144"/>
      <c r="M55" s="144"/>
      <c r="N55" s="144"/>
      <c r="O55" s="145"/>
      <c r="P55" s="144"/>
      <c r="Q55" s="144"/>
      <c r="R55" s="144"/>
      <c r="S55" s="144"/>
      <c r="T55" s="145"/>
      <c r="U55" s="144"/>
      <c r="V55" s="144"/>
      <c r="W55" s="144"/>
      <c r="X55" s="144"/>
      <c r="Y55" s="145"/>
      <c r="Z55" s="144"/>
      <c r="AA55" s="144"/>
      <c r="AB55" s="146"/>
      <c r="AD55" s="96"/>
      <c r="AI55" s="96"/>
      <c r="AN55" s="96"/>
      <c r="AS55" s="96"/>
      <c r="AX55" s="96"/>
      <c r="BC55" s="96"/>
    </row>
    <row r="56" spans="2:56" s="82" customFormat="1" outlineLevel="1" x14ac:dyDescent="0.15">
      <c r="B56" s="274" t="s">
        <v>68</v>
      </c>
      <c r="C56" s="155"/>
      <c r="D56" s="155"/>
      <c r="E56" s="155"/>
      <c r="F56" s="114">
        <v>3113.4688000000001</v>
      </c>
      <c r="G56" s="114">
        <v>2184.6765</v>
      </c>
      <c r="H56" s="114">
        <v>2452.1913</v>
      </c>
      <c r="I56" s="114">
        <v>2715.7698</v>
      </c>
      <c r="J56" s="115">
        <f>I56</f>
        <v>2715.7698</v>
      </c>
      <c r="K56" s="114">
        <v>3038.3589999999999</v>
      </c>
      <c r="L56" s="114">
        <v>2715.7199000000001</v>
      </c>
      <c r="M56" s="114">
        <v>2558.7964999999999</v>
      </c>
      <c r="N56" s="114">
        <v>3574.2837</v>
      </c>
      <c r="O56" s="115">
        <f>N56</f>
        <v>3574.2837</v>
      </c>
      <c r="P56" s="114">
        <v>2528.0913</v>
      </c>
      <c r="Q56" s="114">
        <v>1886.8434999999999</v>
      </c>
      <c r="R56" s="114">
        <v>1729.3248000000001</v>
      </c>
      <c r="S56" s="114">
        <v>3966.4196999999999</v>
      </c>
      <c r="T56" s="115">
        <f>S56</f>
        <v>3966.4196999999999</v>
      </c>
      <c r="U56" s="114">
        <v>3022.7622999999999</v>
      </c>
      <c r="V56" s="114">
        <v>3929.4893000000002</v>
      </c>
      <c r="W56" s="114">
        <v>4103.2498999999998</v>
      </c>
      <c r="X56" s="114">
        <v>7395.3914999999997</v>
      </c>
      <c r="Y56" s="115">
        <f>X56</f>
        <v>7395.3914999999997</v>
      </c>
      <c r="Z56" s="114">
        <v>3815.0331999999999</v>
      </c>
      <c r="AA56" s="114">
        <v>6143.009</v>
      </c>
      <c r="AB56" s="129">
        <v>5008.3963999999996</v>
      </c>
      <c r="AC56" s="156">
        <f>AB56+AC132</f>
        <v>7214.8811015238134</v>
      </c>
      <c r="AD56" s="115">
        <f>AC56</f>
        <v>7214.8811015238134</v>
      </c>
      <c r="AE56" s="156">
        <f>AD56+AE132</f>
        <v>4180.7875491181248</v>
      </c>
      <c r="AF56" s="156">
        <f>AE56+AF132</f>
        <v>5292.5551465367489</v>
      </c>
      <c r="AG56" s="156">
        <f>AF56+AG132</f>
        <v>3534.5133193142638</v>
      </c>
      <c r="AH56" s="156">
        <f>AG56+AH132</f>
        <v>5091.3134996993213</v>
      </c>
      <c r="AI56" s="115">
        <f>AH56</f>
        <v>5091.3134996993213</v>
      </c>
      <c r="AJ56" s="156">
        <f>AI56+AJ132</f>
        <v>4032.5706128871443</v>
      </c>
      <c r="AK56" s="156">
        <f>AJ56+AK132</f>
        <v>2073.5293147445923</v>
      </c>
      <c r="AL56" s="156">
        <f>AK56+AL132</f>
        <v>1703.7641400545619</v>
      </c>
      <c r="AM56" s="156">
        <f>AL56+AM132</f>
        <v>4809.7125508351364</v>
      </c>
      <c r="AN56" s="115">
        <f>AM56</f>
        <v>4809.7125508351364</v>
      </c>
      <c r="AO56" s="156">
        <f>AN56+AO132</f>
        <v>1978.0166536457054</v>
      </c>
      <c r="AP56" s="156">
        <f>AO56+AP132</f>
        <v>1497.0780135983623</v>
      </c>
      <c r="AQ56" s="156">
        <f>AP56+AQ132</f>
        <v>1042.1678873383416</v>
      </c>
      <c r="AR56" s="156">
        <f>AQ56+AR132</f>
        <v>4968.2239099317867</v>
      </c>
      <c r="AS56" s="115">
        <f>AR56</f>
        <v>4968.2239099317867</v>
      </c>
      <c r="AT56" s="156">
        <f>AS56+AT132</f>
        <v>4508.9318178184812</v>
      </c>
      <c r="AU56" s="156">
        <f>AT56+AU132</f>
        <v>3867.6232405818528</v>
      </c>
      <c r="AV56" s="156">
        <f>AU56+AV132</f>
        <v>3369.9260161316556</v>
      </c>
      <c r="AW56" s="156">
        <f>AV56+AW132</f>
        <v>7868.6244483427909</v>
      </c>
      <c r="AX56" s="115">
        <f>AW56</f>
        <v>7868.6244483427909</v>
      </c>
      <c r="AY56" s="156">
        <f>AX56+AY132</f>
        <v>7206.7737274028732</v>
      </c>
      <c r="AZ56" s="156">
        <f>AY56+AZ132</f>
        <v>6719.8655285601999</v>
      </c>
      <c r="BA56" s="156">
        <f>AZ56+BA132</f>
        <v>6060.4005328487674</v>
      </c>
      <c r="BB56" s="156">
        <f>BA56+BB132</f>
        <v>11625.105978829646</v>
      </c>
      <c r="BC56" s="130">
        <f>BB56</f>
        <v>11625.105978829646</v>
      </c>
    </row>
    <row r="57" spans="2:56" s="82" customFormat="1" outlineLevel="1" x14ac:dyDescent="0.15">
      <c r="B57" s="117" t="s">
        <v>69</v>
      </c>
      <c r="C57" s="102"/>
      <c r="D57" s="102"/>
      <c r="E57" s="102"/>
      <c r="F57" s="106">
        <v>989.47249999999997</v>
      </c>
      <c r="G57" s="106">
        <v>684.78</v>
      </c>
      <c r="H57" s="106">
        <v>708.18</v>
      </c>
      <c r="I57" s="106">
        <v>1237.4245000000001</v>
      </c>
      <c r="J57" s="107">
        <f t="shared" ref="J57:J69" si="409">I57</f>
        <v>1237.4245000000001</v>
      </c>
      <c r="K57" s="106">
        <v>899.00810000000001</v>
      </c>
      <c r="L57" s="106">
        <v>764.02610000000004</v>
      </c>
      <c r="M57" s="106">
        <v>864.43</v>
      </c>
      <c r="N57" s="106">
        <v>1045.9112</v>
      </c>
      <c r="O57" s="107">
        <f t="shared" ref="O57:O69" si="410">N57</f>
        <v>1045.9112</v>
      </c>
      <c r="P57" s="106">
        <v>1146.8984</v>
      </c>
      <c r="Q57" s="106">
        <v>765.02859999999998</v>
      </c>
      <c r="R57" s="106">
        <v>527.48710000000005</v>
      </c>
      <c r="S57" s="106">
        <v>1331.5347999999999</v>
      </c>
      <c r="T57" s="107">
        <f t="shared" ref="T57:T69" si="411">S57</f>
        <v>1331.5347999999999</v>
      </c>
      <c r="U57" s="106">
        <v>1540.5134</v>
      </c>
      <c r="V57" s="106">
        <v>1056.9675999999999</v>
      </c>
      <c r="W57" s="106">
        <v>1018.173</v>
      </c>
      <c r="X57" s="106">
        <v>1591.9395</v>
      </c>
      <c r="Y57" s="107">
        <f t="shared" ref="Y57:Y69" si="412">X57</f>
        <v>1591.9395</v>
      </c>
      <c r="Z57" s="106">
        <v>1660.1828</v>
      </c>
      <c r="AA57" s="106">
        <v>221.1275</v>
      </c>
      <c r="AB57" s="108">
        <v>158.87889999999999</v>
      </c>
      <c r="AC57" s="140">
        <v>1504</v>
      </c>
      <c r="AD57" s="107">
        <v>1504</v>
      </c>
      <c r="AE57" s="140">
        <v>1674</v>
      </c>
      <c r="AF57" s="140">
        <v>441</v>
      </c>
      <c r="AG57" s="140">
        <v>1543</v>
      </c>
      <c r="AH57" s="140">
        <v>967</v>
      </c>
      <c r="AI57" s="107">
        <v>967</v>
      </c>
      <c r="AJ57" s="140">
        <v>788</v>
      </c>
      <c r="AK57" s="140">
        <v>1554</v>
      </c>
      <c r="AL57" s="140">
        <v>1058</v>
      </c>
      <c r="AM57" s="140">
        <v>802</v>
      </c>
      <c r="AN57" s="107">
        <v>802</v>
      </c>
      <c r="AO57" s="140">
        <v>1762</v>
      </c>
      <c r="AP57" s="140">
        <v>1400</v>
      </c>
      <c r="AQ57" s="140">
        <v>1023</v>
      </c>
      <c r="AR57" s="140">
        <v>1544</v>
      </c>
      <c r="AS57" s="107">
        <v>1144</v>
      </c>
      <c r="AT57" s="140">
        <v>478</v>
      </c>
      <c r="AU57" s="140">
        <v>1153</v>
      </c>
      <c r="AV57" s="140">
        <v>1025</v>
      </c>
      <c r="AW57" s="140">
        <v>1806</v>
      </c>
      <c r="AX57" s="107">
        <v>1806</v>
      </c>
      <c r="AY57" s="140">
        <v>957</v>
      </c>
      <c r="AZ57" s="140">
        <v>1000</v>
      </c>
      <c r="BA57" s="140">
        <v>1406</v>
      </c>
      <c r="BB57" s="140">
        <v>1983</v>
      </c>
      <c r="BC57" s="107">
        <v>1014</v>
      </c>
      <c r="BD57" s="367"/>
    </row>
    <row r="58" spans="2:56" s="82" customFormat="1" outlineLevel="1" x14ac:dyDescent="0.15">
      <c r="B58" s="273" t="s">
        <v>233</v>
      </c>
      <c r="C58" s="102"/>
      <c r="D58" s="102"/>
      <c r="E58" s="102"/>
      <c r="F58" s="106">
        <v>1296.1555000000001</v>
      </c>
      <c r="G58" s="106">
        <v>1869.6777</v>
      </c>
      <c r="H58" s="106">
        <v>2127.3726999999999</v>
      </c>
      <c r="I58" s="106">
        <v>2163.2386999999999</v>
      </c>
      <c r="J58" s="107">
        <f t="shared" si="409"/>
        <v>2163.2386999999999</v>
      </c>
      <c r="K58" s="106">
        <v>2258.4297000000001</v>
      </c>
      <c r="L58" s="106">
        <v>2030.1632</v>
      </c>
      <c r="M58" s="106">
        <v>3019.8723</v>
      </c>
      <c r="N58" s="106">
        <v>2415.5704000000001</v>
      </c>
      <c r="O58" s="107">
        <f t="shared" si="410"/>
        <v>2415.5704000000001</v>
      </c>
      <c r="P58" s="106">
        <v>2383.2282</v>
      </c>
      <c r="Q58" s="106">
        <v>2564.6350000000002</v>
      </c>
      <c r="R58" s="106">
        <v>2928.1097</v>
      </c>
      <c r="S58" s="106">
        <v>2640.2748000000001</v>
      </c>
      <c r="T58" s="107">
        <f t="shared" si="411"/>
        <v>2640.2748000000001</v>
      </c>
      <c r="U58" s="106">
        <v>2792.3678</v>
      </c>
      <c r="V58" s="106">
        <v>3191.0045</v>
      </c>
      <c r="W58" s="106">
        <v>5012.6689999999999</v>
      </c>
      <c r="X58" s="106">
        <v>3692.9279999999999</v>
      </c>
      <c r="Y58" s="107">
        <f t="shared" si="412"/>
        <v>3692.9279999999999</v>
      </c>
      <c r="Z58" s="106">
        <v>5242.8185999999996</v>
      </c>
      <c r="AA58" s="106">
        <v>5234.3374000000003</v>
      </c>
      <c r="AB58" s="108">
        <v>5298.9012000000002</v>
      </c>
      <c r="AC58" s="127">
        <f>AC92*(AC10/90)</f>
        <v>3528.554665598901</v>
      </c>
      <c r="AD58" s="107">
        <f t="shared" ref="AD58:AD69" si="413">AC58</f>
        <v>3528.554665598901</v>
      </c>
      <c r="AE58" s="127">
        <f>AE92*(AE10/90)</f>
        <v>5744.061680592321</v>
      </c>
      <c r="AF58" s="127">
        <f>AF92*(AF10/90)</f>
        <v>5192.4949063530466</v>
      </c>
      <c r="AG58" s="127">
        <f>AG92*(AG10/90)</f>
        <v>7101.864740754947</v>
      </c>
      <c r="AH58" s="127">
        <f>AH92*(AH10/90)</f>
        <v>4376.6168082470194</v>
      </c>
      <c r="AI58" s="107">
        <f t="shared" ref="AI58:AI69" si="414">AH58</f>
        <v>4376.6168082470194</v>
      </c>
      <c r="AJ58" s="127">
        <f>AJ92*(AJ10/90)</f>
        <v>6186.8854229583831</v>
      </c>
      <c r="AK58" s="127">
        <f>AK92*(AK10/90)</f>
        <v>5856.2757935969739</v>
      </c>
      <c r="AL58" s="127">
        <f>AL92*(AL10/90)</f>
        <v>7890.3595590532759</v>
      </c>
      <c r="AM58" s="127">
        <f>AM92*(AM10/90)</f>
        <v>4903.3104278973369</v>
      </c>
      <c r="AN58" s="107">
        <f t="shared" ref="AN58:AN69" si="415">AM58</f>
        <v>4903.3104278973369</v>
      </c>
      <c r="AO58" s="127">
        <f>AO92*(AO10/90)</f>
        <v>7035.0606544081784</v>
      </c>
      <c r="AP58" s="127">
        <f>AP92*(AP10/90)</f>
        <v>6839.1619251004731</v>
      </c>
      <c r="AQ58" s="127">
        <f>AQ92*(AQ10/90)</f>
        <v>9082.0125388729557</v>
      </c>
      <c r="AR58" s="127">
        <f>AR92*(AR10/90)</f>
        <v>5689.520165164271</v>
      </c>
      <c r="AS58" s="107">
        <f t="shared" ref="AS58:AS69" si="416">AR58</f>
        <v>5689.520165164271</v>
      </c>
      <c r="AT58" s="127">
        <f>AT92*(AT10/90)</f>
        <v>7999.5142996419672</v>
      </c>
      <c r="AU58" s="127">
        <f>AU92*(AU10/90)</f>
        <v>7987.0104288607881</v>
      </c>
      <c r="AV58" s="127">
        <f>AV92*(AV10/90)</f>
        <v>10453.636635811603</v>
      </c>
      <c r="AW58" s="127">
        <f>AW92*(AW10/90)</f>
        <v>6601.7928470607185</v>
      </c>
      <c r="AX58" s="107">
        <f t="shared" ref="AX58:AX69" si="417">AW58</f>
        <v>6601.7928470607185</v>
      </c>
      <c r="AY58" s="127">
        <f>AY92*(AY10/90)</f>
        <v>9096.1872503655959</v>
      </c>
      <c r="AZ58" s="127">
        <f>AZ92*(AZ10/90)</f>
        <v>9327.5077106459667</v>
      </c>
      <c r="BA58" s="127">
        <f>BA92*(BA10/90)</f>
        <v>12032.412248479852</v>
      </c>
      <c r="BB58" s="127">
        <f>BB92*(BB10/90)</f>
        <v>7660.3417388966564</v>
      </c>
      <c r="BC58" s="157">
        <f t="shared" ref="BC58:BC69" si="418">BB58</f>
        <v>7660.3417388966564</v>
      </c>
    </row>
    <row r="59" spans="2:56" s="82" customFormat="1" outlineLevel="1" x14ac:dyDescent="0.15">
      <c r="B59" s="117" t="s">
        <v>13</v>
      </c>
      <c r="C59" s="102"/>
      <c r="D59" s="102"/>
      <c r="E59" s="102"/>
      <c r="F59" s="106" t="s">
        <v>11</v>
      </c>
      <c r="G59" s="106" t="s">
        <v>11</v>
      </c>
      <c r="H59" s="106" t="s">
        <v>11</v>
      </c>
      <c r="I59" s="106">
        <v>325.07490000000001</v>
      </c>
      <c r="J59" s="107">
        <f t="shared" si="409"/>
        <v>325.07490000000001</v>
      </c>
      <c r="K59" s="106">
        <v>14.1761</v>
      </c>
      <c r="L59" s="106">
        <v>332.44420000000002</v>
      </c>
      <c r="M59" s="106">
        <v>135.53540000000001</v>
      </c>
      <c r="N59" s="106">
        <v>109.82470000000001</v>
      </c>
      <c r="O59" s="107">
        <f t="shared" si="410"/>
        <v>109.82470000000001</v>
      </c>
      <c r="P59" s="106">
        <v>116.1374</v>
      </c>
      <c r="Q59" s="106">
        <v>216.27539999999999</v>
      </c>
      <c r="R59" s="106">
        <v>313.78829999999999</v>
      </c>
      <c r="S59" s="106">
        <v>259.38990000000001</v>
      </c>
      <c r="T59" s="107">
        <f t="shared" si="411"/>
        <v>259.38990000000001</v>
      </c>
      <c r="U59" s="106">
        <v>324.17259999999999</v>
      </c>
      <c r="V59" s="106">
        <v>292.9907</v>
      </c>
      <c r="W59" s="106">
        <v>205.4239</v>
      </c>
      <c r="X59" s="106">
        <v>145.72200000000001</v>
      </c>
      <c r="Y59" s="107">
        <f t="shared" si="412"/>
        <v>145.72200000000001</v>
      </c>
      <c r="Z59" s="106">
        <v>126.31310000000001</v>
      </c>
      <c r="AA59" s="106">
        <v>211.88919999999999</v>
      </c>
      <c r="AB59" s="108">
        <v>315.4384</v>
      </c>
      <c r="AC59" s="140">
        <f>AB59</f>
        <v>315.4384</v>
      </c>
      <c r="AD59" s="107">
        <f t="shared" si="413"/>
        <v>315.4384</v>
      </c>
      <c r="AE59" s="140">
        <f>AD59</f>
        <v>315.4384</v>
      </c>
      <c r="AF59" s="140">
        <f t="shared" ref="AF59:AH59" si="419">AE59</f>
        <v>315.4384</v>
      </c>
      <c r="AG59" s="140">
        <f t="shared" si="419"/>
        <v>315.4384</v>
      </c>
      <c r="AH59" s="140">
        <f t="shared" si="419"/>
        <v>315.4384</v>
      </c>
      <c r="AI59" s="107">
        <f t="shared" si="414"/>
        <v>315.4384</v>
      </c>
      <c r="AJ59" s="140">
        <f>AI59</f>
        <v>315.4384</v>
      </c>
      <c r="AK59" s="140">
        <f t="shared" ref="AK59:AM59" si="420">AJ59</f>
        <v>315.4384</v>
      </c>
      <c r="AL59" s="140">
        <f t="shared" si="420"/>
        <v>315.4384</v>
      </c>
      <c r="AM59" s="140">
        <f t="shared" si="420"/>
        <v>315.4384</v>
      </c>
      <c r="AN59" s="107">
        <f t="shared" si="415"/>
        <v>315.4384</v>
      </c>
      <c r="AO59" s="140">
        <f>AN59</f>
        <v>315.4384</v>
      </c>
      <c r="AP59" s="140">
        <f t="shared" ref="AP59:AR59" si="421">AO59</f>
        <v>315.4384</v>
      </c>
      <c r="AQ59" s="140">
        <f t="shared" si="421"/>
        <v>315.4384</v>
      </c>
      <c r="AR59" s="140">
        <f t="shared" si="421"/>
        <v>315.4384</v>
      </c>
      <c r="AS59" s="107">
        <f t="shared" si="416"/>
        <v>315.4384</v>
      </c>
      <c r="AT59" s="140">
        <f>AS59</f>
        <v>315.4384</v>
      </c>
      <c r="AU59" s="140">
        <f t="shared" ref="AU59:AW59" si="422">AT59</f>
        <v>315.4384</v>
      </c>
      <c r="AV59" s="140">
        <f t="shared" si="422"/>
        <v>315.4384</v>
      </c>
      <c r="AW59" s="140">
        <f t="shared" si="422"/>
        <v>315.4384</v>
      </c>
      <c r="AX59" s="107">
        <f t="shared" si="417"/>
        <v>315.4384</v>
      </c>
      <c r="AY59" s="140">
        <f>AX59</f>
        <v>315.4384</v>
      </c>
      <c r="AZ59" s="140">
        <f t="shared" ref="AZ59:BB59" si="423">AY59</f>
        <v>315.4384</v>
      </c>
      <c r="BA59" s="140">
        <f t="shared" si="423"/>
        <v>315.4384</v>
      </c>
      <c r="BB59" s="140">
        <f t="shared" si="423"/>
        <v>315.4384</v>
      </c>
      <c r="BC59" s="157">
        <f t="shared" si="418"/>
        <v>315.4384</v>
      </c>
    </row>
    <row r="60" spans="2:56" s="82" customFormat="1" outlineLevel="1" x14ac:dyDescent="0.15">
      <c r="B60" s="273" t="s">
        <v>14</v>
      </c>
      <c r="C60" s="102"/>
      <c r="D60" s="102"/>
      <c r="E60" s="102"/>
      <c r="F60" s="106">
        <v>3204.5003000000002</v>
      </c>
      <c r="G60" s="106">
        <v>3580.1439999999998</v>
      </c>
      <c r="H60" s="106">
        <v>3539.1295</v>
      </c>
      <c r="I60" s="106">
        <v>3553.2222999999999</v>
      </c>
      <c r="J60" s="107">
        <f t="shared" si="409"/>
        <v>3553.2222999999999</v>
      </c>
      <c r="K60" s="106">
        <v>3983.47</v>
      </c>
      <c r="L60" s="106">
        <v>3757.0747000000001</v>
      </c>
      <c r="M60" s="106">
        <v>3951.8957999999998</v>
      </c>
      <c r="N60" s="106">
        <v>3938.9153999999999</v>
      </c>
      <c r="O60" s="107">
        <f t="shared" si="410"/>
        <v>3938.9153999999999</v>
      </c>
      <c r="P60" s="106">
        <v>4224.4821000000002</v>
      </c>
      <c r="Q60" s="106">
        <v>4446.0262000000002</v>
      </c>
      <c r="R60" s="106">
        <v>4246.7184999999999</v>
      </c>
      <c r="S60" s="106">
        <v>4277.3507</v>
      </c>
      <c r="T60" s="107">
        <f t="shared" si="411"/>
        <v>4277.3507</v>
      </c>
      <c r="U60" s="106">
        <v>4822.4138999999996</v>
      </c>
      <c r="V60" s="106">
        <v>5261.9287999999997</v>
      </c>
      <c r="W60" s="106">
        <v>5360.6580000000004</v>
      </c>
      <c r="X60" s="106">
        <v>5586.0915000000005</v>
      </c>
      <c r="Y60" s="107">
        <f t="shared" si="412"/>
        <v>5586.0915000000005</v>
      </c>
      <c r="Z60" s="106">
        <v>5584.2403999999997</v>
      </c>
      <c r="AA60" s="106">
        <v>6024.2137000000002</v>
      </c>
      <c r="AB60" s="108">
        <v>5733.7887000000001</v>
      </c>
      <c r="AC60" s="127">
        <f>AC94*(AC10/265)</f>
        <v>3651.6780469991099</v>
      </c>
      <c r="AD60" s="107">
        <f t="shared" si="413"/>
        <v>3651.6780469991099</v>
      </c>
      <c r="AE60" s="127">
        <f>AE94*(AE10/365)</f>
        <v>3329.9626065077882</v>
      </c>
      <c r="AF60" s="127">
        <f>AF94*(AF10/465)</f>
        <v>2838.1305538387783</v>
      </c>
      <c r="AG60" s="127">
        <f>AG94*(AG10/465)</f>
        <v>1946.2968965892087</v>
      </c>
      <c r="AH60" s="127">
        <f>AH94*(AH10/465)</f>
        <v>2362.1859848951644</v>
      </c>
      <c r="AI60" s="107">
        <f t="shared" si="414"/>
        <v>2362.1859848951644</v>
      </c>
      <c r="AJ60" s="127">
        <f>AJ94*(AJ10/565)</f>
        <v>1390.2343092587419</v>
      </c>
      <c r="AK60" s="127">
        <f>AK94*(AK10/565)</f>
        <v>2873.8948685792789</v>
      </c>
      <c r="AL60" s="127">
        <f>AL94*(AL10/565)</f>
        <v>1483.0532561397192</v>
      </c>
      <c r="AM60" s="127">
        <f>AM94*(AM10/665)</f>
        <v>1197.4021266941502</v>
      </c>
      <c r="AN60" s="107">
        <f t="shared" si="415"/>
        <v>1197.4021266941502</v>
      </c>
      <c r="AO60" s="127">
        <f>AO94*(AO10/365)</f>
        <v>1835.2727734070884</v>
      </c>
      <c r="AP60" s="127">
        <f>AP94*(AP10/365)</f>
        <v>3138.806808978652</v>
      </c>
      <c r="AQ60" s="127">
        <f>AQ94*(AQ10/365)</f>
        <v>2906.6337916001216</v>
      </c>
      <c r="AR60" s="127">
        <f>AR94*(AR10/365)</f>
        <v>2531.3666714281462</v>
      </c>
      <c r="AS60" s="107">
        <f t="shared" si="416"/>
        <v>2531.3666714281462</v>
      </c>
      <c r="AT60" s="127">
        <f>AT94*(AT10/365)</f>
        <v>2086.8747997807609</v>
      </c>
      <c r="AU60" s="127">
        <f>AU94*(AU10/365)</f>
        <v>3665.6074226702053</v>
      </c>
      <c r="AV60" s="127">
        <f>AV94*(AV10/365)</f>
        <v>3345.6123695827523</v>
      </c>
      <c r="AW60" s="127">
        <f>AW94*(AW10/365)</f>
        <v>2937.2526855680335</v>
      </c>
      <c r="AX60" s="107">
        <f t="shared" si="417"/>
        <v>2937.2526855680335</v>
      </c>
      <c r="AY60" s="127">
        <f>AY94*(AY10/365)</f>
        <v>2372.9695623801331</v>
      </c>
      <c r="AZ60" s="127">
        <f>AZ94*(AZ10/365)</f>
        <v>4280.8234449787988</v>
      </c>
      <c r="BA60" s="127">
        <f>BA94*(BA10/365)</f>
        <v>3850.8883230670867</v>
      </c>
      <c r="BB60" s="127">
        <f>BB94*(BB10/365)</f>
        <v>3408.2195346315389</v>
      </c>
      <c r="BC60" s="157">
        <f t="shared" si="418"/>
        <v>3408.2195346315389</v>
      </c>
    </row>
    <row r="61" spans="2:56" s="82" customFormat="1" outlineLevel="1" x14ac:dyDescent="0.15">
      <c r="B61" s="117" t="s">
        <v>15</v>
      </c>
      <c r="C61" s="102"/>
      <c r="D61" s="102"/>
      <c r="E61" s="102"/>
      <c r="F61" s="106">
        <v>777.24400000000003</v>
      </c>
      <c r="G61" s="106">
        <v>858.48590000000002</v>
      </c>
      <c r="H61" s="106">
        <v>962.41660000000002</v>
      </c>
      <c r="I61" s="106">
        <v>687.77859999999998</v>
      </c>
      <c r="J61" s="107">
        <f t="shared" si="409"/>
        <v>687.77859999999998</v>
      </c>
      <c r="K61" s="106">
        <v>1163.0524</v>
      </c>
      <c r="L61" s="106">
        <v>1159.9931999999999</v>
      </c>
      <c r="M61" s="106">
        <v>982.5444</v>
      </c>
      <c r="N61" s="106">
        <v>976.05399999999997</v>
      </c>
      <c r="O61" s="107">
        <f t="shared" si="410"/>
        <v>976.05399999999997</v>
      </c>
      <c r="P61" s="106">
        <v>1266.8508999999999</v>
      </c>
      <c r="Q61" s="106">
        <v>1361.2626</v>
      </c>
      <c r="R61" s="106">
        <v>1260.1686999999999</v>
      </c>
      <c r="S61" s="106">
        <v>1147.0423000000001</v>
      </c>
      <c r="T61" s="107">
        <f t="shared" si="411"/>
        <v>1147.0423000000001</v>
      </c>
      <c r="U61" s="106">
        <v>1592.3409999999999</v>
      </c>
      <c r="V61" s="106">
        <v>1419.8089</v>
      </c>
      <c r="W61" s="106">
        <v>1206.4007999999999</v>
      </c>
      <c r="X61" s="106">
        <v>1062.3525</v>
      </c>
      <c r="Y61" s="107">
        <f t="shared" si="412"/>
        <v>1062.3525</v>
      </c>
      <c r="Z61" s="106">
        <v>2223.8874999999998</v>
      </c>
      <c r="AA61" s="106">
        <v>1991.3317</v>
      </c>
      <c r="AB61" s="108">
        <v>1666.7208000000001</v>
      </c>
      <c r="AC61" s="140">
        <f>AB61</f>
        <v>1666.7208000000001</v>
      </c>
      <c r="AD61" s="107">
        <f t="shared" si="413"/>
        <v>1666.7208000000001</v>
      </c>
      <c r="AE61" s="140">
        <f>AD61</f>
        <v>1666.7208000000001</v>
      </c>
      <c r="AF61" s="140">
        <f t="shared" ref="AF61:AH61" si="424">AE61</f>
        <v>1666.7208000000001</v>
      </c>
      <c r="AG61" s="140">
        <f t="shared" si="424"/>
        <v>1666.7208000000001</v>
      </c>
      <c r="AH61" s="140">
        <f t="shared" si="424"/>
        <v>1666.7208000000001</v>
      </c>
      <c r="AI61" s="107">
        <f t="shared" si="414"/>
        <v>1666.7208000000001</v>
      </c>
      <c r="AJ61" s="140">
        <f>AI61</f>
        <v>1666.7208000000001</v>
      </c>
      <c r="AK61" s="140">
        <f t="shared" ref="AK61:AM61" si="425">AJ61</f>
        <v>1666.7208000000001</v>
      </c>
      <c r="AL61" s="140">
        <f t="shared" si="425"/>
        <v>1666.7208000000001</v>
      </c>
      <c r="AM61" s="140">
        <f t="shared" si="425"/>
        <v>1666.7208000000001</v>
      </c>
      <c r="AN61" s="107">
        <f t="shared" si="415"/>
        <v>1666.7208000000001</v>
      </c>
      <c r="AO61" s="140">
        <f>AN61</f>
        <v>1666.7208000000001</v>
      </c>
      <c r="AP61" s="140">
        <f t="shared" ref="AP61:AR61" si="426">AO61</f>
        <v>1666.7208000000001</v>
      </c>
      <c r="AQ61" s="140">
        <f t="shared" si="426"/>
        <v>1666.7208000000001</v>
      </c>
      <c r="AR61" s="140">
        <f t="shared" si="426"/>
        <v>1666.7208000000001</v>
      </c>
      <c r="AS61" s="107">
        <f t="shared" si="416"/>
        <v>1666.7208000000001</v>
      </c>
      <c r="AT61" s="140">
        <f>AS61</f>
        <v>1666.7208000000001</v>
      </c>
      <c r="AU61" s="140">
        <f t="shared" ref="AU61:AW61" si="427">AT61</f>
        <v>1666.7208000000001</v>
      </c>
      <c r="AV61" s="140">
        <f t="shared" si="427"/>
        <v>1666.7208000000001</v>
      </c>
      <c r="AW61" s="140">
        <f t="shared" si="427"/>
        <v>1666.7208000000001</v>
      </c>
      <c r="AX61" s="107">
        <f t="shared" si="417"/>
        <v>1666.7208000000001</v>
      </c>
      <c r="AY61" s="140">
        <f>AX61</f>
        <v>1666.7208000000001</v>
      </c>
      <c r="AZ61" s="140">
        <f t="shared" ref="AZ61:BB61" si="428">AY61</f>
        <v>1666.7208000000001</v>
      </c>
      <c r="BA61" s="140">
        <f t="shared" si="428"/>
        <v>1666.7208000000001</v>
      </c>
      <c r="BB61" s="140">
        <f t="shared" si="428"/>
        <v>1666.7208000000001</v>
      </c>
      <c r="BC61" s="157">
        <f t="shared" si="418"/>
        <v>1666.7208000000001</v>
      </c>
    </row>
    <row r="62" spans="2:56" s="82" customFormat="1" outlineLevel="1" x14ac:dyDescent="0.15">
      <c r="B62" s="117" t="s">
        <v>16</v>
      </c>
      <c r="C62" s="102"/>
      <c r="D62" s="102"/>
      <c r="E62" s="102"/>
      <c r="F62" s="106">
        <f>SUM(F56:F61)</f>
        <v>9380.8411000000015</v>
      </c>
      <c r="G62" s="106">
        <f t="shared" ref="G62:I62" si="429">SUM(G56:G61)</f>
        <v>9177.7641000000003</v>
      </c>
      <c r="H62" s="106">
        <f t="shared" si="429"/>
        <v>9789.2901000000002</v>
      </c>
      <c r="I62" s="106">
        <f t="shared" si="429"/>
        <v>10682.5088</v>
      </c>
      <c r="J62" s="107">
        <f t="shared" si="409"/>
        <v>10682.5088</v>
      </c>
      <c r="K62" s="106">
        <f>SUM(K56:K61)</f>
        <v>11356.4953</v>
      </c>
      <c r="L62" s="106">
        <f t="shared" ref="L62" si="430">SUM(L56:L61)</f>
        <v>10759.421300000002</v>
      </c>
      <c r="M62" s="106">
        <f t="shared" ref="M62" si="431">SUM(M56:M61)</f>
        <v>11513.0744</v>
      </c>
      <c r="N62" s="106">
        <f t="shared" ref="N62" si="432">SUM(N56:N61)</f>
        <v>12060.559400000002</v>
      </c>
      <c r="O62" s="107">
        <f t="shared" si="410"/>
        <v>12060.559400000002</v>
      </c>
      <c r="P62" s="106">
        <f>SUM(P56:P61)</f>
        <v>11665.6883</v>
      </c>
      <c r="Q62" s="106">
        <f t="shared" ref="Q62" si="433">SUM(Q56:Q61)</f>
        <v>11240.071300000001</v>
      </c>
      <c r="R62" s="106">
        <f t="shared" ref="R62" si="434">SUM(R56:R61)</f>
        <v>11005.597100000001</v>
      </c>
      <c r="S62" s="106">
        <f t="shared" ref="S62" si="435">SUM(S56:S61)</f>
        <v>13622.012200000001</v>
      </c>
      <c r="T62" s="107">
        <f t="shared" si="411"/>
        <v>13622.012200000001</v>
      </c>
      <c r="U62" s="106">
        <f>SUM(U56:U61)</f>
        <v>14094.571</v>
      </c>
      <c r="V62" s="106">
        <f t="shared" ref="V62" si="436">SUM(V56:V61)</f>
        <v>15152.1898</v>
      </c>
      <c r="W62" s="106">
        <f t="shared" ref="W62" si="437">SUM(W56:W61)</f>
        <v>16906.5746</v>
      </c>
      <c r="X62" s="106">
        <f t="shared" ref="X62" si="438">SUM(X56:X61)</f>
        <v>19474.425000000003</v>
      </c>
      <c r="Y62" s="107">
        <f t="shared" si="412"/>
        <v>19474.425000000003</v>
      </c>
      <c r="Z62" s="106">
        <f>SUM(Z56:Z61)</f>
        <v>18652.475599999998</v>
      </c>
      <c r="AA62" s="106">
        <f t="shared" ref="AA62" si="439">SUM(AA56:AA61)</f>
        <v>19825.908500000001</v>
      </c>
      <c r="AB62" s="108">
        <f t="shared" ref="AB62:BB62" si="440">SUM(AB56:AB61)</f>
        <v>18182.124400000001</v>
      </c>
      <c r="AC62" s="106">
        <f t="shared" si="440"/>
        <v>17881.273014121824</v>
      </c>
      <c r="AD62" s="107">
        <f t="shared" si="413"/>
        <v>17881.273014121824</v>
      </c>
      <c r="AE62" s="106">
        <f t="shared" si="440"/>
        <v>16910.971036218234</v>
      </c>
      <c r="AF62" s="106">
        <f t="shared" si="440"/>
        <v>15746.339806728574</v>
      </c>
      <c r="AG62" s="106">
        <f t="shared" si="440"/>
        <v>16107.83415665842</v>
      </c>
      <c r="AH62" s="106">
        <f t="shared" si="440"/>
        <v>14779.275492841505</v>
      </c>
      <c r="AI62" s="107">
        <f t="shared" si="414"/>
        <v>14779.275492841505</v>
      </c>
      <c r="AJ62" s="106">
        <f t="shared" si="440"/>
        <v>14379.849545104269</v>
      </c>
      <c r="AK62" s="106">
        <f t="shared" si="440"/>
        <v>14339.859176920843</v>
      </c>
      <c r="AL62" s="106">
        <f t="shared" si="440"/>
        <v>14117.336155247554</v>
      </c>
      <c r="AM62" s="106">
        <f t="shared" si="440"/>
        <v>13694.584305426626</v>
      </c>
      <c r="AN62" s="107">
        <f t="shared" si="415"/>
        <v>13694.584305426626</v>
      </c>
      <c r="AO62" s="106">
        <f t="shared" si="440"/>
        <v>14592.509281460974</v>
      </c>
      <c r="AP62" s="106">
        <f t="shared" si="440"/>
        <v>14857.205947677488</v>
      </c>
      <c r="AQ62" s="106">
        <f t="shared" si="440"/>
        <v>16035.973417811416</v>
      </c>
      <c r="AR62" s="106">
        <f t="shared" si="440"/>
        <v>16715.269946524204</v>
      </c>
      <c r="AS62" s="107">
        <f t="shared" si="416"/>
        <v>16715.269946524204</v>
      </c>
      <c r="AT62" s="106">
        <f t="shared" si="440"/>
        <v>17055.480117241208</v>
      </c>
      <c r="AU62" s="106">
        <f t="shared" si="440"/>
        <v>18655.400292112845</v>
      </c>
      <c r="AV62" s="106">
        <f t="shared" si="440"/>
        <v>20176.334221526009</v>
      </c>
      <c r="AW62" s="106">
        <f t="shared" si="440"/>
        <v>21195.829180971541</v>
      </c>
      <c r="AX62" s="107">
        <f t="shared" si="417"/>
        <v>21195.829180971541</v>
      </c>
      <c r="AY62" s="106">
        <f t="shared" si="440"/>
        <v>21615.0897401486</v>
      </c>
      <c r="AZ62" s="106">
        <f t="shared" si="440"/>
        <v>23310.355884184963</v>
      </c>
      <c r="BA62" s="106">
        <f t="shared" si="440"/>
        <v>25331.860304395705</v>
      </c>
      <c r="BB62" s="106">
        <f t="shared" si="440"/>
        <v>26658.82645235784</v>
      </c>
      <c r="BC62" s="157">
        <f t="shared" si="418"/>
        <v>26658.82645235784</v>
      </c>
    </row>
    <row r="63" spans="2:56" s="82" customFormat="1" outlineLevel="1" x14ac:dyDescent="0.15">
      <c r="B63" s="273" t="s">
        <v>73</v>
      </c>
      <c r="C63" s="102"/>
      <c r="D63" s="102"/>
      <c r="E63" s="102"/>
      <c r="F63" s="106">
        <v>1735.4812999999999</v>
      </c>
      <c r="G63" s="106">
        <v>1788.7594999999999</v>
      </c>
      <c r="H63" s="106">
        <v>1831.8255999999999</v>
      </c>
      <c r="I63" s="106">
        <v>2061.1718999999998</v>
      </c>
      <c r="J63" s="107">
        <f t="shared" si="409"/>
        <v>2061.1718999999998</v>
      </c>
      <c r="K63" s="106">
        <v>2075.2505000000001</v>
      </c>
      <c r="L63" s="106">
        <v>1999.1024</v>
      </c>
      <c r="M63" s="106">
        <v>1976.5867000000001</v>
      </c>
      <c r="N63" s="106">
        <v>1977.8749</v>
      </c>
      <c r="O63" s="107">
        <f t="shared" si="410"/>
        <v>1977.8749</v>
      </c>
      <c r="P63" s="106">
        <v>1986.0047999999999</v>
      </c>
      <c r="Q63" s="106">
        <v>2136.1734999999999</v>
      </c>
      <c r="R63" s="106">
        <v>2315.3611000000001</v>
      </c>
      <c r="S63" s="106">
        <v>2608.7213000000002</v>
      </c>
      <c r="T63" s="107">
        <f t="shared" si="411"/>
        <v>2608.7213000000002</v>
      </c>
      <c r="U63" s="106">
        <v>2622.9013</v>
      </c>
      <c r="V63" s="106">
        <v>2766.5104999999999</v>
      </c>
      <c r="W63" s="106">
        <v>2900.451</v>
      </c>
      <c r="X63" s="106">
        <v>3441.5819999999999</v>
      </c>
      <c r="Y63" s="107">
        <f t="shared" si="412"/>
        <v>3441.5819999999999</v>
      </c>
      <c r="Z63" s="106">
        <v>3370.8202000000001</v>
      </c>
      <c r="AA63" s="106">
        <v>3476.3323999999998</v>
      </c>
      <c r="AB63" s="108">
        <v>3352.9245999999998</v>
      </c>
      <c r="AC63" s="140">
        <f>AC99</f>
        <v>3389.3894545952776</v>
      </c>
      <c r="AD63" s="107">
        <f t="shared" si="413"/>
        <v>3389.3894545952776</v>
      </c>
      <c r="AE63" s="140">
        <f>AE99</f>
        <v>3431.9297268934147</v>
      </c>
      <c r="AF63" s="140">
        <f t="shared" ref="AF63:AH63" si="441">AF99</f>
        <v>3473.921158496802</v>
      </c>
      <c r="AG63" s="140">
        <f t="shared" si="441"/>
        <v>3526.7144618167845</v>
      </c>
      <c r="AH63" s="140">
        <f t="shared" si="441"/>
        <v>3571.9433758216892</v>
      </c>
      <c r="AI63" s="107">
        <f t="shared" si="414"/>
        <v>3571.9433758216892</v>
      </c>
      <c r="AJ63" s="140">
        <f>AJ99</f>
        <v>3617.7631815976752</v>
      </c>
      <c r="AK63" s="140">
        <f t="shared" ref="AK63:AM63" si="442">AK99</f>
        <v>3665.1225741194712</v>
      </c>
      <c r="AL63" s="140">
        <f t="shared" si="442"/>
        <v>3723.7773303997974</v>
      </c>
      <c r="AM63" s="140">
        <f t="shared" si="442"/>
        <v>3774.4492113067181</v>
      </c>
      <c r="AN63" s="107">
        <f t="shared" si="415"/>
        <v>3774.4492113067181</v>
      </c>
      <c r="AO63" s="140">
        <f>AO99</f>
        <v>3826.550566151775</v>
      </c>
      <c r="AP63" s="140">
        <f t="shared" ref="AP63:AR63" si="443">AP99</f>
        <v>3881.8585068203297</v>
      </c>
      <c r="AQ63" s="140">
        <f t="shared" si="443"/>
        <v>3949.3716826161326</v>
      </c>
      <c r="AR63" s="140">
        <f t="shared" si="443"/>
        <v>4008.1684266661227</v>
      </c>
      <c r="AS63" s="107">
        <f t="shared" si="416"/>
        <v>4008.1684266661227</v>
      </c>
      <c r="AT63" s="140">
        <f>AT99</f>
        <v>4067.4124834821209</v>
      </c>
      <c r="AU63" s="140">
        <f t="shared" ref="AU63:AW63" si="444">AU99</f>
        <v>4132.0030142746891</v>
      </c>
      <c r="AV63" s="140">
        <f t="shared" si="444"/>
        <v>4209.7124652227249</v>
      </c>
      <c r="AW63" s="140">
        <f t="shared" si="444"/>
        <v>4277.9368344193281</v>
      </c>
      <c r="AX63" s="107">
        <f t="shared" si="417"/>
        <v>4277.9368344193281</v>
      </c>
      <c r="AY63" s="140">
        <f>AY99</f>
        <v>4345.3028036624528</v>
      </c>
      <c r="AZ63" s="140">
        <f t="shared" ref="AZ63:BB63" si="445">AZ99</f>
        <v>4420.7338650550109</v>
      </c>
      <c r="BA63" s="140">
        <f t="shared" si="445"/>
        <v>4510.1794983771606</v>
      </c>
      <c r="BB63" s="140">
        <f t="shared" si="445"/>
        <v>4589.3431430224664</v>
      </c>
      <c r="BC63" s="157">
        <f t="shared" si="418"/>
        <v>4589.3431430224664</v>
      </c>
    </row>
    <row r="64" spans="2:56" s="82" customFormat="1" outlineLevel="1" x14ac:dyDescent="0.15">
      <c r="B64" s="117" t="s">
        <v>17</v>
      </c>
      <c r="C64" s="102"/>
      <c r="D64" s="102"/>
      <c r="E64" s="102"/>
      <c r="F64" s="106">
        <v>228.4879</v>
      </c>
      <c r="G64" s="106">
        <v>137.18430000000001</v>
      </c>
      <c r="H64" s="106">
        <v>311.4812</v>
      </c>
      <c r="I64" s="106">
        <v>191.63069999999999</v>
      </c>
      <c r="J64" s="107">
        <f t="shared" si="409"/>
        <v>191.63069999999999</v>
      </c>
      <c r="K64" s="106">
        <v>238.1576</v>
      </c>
      <c r="L64" s="106">
        <v>225.36609999999999</v>
      </c>
      <c r="M64" s="106">
        <v>224.73089999999999</v>
      </c>
      <c r="N64" s="106">
        <v>315.04450000000003</v>
      </c>
      <c r="O64" s="107">
        <f t="shared" si="410"/>
        <v>315.04450000000003</v>
      </c>
      <c r="P64" s="106">
        <v>448.16669999999999</v>
      </c>
      <c r="Q64" s="106">
        <v>461.51620000000003</v>
      </c>
      <c r="R64" s="106">
        <v>641.31449999999995</v>
      </c>
      <c r="S64" s="106">
        <v>472.85320000000002</v>
      </c>
      <c r="T64" s="107">
        <f t="shared" si="411"/>
        <v>472.85320000000002</v>
      </c>
      <c r="U64" s="106">
        <v>378.21980000000002</v>
      </c>
      <c r="V64" s="106">
        <v>498.61200000000002</v>
      </c>
      <c r="W64" s="106">
        <v>406.2002</v>
      </c>
      <c r="X64" s="106">
        <v>489.6112</v>
      </c>
      <c r="Y64" s="107">
        <f t="shared" si="412"/>
        <v>489.6112</v>
      </c>
      <c r="Z64" s="106">
        <v>78.328299999999999</v>
      </c>
      <c r="AA64" s="106">
        <v>7.3433000000000002</v>
      </c>
      <c r="AB64" s="108">
        <v>161.19829999999999</v>
      </c>
      <c r="AC64" s="140">
        <v>313</v>
      </c>
      <c r="AD64" s="107">
        <v>313</v>
      </c>
      <c r="AE64" s="140">
        <v>232</v>
      </c>
      <c r="AF64" s="140">
        <v>235</v>
      </c>
      <c r="AG64" s="140">
        <v>422</v>
      </c>
      <c r="AH64" s="140">
        <v>705</v>
      </c>
      <c r="AI64" s="107">
        <v>705</v>
      </c>
      <c r="AJ64" s="140">
        <v>376</v>
      </c>
      <c r="AK64" s="140">
        <v>258</v>
      </c>
      <c r="AL64" s="140">
        <v>192</v>
      </c>
      <c r="AM64" s="140">
        <v>558</v>
      </c>
      <c r="AN64" s="107">
        <v>558</v>
      </c>
      <c r="AO64" s="140">
        <v>381</v>
      </c>
      <c r="AP64" s="140">
        <v>184</v>
      </c>
      <c r="AQ64" s="140">
        <v>125</v>
      </c>
      <c r="AR64" s="140">
        <v>650</v>
      </c>
      <c r="AS64" s="107">
        <v>650</v>
      </c>
      <c r="AT64" s="140">
        <v>459</v>
      </c>
      <c r="AU64" s="140">
        <v>509</v>
      </c>
      <c r="AV64" s="140">
        <v>443</v>
      </c>
      <c r="AW64" s="140">
        <v>690</v>
      </c>
      <c r="AX64" s="107">
        <v>690</v>
      </c>
      <c r="AY64" s="140">
        <v>475</v>
      </c>
      <c r="AZ64" s="140">
        <v>374</v>
      </c>
      <c r="BA64" s="140">
        <v>571</v>
      </c>
      <c r="BB64" s="140">
        <v>445</v>
      </c>
      <c r="BC64" s="107">
        <v>445</v>
      </c>
      <c r="BD64" s="367"/>
    </row>
    <row r="65" spans="2:56" s="82" customFormat="1" outlineLevel="1" x14ac:dyDescent="0.15">
      <c r="B65" s="117" t="s">
        <v>71</v>
      </c>
      <c r="C65" s="102"/>
      <c r="D65" s="102"/>
      <c r="E65" s="102"/>
      <c r="F65" s="106">
        <v>5117.5518000000002</v>
      </c>
      <c r="G65" s="106">
        <v>5302.3657000000003</v>
      </c>
      <c r="H65" s="106">
        <v>5387.7154</v>
      </c>
      <c r="I65" s="106">
        <v>5459.3104000000003</v>
      </c>
      <c r="J65" s="107">
        <f t="shared" si="409"/>
        <v>5459.3104000000003</v>
      </c>
      <c r="K65" s="106">
        <v>5597.9372000000003</v>
      </c>
      <c r="L65" s="106">
        <v>5302.7592000000004</v>
      </c>
      <c r="M65" s="106">
        <v>5274.1496999999999</v>
      </c>
      <c r="N65" s="106">
        <v>5200.4677000000001</v>
      </c>
      <c r="O65" s="107">
        <f t="shared" si="410"/>
        <v>5200.4677000000001</v>
      </c>
      <c r="P65" s="106">
        <v>5095.5682999999999</v>
      </c>
      <c r="Q65" s="106">
        <v>5158.2354999999998</v>
      </c>
      <c r="R65" s="106">
        <v>4951.1612999999998</v>
      </c>
      <c r="S65" s="106">
        <v>5099.2012000000004</v>
      </c>
      <c r="T65" s="107">
        <f t="shared" si="411"/>
        <v>5099.2012000000004</v>
      </c>
      <c r="U65" s="106">
        <v>5039.7128000000002</v>
      </c>
      <c r="V65" s="106">
        <v>5099.6553000000004</v>
      </c>
      <c r="W65" s="106">
        <v>5276.3041000000003</v>
      </c>
      <c r="X65" s="106">
        <v>5659.0747000000001</v>
      </c>
      <c r="Y65" s="107">
        <f t="shared" si="412"/>
        <v>5659.0747000000001</v>
      </c>
      <c r="Z65" s="106">
        <v>5357.7235000000001</v>
      </c>
      <c r="AA65" s="106">
        <v>5395.5342000000001</v>
      </c>
      <c r="AB65" s="108">
        <v>5283.1292999999996</v>
      </c>
      <c r="AC65" s="140">
        <f>AB65</f>
        <v>5283.1292999999996</v>
      </c>
      <c r="AD65" s="107">
        <f t="shared" si="413"/>
        <v>5283.1292999999996</v>
      </c>
      <c r="AE65" s="140">
        <f>AD65</f>
        <v>5283.1292999999996</v>
      </c>
      <c r="AF65" s="140">
        <f t="shared" ref="AF65:AH65" si="446">AE65</f>
        <v>5283.1292999999996</v>
      </c>
      <c r="AG65" s="140">
        <f t="shared" si="446"/>
        <v>5283.1292999999996</v>
      </c>
      <c r="AH65" s="140">
        <f t="shared" si="446"/>
        <v>5283.1292999999996</v>
      </c>
      <c r="AI65" s="107">
        <f t="shared" si="414"/>
        <v>5283.1292999999996</v>
      </c>
      <c r="AJ65" s="140">
        <f>AI65</f>
        <v>5283.1292999999996</v>
      </c>
      <c r="AK65" s="140">
        <f t="shared" ref="AK65:AM65" si="447">AJ65</f>
        <v>5283.1292999999996</v>
      </c>
      <c r="AL65" s="140">
        <f t="shared" si="447"/>
        <v>5283.1292999999996</v>
      </c>
      <c r="AM65" s="140">
        <f t="shared" si="447"/>
        <v>5283.1292999999996</v>
      </c>
      <c r="AN65" s="107">
        <f t="shared" si="415"/>
        <v>5283.1292999999996</v>
      </c>
      <c r="AO65" s="140">
        <f>AN65</f>
        <v>5283.1292999999996</v>
      </c>
      <c r="AP65" s="140">
        <f t="shared" ref="AP65:AR65" si="448">AO65</f>
        <v>5283.1292999999996</v>
      </c>
      <c r="AQ65" s="140">
        <f t="shared" si="448"/>
        <v>5283.1292999999996</v>
      </c>
      <c r="AR65" s="140">
        <f t="shared" si="448"/>
        <v>5283.1292999999996</v>
      </c>
      <c r="AS65" s="107">
        <f t="shared" si="416"/>
        <v>5283.1292999999996</v>
      </c>
      <c r="AT65" s="140">
        <f>AS65</f>
        <v>5283.1292999999996</v>
      </c>
      <c r="AU65" s="140">
        <f t="shared" ref="AU65:AW65" si="449">AT65</f>
        <v>5283.1292999999996</v>
      </c>
      <c r="AV65" s="140">
        <f t="shared" si="449"/>
        <v>5283.1292999999996</v>
      </c>
      <c r="AW65" s="140">
        <f t="shared" si="449"/>
        <v>5283.1292999999996</v>
      </c>
      <c r="AX65" s="107">
        <f t="shared" si="417"/>
        <v>5283.1292999999996</v>
      </c>
      <c r="AY65" s="140">
        <f>AX65</f>
        <v>5283.1292999999996</v>
      </c>
      <c r="AZ65" s="140">
        <f t="shared" ref="AZ65:BB65" si="450">AY65</f>
        <v>5283.1292999999996</v>
      </c>
      <c r="BA65" s="140">
        <f t="shared" si="450"/>
        <v>5283.1292999999996</v>
      </c>
      <c r="BB65" s="140">
        <f t="shared" si="450"/>
        <v>5283.1292999999996</v>
      </c>
      <c r="BC65" s="157">
        <f t="shared" si="418"/>
        <v>5283.1292999999996</v>
      </c>
    </row>
    <row r="66" spans="2:56" s="82" customFormat="1" outlineLevel="1" x14ac:dyDescent="0.15">
      <c r="B66" s="117" t="s">
        <v>72</v>
      </c>
      <c r="C66" s="102"/>
      <c r="D66" s="102"/>
      <c r="E66" s="102"/>
      <c r="F66" s="106">
        <v>1368.6812</v>
      </c>
      <c r="G66" s="106">
        <v>1404.2555</v>
      </c>
      <c r="H66" s="106">
        <v>1405.8552999999999</v>
      </c>
      <c r="I66" s="106">
        <v>1401.7652</v>
      </c>
      <c r="J66" s="107">
        <f t="shared" si="409"/>
        <v>1401.7652</v>
      </c>
      <c r="K66" s="106">
        <v>1413.2905000000001</v>
      </c>
      <c r="L66" s="106">
        <v>1319.7345</v>
      </c>
      <c r="M66" s="106">
        <v>1287.6442</v>
      </c>
      <c r="N66" s="106">
        <v>1264.3008</v>
      </c>
      <c r="O66" s="107">
        <f t="shared" si="410"/>
        <v>1264.3008</v>
      </c>
      <c r="P66" s="106">
        <v>1299.9529</v>
      </c>
      <c r="Q66" s="106">
        <v>1295.8347000000001</v>
      </c>
      <c r="R66" s="106">
        <v>1224.1887999999999</v>
      </c>
      <c r="S66" s="106">
        <v>1240.1307999999999</v>
      </c>
      <c r="T66" s="107">
        <f t="shared" si="411"/>
        <v>1240.1307999999999</v>
      </c>
      <c r="U66" s="106">
        <v>1201.3585</v>
      </c>
      <c r="V66" s="106">
        <v>1188.4709</v>
      </c>
      <c r="W66" s="106">
        <v>1203.0313000000001</v>
      </c>
      <c r="X66" s="106">
        <v>1282.2802999999999</v>
      </c>
      <c r="Y66" s="107">
        <f t="shared" si="412"/>
        <v>1282.2802999999999</v>
      </c>
      <c r="Z66" s="106">
        <v>1192.8006</v>
      </c>
      <c r="AA66" s="106">
        <v>1169.8318999999999</v>
      </c>
      <c r="AB66" s="108">
        <v>1117.7189000000001</v>
      </c>
      <c r="AC66" s="140">
        <f>AB66</f>
        <v>1117.7189000000001</v>
      </c>
      <c r="AD66" s="107">
        <f t="shared" si="413"/>
        <v>1117.7189000000001</v>
      </c>
      <c r="AE66" s="140">
        <f>AD66</f>
        <v>1117.7189000000001</v>
      </c>
      <c r="AF66" s="140">
        <f t="shared" ref="AF66:AH66" si="451">AE66</f>
        <v>1117.7189000000001</v>
      </c>
      <c r="AG66" s="140">
        <f t="shared" si="451"/>
        <v>1117.7189000000001</v>
      </c>
      <c r="AH66" s="140">
        <f t="shared" si="451"/>
        <v>1117.7189000000001</v>
      </c>
      <c r="AI66" s="107">
        <f t="shared" si="414"/>
        <v>1117.7189000000001</v>
      </c>
      <c r="AJ66" s="140">
        <f>AI66</f>
        <v>1117.7189000000001</v>
      </c>
      <c r="AK66" s="140">
        <f t="shared" ref="AK66:AM66" si="452">AJ66</f>
        <v>1117.7189000000001</v>
      </c>
      <c r="AL66" s="140">
        <f t="shared" si="452"/>
        <v>1117.7189000000001</v>
      </c>
      <c r="AM66" s="140">
        <f t="shared" si="452"/>
        <v>1117.7189000000001</v>
      </c>
      <c r="AN66" s="107">
        <f t="shared" si="415"/>
        <v>1117.7189000000001</v>
      </c>
      <c r="AO66" s="140">
        <f>AN66</f>
        <v>1117.7189000000001</v>
      </c>
      <c r="AP66" s="140">
        <f t="shared" ref="AP66:AR66" si="453">AO66</f>
        <v>1117.7189000000001</v>
      </c>
      <c r="AQ66" s="140">
        <f t="shared" si="453"/>
        <v>1117.7189000000001</v>
      </c>
      <c r="AR66" s="140">
        <f t="shared" si="453"/>
        <v>1117.7189000000001</v>
      </c>
      <c r="AS66" s="107">
        <f t="shared" si="416"/>
        <v>1117.7189000000001</v>
      </c>
      <c r="AT66" s="140">
        <f>AS66</f>
        <v>1117.7189000000001</v>
      </c>
      <c r="AU66" s="140">
        <f t="shared" ref="AU66:AW66" si="454">AT66</f>
        <v>1117.7189000000001</v>
      </c>
      <c r="AV66" s="140">
        <f t="shared" si="454"/>
        <v>1117.7189000000001</v>
      </c>
      <c r="AW66" s="140">
        <f t="shared" si="454"/>
        <v>1117.7189000000001</v>
      </c>
      <c r="AX66" s="107">
        <f t="shared" si="417"/>
        <v>1117.7189000000001</v>
      </c>
      <c r="AY66" s="140">
        <f>AX66</f>
        <v>1117.7189000000001</v>
      </c>
      <c r="AZ66" s="140">
        <f t="shared" ref="AZ66:BB66" si="455">AY66</f>
        <v>1117.7189000000001</v>
      </c>
      <c r="BA66" s="140">
        <f t="shared" si="455"/>
        <v>1117.7189000000001</v>
      </c>
      <c r="BB66" s="140">
        <f t="shared" si="455"/>
        <v>1117.7189000000001</v>
      </c>
      <c r="BC66" s="157">
        <f t="shared" si="418"/>
        <v>1117.7189000000001</v>
      </c>
    </row>
    <row r="67" spans="2:56" s="82" customFormat="1" outlineLevel="1" x14ac:dyDescent="0.15">
      <c r="B67" s="117" t="s">
        <v>18</v>
      </c>
      <c r="C67" s="102"/>
      <c r="D67" s="102"/>
      <c r="E67" s="102"/>
      <c r="F67" s="106">
        <v>701.29540000000009</v>
      </c>
      <c r="G67" s="106">
        <v>1902.3188</v>
      </c>
      <c r="H67" s="106">
        <v>1924.8333</v>
      </c>
      <c r="I67" s="106">
        <v>2070.3085000000001</v>
      </c>
      <c r="J67" s="107">
        <f t="shared" si="409"/>
        <v>2070.3085000000001</v>
      </c>
      <c r="K67" s="106">
        <v>2301.5740999999998</v>
      </c>
      <c r="L67" s="106">
        <v>2274.9130999999998</v>
      </c>
      <c r="M67" s="106">
        <v>2321.8708999999999</v>
      </c>
      <c r="N67" s="106">
        <v>2242.5307000000003</v>
      </c>
      <c r="O67" s="107">
        <f t="shared" si="410"/>
        <v>2242.5307000000003</v>
      </c>
      <c r="P67" s="106">
        <v>2351.2483999999999</v>
      </c>
      <c r="Q67" s="106">
        <v>2464.6758</v>
      </c>
      <c r="R67" s="106">
        <v>2430.7148999999999</v>
      </c>
      <c r="S67" s="106">
        <v>2367.8593000000001</v>
      </c>
      <c r="T67" s="107">
        <f t="shared" si="411"/>
        <v>2367.8593000000001</v>
      </c>
      <c r="U67" s="106">
        <v>2496.7169999999996</v>
      </c>
      <c r="V67" s="106">
        <v>2590.3117999999999</v>
      </c>
      <c r="W67" s="106">
        <v>2893.3633</v>
      </c>
      <c r="X67" s="106">
        <v>2987.4231</v>
      </c>
      <c r="Y67" s="107">
        <f t="shared" si="412"/>
        <v>2987.4231</v>
      </c>
      <c r="Z67" s="106">
        <v>3359.7647999999999</v>
      </c>
      <c r="AA67" s="106">
        <v>3069.7280000000001</v>
      </c>
      <c r="AB67" s="108">
        <v>3560.3948999999993</v>
      </c>
      <c r="AC67" s="140">
        <f>AB67</f>
        <v>3560.3948999999993</v>
      </c>
      <c r="AD67" s="107">
        <f t="shared" si="413"/>
        <v>3560.3948999999993</v>
      </c>
      <c r="AE67" s="140">
        <f>AD67</f>
        <v>3560.3948999999993</v>
      </c>
      <c r="AF67" s="140">
        <f t="shared" ref="AF67:AH67" si="456">AE67</f>
        <v>3560.3948999999993</v>
      </c>
      <c r="AG67" s="140">
        <f t="shared" si="456"/>
        <v>3560.3948999999993</v>
      </c>
      <c r="AH67" s="140">
        <f t="shared" si="456"/>
        <v>3560.3948999999993</v>
      </c>
      <c r="AI67" s="107">
        <f t="shared" si="414"/>
        <v>3560.3948999999993</v>
      </c>
      <c r="AJ67" s="140">
        <f>AI67</f>
        <v>3560.3948999999993</v>
      </c>
      <c r="AK67" s="140">
        <f t="shared" ref="AK67:AM67" si="457">AJ67</f>
        <v>3560.3948999999993</v>
      </c>
      <c r="AL67" s="140">
        <f t="shared" si="457"/>
        <v>3560.3948999999993</v>
      </c>
      <c r="AM67" s="140">
        <f t="shared" si="457"/>
        <v>3560.3948999999993</v>
      </c>
      <c r="AN67" s="107">
        <f t="shared" si="415"/>
        <v>3560.3948999999993</v>
      </c>
      <c r="AO67" s="140">
        <f>AN67</f>
        <v>3560.3948999999993</v>
      </c>
      <c r="AP67" s="140">
        <f t="shared" ref="AP67:AR67" si="458">AO67</f>
        <v>3560.3948999999993</v>
      </c>
      <c r="AQ67" s="140">
        <f t="shared" si="458"/>
        <v>3560.3948999999993</v>
      </c>
      <c r="AR67" s="140">
        <f t="shared" si="458"/>
        <v>3560.3948999999993</v>
      </c>
      <c r="AS67" s="107">
        <f t="shared" si="416"/>
        <v>3560.3948999999993</v>
      </c>
      <c r="AT67" s="140">
        <f>AS67</f>
        <v>3560.3948999999993</v>
      </c>
      <c r="AU67" s="140">
        <f t="shared" ref="AU67:AW67" si="459">AT67</f>
        <v>3560.3948999999993</v>
      </c>
      <c r="AV67" s="140">
        <f t="shared" si="459"/>
        <v>3560.3948999999993</v>
      </c>
      <c r="AW67" s="140">
        <f t="shared" si="459"/>
        <v>3560.3948999999993</v>
      </c>
      <c r="AX67" s="107">
        <f t="shared" si="417"/>
        <v>3560.3948999999993</v>
      </c>
      <c r="AY67" s="140">
        <f>AX67</f>
        <v>3560.3948999999993</v>
      </c>
      <c r="AZ67" s="140">
        <f t="shared" ref="AZ67:BB67" si="460">AY67</f>
        <v>3560.3948999999993</v>
      </c>
      <c r="BA67" s="140">
        <f t="shared" si="460"/>
        <v>3560.3948999999993</v>
      </c>
      <c r="BB67" s="140">
        <f t="shared" si="460"/>
        <v>3560.3948999999993</v>
      </c>
      <c r="BC67" s="157">
        <f t="shared" si="418"/>
        <v>3560.3948999999993</v>
      </c>
    </row>
    <row r="68" spans="2:56" s="82" customFormat="1" outlineLevel="1" x14ac:dyDescent="0.15">
      <c r="B68" s="117" t="s">
        <v>19</v>
      </c>
      <c r="C68" s="102"/>
      <c r="D68" s="102"/>
      <c r="E68" s="102"/>
      <c r="F68" s="106">
        <f>F63+F64+F65+F66+F67</f>
        <v>9151.4976000000006</v>
      </c>
      <c r="G68" s="106">
        <f>G63+G64+G65+G66+G67</f>
        <v>10534.8838</v>
      </c>
      <c r="H68" s="106">
        <f>H63+H64+H65+H66+H67</f>
        <v>10861.710799999999</v>
      </c>
      <c r="I68" s="106">
        <f>I63+I64+I65+I66+I67</f>
        <v>11184.186700000002</v>
      </c>
      <c r="J68" s="107">
        <f t="shared" si="409"/>
        <v>11184.186700000002</v>
      </c>
      <c r="K68" s="106">
        <f>K63+K64+K65+K66+K67</f>
        <v>11626.2099</v>
      </c>
      <c r="L68" s="106">
        <f>L63+L64+L65+L66+L67</f>
        <v>11121.8753</v>
      </c>
      <c r="M68" s="106">
        <f>M63+M64+M65+M66+M67</f>
        <v>11084.982400000001</v>
      </c>
      <c r="N68" s="106">
        <f>N63+N64+N65+N66+N67</f>
        <v>11000.2186</v>
      </c>
      <c r="O68" s="107">
        <f t="shared" si="410"/>
        <v>11000.2186</v>
      </c>
      <c r="P68" s="106">
        <f>P63+P64+P65+P66+P67</f>
        <v>11180.9411</v>
      </c>
      <c r="Q68" s="106">
        <f>Q63+Q64+Q65+Q66+Q67</f>
        <v>11516.435699999998</v>
      </c>
      <c r="R68" s="106">
        <f>R63+R64+R65+R66+R67</f>
        <v>11562.740600000001</v>
      </c>
      <c r="S68" s="106">
        <f>S63+S64+S65+S66+S67</f>
        <v>11788.765800000001</v>
      </c>
      <c r="T68" s="107">
        <f t="shared" si="411"/>
        <v>11788.765800000001</v>
      </c>
      <c r="U68" s="106">
        <f>U63+U64+U65+U66+U67</f>
        <v>11738.9094</v>
      </c>
      <c r="V68" s="106">
        <f>V63+V64+V65+V66+V67</f>
        <v>12143.5605</v>
      </c>
      <c r="W68" s="106">
        <f>W63+W64+W65+W66+W67</f>
        <v>12679.349900000001</v>
      </c>
      <c r="X68" s="106">
        <f>X63+X64+X65+X66+X67</f>
        <v>13859.971299999999</v>
      </c>
      <c r="Y68" s="107">
        <f t="shared" si="412"/>
        <v>13859.971299999999</v>
      </c>
      <c r="Z68" s="106">
        <f>Z63+Z64+Z65+Z66+Z67</f>
        <v>13359.437399999999</v>
      </c>
      <c r="AA68" s="106">
        <f>AA63+AA64+AA65+AA66+AA67</f>
        <v>13118.769799999998</v>
      </c>
      <c r="AB68" s="108">
        <f>AB63+AB64+AB65+AB66+AB67</f>
        <v>13475.365999999998</v>
      </c>
      <c r="AC68" s="106">
        <f>AC63+AC64+AC65+AC66+AC67</f>
        <v>13663.632554595277</v>
      </c>
      <c r="AD68" s="107">
        <f t="shared" si="413"/>
        <v>13663.632554595277</v>
      </c>
      <c r="AE68" s="106">
        <f>AE63+AE64+AE65+AE66+AE67</f>
        <v>13625.172826893413</v>
      </c>
      <c r="AF68" s="106">
        <f t="shared" ref="AF68:AH68" si="461">AF63+AF64+AF65+AF66+AF67</f>
        <v>13670.164258496801</v>
      </c>
      <c r="AG68" s="106">
        <f t="shared" si="461"/>
        <v>13909.957561816784</v>
      </c>
      <c r="AH68" s="106">
        <f t="shared" si="461"/>
        <v>14238.186475821687</v>
      </c>
      <c r="AI68" s="107">
        <f t="shared" si="414"/>
        <v>14238.186475821687</v>
      </c>
      <c r="AJ68" s="106">
        <f>AJ63+AJ64+AJ65+AJ66+AJ67</f>
        <v>13955.006281597674</v>
      </c>
      <c r="AK68" s="106">
        <f t="shared" ref="AK68" si="462">AK63+AK64+AK65+AK66+AK67</f>
        <v>13884.36567411947</v>
      </c>
      <c r="AL68" s="106">
        <f t="shared" ref="AL68" si="463">AL63+AL64+AL65+AL66+AL67</f>
        <v>13877.020430399796</v>
      </c>
      <c r="AM68" s="106">
        <f t="shared" ref="AM68" si="464">AM63+AM64+AM65+AM66+AM67</f>
        <v>14293.692311306717</v>
      </c>
      <c r="AN68" s="107">
        <f t="shared" si="415"/>
        <v>14293.692311306717</v>
      </c>
      <c r="AO68" s="106">
        <f>AO63+AO64+AO65+AO66+AO67</f>
        <v>14168.793666151774</v>
      </c>
      <c r="AP68" s="106">
        <f t="shared" ref="AP68" si="465">AP63+AP64+AP65+AP66+AP67</f>
        <v>14027.101606820328</v>
      </c>
      <c r="AQ68" s="106">
        <f t="shared" ref="AQ68" si="466">AQ63+AQ64+AQ65+AQ66+AQ67</f>
        <v>14035.614782616132</v>
      </c>
      <c r="AR68" s="106">
        <f t="shared" ref="AR68" si="467">AR63+AR64+AR65+AR66+AR67</f>
        <v>14619.411526666121</v>
      </c>
      <c r="AS68" s="107">
        <f t="shared" si="416"/>
        <v>14619.411526666121</v>
      </c>
      <c r="AT68" s="106">
        <f>AT63+AT64+AT65+AT66+AT67</f>
        <v>14487.655583482119</v>
      </c>
      <c r="AU68" s="106">
        <f t="shared" ref="AU68" si="468">AU63+AU64+AU65+AU66+AU67</f>
        <v>14602.246114274687</v>
      </c>
      <c r="AV68" s="106">
        <f t="shared" ref="AV68" si="469">AV63+AV64+AV65+AV66+AV67</f>
        <v>14613.955565222725</v>
      </c>
      <c r="AW68" s="106">
        <f t="shared" ref="AW68" si="470">AW63+AW64+AW65+AW66+AW67</f>
        <v>14929.179934419328</v>
      </c>
      <c r="AX68" s="107">
        <f t="shared" si="417"/>
        <v>14929.179934419328</v>
      </c>
      <c r="AY68" s="106">
        <f>AY63+AY64+AY65+AY66+AY67</f>
        <v>14781.545903662452</v>
      </c>
      <c r="AZ68" s="106">
        <f t="shared" ref="AZ68" si="471">AZ63+AZ64+AZ65+AZ66+AZ67</f>
        <v>14755.97696505501</v>
      </c>
      <c r="BA68" s="106">
        <f t="shared" ref="BA68" si="472">BA63+BA64+BA65+BA66+BA67</f>
        <v>15042.422598377159</v>
      </c>
      <c r="BB68" s="106">
        <f t="shared" ref="BB68" si="473">BB63+BB64+BB65+BB66+BB67</f>
        <v>14995.586243022466</v>
      </c>
      <c r="BC68" s="157">
        <f t="shared" si="418"/>
        <v>14995.586243022466</v>
      </c>
    </row>
    <row r="69" spans="2:56" s="82" customFormat="1" ht="13" outlineLevel="1" thickBot="1" x14ac:dyDescent="0.2">
      <c r="B69" s="121" t="s">
        <v>12</v>
      </c>
      <c r="C69" s="122"/>
      <c r="D69" s="122"/>
      <c r="E69" s="122"/>
      <c r="F69" s="123">
        <f>F62+F68</f>
        <v>18532.3387</v>
      </c>
      <c r="G69" s="123">
        <f>G62+G68</f>
        <v>19712.6479</v>
      </c>
      <c r="H69" s="123">
        <f>H62+H68</f>
        <v>20651.000899999999</v>
      </c>
      <c r="I69" s="123">
        <f>I62+I68</f>
        <v>21866.695500000002</v>
      </c>
      <c r="J69" s="111">
        <f t="shared" si="409"/>
        <v>21866.695500000002</v>
      </c>
      <c r="K69" s="123">
        <f>K62+K68</f>
        <v>22982.7052</v>
      </c>
      <c r="L69" s="123">
        <f>L62+L68</f>
        <v>21881.296600000001</v>
      </c>
      <c r="M69" s="123">
        <f>M62+M68</f>
        <v>22598.056799999998</v>
      </c>
      <c r="N69" s="123">
        <f>N62+N68</f>
        <v>23060.778000000002</v>
      </c>
      <c r="O69" s="111">
        <f t="shared" si="410"/>
        <v>23060.778000000002</v>
      </c>
      <c r="P69" s="123">
        <f>P62+P68</f>
        <v>22846.629399999998</v>
      </c>
      <c r="Q69" s="123">
        <f>Q62+Q68</f>
        <v>22756.506999999998</v>
      </c>
      <c r="R69" s="123">
        <f>R62+R68</f>
        <v>22568.337700000004</v>
      </c>
      <c r="S69" s="123">
        <f>S62+S68</f>
        <v>25410.778000000002</v>
      </c>
      <c r="T69" s="111">
        <f t="shared" si="411"/>
        <v>25410.778000000002</v>
      </c>
      <c r="U69" s="123">
        <f>U62+U68</f>
        <v>25833.4804</v>
      </c>
      <c r="V69" s="123">
        <f>V62+V68</f>
        <v>27295.7503</v>
      </c>
      <c r="W69" s="123">
        <f>W62+W68</f>
        <v>29585.924500000001</v>
      </c>
      <c r="X69" s="123">
        <f>X62+X68</f>
        <v>33334.3963</v>
      </c>
      <c r="Y69" s="111">
        <f t="shared" si="412"/>
        <v>33334.3963</v>
      </c>
      <c r="Z69" s="123">
        <f>Z62+Z68</f>
        <v>32011.912999999997</v>
      </c>
      <c r="AA69" s="123">
        <f>AA62+AA68</f>
        <v>32944.6783</v>
      </c>
      <c r="AB69" s="109">
        <f>AB62+AB68</f>
        <v>31657.490399999999</v>
      </c>
      <c r="AC69" s="123">
        <f>AC62+AC68</f>
        <v>31544.905568717099</v>
      </c>
      <c r="AD69" s="111">
        <f t="shared" si="413"/>
        <v>31544.905568717099</v>
      </c>
      <c r="AE69" s="123">
        <f>AE62+AE68</f>
        <v>30536.143863111647</v>
      </c>
      <c r="AF69" s="123">
        <f t="shared" ref="AF69:AH69" si="474">AF62+AF68</f>
        <v>29416.504065225374</v>
      </c>
      <c r="AG69" s="123">
        <f t="shared" si="474"/>
        <v>30017.791718475204</v>
      </c>
      <c r="AH69" s="123">
        <f t="shared" si="474"/>
        <v>29017.461968663192</v>
      </c>
      <c r="AI69" s="111">
        <f t="shared" si="414"/>
        <v>29017.461968663192</v>
      </c>
      <c r="AJ69" s="123">
        <f>AJ62+AJ68</f>
        <v>28334.855826701943</v>
      </c>
      <c r="AK69" s="123">
        <f t="shared" ref="AK69" si="475">AK62+AK68</f>
        <v>28224.224851040315</v>
      </c>
      <c r="AL69" s="123">
        <f t="shared" ref="AL69" si="476">AL62+AL68</f>
        <v>27994.356585647351</v>
      </c>
      <c r="AM69" s="123">
        <f t="shared" ref="AM69" si="477">AM62+AM68</f>
        <v>27988.276616733343</v>
      </c>
      <c r="AN69" s="111">
        <f t="shared" si="415"/>
        <v>27988.276616733343</v>
      </c>
      <c r="AO69" s="123">
        <f>AO62+AO68</f>
        <v>28761.302947612749</v>
      </c>
      <c r="AP69" s="123">
        <f t="shared" ref="AP69" si="478">AP62+AP68</f>
        <v>28884.307554497816</v>
      </c>
      <c r="AQ69" s="123">
        <f t="shared" ref="AQ69" si="479">AQ62+AQ68</f>
        <v>30071.588200427548</v>
      </c>
      <c r="AR69" s="123">
        <f t="shared" ref="AR69" si="480">AR62+AR68</f>
        <v>31334.681473190325</v>
      </c>
      <c r="AS69" s="111">
        <f t="shared" si="416"/>
        <v>31334.681473190325</v>
      </c>
      <c r="AT69" s="123">
        <f>AT62+AT68</f>
        <v>31543.135700723327</v>
      </c>
      <c r="AU69" s="123">
        <f t="shared" ref="AU69" si="481">AU62+AU68</f>
        <v>33257.646406387532</v>
      </c>
      <c r="AV69" s="123">
        <f t="shared" ref="AV69" si="482">AV62+AV68</f>
        <v>34790.289786748734</v>
      </c>
      <c r="AW69" s="123">
        <f t="shared" ref="AW69" si="483">AW62+AW68</f>
        <v>36125.009115390872</v>
      </c>
      <c r="AX69" s="111">
        <f t="shared" si="417"/>
        <v>36125.009115390872</v>
      </c>
      <c r="AY69" s="123">
        <f>AY62+AY68</f>
        <v>36396.635643811052</v>
      </c>
      <c r="AZ69" s="123">
        <f t="shared" ref="AZ69" si="484">AZ62+AZ68</f>
        <v>38066.332849239974</v>
      </c>
      <c r="BA69" s="123">
        <f t="shared" ref="BA69" si="485">BA62+BA68</f>
        <v>40374.282902772866</v>
      </c>
      <c r="BB69" s="123">
        <f t="shared" ref="BB69" si="486">BB62+BB68</f>
        <v>41654.412695380306</v>
      </c>
      <c r="BC69" s="158">
        <f t="shared" si="418"/>
        <v>41654.412695380306</v>
      </c>
    </row>
    <row r="70" spans="2:56" s="82" customFormat="1" outlineLevel="1" x14ac:dyDescent="0.15">
      <c r="B70" s="102"/>
      <c r="C70" s="102"/>
      <c r="D70" s="102"/>
      <c r="E70" s="102"/>
      <c r="F70" s="144"/>
      <c r="G70" s="144"/>
      <c r="H70" s="144"/>
      <c r="I70" s="144"/>
      <c r="J70" s="145"/>
      <c r="K70" s="144"/>
      <c r="L70" s="144"/>
      <c r="M70" s="144"/>
      <c r="N70" s="144"/>
      <c r="O70" s="145"/>
      <c r="P70" s="144"/>
      <c r="Q70" s="144"/>
      <c r="R70" s="144"/>
      <c r="S70" s="144"/>
      <c r="T70" s="145"/>
      <c r="U70" s="144"/>
      <c r="V70" s="144"/>
      <c r="W70" s="144"/>
      <c r="X70" s="144"/>
      <c r="Y70" s="145"/>
      <c r="Z70" s="144"/>
      <c r="AA70" s="144"/>
      <c r="AB70" s="146"/>
      <c r="AD70" s="145"/>
      <c r="AI70" s="145"/>
      <c r="AN70" s="145"/>
      <c r="AS70" s="145"/>
      <c r="AX70" s="145"/>
      <c r="BC70" s="145"/>
    </row>
    <row r="71" spans="2:56" s="82" customFormat="1" ht="13" outlineLevel="1" thickBot="1" x14ac:dyDescent="0.2">
      <c r="B71" s="154" t="s">
        <v>20</v>
      </c>
      <c r="C71" s="102"/>
      <c r="D71" s="102"/>
      <c r="E71" s="102"/>
      <c r="F71" s="144"/>
      <c r="G71" s="144"/>
      <c r="H71" s="144"/>
      <c r="I71" s="144"/>
      <c r="J71" s="145"/>
      <c r="K71" s="144"/>
      <c r="L71" s="144"/>
      <c r="M71" s="144"/>
      <c r="N71" s="144"/>
      <c r="O71" s="145"/>
      <c r="P71" s="144"/>
      <c r="Q71" s="144"/>
      <c r="R71" s="144"/>
      <c r="S71" s="144"/>
      <c r="T71" s="145"/>
      <c r="U71" s="144"/>
      <c r="V71" s="144"/>
      <c r="W71" s="144"/>
      <c r="X71" s="144"/>
      <c r="Y71" s="145"/>
      <c r="Z71" s="144"/>
      <c r="AA71" s="144"/>
      <c r="AB71" s="146"/>
      <c r="AD71" s="145"/>
      <c r="AI71" s="145"/>
      <c r="AN71" s="145"/>
      <c r="AS71" s="145"/>
      <c r="AX71" s="145"/>
      <c r="BC71" s="145"/>
    </row>
    <row r="72" spans="2:56" s="82" customFormat="1" outlineLevel="1" x14ac:dyDescent="0.15">
      <c r="B72" s="112" t="s">
        <v>74</v>
      </c>
      <c r="C72" s="155"/>
      <c r="D72" s="155"/>
      <c r="E72" s="155"/>
      <c r="F72" s="114">
        <v>0</v>
      </c>
      <c r="G72" s="114">
        <v>0</v>
      </c>
      <c r="H72" s="114" t="s">
        <v>11</v>
      </c>
      <c r="I72" s="114">
        <v>1189.3364999999999</v>
      </c>
      <c r="J72" s="115">
        <f>I72</f>
        <v>1189.3364999999999</v>
      </c>
      <c r="K72" s="114">
        <v>0</v>
      </c>
      <c r="L72" s="114">
        <v>0</v>
      </c>
      <c r="M72" s="114">
        <v>0</v>
      </c>
      <c r="N72" s="114">
        <v>1319.1559</v>
      </c>
      <c r="O72" s="115">
        <f>N72</f>
        <v>1319.1559</v>
      </c>
      <c r="P72" s="114">
        <v>0</v>
      </c>
      <c r="Q72" s="114">
        <v>0</v>
      </c>
      <c r="R72" s="114">
        <v>0</v>
      </c>
      <c r="S72" s="114">
        <v>2367.2977999999998</v>
      </c>
      <c r="T72" s="115">
        <f>S72</f>
        <v>2367.2977999999998</v>
      </c>
      <c r="U72" s="114">
        <v>0</v>
      </c>
      <c r="V72" s="114">
        <v>0</v>
      </c>
      <c r="W72" s="114" t="s">
        <v>11</v>
      </c>
      <c r="X72" s="114">
        <v>3138.6464999999998</v>
      </c>
      <c r="Y72" s="115">
        <f>X72</f>
        <v>3138.6464999999998</v>
      </c>
      <c r="Z72" s="114" t="s">
        <v>11</v>
      </c>
      <c r="AA72" s="114">
        <v>0</v>
      </c>
      <c r="AB72" s="129" t="s">
        <v>11</v>
      </c>
      <c r="AC72" s="114" t="s">
        <v>11</v>
      </c>
      <c r="AD72" s="115">
        <v>0</v>
      </c>
      <c r="AE72" s="114" t="s">
        <v>11</v>
      </c>
      <c r="AF72" s="114" t="s">
        <v>11</v>
      </c>
      <c r="AG72" s="114" t="s">
        <v>11</v>
      </c>
      <c r="AH72" s="114" t="s">
        <v>11</v>
      </c>
      <c r="AI72" s="115">
        <v>0</v>
      </c>
      <c r="AJ72" s="114" t="s">
        <v>11</v>
      </c>
      <c r="AK72" s="114" t="s">
        <v>11</v>
      </c>
      <c r="AL72" s="114" t="s">
        <v>11</v>
      </c>
      <c r="AM72" s="114" t="s">
        <v>11</v>
      </c>
      <c r="AN72" s="115">
        <v>0</v>
      </c>
      <c r="AO72" s="114" t="s">
        <v>11</v>
      </c>
      <c r="AP72" s="114" t="s">
        <v>11</v>
      </c>
      <c r="AQ72" s="114" t="s">
        <v>11</v>
      </c>
      <c r="AR72" s="114" t="s">
        <v>11</v>
      </c>
      <c r="AS72" s="115">
        <v>0</v>
      </c>
      <c r="AT72" s="114" t="s">
        <v>11</v>
      </c>
      <c r="AU72" s="114" t="s">
        <v>11</v>
      </c>
      <c r="AV72" s="114" t="s">
        <v>11</v>
      </c>
      <c r="AW72" s="114" t="s">
        <v>11</v>
      </c>
      <c r="AX72" s="115">
        <v>0</v>
      </c>
      <c r="AY72" s="114" t="s">
        <v>11</v>
      </c>
      <c r="AZ72" s="114" t="s">
        <v>11</v>
      </c>
      <c r="BA72" s="114" t="s">
        <v>11</v>
      </c>
      <c r="BB72" s="114" t="s">
        <v>11</v>
      </c>
      <c r="BC72" s="130">
        <v>0</v>
      </c>
    </row>
    <row r="73" spans="2:56" s="82" customFormat="1" outlineLevel="1" x14ac:dyDescent="0.15">
      <c r="B73" s="273" t="s">
        <v>75</v>
      </c>
      <c r="C73" s="102"/>
      <c r="D73" s="102"/>
      <c r="E73" s="102"/>
      <c r="F73" s="106">
        <v>0</v>
      </c>
      <c r="G73" s="106">
        <v>0</v>
      </c>
      <c r="H73" s="106">
        <v>0</v>
      </c>
      <c r="I73" s="106">
        <v>69.727599999999995</v>
      </c>
      <c r="J73" s="107">
        <f t="shared" ref="J73:J82" si="487">I73</f>
        <v>69.727599999999995</v>
      </c>
      <c r="K73" s="106">
        <v>0</v>
      </c>
      <c r="L73" s="106">
        <v>0</v>
      </c>
      <c r="M73" s="106">
        <v>0</v>
      </c>
      <c r="N73" s="106">
        <v>53.022799999999997</v>
      </c>
      <c r="O73" s="107">
        <f t="shared" ref="O73:O82" si="488">N73</f>
        <v>53.022799999999997</v>
      </c>
      <c r="P73" s="106">
        <v>0</v>
      </c>
      <c r="Q73" s="106">
        <v>0</v>
      </c>
      <c r="R73" s="106">
        <v>0</v>
      </c>
      <c r="S73" s="106">
        <v>62.433199999999999</v>
      </c>
      <c r="T73" s="107">
        <f t="shared" ref="T73:T82" si="489">S73</f>
        <v>62.433199999999999</v>
      </c>
      <c r="U73" s="106">
        <v>0</v>
      </c>
      <c r="V73" s="106">
        <v>0</v>
      </c>
      <c r="W73" s="106">
        <v>0</v>
      </c>
      <c r="X73" s="106">
        <v>75.672700000000006</v>
      </c>
      <c r="Y73" s="107">
        <f t="shared" ref="Y73:Y82" si="490">X73</f>
        <v>75.672700000000006</v>
      </c>
      <c r="Z73" s="106" t="s">
        <v>11</v>
      </c>
      <c r="AA73" s="106">
        <v>0</v>
      </c>
      <c r="AB73" s="108" t="s">
        <v>11</v>
      </c>
      <c r="AC73" s="127">
        <f>AC106</f>
        <v>37.44732686221861</v>
      </c>
      <c r="AD73" s="107">
        <f t="shared" ref="AD73:AD79" si="491">AC73</f>
        <v>37.44732686221861</v>
      </c>
      <c r="AE73" s="127">
        <f>AE106</f>
        <v>48.617454055013717</v>
      </c>
      <c r="AF73" s="127">
        <f t="shared" ref="AF73:AH73" si="492">AF106</f>
        <v>47.990207546728428</v>
      </c>
      <c r="AG73" s="127">
        <f t="shared" si="492"/>
        <v>61.843583889122108</v>
      </c>
      <c r="AH73" s="127">
        <f t="shared" si="492"/>
        <v>52.982442120030953</v>
      </c>
      <c r="AI73" s="107">
        <f t="shared" ref="AI73:AI82" si="493">AH73</f>
        <v>52.982442120030953</v>
      </c>
      <c r="AJ73" s="127">
        <f>AJ106</f>
        <v>53.674629623297932</v>
      </c>
      <c r="AK73" s="127">
        <f t="shared" ref="AK73:AM73" si="494">AK106</f>
        <v>55.478145525532511</v>
      </c>
      <c r="AL73" s="127">
        <f t="shared" si="494"/>
        <v>70.385707536391081</v>
      </c>
      <c r="AM73" s="127">
        <f t="shared" si="494"/>
        <v>60.806257088304754</v>
      </c>
      <c r="AN73" s="107">
        <f t="shared" ref="AN73:AN75" si="495">AM73</f>
        <v>60.806257088304754</v>
      </c>
      <c r="AO73" s="127">
        <f>AO106</f>
        <v>61.033015675637955</v>
      </c>
      <c r="AP73" s="127">
        <f t="shared" ref="AP73:AR73" si="496">AP106</f>
        <v>64.789301926021437</v>
      </c>
      <c r="AQ73" s="127">
        <f t="shared" si="496"/>
        <v>79.086863075083315</v>
      </c>
      <c r="AR73" s="127">
        <f t="shared" si="496"/>
        <v>68.8761858871313</v>
      </c>
      <c r="AS73" s="107">
        <f t="shared" ref="AS73:AS75" si="497">AR73</f>
        <v>68.8761858871313</v>
      </c>
      <c r="AT73" s="127">
        <f>AT106</f>
        <v>69.400180841597987</v>
      </c>
      <c r="AU73" s="127">
        <f t="shared" ref="AU73:AW73" si="498">AU106</f>
        <v>75.663193214151221</v>
      </c>
      <c r="AV73" s="127">
        <f t="shared" si="498"/>
        <v>91.031071110556184</v>
      </c>
      <c r="AW73" s="127">
        <f t="shared" si="498"/>
        <v>79.919975344592046</v>
      </c>
      <c r="AX73" s="107">
        <f t="shared" ref="AX73:AX75" si="499">AW73</f>
        <v>79.919975344592046</v>
      </c>
      <c r="AY73" s="127">
        <f>AY106</f>
        <v>78.914421113374871</v>
      </c>
      <c r="AZ73" s="127">
        <f t="shared" ref="AZ73:BB73" si="500">AZ106</f>
        <v>88.362100488424446</v>
      </c>
      <c r="BA73" s="127">
        <f t="shared" si="500"/>
        <v>104.779170463089</v>
      </c>
      <c r="BB73" s="127">
        <f t="shared" si="500"/>
        <v>92.734555155929044</v>
      </c>
      <c r="BC73" s="157">
        <f t="shared" ref="BC73:BC75" si="501">BB73</f>
        <v>92.734555155929044</v>
      </c>
    </row>
    <row r="74" spans="2:56" s="82" customFormat="1" outlineLevel="1" x14ac:dyDescent="0.15">
      <c r="B74" s="117" t="s">
        <v>76</v>
      </c>
      <c r="C74" s="102"/>
      <c r="D74" s="102"/>
      <c r="E74" s="102"/>
      <c r="F74" s="106">
        <v>3075.8154</v>
      </c>
      <c r="G74" s="106">
        <v>3566.5625</v>
      </c>
      <c r="H74" s="106">
        <v>3510.4483</v>
      </c>
      <c r="I74" s="106">
        <v>2551.9099000000001</v>
      </c>
      <c r="J74" s="107">
        <f t="shared" si="487"/>
        <v>2551.9099000000001</v>
      </c>
      <c r="K74" s="106">
        <v>3861.0628999999999</v>
      </c>
      <c r="L74" s="106">
        <v>3947.7602000000002</v>
      </c>
      <c r="M74" s="106">
        <v>4118.4404999999997</v>
      </c>
      <c r="N74" s="106">
        <v>2970.3051999999998</v>
      </c>
      <c r="O74" s="107">
        <f t="shared" si="488"/>
        <v>2970.3051999999998</v>
      </c>
      <c r="P74" s="106">
        <v>4175.5585000000001</v>
      </c>
      <c r="Q74" s="106">
        <v>4194.3107</v>
      </c>
      <c r="R74" s="106">
        <v>4047.7386999999999</v>
      </c>
      <c r="S74" s="106">
        <v>2841.2739000000001</v>
      </c>
      <c r="T74" s="107">
        <f t="shared" si="489"/>
        <v>2841.2739000000001</v>
      </c>
      <c r="U74" s="106">
        <v>5190.9785000000002</v>
      </c>
      <c r="V74" s="106">
        <v>5200.9498999999996</v>
      </c>
      <c r="W74" s="106">
        <v>5798.9267</v>
      </c>
      <c r="X74" s="106">
        <v>4858.4594999999999</v>
      </c>
      <c r="Y74" s="107">
        <f t="shared" si="490"/>
        <v>4858.4594999999999</v>
      </c>
      <c r="Z74" s="106">
        <v>8087.2164000000002</v>
      </c>
      <c r="AA74" s="106">
        <v>10368.356</v>
      </c>
      <c r="AB74" s="108">
        <v>10625.867200000001</v>
      </c>
      <c r="AC74" s="106">
        <f>AB74</f>
        <v>10625.867200000001</v>
      </c>
      <c r="AD74" s="141">
        <f>AC74</f>
        <v>10625.867200000001</v>
      </c>
      <c r="AE74" s="106">
        <f>AD74</f>
        <v>10625.867200000001</v>
      </c>
      <c r="AF74" s="106">
        <f t="shared" ref="AF74:AH74" si="502">AE74</f>
        <v>10625.867200000001</v>
      </c>
      <c r="AG74" s="106">
        <f t="shared" si="502"/>
        <v>10625.867200000001</v>
      </c>
      <c r="AH74" s="106">
        <f t="shared" si="502"/>
        <v>10625.867200000001</v>
      </c>
      <c r="AI74" s="141">
        <f t="shared" si="493"/>
        <v>10625.867200000001</v>
      </c>
      <c r="AJ74" s="106">
        <f>AI74</f>
        <v>10625.867200000001</v>
      </c>
      <c r="AK74" s="106">
        <f t="shared" ref="AK74:AM74" si="503">AJ74</f>
        <v>10625.867200000001</v>
      </c>
      <c r="AL74" s="106">
        <f t="shared" si="503"/>
        <v>10625.867200000001</v>
      </c>
      <c r="AM74" s="106">
        <f t="shared" si="503"/>
        <v>10625.867200000001</v>
      </c>
      <c r="AN74" s="141">
        <f t="shared" si="495"/>
        <v>10625.867200000001</v>
      </c>
      <c r="AO74" s="106">
        <f>AN74</f>
        <v>10625.867200000001</v>
      </c>
      <c r="AP74" s="106">
        <f t="shared" ref="AP74:AR74" si="504">AO74</f>
        <v>10625.867200000001</v>
      </c>
      <c r="AQ74" s="106">
        <f t="shared" si="504"/>
        <v>10625.867200000001</v>
      </c>
      <c r="AR74" s="106">
        <f t="shared" si="504"/>
        <v>10625.867200000001</v>
      </c>
      <c r="AS74" s="141">
        <f t="shared" si="497"/>
        <v>10625.867200000001</v>
      </c>
      <c r="AT74" s="106">
        <f>AS74</f>
        <v>10625.867200000001</v>
      </c>
      <c r="AU74" s="106">
        <f t="shared" ref="AU74:AW74" si="505">AT74</f>
        <v>10625.867200000001</v>
      </c>
      <c r="AV74" s="106">
        <f t="shared" si="505"/>
        <v>10625.867200000001</v>
      </c>
      <c r="AW74" s="106">
        <f t="shared" si="505"/>
        <v>10625.867200000001</v>
      </c>
      <c r="AX74" s="141">
        <f t="shared" si="499"/>
        <v>10625.867200000001</v>
      </c>
      <c r="AY74" s="106">
        <f>AX74</f>
        <v>10625.867200000001</v>
      </c>
      <c r="AZ74" s="106">
        <f t="shared" ref="AZ74:BB74" si="506">AY74</f>
        <v>10625.867200000001</v>
      </c>
      <c r="BA74" s="106">
        <f t="shared" si="506"/>
        <v>10625.867200000001</v>
      </c>
      <c r="BB74" s="106">
        <f t="shared" si="506"/>
        <v>10625.867200000001</v>
      </c>
      <c r="BC74" s="159">
        <f t="shared" si="501"/>
        <v>10625.867200000001</v>
      </c>
    </row>
    <row r="75" spans="2:56" s="82" customFormat="1" outlineLevel="1" x14ac:dyDescent="0.15">
      <c r="B75" s="117" t="s">
        <v>21</v>
      </c>
      <c r="C75" s="102"/>
      <c r="D75" s="102"/>
      <c r="E75" s="102"/>
      <c r="F75" s="106">
        <f>SUM(F72:F74)</f>
        <v>3075.8154</v>
      </c>
      <c r="G75" s="106">
        <f>SUM(G72:G74)</f>
        <v>3566.5625</v>
      </c>
      <c r="H75" s="106">
        <f>SUM(H72:H74)</f>
        <v>3510.4483</v>
      </c>
      <c r="I75" s="106">
        <f>SUM(I72:I74)</f>
        <v>3810.9740000000002</v>
      </c>
      <c r="J75" s="107">
        <f t="shared" si="487"/>
        <v>3810.9740000000002</v>
      </c>
      <c r="K75" s="106">
        <f>SUM(K72:K74)</f>
        <v>3861.0628999999999</v>
      </c>
      <c r="L75" s="106">
        <f>SUM(L72:L74)</f>
        <v>3947.7602000000002</v>
      </c>
      <c r="M75" s="106">
        <f>SUM(M72:M74)</f>
        <v>4118.4404999999997</v>
      </c>
      <c r="N75" s="106">
        <f>SUM(N72:N74)</f>
        <v>4342.4838999999993</v>
      </c>
      <c r="O75" s="107">
        <f t="shared" si="488"/>
        <v>4342.4838999999993</v>
      </c>
      <c r="P75" s="106">
        <f>SUM(P72:P74)</f>
        <v>4175.5585000000001</v>
      </c>
      <c r="Q75" s="106">
        <f>SUM(Q72:Q74)</f>
        <v>4194.3107</v>
      </c>
      <c r="R75" s="106">
        <f>SUM(R72:R74)</f>
        <v>4047.7386999999999</v>
      </c>
      <c r="S75" s="106">
        <f>SUM(S72:S74)</f>
        <v>5271.0048999999999</v>
      </c>
      <c r="T75" s="107">
        <f t="shared" si="489"/>
        <v>5271.0048999999999</v>
      </c>
      <c r="U75" s="106">
        <f>SUM(U72:U74)</f>
        <v>5190.9785000000002</v>
      </c>
      <c r="V75" s="106">
        <f>SUM(V72:V74)</f>
        <v>5200.9498999999996</v>
      </c>
      <c r="W75" s="106">
        <f>SUM(W72:W74)</f>
        <v>5798.9267</v>
      </c>
      <c r="X75" s="106">
        <f>SUM(X72:X74)</f>
        <v>8072.7786999999998</v>
      </c>
      <c r="Y75" s="107">
        <f t="shared" si="490"/>
        <v>8072.7786999999998</v>
      </c>
      <c r="Z75" s="106">
        <f>SUM(Z72:Z74)</f>
        <v>8087.2164000000002</v>
      </c>
      <c r="AA75" s="106">
        <f>SUM(AA72:AA74)</f>
        <v>10368.356</v>
      </c>
      <c r="AB75" s="108">
        <f>SUM(AB72:AB74)</f>
        <v>10625.867200000001</v>
      </c>
      <c r="AC75" s="106">
        <f>SUM(AC72:AC74)</f>
        <v>10663.314526862219</v>
      </c>
      <c r="AD75" s="107">
        <f t="shared" si="491"/>
        <v>10663.314526862219</v>
      </c>
      <c r="AE75" s="106">
        <f>SUM(AE72:AE74)</f>
        <v>10674.484654055015</v>
      </c>
      <c r="AF75" s="106">
        <f t="shared" ref="AF75:AH75" si="507">SUM(AF72:AF74)</f>
        <v>10673.85740754673</v>
      </c>
      <c r="AG75" s="106">
        <f t="shared" si="507"/>
        <v>10687.710783889122</v>
      </c>
      <c r="AH75" s="106">
        <f t="shared" si="507"/>
        <v>10678.849642120031</v>
      </c>
      <c r="AI75" s="107">
        <f t="shared" si="493"/>
        <v>10678.849642120031</v>
      </c>
      <c r="AJ75" s="106">
        <f>SUM(AJ72:AJ74)</f>
        <v>10679.541829623298</v>
      </c>
      <c r="AK75" s="106">
        <f t="shared" ref="AK75" si="508">SUM(AK72:AK74)</f>
        <v>10681.345345525533</v>
      </c>
      <c r="AL75" s="106">
        <f t="shared" ref="AL75" si="509">SUM(AL72:AL74)</f>
        <v>10696.252907536391</v>
      </c>
      <c r="AM75" s="106">
        <f t="shared" ref="AM75" si="510">SUM(AM72:AM74)</f>
        <v>10686.673457088305</v>
      </c>
      <c r="AN75" s="107">
        <f t="shared" si="495"/>
        <v>10686.673457088305</v>
      </c>
      <c r="AO75" s="106">
        <f>SUM(AO72:AO74)</f>
        <v>10686.900215675638</v>
      </c>
      <c r="AP75" s="106">
        <f t="shared" ref="AP75" si="511">SUM(AP72:AP74)</f>
        <v>10690.656501926022</v>
      </c>
      <c r="AQ75" s="106">
        <f t="shared" ref="AQ75" si="512">SUM(AQ72:AQ74)</f>
        <v>10704.954063075083</v>
      </c>
      <c r="AR75" s="106">
        <f t="shared" ref="AR75" si="513">SUM(AR72:AR74)</f>
        <v>10694.743385887132</v>
      </c>
      <c r="AS75" s="107">
        <f t="shared" si="497"/>
        <v>10694.743385887132</v>
      </c>
      <c r="AT75" s="106">
        <f>SUM(AT72:AT74)</f>
        <v>10695.267380841598</v>
      </c>
      <c r="AU75" s="106">
        <f t="shared" ref="AU75" si="514">SUM(AU72:AU74)</f>
        <v>10701.530393214152</v>
      </c>
      <c r="AV75" s="106">
        <f t="shared" ref="AV75" si="515">SUM(AV72:AV74)</f>
        <v>10716.898271110556</v>
      </c>
      <c r="AW75" s="106">
        <f t="shared" ref="AW75" si="516">SUM(AW72:AW74)</f>
        <v>10705.787175344592</v>
      </c>
      <c r="AX75" s="107">
        <f t="shared" si="499"/>
        <v>10705.787175344592</v>
      </c>
      <c r="AY75" s="106">
        <f>SUM(AY72:AY74)</f>
        <v>10704.781621113376</v>
      </c>
      <c r="AZ75" s="106">
        <f t="shared" ref="AZ75" si="517">SUM(AZ72:AZ74)</f>
        <v>10714.229300488425</v>
      </c>
      <c r="BA75" s="106">
        <f t="shared" ref="BA75" si="518">SUM(BA72:BA74)</f>
        <v>10730.64637046309</v>
      </c>
      <c r="BB75" s="106">
        <f t="shared" ref="BB75" si="519">SUM(BB72:BB74)</f>
        <v>10718.601755155929</v>
      </c>
      <c r="BC75" s="157">
        <f t="shared" si="501"/>
        <v>10718.601755155929</v>
      </c>
    </row>
    <row r="76" spans="2:56" s="82" customFormat="1" outlineLevel="1" x14ac:dyDescent="0.15">
      <c r="B76" s="273" t="s">
        <v>22</v>
      </c>
      <c r="C76" s="102"/>
      <c r="D76" s="102"/>
      <c r="E76" s="102"/>
      <c r="F76" s="106">
        <v>3252.2089000000001</v>
      </c>
      <c r="G76" s="106">
        <v>3418.7640999999999</v>
      </c>
      <c r="H76" s="106">
        <v>3537.0050000000001</v>
      </c>
      <c r="I76" s="106">
        <v>3606.7202000000002</v>
      </c>
      <c r="J76" s="107">
        <f t="shared" si="487"/>
        <v>3606.7202000000002</v>
      </c>
      <c r="K76" s="106">
        <v>3671.7202000000002</v>
      </c>
      <c r="L76" s="106">
        <v>3512.0913</v>
      </c>
      <c r="M76" s="106">
        <v>3467.8243000000002</v>
      </c>
      <c r="N76" s="106">
        <v>3465.9477999999999</v>
      </c>
      <c r="O76" s="107">
        <f t="shared" si="488"/>
        <v>3465.9477999999999</v>
      </c>
      <c r="P76" s="106">
        <v>3458.8733000000002</v>
      </c>
      <c r="Q76" s="106">
        <v>3558.0931999999998</v>
      </c>
      <c r="R76" s="106">
        <v>3456.2510000000002</v>
      </c>
      <c r="S76" s="106">
        <v>3663.0120999999999</v>
      </c>
      <c r="T76" s="107">
        <f t="shared" si="489"/>
        <v>3663.0120999999999</v>
      </c>
      <c r="U76" s="106">
        <v>4292.9283999999998</v>
      </c>
      <c r="V76" s="106">
        <v>5193.875</v>
      </c>
      <c r="W76" s="106">
        <v>5375.7627000000002</v>
      </c>
      <c r="X76" s="106">
        <v>5858.9534999999996</v>
      </c>
      <c r="Y76" s="107">
        <f t="shared" si="490"/>
        <v>5858.9534999999996</v>
      </c>
      <c r="Z76" s="106">
        <v>5450.2825999999995</v>
      </c>
      <c r="AA76" s="106">
        <v>5471.8095999999996</v>
      </c>
      <c r="AB76" s="108">
        <v>4761.4962999999998</v>
      </c>
      <c r="AC76" s="140">
        <f>AC103</f>
        <v>4724.0489731377811</v>
      </c>
      <c r="AD76" s="107">
        <f>AC76</f>
        <v>4724.0489731377811</v>
      </c>
      <c r="AE76" s="140">
        <f>AE103</f>
        <v>4675.4315190827674</v>
      </c>
      <c r="AF76" s="140">
        <f>AF103</f>
        <v>4627.4413115360394</v>
      </c>
      <c r="AG76" s="140">
        <f>AG103</f>
        <v>4565.5977276469175</v>
      </c>
      <c r="AH76" s="140">
        <f>AH103</f>
        <v>4512.6152855268865</v>
      </c>
      <c r="AI76" s="107">
        <f>AH76</f>
        <v>4512.6152855268865</v>
      </c>
      <c r="AJ76" s="140">
        <f>AJ103</f>
        <v>4458.9406559035888</v>
      </c>
      <c r="AK76" s="140">
        <f>AK103</f>
        <v>4403.4625103780563</v>
      </c>
      <c r="AL76" s="140">
        <f>AL103</f>
        <v>4333.0768028416651</v>
      </c>
      <c r="AM76" s="140">
        <f>AM103</f>
        <v>4272.2705457533602</v>
      </c>
      <c r="AN76" s="107">
        <f>AM76</f>
        <v>4272.2705457533602</v>
      </c>
      <c r="AO76" s="140">
        <f>AO103</f>
        <v>4211.2375300777221</v>
      </c>
      <c r="AP76" s="140">
        <f>AP103</f>
        <v>4146.4482281517003</v>
      </c>
      <c r="AQ76" s="140">
        <f>AQ103</f>
        <v>4067.3613650766169</v>
      </c>
      <c r="AR76" s="140">
        <f>AR103</f>
        <v>3998.4851791894857</v>
      </c>
      <c r="AS76" s="107">
        <f>AR76</f>
        <v>3998.4851791894857</v>
      </c>
      <c r="AT76" s="140">
        <f>AT103</f>
        <v>3929.0849983478879</v>
      </c>
      <c r="AU76" s="140">
        <f>AU103</f>
        <v>3853.4218051337366</v>
      </c>
      <c r="AV76" s="140">
        <f>AV103</f>
        <v>3762.3907340231804</v>
      </c>
      <c r="AW76" s="140">
        <f>AW103</f>
        <v>3682.4707586785885</v>
      </c>
      <c r="AX76" s="107">
        <f>AW76</f>
        <v>3682.4707586785885</v>
      </c>
      <c r="AY76" s="140">
        <f>AY103</f>
        <v>3603.5563375652137</v>
      </c>
      <c r="AZ76" s="140">
        <f>AZ103</f>
        <v>3515.1942370767892</v>
      </c>
      <c r="BA76" s="140">
        <f>BA103</f>
        <v>3410.4150666137002</v>
      </c>
      <c r="BB76" s="140">
        <f>BB103</f>
        <v>3317.680511457771</v>
      </c>
      <c r="BC76" s="157">
        <f>BB76</f>
        <v>3317.680511457771</v>
      </c>
    </row>
    <row r="77" spans="2:56" s="82" customFormat="1" outlineLevel="1" x14ac:dyDescent="0.15">
      <c r="B77" s="117" t="s">
        <v>23</v>
      </c>
      <c r="C77" s="102"/>
      <c r="D77" s="102"/>
      <c r="E77" s="102"/>
      <c r="F77" s="106">
        <v>1247.3771999999999</v>
      </c>
      <c r="G77" s="106">
        <v>1277.1147000000001</v>
      </c>
      <c r="H77" s="106">
        <v>1391.2195999999999</v>
      </c>
      <c r="I77" s="106">
        <v>1493.6133</v>
      </c>
      <c r="J77" s="107">
        <f t="shared" si="487"/>
        <v>1493.6133</v>
      </c>
      <c r="K77" s="106">
        <v>1814.1646000000001</v>
      </c>
      <c r="L77" s="106">
        <v>1784.3624</v>
      </c>
      <c r="M77" s="106">
        <v>2057.5362</v>
      </c>
      <c r="N77" s="106">
        <v>1921.0730000000001</v>
      </c>
      <c r="O77" s="107">
        <f t="shared" si="488"/>
        <v>1921.0730000000001</v>
      </c>
      <c r="P77" s="106">
        <v>1785.4855</v>
      </c>
      <c r="Q77" s="106">
        <v>1889.7968000000001</v>
      </c>
      <c r="R77" s="106">
        <v>1903.2276999999999</v>
      </c>
      <c r="S77" s="106">
        <v>2336.9794999999999</v>
      </c>
      <c r="T77" s="107">
        <f t="shared" si="489"/>
        <v>2336.9794999999999</v>
      </c>
      <c r="U77" s="106">
        <v>2449.1066000000001</v>
      </c>
      <c r="V77" s="106">
        <v>2639.05</v>
      </c>
      <c r="W77" s="106">
        <v>2443.8243000000002</v>
      </c>
      <c r="X77" s="106">
        <v>2452.2127999999998</v>
      </c>
      <c r="Y77" s="107">
        <f t="shared" si="490"/>
        <v>2452.2127999999998</v>
      </c>
      <c r="Z77" s="106">
        <v>2445.4647</v>
      </c>
      <c r="AA77" s="106">
        <v>2781.2080999999998</v>
      </c>
      <c r="AB77" s="108">
        <v>2930.7937999999999</v>
      </c>
      <c r="AC77" s="106">
        <f>AB77</f>
        <v>2930.7937999999999</v>
      </c>
      <c r="AD77" s="141">
        <f>AC77</f>
        <v>2930.7937999999999</v>
      </c>
      <c r="AE77" s="140">
        <f>AD77</f>
        <v>2930.7937999999999</v>
      </c>
      <c r="AF77" s="140">
        <f t="shared" ref="AF77:AH78" si="520">AE77</f>
        <v>2930.7937999999999</v>
      </c>
      <c r="AG77" s="140">
        <f t="shared" si="520"/>
        <v>2930.7937999999999</v>
      </c>
      <c r="AH77" s="140">
        <f t="shared" si="520"/>
        <v>2930.7937999999999</v>
      </c>
      <c r="AI77" s="141">
        <f t="shared" ref="AI77:AM78" si="521">AH77</f>
        <v>2930.7937999999999</v>
      </c>
      <c r="AJ77" s="140">
        <f t="shared" si="521"/>
        <v>2930.7937999999999</v>
      </c>
      <c r="AK77" s="140">
        <f t="shared" si="521"/>
        <v>2930.7937999999999</v>
      </c>
      <c r="AL77" s="140">
        <f t="shared" si="521"/>
        <v>2930.7937999999999</v>
      </c>
      <c r="AM77" s="140">
        <f t="shared" si="521"/>
        <v>2930.7937999999999</v>
      </c>
      <c r="AN77" s="141">
        <f t="shared" ref="AN77:AR78" si="522">AM77</f>
        <v>2930.7937999999999</v>
      </c>
      <c r="AO77" s="140">
        <f t="shared" si="522"/>
        <v>2930.7937999999999</v>
      </c>
      <c r="AP77" s="140">
        <f t="shared" si="522"/>
        <v>2930.7937999999999</v>
      </c>
      <c r="AQ77" s="140">
        <f t="shared" si="522"/>
        <v>2930.7937999999999</v>
      </c>
      <c r="AR77" s="140">
        <f t="shared" si="522"/>
        <v>2930.7937999999999</v>
      </c>
      <c r="AS77" s="141">
        <f t="shared" ref="AS77:AW78" si="523">AR77</f>
        <v>2930.7937999999999</v>
      </c>
      <c r="AT77" s="140">
        <f t="shared" si="523"/>
        <v>2930.7937999999999</v>
      </c>
      <c r="AU77" s="140">
        <f t="shared" si="523"/>
        <v>2930.7937999999999</v>
      </c>
      <c r="AV77" s="140">
        <f t="shared" si="523"/>
        <v>2930.7937999999999</v>
      </c>
      <c r="AW77" s="140">
        <f t="shared" si="523"/>
        <v>2930.7937999999999</v>
      </c>
      <c r="AX77" s="141">
        <f t="shared" ref="AX77:BB78" si="524">AW77</f>
        <v>2930.7937999999999</v>
      </c>
      <c r="AY77" s="140">
        <f t="shared" si="524"/>
        <v>2930.7937999999999</v>
      </c>
      <c r="AZ77" s="140">
        <f t="shared" si="524"/>
        <v>2930.7937999999999</v>
      </c>
      <c r="BA77" s="140">
        <f t="shared" si="524"/>
        <v>2930.7937999999999</v>
      </c>
      <c r="BB77" s="140">
        <f t="shared" si="524"/>
        <v>2930.7937999999999</v>
      </c>
      <c r="BC77" s="159">
        <f t="shared" ref="BC77:BC78" si="525">BB77</f>
        <v>2930.7937999999999</v>
      </c>
    </row>
    <row r="78" spans="2:56" s="82" customFormat="1" outlineLevel="1" x14ac:dyDescent="0.15">
      <c r="B78" s="117" t="s">
        <v>24</v>
      </c>
      <c r="C78" s="102"/>
      <c r="D78" s="102"/>
      <c r="E78" s="102"/>
      <c r="F78" s="106">
        <f>SUM(F76:F77)</f>
        <v>4499.5861000000004</v>
      </c>
      <c r="G78" s="106">
        <f t="shared" ref="G78:I78" si="526">SUM(G76:G77)</f>
        <v>4695.8788000000004</v>
      </c>
      <c r="H78" s="106">
        <f t="shared" si="526"/>
        <v>4928.2245999999996</v>
      </c>
      <c r="I78" s="106">
        <f t="shared" si="526"/>
        <v>5100.3335000000006</v>
      </c>
      <c r="J78" s="107">
        <f t="shared" si="487"/>
        <v>5100.3335000000006</v>
      </c>
      <c r="K78" s="106">
        <f>SUM(K76:K77)</f>
        <v>5485.8847999999998</v>
      </c>
      <c r="L78" s="106">
        <f t="shared" ref="L78" si="527">SUM(L76:L77)</f>
        <v>5296.4537</v>
      </c>
      <c r="M78" s="106">
        <f t="shared" ref="M78" si="528">SUM(M76:M77)</f>
        <v>5525.3605000000007</v>
      </c>
      <c r="N78" s="106">
        <f t="shared" ref="N78" si="529">SUM(N76:N77)</f>
        <v>5387.0208000000002</v>
      </c>
      <c r="O78" s="107">
        <f t="shared" si="488"/>
        <v>5387.0208000000002</v>
      </c>
      <c r="P78" s="106">
        <f>SUM(P76:P77)</f>
        <v>5244.3588</v>
      </c>
      <c r="Q78" s="106">
        <f t="shared" ref="Q78" si="530">SUM(Q76:Q77)</f>
        <v>5447.8899999999994</v>
      </c>
      <c r="R78" s="106">
        <f t="shared" ref="R78" si="531">SUM(R76:R77)</f>
        <v>5359.4786999999997</v>
      </c>
      <c r="S78" s="106">
        <f t="shared" ref="S78" si="532">SUM(S76:S77)</f>
        <v>5999.9915999999994</v>
      </c>
      <c r="T78" s="107">
        <f t="shared" si="489"/>
        <v>5999.9915999999994</v>
      </c>
      <c r="U78" s="106">
        <f>SUM(U76:U77)</f>
        <v>6742.0349999999999</v>
      </c>
      <c r="V78" s="106">
        <f t="shared" ref="V78" si="533">SUM(V76:V77)</f>
        <v>7832.9250000000002</v>
      </c>
      <c r="W78" s="106">
        <f t="shared" ref="W78" si="534">SUM(W76:W77)</f>
        <v>7819.5870000000004</v>
      </c>
      <c r="X78" s="106">
        <f t="shared" ref="X78" si="535">SUM(X76:X77)</f>
        <v>8311.166299999999</v>
      </c>
      <c r="Y78" s="107">
        <f t="shared" si="490"/>
        <v>8311.166299999999</v>
      </c>
      <c r="Z78" s="106">
        <f>SUM(Z76:Z77)</f>
        <v>7895.7472999999991</v>
      </c>
      <c r="AA78" s="106">
        <f t="shared" ref="AA78" si="536">SUM(AA76:AA77)</f>
        <v>8253.0177000000003</v>
      </c>
      <c r="AB78" s="108">
        <f t="shared" ref="AB78:AC78" si="537">SUM(AB76:AB77)</f>
        <v>7692.2901000000002</v>
      </c>
      <c r="AC78" s="106">
        <f t="shared" si="537"/>
        <v>7654.8427731377815</v>
      </c>
      <c r="AD78" s="107">
        <f t="shared" si="491"/>
        <v>7654.8427731377815</v>
      </c>
      <c r="AE78" s="106">
        <f t="shared" ref="AE78" si="538">AD78</f>
        <v>7654.8427731377815</v>
      </c>
      <c r="AF78" s="106">
        <f t="shared" si="520"/>
        <v>7654.8427731377815</v>
      </c>
      <c r="AG78" s="106">
        <f t="shared" si="520"/>
        <v>7654.8427731377815</v>
      </c>
      <c r="AH78" s="106">
        <f t="shared" si="520"/>
        <v>7654.8427731377815</v>
      </c>
      <c r="AI78" s="107">
        <f t="shared" si="521"/>
        <v>7654.8427731377815</v>
      </c>
      <c r="AJ78" s="106">
        <f t="shared" si="521"/>
        <v>7654.8427731377815</v>
      </c>
      <c r="AK78" s="106">
        <f t="shared" si="521"/>
        <v>7654.8427731377815</v>
      </c>
      <c r="AL78" s="106">
        <f t="shared" si="521"/>
        <v>7654.8427731377815</v>
      </c>
      <c r="AM78" s="106">
        <f t="shared" si="521"/>
        <v>7654.8427731377815</v>
      </c>
      <c r="AN78" s="107">
        <f t="shared" si="522"/>
        <v>7654.8427731377815</v>
      </c>
      <c r="AO78" s="106">
        <f t="shared" si="522"/>
        <v>7654.8427731377815</v>
      </c>
      <c r="AP78" s="106">
        <f t="shared" si="522"/>
        <v>7654.8427731377815</v>
      </c>
      <c r="AQ78" s="106">
        <f t="shared" si="522"/>
        <v>7654.8427731377815</v>
      </c>
      <c r="AR78" s="106">
        <f t="shared" si="522"/>
        <v>7654.8427731377815</v>
      </c>
      <c r="AS78" s="107">
        <f t="shared" si="523"/>
        <v>7654.8427731377815</v>
      </c>
      <c r="AT78" s="106">
        <f t="shared" si="523"/>
        <v>7654.8427731377815</v>
      </c>
      <c r="AU78" s="106">
        <f t="shared" si="523"/>
        <v>7654.8427731377815</v>
      </c>
      <c r="AV78" s="106">
        <f t="shared" si="523"/>
        <v>7654.8427731377815</v>
      </c>
      <c r="AW78" s="106">
        <f t="shared" si="523"/>
        <v>7654.8427731377815</v>
      </c>
      <c r="AX78" s="107">
        <f t="shared" si="524"/>
        <v>7654.8427731377815</v>
      </c>
      <c r="AY78" s="106">
        <f t="shared" si="524"/>
        <v>7654.8427731377815</v>
      </c>
      <c r="AZ78" s="106">
        <f t="shared" si="524"/>
        <v>7654.8427731377815</v>
      </c>
      <c r="BA78" s="106">
        <f t="shared" si="524"/>
        <v>7654.8427731377815</v>
      </c>
      <c r="BB78" s="106">
        <f t="shared" si="524"/>
        <v>7654.8427731377815</v>
      </c>
      <c r="BC78" s="157">
        <f t="shared" si="525"/>
        <v>7654.8427731377815</v>
      </c>
    </row>
    <row r="79" spans="2:56" s="82" customFormat="1" ht="13" outlineLevel="1" thickBot="1" x14ac:dyDescent="0.2">
      <c r="B79" s="121" t="s">
        <v>25</v>
      </c>
      <c r="C79" s="122"/>
      <c r="D79" s="122"/>
      <c r="E79" s="122"/>
      <c r="F79" s="123">
        <f>F75+F78</f>
        <v>7575.4014999999999</v>
      </c>
      <c r="G79" s="123">
        <f t="shared" ref="G79:I79" si="539">G75+G78</f>
        <v>8262.4413000000004</v>
      </c>
      <c r="H79" s="123">
        <f t="shared" si="539"/>
        <v>8438.6728999999996</v>
      </c>
      <c r="I79" s="123">
        <f t="shared" si="539"/>
        <v>8911.3075000000008</v>
      </c>
      <c r="J79" s="111">
        <f t="shared" si="487"/>
        <v>8911.3075000000008</v>
      </c>
      <c r="K79" s="123">
        <f>K75+K78</f>
        <v>9346.9477000000006</v>
      </c>
      <c r="L79" s="123">
        <f t="shared" ref="L79" si="540">L75+L78</f>
        <v>9244.2139000000006</v>
      </c>
      <c r="M79" s="123">
        <f t="shared" ref="M79" si="541">M75+M78</f>
        <v>9643.8009999999995</v>
      </c>
      <c r="N79" s="123">
        <f t="shared" ref="N79" si="542">N75+N78</f>
        <v>9729.5046999999995</v>
      </c>
      <c r="O79" s="111">
        <f t="shared" si="488"/>
        <v>9729.5046999999995</v>
      </c>
      <c r="P79" s="123">
        <f>P75+P78</f>
        <v>9419.917300000001</v>
      </c>
      <c r="Q79" s="123">
        <f t="shared" ref="Q79" si="543">Q75+Q78</f>
        <v>9642.2006999999994</v>
      </c>
      <c r="R79" s="123">
        <f t="shared" ref="R79" si="544">R75+R78</f>
        <v>9407.2173999999995</v>
      </c>
      <c r="S79" s="123">
        <f t="shared" ref="S79" si="545">S75+S78</f>
        <v>11270.996499999999</v>
      </c>
      <c r="T79" s="111">
        <f t="shared" si="489"/>
        <v>11270.996499999999</v>
      </c>
      <c r="U79" s="123">
        <f>U75+U78</f>
        <v>11933.013500000001</v>
      </c>
      <c r="V79" s="123">
        <f t="shared" ref="V79" si="546">V75+V78</f>
        <v>13033.874899999999</v>
      </c>
      <c r="W79" s="123">
        <f t="shared" ref="W79" si="547">W75+W78</f>
        <v>13618.5137</v>
      </c>
      <c r="X79" s="123">
        <f t="shared" ref="X79" si="548">X75+X78</f>
        <v>16383.945</v>
      </c>
      <c r="Y79" s="111">
        <f t="shared" si="490"/>
        <v>16383.945</v>
      </c>
      <c r="Z79" s="123">
        <f>Z75+Z78</f>
        <v>15982.9637</v>
      </c>
      <c r="AA79" s="123">
        <f t="shared" ref="AA79" si="549">AA75+AA78</f>
        <v>18621.3737</v>
      </c>
      <c r="AB79" s="109">
        <f t="shared" ref="AB79:BC79" si="550">AB75+AB78</f>
        <v>18318.157299999999</v>
      </c>
      <c r="AC79" s="123">
        <f t="shared" si="550"/>
        <v>18318.157299999999</v>
      </c>
      <c r="AD79" s="111">
        <f t="shared" si="491"/>
        <v>18318.157299999999</v>
      </c>
      <c r="AE79" s="123">
        <f t="shared" si="550"/>
        <v>18329.327427192795</v>
      </c>
      <c r="AF79" s="123">
        <f t="shared" si="550"/>
        <v>18328.700180684511</v>
      </c>
      <c r="AG79" s="123">
        <f t="shared" si="550"/>
        <v>18342.553557026906</v>
      </c>
      <c r="AH79" s="123">
        <f t="shared" si="550"/>
        <v>18333.692415257814</v>
      </c>
      <c r="AI79" s="111">
        <f t="shared" si="550"/>
        <v>18333.692415257814</v>
      </c>
      <c r="AJ79" s="123">
        <f t="shared" si="550"/>
        <v>18334.384602761078</v>
      </c>
      <c r="AK79" s="123">
        <f t="shared" si="550"/>
        <v>18336.188118663315</v>
      </c>
      <c r="AL79" s="123">
        <f t="shared" si="550"/>
        <v>18351.095680674174</v>
      </c>
      <c r="AM79" s="123">
        <f t="shared" si="550"/>
        <v>18341.516230226087</v>
      </c>
      <c r="AN79" s="111">
        <f t="shared" si="550"/>
        <v>18341.516230226087</v>
      </c>
      <c r="AO79" s="123">
        <f t="shared" si="550"/>
        <v>18341.742988813421</v>
      </c>
      <c r="AP79" s="123">
        <f t="shared" si="550"/>
        <v>18345.499275063805</v>
      </c>
      <c r="AQ79" s="123">
        <f t="shared" si="550"/>
        <v>18359.796836212867</v>
      </c>
      <c r="AR79" s="123">
        <f t="shared" si="550"/>
        <v>18349.586159024911</v>
      </c>
      <c r="AS79" s="111">
        <f t="shared" si="550"/>
        <v>18349.586159024911</v>
      </c>
      <c r="AT79" s="123">
        <f t="shared" si="550"/>
        <v>18350.110153979382</v>
      </c>
      <c r="AU79" s="123">
        <f t="shared" si="550"/>
        <v>18356.373166351936</v>
      </c>
      <c r="AV79" s="123">
        <f t="shared" si="550"/>
        <v>18371.741044248338</v>
      </c>
      <c r="AW79" s="123">
        <f t="shared" si="550"/>
        <v>18360.629948482376</v>
      </c>
      <c r="AX79" s="111">
        <f t="shared" si="550"/>
        <v>18360.629948482376</v>
      </c>
      <c r="AY79" s="123">
        <f t="shared" si="550"/>
        <v>18359.624394251157</v>
      </c>
      <c r="AZ79" s="123">
        <f t="shared" si="550"/>
        <v>18369.072073626208</v>
      </c>
      <c r="BA79" s="123">
        <f t="shared" si="550"/>
        <v>18385.489143600869</v>
      </c>
      <c r="BB79" s="123">
        <f t="shared" si="550"/>
        <v>18373.444528293709</v>
      </c>
      <c r="BC79" s="111">
        <f t="shared" si="550"/>
        <v>18373.444528293709</v>
      </c>
      <c r="BD79" s="116"/>
    </row>
    <row r="80" spans="2:56" s="82" customFormat="1" ht="13" outlineLevel="1" thickBot="1" x14ac:dyDescent="0.2">
      <c r="B80" s="102"/>
      <c r="C80" s="102"/>
      <c r="D80" s="102"/>
      <c r="E80" s="102"/>
      <c r="F80" s="106"/>
      <c r="G80" s="106"/>
      <c r="H80" s="106"/>
      <c r="I80" s="106"/>
      <c r="J80" s="107"/>
      <c r="K80" s="106"/>
      <c r="L80" s="106"/>
      <c r="M80" s="106"/>
      <c r="N80" s="106"/>
      <c r="O80" s="107"/>
      <c r="P80" s="106"/>
      <c r="Q80" s="106"/>
      <c r="R80" s="106"/>
      <c r="S80" s="106"/>
      <c r="T80" s="107"/>
      <c r="U80" s="106"/>
      <c r="V80" s="106"/>
      <c r="W80" s="106"/>
      <c r="X80" s="106"/>
      <c r="Y80" s="107"/>
      <c r="Z80" s="106"/>
      <c r="AA80" s="106"/>
      <c r="AB80" s="108"/>
      <c r="AC80" s="106"/>
      <c r="AD80" s="107"/>
      <c r="AE80" s="106"/>
      <c r="AF80" s="106"/>
      <c r="AG80" s="106"/>
      <c r="AH80" s="106"/>
      <c r="AI80" s="107"/>
      <c r="AJ80" s="106"/>
      <c r="AK80" s="106"/>
      <c r="AL80" s="106"/>
      <c r="AM80" s="106"/>
      <c r="AN80" s="107"/>
      <c r="AO80" s="106"/>
      <c r="AP80" s="106"/>
      <c r="AQ80" s="106"/>
      <c r="AR80" s="106"/>
      <c r="AS80" s="107"/>
      <c r="AT80" s="106"/>
      <c r="AU80" s="106"/>
      <c r="AV80" s="106"/>
      <c r="AW80" s="106"/>
      <c r="AX80" s="107"/>
      <c r="AY80" s="106"/>
      <c r="AZ80" s="106"/>
      <c r="BA80" s="106"/>
      <c r="BB80" s="106"/>
      <c r="BC80" s="107"/>
    </row>
    <row r="81" spans="2:55" s="82" customFormat="1" outlineLevel="1" x14ac:dyDescent="0.15">
      <c r="B81" s="112" t="s">
        <v>26</v>
      </c>
      <c r="C81" s="155"/>
      <c r="D81" s="155"/>
      <c r="E81" s="155"/>
      <c r="F81" s="114">
        <v>10956.937099999999</v>
      </c>
      <c r="G81" s="114">
        <v>11450.206399999999</v>
      </c>
      <c r="H81" s="114">
        <v>12212.328</v>
      </c>
      <c r="I81" s="114">
        <v>12955.3881</v>
      </c>
      <c r="J81" s="115">
        <v>12955.3881</v>
      </c>
      <c r="K81" s="114">
        <v>13635.757600000001</v>
      </c>
      <c r="L81" s="114">
        <v>12637.082899999999</v>
      </c>
      <c r="M81" s="114">
        <v>12954.2556</v>
      </c>
      <c r="N81" s="114">
        <v>13331.273200000001</v>
      </c>
      <c r="O81" s="115">
        <v>13331.273200000001</v>
      </c>
      <c r="P81" s="114">
        <v>13426.712</v>
      </c>
      <c r="Q81" s="114">
        <v>13114.3063</v>
      </c>
      <c r="R81" s="114">
        <v>13161.1203</v>
      </c>
      <c r="S81" s="114">
        <v>14139.7814</v>
      </c>
      <c r="T81" s="115">
        <v>14139.7814</v>
      </c>
      <c r="U81" s="114">
        <v>13900.467000000001</v>
      </c>
      <c r="V81" s="114">
        <v>14261.875400000001</v>
      </c>
      <c r="W81" s="114">
        <v>15967.4107</v>
      </c>
      <c r="X81" s="114">
        <v>16950.451400000002</v>
      </c>
      <c r="Y81" s="115">
        <v>16950.451400000002</v>
      </c>
      <c r="Z81" s="114">
        <v>16028.9493</v>
      </c>
      <c r="AA81" s="114">
        <v>14323.3045</v>
      </c>
      <c r="AB81" s="129">
        <v>13339.3333</v>
      </c>
      <c r="AC81" s="114">
        <f>AC69-AC79</f>
        <v>13226.7482687171</v>
      </c>
      <c r="AD81" s="115">
        <f>AD69-AD79</f>
        <v>13226.7482687171</v>
      </c>
      <c r="AE81" s="114">
        <f t="shared" ref="AE81:AH81" si="551">AE69-AE79</f>
        <v>12206.816435918852</v>
      </c>
      <c r="AF81" s="114">
        <f t="shared" si="551"/>
        <v>11087.803884540863</v>
      </c>
      <c r="AG81" s="114">
        <f t="shared" si="551"/>
        <v>11675.238161448298</v>
      </c>
      <c r="AH81" s="114">
        <f t="shared" si="551"/>
        <v>10683.769553405378</v>
      </c>
      <c r="AI81" s="115">
        <f t="shared" si="493"/>
        <v>10683.769553405378</v>
      </c>
      <c r="AJ81" s="114">
        <f t="shared" ref="AJ81:AM81" si="552">AJ69-AJ79</f>
        <v>10000.471223940865</v>
      </c>
      <c r="AK81" s="114">
        <f t="shared" si="552"/>
        <v>9888.0367323770006</v>
      </c>
      <c r="AL81" s="114">
        <f t="shared" si="552"/>
        <v>9643.2609049731764</v>
      </c>
      <c r="AM81" s="114">
        <f t="shared" si="552"/>
        <v>9646.760386507256</v>
      </c>
      <c r="AN81" s="115">
        <f t="shared" ref="AN81:AN82" si="553">AM81</f>
        <v>9646.760386507256</v>
      </c>
      <c r="AO81" s="114">
        <f t="shared" ref="AO81:AR81" si="554">AO69-AO79</f>
        <v>10419.559958799327</v>
      </c>
      <c r="AP81" s="114">
        <f t="shared" si="554"/>
        <v>10538.808279434012</v>
      </c>
      <c r="AQ81" s="114">
        <f t="shared" si="554"/>
        <v>11711.791364214681</v>
      </c>
      <c r="AR81" s="114">
        <f t="shared" si="554"/>
        <v>12985.095314165414</v>
      </c>
      <c r="AS81" s="115">
        <f t="shared" ref="AS81:AS82" si="555">AR81</f>
        <v>12985.095314165414</v>
      </c>
      <c r="AT81" s="114">
        <f t="shared" ref="AT81:AW81" si="556">AT69-AT79</f>
        <v>13193.025546743946</v>
      </c>
      <c r="AU81" s="114">
        <f t="shared" si="556"/>
        <v>14901.273240035596</v>
      </c>
      <c r="AV81" s="114">
        <f t="shared" si="556"/>
        <v>16418.548742500396</v>
      </c>
      <c r="AW81" s="114">
        <f t="shared" si="556"/>
        <v>17764.379166908497</v>
      </c>
      <c r="AX81" s="115">
        <f t="shared" ref="AX81:AX82" si="557">AW81</f>
        <v>17764.379166908497</v>
      </c>
      <c r="AY81" s="114">
        <f t="shared" ref="AY81:BB81" si="558">AY69-AY79</f>
        <v>18037.011249559895</v>
      </c>
      <c r="AZ81" s="114">
        <f t="shared" si="558"/>
        <v>19697.260775613766</v>
      </c>
      <c r="BA81" s="114">
        <f t="shared" si="558"/>
        <v>21988.793759171996</v>
      </c>
      <c r="BB81" s="114">
        <f t="shared" si="558"/>
        <v>23280.968167086598</v>
      </c>
      <c r="BC81" s="130">
        <f t="shared" ref="BC81:BC82" si="559">BB81</f>
        <v>23280.968167086598</v>
      </c>
    </row>
    <row r="82" spans="2:55" s="82" customFormat="1" ht="13" outlineLevel="1" thickBot="1" x14ac:dyDescent="0.2">
      <c r="B82" s="121" t="s">
        <v>27</v>
      </c>
      <c r="C82" s="122"/>
      <c r="D82" s="122"/>
      <c r="E82" s="122"/>
      <c r="F82" s="123">
        <v>18532.338599999999</v>
      </c>
      <c r="G82" s="123">
        <v>19712.647700000001</v>
      </c>
      <c r="H82" s="123">
        <v>20651.000899999999</v>
      </c>
      <c r="I82" s="123">
        <v>21866.695599999999</v>
      </c>
      <c r="J82" s="111">
        <f t="shared" si="487"/>
        <v>21866.695599999999</v>
      </c>
      <c r="K82" s="123">
        <v>22982.705300000001</v>
      </c>
      <c r="L82" s="123">
        <v>21881.2968</v>
      </c>
      <c r="M82" s="123">
        <v>22598.0566</v>
      </c>
      <c r="N82" s="123">
        <v>23060.777900000001</v>
      </c>
      <c r="O82" s="111">
        <f t="shared" si="488"/>
        <v>23060.777900000001</v>
      </c>
      <c r="P82" s="123">
        <v>22846.629300000001</v>
      </c>
      <c r="Q82" s="123">
        <v>22756.507000000001</v>
      </c>
      <c r="R82" s="123">
        <v>22568.337800000001</v>
      </c>
      <c r="S82" s="123">
        <v>25410.7778</v>
      </c>
      <c r="T82" s="111">
        <f t="shared" si="489"/>
        <v>25410.7778</v>
      </c>
      <c r="U82" s="123">
        <v>25833.480500000001</v>
      </c>
      <c r="V82" s="123">
        <v>27295.7503</v>
      </c>
      <c r="W82" s="123">
        <v>29585.924500000001</v>
      </c>
      <c r="X82" s="123">
        <v>33334.396500000003</v>
      </c>
      <c r="Y82" s="111">
        <f t="shared" si="490"/>
        <v>33334.396500000003</v>
      </c>
      <c r="Z82" s="123">
        <v>32011.913100000002</v>
      </c>
      <c r="AA82" s="123">
        <v>32944.678200000002</v>
      </c>
      <c r="AB82" s="109">
        <v>31657.490600000001</v>
      </c>
      <c r="AC82" s="123">
        <f>AC79+AC81</f>
        <v>31544.905568717099</v>
      </c>
      <c r="AD82" s="111">
        <f>AD79+AD81</f>
        <v>31544.905568717099</v>
      </c>
      <c r="AE82" s="123">
        <f t="shared" ref="AE82:AH82" si="560">AE79+AE81</f>
        <v>30536.143863111647</v>
      </c>
      <c r="AF82" s="123">
        <f t="shared" si="560"/>
        <v>29416.504065225374</v>
      </c>
      <c r="AG82" s="123">
        <f t="shared" si="560"/>
        <v>30017.791718475204</v>
      </c>
      <c r="AH82" s="123">
        <f t="shared" si="560"/>
        <v>29017.461968663192</v>
      </c>
      <c r="AI82" s="111">
        <f t="shared" si="493"/>
        <v>29017.461968663192</v>
      </c>
      <c r="AJ82" s="123">
        <f t="shared" ref="AJ82" si="561">AJ79+AJ81</f>
        <v>28334.855826701943</v>
      </c>
      <c r="AK82" s="123">
        <f t="shared" ref="AK82" si="562">AK79+AK81</f>
        <v>28224.224851040315</v>
      </c>
      <c r="AL82" s="123">
        <f t="shared" ref="AL82" si="563">AL79+AL81</f>
        <v>27994.356585647351</v>
      </c>
      <c r="AM82" s="123">
        <f t="shared" ref="AM82" si="564">AM79+AM81</f>
        <v>27988.276616733343</v>
      </c>
      <c r="AN82" s="111">
        <f t="shared" si="553"/>
        <v>27988.276616733343</v>
      </c>
      <c r="AO82" s="123">
        <f t="shared" ref="AO82" si="565">AO79+AO81</f>
        <v>28761.302947612749</v>
      </c>
      <c r="AP82" s="123">
        <f t="shared" ref="AP82" si="566">AP79+AP81</f>
        <v>28884.307554497816</v>
      </c>
      <c r="AQ82" s="123">
        <f t="shared" ref="AQ82" si="567">AQ79+AQ81</f>
        <v>30071.588200427548</v>
      </c>
      <c r="AR82" s="123">
        <f t="shared" ref="AR82" si="568">AR79+AR81</f>
        <v>31334.681473190325</v>
      </c>
      <c r="AS82" s="111">
        <f t="shared" si="555"/>
        <v>31334.681473190325</v>
      </c>
      <c r="AT82" s="123">
        <f t="shared" ref="AT82" si="569">AT79+AT81</f>
        <v>31543.135700723327</v>
      </c>
      <c r="AU82" s="123">
        <f t="shared" ref="AU82" si="570">AU79+AU81</f>
        <v>33257.646406387532</v>
      </c>
      <c r="AV82" s="123">
        <f t="shared" ref="AV82" si="571">AV79+AV81</f>
        <v>34790.289786748734</v>
      </c>
      <c r="AW82" s="123">
        <f t="shared" ref="AW82" si="572">AW79+AW81</f>
        <v>36125.009115390872</v>
      </c>
      <c r="AX82" s="111">
        <f t="shared" si="557"/>
        <v>36125.009115390872</v>
      </c>
      <c r="AY82" s="123">
        <f t="shared" ref="AY82" si="573">AY79+AY81</f>
        <v>36396.635643811052</v>
      </c>
      <c r="AZ82" s="123">
        <f t="shared" ref="AZ82" si="574">AZ79+AZ81</f>
        <v>38066.332849239974</v>
      </c>
      <c r="BA82" s="123">
        <f t="shared" ref="BA82" si="575">BA79+BA81</f>
        <v>40374.282902772866</v>
      </c>
      <c r="BB82" s="123">
        <f t="shared" ref="BB82" si="576">BB79+BB81</f>
        <v>41654.412695380306</v>
      </c>
      <c r="BC82" s="158">
        <f t="shared" si="559"/>
        <v>41654.412695380306</v>
      </c>
    </row>
    <row r="83" spans="2:55" outlineLevel="1" x14ac:dyDescent="0.15">
      <c r="AB83" s="97"/>
    </row>
    <row r="84" spans="2:55" outlineLevel="1" x14ac:dyDescent="0.15">
      <c r="AB84" s="97"/>
    </row>
    <row r="85" spans="2:55" s="160" customFormat="1" outlineLevel="1" x14ac:dyDescent="0.15">
      <c r="B85" s="160" t="s">
        <v>77</v>
      </c>
      <c r="F85" s="141">
        <f t="shared" ref="F85:BC85" si="577">F69-F82</f>
        <v>1.0000000111176632E-4</v>
      </c>
      <c r="G85" s="141">
        <f t="shared" si="577"/>
        <v>1.9999999858555384E-4</v>
      </c>
      <c r="H85" s="141">
        <f t="shared" si="577"/>
        <v>0</v>
      </c>
      <c r="I85" s="141">
        <f t="shared" si="577"/>
        <v>-9.9999997473787516E-5</v>
      </c>
      <c r="J85" s="141">
        <f t="shared" si="577"/>
        <v>-9.9999997473787516E-5</v>
      </c>
      <c r="K85" s="141">
        <f t="shared" si="577"/>
        <v>-1.0000000111176632E-4</v>
      </c>
      <c r="L85" s="141">
        <f t="shared" si="577"/>
        <v>-1.9999999858555384E-4</v>
      </c>
      <c r="M85" s="141">
        <f t="shared" si="577"/>
        <v>1.9999999858555384E-4</v>
      </c>
      <c r="N85" s="141">
        <f t="shared" si="577"/>
        <v>1.0000000111176632E-4</v>
      </c>
      <c r="O85" s="141">
        <f t="shared" si="577"/>
        <v>1.0000000111176632E-4</v>
      </c>
      <c r="P85" s="141">
        <f t="shared" si="577"/>
        <v>9.9999997473787516E-5</v>
      </c>
      <c r="Q85" s="141">
        <f t="shared" si="577"/>
        <v>0</v>
      </c>
      <c r="R85" s="141">
        <f t="shared" si="577"/>
        <v>-9.9999997473787516E-5</v>
      </c>
      <c r="S85" s="141">
        <f t="shared" si="577"/>
        <v>2.0000000222353265E-4</v>
      </c>
      <c r="T85" s="141">
        <f t="shared" si="577"/>
        <v>2.0000000222353265E-4</v>
      </c>
      <c r="U85" s="141">
        <f t="shared" si="577"/>
        <v>-1.0000000111176632E-4</v>
      </c>
      <c r="V85" s="141">
        <f t="shared" si="577"/>
        <v>0</v>
      </c>
      <c r="W85" s="141">
        <f t="shared" si="577"/>
        <v>0</v>
      </c>
      <c r="X85" s="141">
        <f t="shared" si="577"/>
        <v>-2.0000000222353265E-4</v>
      </c>
      <c r="Y85" s="141">
        <f t="shared" si="577"/>
        <v>-2.0000000222353265E-4</v>
      </c>
      <c r="Z85" s="141">
        <f t="shared" si="577"/>
        <v>-1.0000000474974513E-4</v>
      </c>
      <c r="AA85" s="141">
        <f t="shared" si="577"/>
        <v>9.9999997473787516E-5</v>
      </c>
      <c r="AB85" s="161">
        <f t="shared" si="577"/>
        <v>-2.0000000222353265E-4</v>
      </c>
      <c r="AC85" s="141">
        <f t="shared" si="577"/>
        <v>0</v>
      </c>
      <c r="AD85" s="141">
        <f t="shared" si="577"/>
        <v>0</v>
      </c>
      <c r="AE85" s="141">
        <f t="shared" si="577"/>
        <v>0</v>
      </c>
      <c r="AF85" s="141">
        <f t="shared" si="577"/>
        <v>0</v>
      </c>
      <c r="AG85" s="141">
        <f t="shared" si="577"/>
        <v>0</v>
      </c>
      <c r="AH85" s="141">
        <f t="shared" si="577"/>
        <v>0</v>
      </c>
      <c r="AI85" s="141">
        <f t="shared" si="577"/>
        <v>0</v>
      </c>
      <c r="AJ85" s="141">
        <f t="shared" si="577"/>
        <v>0</v>
      </c>
      <c r="AK85" s="141">
        <f t="shared" si="577"/>
        <v>0</v>
      </c>
      <c r="AL85" s="141">
        <f t="shared" si="577"/>
        <v>0</v>
      </c>
      <c r="AM85" s="141">
        <f t="shared" si="577"/>
        <v>0</v>
      </c>
      <c r="AN85" s="141">
        <f t="shared" si="577"/>
        <v>0</v>
      </c>
      <c r="AO85" s="141">
        <f t="shared" si="577"/>
        <v>0</v>
      </c>
      <c r="AP85" s="141">
        <f t="shared" si="577"/>
        <v>0</v>
      </c>
      <c r="AQ85" s="141">
        <f t="shared" si="577"/>
        <v>0</v>
      </c>
      <c r="AR85" s="141">
        <f t="shared" si="577"/>
        <v>0</v>
      </c>
      <c r="AS85" s="141">
        <f t="shared" si="577"/>
        <v>0</v>
      </c>
      <c r="AT85" s="141">
        <f t="shared" si="577"/>
        <v>0</v>
      </c>
      <c r="AU85" s="141">
        <f t="shared" si="577"/>
        <v>0</v>
      </c>
      <c r="AV85" s="141">
        <f t="shared" si="577"/>
        <v>0</v>
      </c>
      <c r="AW85" s="141">
        <f t="shared" si="577"/>
        <v>0</v>
      </c>
      <c r="AX85" s="141">
        <f t="shared" si="577"/>
        <v>0</v>
      </c>
      <c r="AY85" s="141">
        <f t="shared" si="577"/>
        <v>0</v>
      </c>
      <c r="AZ85" s="141">
        <f t="shared" si="577"/>
        <v>0</v>
      </c>
      <c r="BA85" s="141">
        <f t="shared" si="577"/>
        <v>0</v>
      </c>
      <c r="BB85" s="141">
        <f t="shared" si="577"/>
        <v>0</v>
      </c>
      <c r="BC85" s="141">
        <f t="shared" si="577"/>
        <v>0</v>
      </c>
    </row>
    <row r="86" spans="2:55" outlineLevel="1" x14ac:dyDescent="0.15">
      <c r="AB86" s="97"/>
    </row>
    <row r="87" spans="2:55" outlineLevel="1" x14ac:dyDescent="0.15">
      <c r="B87" s="98" t="s">
        <v>188</v>
      </c>
      <c r="J87" s="141">
        <f>J62-J75</f>
        <v>6871.5347999999994</v>
      </c>
      <c r="O87" s="141">
        <f>O62-O75</f>
        <v>7718.0755000000026</v>
      </c>
      <c r="T87" s="141">
        <f>T62-T75</f>
        <v>8351.0073000000011</v>
      </c>
      <c r="Y87" s="141">
        <f>Y62-Y75</f>
        <v>11401.646300000004</v>
      </c>
      <c r="AB87" s="97"/>
      <c r="AD87" s="141">
        <f>AD62-AD75</f>
        <v>7217.9584872596042</v>
      </c>
      <c r="AI87" s="141">
        <f>AI62-AI75</f>
        <v>4100.4258507214745</v>
      </c>
      <c r="AN87" s="141">
        <f>AN62-AN75</f>
        <v>3007.9108483383206</v>
      </c>
      <c r="AS87" s="141">
        <f>AS62-AS75</f>
        <v>6020.5265606370722</v>
      </c>
      <c r="AX87" s="141">
        <f>AX62-AX75</f>
        <v>10490.042005626949</v>
      </c>
      <c r="BC87" s="141">
        <f>BC62-BC75</f>
        <v>15940.224697201911</v>
      </c>
    </row>
    <row r="88" spans="2:55" outlineLevel="1" x14ac:dyDescent="0.15">
      <c r="B88" s="98" t="s">
        <v>118</v>
      </c>
      <c r="AB88" s="97"/>
      <c r="AD88" s="141">
        <f>AD87-Y87</f>
        <v>-4183.6878127403997</v>
      </c>
      <c r="AI88" s="141">
        <f>AI87-AD87</f>
        <v>-3117.5326365381297</v>
      </c>
      <c r="AN88" s="141">
        <f>AN87-AI87</f>
        <v>-1092.5150023831538</v>
      </c>
      <c r="AS88" s="141">
        <f>AS87-AN87</f>
        <v>3012.6157122987515</v>
      </c>
      <c r="AX88" s="141">
        <f>AX87-AS87</f>
        <v>4469.5154449898764</v>
      </c>
      <c r="BC88" s="141">
        <f>BC87-AX87</f>
        <v>5450.1826915749625</v>
      </c>
    </row>
    <row r="89" spans="2:55" outlineLevel="1" x14ac:dyDescent="0.15">
      <c r="B89" s="98" t="s">
        <v>119</v>
      </c>
      <c r="AB89" s="97"/>
    </row>
    <row r="90" spans="2:55" ht="13" thickBot="1" x14ac:dyDescent="0.2">
      <c r="AB90" s="97"/>
    </row>
    <row r="91" spans="2:55" ht="17" thickBot="1" x14ac:dyDescent="0.25">
      <c r="B91" s="513" t="s">
        <v>120</v>
      </c>
      <c r="C91" s="514"/>
      <c r="D91" s="515"/>
      <c r="E91" s="153"/>
      <c r="AB91" s="97"/>
    </row>
    <row r="92" spans="2:55" outlineLevel="1" x14ac:dyDescent="0.15">
      <c r="B92" s="516" t="s">
        <v>121</v>
      </c>
      <c r="C92" s="516"/>
      <c r="D92" s="516"/>
      <c r="E92" s="162"/>
      <c r="F92" s="163">
        <f>(F58/F10)*90</f>
        <v>56.331284338682494</v>
      </c>
      <c r="G92" s="163">
        <f>(G58/G10)*90</f>
        <v>72.727421685375575</v>
      </c>
      <c r="H92" s="163">
        <f>(H58/H10)*90</f>
        <v>66.584178756582759</v>
      </c>
      <c r="I92" s="163">
        <f>(I58/I10)*90</f>
        <v>64.564019539213618</v>
      </c>
      <c r="J92" s="164">
        <f>(J58/J10)*365</f>
        <v>76.84072521306804</v>
      </c>
      <c r="K92" s="163">
        <f>(K58/K10)*90</f>
        <v>72.354056321409914</v>
      </c>
      <c r="L92" s="163">
        <f>(L58/L10)*90</f>
        <v>55.926031002636883</v>
      </c>
      <c r="M92" s="163">
        <f>(M58/M10)*90</f>
        <v>84.19080683865073</v>
      </c>
      <c r="N92" s="163">
        <f>(N58/N10)*90</f>
        <v>60.627258202130456</v>
      </c>
      <c r="O92" s="164">
        <f>(O58/O10)*365</f>
        <v>68.398367147676339</v>
      </c>
      <c r="P92" s="163">
        <f>(P58/P10)*90</f>
        <v>84.732078218728716</v>
      </c>
      <c r="Q92" s="163">
        <f>(Q58/Q10)*90</f>
        <v>79.999505949907913</v>
      </c>
      <c r="R92" s="163">
        <f>(R58/R10)*90</f>
        <v>79.351044288042075</v>
      </c>
      <c r="S92" s="163">
        <f>(S58/S10)*90</f>
        <v>53.167501713565692</v>
      </c>
      <c r="T92" s="164">
        <f>(T58/T10)*365</f>
        <v>72.968607383233788</v>
      </c>
      <c r="U92" s="163">
        <f>(U58/U10)*90</f>
        <v>93.339794113726086</v>
      </c>
      <c r="V92" s="163">
        <f>(V58/V10)*90</f>
        <v>78.479233185493001</v>
      </c>
      <c r="W92" s="163">
        <f>(W58/W10)*90</f>
        <v>97.611612277918852</v>
      </c>
      <c r="X92" s="163">
        <f>(X58/X10)*90</f>
        <v>65.491301835711795</v>
      </c>
      <c r="Y92" s="164">
        <f>(Y58/Y10)*365</f>
        <v>83.989732649273023</v>
      </c>
      <c r="Z92" s="163">
        <f>(Z58/Z10)*90</f>
        <v>89.840709360263972</v>
      </c>
      <c r="AA92" s="163">
        <f>(AA58/AA10)*90</f>
        <v>97.208496292109928</v>
      </c>
      <c r="AB92" s="165">
        <f>(AB58/AB10)*90</f>
        <v>77.842167125076301</v>
      </c>
      <c r="AC92" s="163">
        <f>AVERAGE(X92,S92,N92,I92)</f>
        <v>60.962520322655394</v>
      </c>
      <c r="AE92" s="163">
        <f>AVERAGE(Z92,U92,P92,K92)</f>
        <v>85.066659503532179</v>
      </c>
      <c r="AF92" s="163">
        <f t="shared" ref="AF92:AG92" si="578">AVERAGE(AA92,V92,Q92,L92)</f>
        <v>77.903316607536937</v>
      </c>
      <c r="AG92" s="163">
        <f t="shared" si="578"/>
        <v>84.748907632422004</v>
      </c>
      <c r="AH92" s="163">
        <f>AC92</f>
        <v>60.962520322655394</v>
      </c>
      <c r="AJ92" s="139">
        <f>AE92</f>
        <v>85.066659503532179</v>
      </c>
      <c r="AK92" s="139">
        <f t="shared" ref="AK92:AM92" si="579">AF92</f>
        <v>77.903316607536937</v>
      </c>
      <c r="AL92" s="139">
        <f t="shared" si="579"/>
        <v>84.748907632422004</v>
      </c>
      <c r="AM92" s="139">
        <f t="shared" si="579"/>
        <v>60.962520322655394</v>
      </c>
      <c r="AO92" s="139">
        <f>AJ92</f>
        <v>85.066659503532179</v>
      </c>
      <c r="AP92" s="139">
        <f t="shared" ref="AP92" si="580">AK92</f>
        <v>77.903316607536937</v>
      </c>
      <c r="AQ92" s="139">
        <f t="shared" ref="AQ92" si="581">AL92</f>
        <v>84.748907632422004</v>
      </c>
      <c r="AR92" s="139">
        <f t="shared" ref="AR92" si="582">AM92</f>
        <v>60.962520322655394</v>
      </c>
      <c r="AT92" s="139">
        <f>AO92</f>
        <v>85.066659503532179</v>
      </c>
      <c r="AU92" s="139">
        <f t="shared" ref="AU92" si="583">AP92</f>
        <v>77.903316607536937</v>
      </c>
      <c r="AV92" s="139">
        <f t="shared" ref="AV92" si="584">AQ92</f>
        <v>84.748907632422004</v>
      </c>
      <c r="AW92" s="139">
        <f t="shared" ref="AW92" si="585">AR92</f>
        <v>60.962520322655394</v>
      </c>
      <c r="AY92" s="139">
        <f>AT92</f>
        <v>85.066659503532179</v>
      </c>
      <c r="AZ92" s="139">
        <f t="shared" ref="AZ92" si="586">AU92</f>
        <v>77.903316607536937</v>
      </c>
      <c r="BA92" s="139">
        <f t="shared" ref="BA92" si="587">AV92</f>
        <v>84.748907632422004</v>
      </c>
      <c r="BB92" s="139">
        <f t="shared" ref="BB92" si="588">AW92</f>
        <v>60.962520322655394</v>
      </c>
    </row>
    <row r="93" spans="2:55" outlineLevel="1" x14ac:dyDescent="0.15">
      <c r="B93" s="516" t="s">
        <v>122</v>
      </c>
      <c r="C93" s="516"/>
      <c r="D93" s="516"/>
      <c r="E93" s="162"/>
      <c r="F93" s="163">
        <f>(F73/F10)*90</f>
        <v>0</v>
      </c>
      <c r="G93" s="163">
        <f>(G73/G10)*90</f>
        <v>0</v>
      </c>
      <c r="H93" s="163">
        <f>(H73/H10)*90</f>
        <v>0</v>
      </c>
      <c r="I93" s="163">
        <f>(I73/I10)*90</f>
        <v>2.0810898625391969</v>
      </c>
      <c r="J93" s="164">
        <f>(J73/J10)*365</f>
        <v>2.4768045021414991</v>
      </c>
      <c r="K93" s="163">
        <f>(K73/K10)*90</f>
        <v>0</v>
      </c>
      <c r="L93" s="163">
        <f>(L73/L10)*90</f>
        <v>0</v>
      </c>
      <c r="M93" s="163">
        <f>(M73/M10)*90</f>
        <v>0</v>
      </c>
      <c r="N93" s="163">
        <f>(N73/N10)*90</f>
        <v>1.3307941619916861</v>
      </c>
      <c r="O93" s="164">
        <f>(O73/O10)*365</f>
        <v>1.5013733160490015</v>
      </c>
      <c r="P93" s="163">
        <f>(P73/P10)*90</f>
        <v>0</v>
      </c>
      <c r="Q93" s="163">
        <f>(Q73/Q10)*90</f>
        <v>0</v>
      </c>
      <c r="R93" s="163">
        <f>(R73/R10)*90</f>
        <v>0</v>
      </c>
      <c r="S93" s="163">
        <f>(S73/S10)*90</f>
        <v>1.2572241601455232</v>
      </c>
      <c r="T93" s="164">
        <f>(T73/T10)*365</f>
        <v>1.7254505699478369</v>
      </c>
      <c r="U93" s="163">
        <f>(U73/U10)*90</f>
        <v>0</v>
      </c>
      <c r="V93" s="163">
        <f>(V73/V10)*90</f>
        <v>0</v>
      </c>
      <c r="W93" s="163">
        <f>(W73/W10)*90</f>
        <v>0</v>
      </c>
      <c r="X93" s="163">
        <f>(X73/X10)*90</f>
        <v>1.3419984457924086</v>
      </c>
      <c r="Y93" s="164">
        <f>(Y73/Y10)*365</f>
        <v>1.7210543617012417</v>
      </c>
      <c r="Z93" s="163">
        <v>0</v>
      </c>
      <c r="AA93" s="163">
        <f>(AA73/AA10)*90</f>
        <v>0</v>
      </c>
      <c r="AB93" s="165">
        <v>0</v>
      </c>
      <c r="AC93" s="163">
        <v>0</v>
      </c>
      <c r="AE93" s="163">
        <v>0</v>
      </c>
      <c r="AF93" s="163">
        <v>0</v>
      </c>
      <c r="AG93" s="163">
        <v>0</v>
      </c>
      <c r="AH93" s="163">
        <v>0</v>
      </c>
      <c r="AJ93" s="163">
        <v>0</v>
      </c>
      <c r="AK93" s="163">
        <v>0</v>
      </c>
      <c r="AL93" s="163">
        <v>0</v>
      </c>
      <c r="AM93" s="163">
        <v>0</v>
      </c>
      <c r="AO93" s="139">
        <f>AJ93</f>
        <v>0</v>
      </c>
      <c r="AP93" s="139">
        <f t="shared" ref="AP93" si="589">AK93</f>
        <v>0</v>
      </c>
      <c r="AQ93" s="139">
        <f t="shared" ref="AQ93" si="590">AL93</f>
        <v>0</v>
      </c>
      <c r="AR93" s="139">
        <f t="shared" ref="AR93:AR94" si="591">AM93</f>
        <v>0</v>
      </c>
      <c r="AT93" s="139">
        <f>AO93</f>
        <v>0</v>
      </c>
      <c r="AU93" s="139">
        <f t="shared" ref="AU93:AU94" si="592">AP93</f>
        <v>0</v>
      </c>
      <c r="AV93" s="139">
        <f t="shared" ref="AV93:AV94" si="593">AQ93</f>
        <v>0</v>
      </c>
      <c r="AW93" s="139">
        <f t="shared" ref="AW93:AW94" si="594">AR93</f>
        <v>0</v>
      </c>
      <c r="AY93" s="139">
        <f>AT93</f>
        <v>0</v>
      </c>
      <c r="AZ93" s="139">
        <f t="shared" ref="AZ93:AZ94" si="595">AU93</f>
        <v>0</v>
      </c>
      <c r="BA93" s="139">
        <f t="shared" ref="BA93:BA94" si="596">AV93</f>
        <v>0</v>
      </c>
      <c r="BB93" s="139">
        <f t="shared" ref="BB93:BB94" si="597">AW93</f>
        <v>0</v>
      </c>
    </row>
    <row r="94" spans="2:55" outlineLevel="1" x14ac:dyDescent="0.15">
      <c r="B94" s="516" t="s">
        <v>123</v>
      </c>
      <c r="C94" s="516"/>
      <c r="D94" s="516"/>
      <c r="E94" s="162"/>
      <c r="F94" s="163">
        <f>(F60/F11)*90</f>
        <v>265.63517799503279</v>
      </c>
      <c r="G94" s="163">
        <f>(G60/G11)*90</f>
        <v>253.39397033113451</v>
      </c>
      <c r="H94" s="163">
        <f>(H60/H11)*90</f>
        <v>193.93347614634291</v>
      </c>
      <c r="I94" s="163">
        <f>(I60/I11)*90</f>
        <v>193.35545502531295</v>
      </c>
      <c r="J94" s="164">
        <f>(J60/J11)*365</f>
        <v>229.39699389337667</v>
      </c>
      <c r="K94" s="163">
        <f>(K60/K11)*90</f>
        <v>248.92113574130752</v>
      </c>
      <c r="L94" s="163">
        <f>(L60/L11)*90</f>
        <v>182.57258955978546</v>
      </c>
      <c r="M94" s="163">
        <f>(M60/M11)*90</f>
        <v>212.37035098457639</v>
      </c>
      <c r="N94" s="163">
        <f>(N60/N11)*90</f>
        <v>177.56664903033484</v>
      </c>
      <c r="O94" s="164">
        <f>(O60/O11)*365</f>
        <v>206.46153402303855</v>
      </c>
      <c r="P94" s="163">
        <f>(P60/P11)*90</f>
        <v>257.30907525485691</v>
      </c>
      <c r="Q94" s="163">
        <f>(Q60/Q11)*90</f>
        <v>243.47625010085457</v>
      </c>
      <c r="R94" s="163">
        <f>(R60/R11)*90</f>
        <v>204.57198624770635</v>
      </c>
      <c r="S94" s="163">
        <f>(S60/S11)*90</f>
        <v>165.85306381228452</v>
      </c>
      <c r="T94" s="164">
        <f>(T60/T11)*365</f>
        <v>213.56085868144226</v>
      </c>
      <c r="U94" s="163">
        <f>(U60/U11)*90</f>
        <v>293.7716396686144</v>
      </c>
      <c r="V94" s="163">
        <f>(V60/V11)*90</f>
        <v>249.8596529289658</v>
      </c>
      <c r="W94" s="163">
        <f>(W60/W11)*90</f>
        <v>198.96353710777416</v>
      </c>
      <c r="X94" s="163">
        <f>(X60/X11)*90</f>
        <v>206.28143854020422</v>
      </c>
      <c r="Y94" s="164">
        <f>(Y60/Y11)*365</f>
        <v>247.59801142061104</v>
      </c>
      <c r="Z94" s="163">
        <f>(Z60/Z11)*90</f>
        <v>207.59992867157666</v>
      </c>
      <c r="AA94" s="163">
        <f>(AA60/AA11)*90</f>
        <v>227.66251388513194</v>
      </c>
      <c r="AB94" s="165">
        <f>(AB60/AB11)*90</f>
        <v>173.12937595037459</v>
      </c>
      <c r="AC94" s="163">
        <f>AVERAGE(X94,S94,N94,I94)</f>
        <v>185.76415160203413</v>
      </c>
      <c r="AD94" s="164"/>
      <c r="AE94" s="163">
        <v>200</v>
      </c>
      <c r="AF94" s="163">
        <v>220</v>
      </c>
      <c r="AG94" s="163">
        <v>120</v>
      </c>
      <c r="AH94" s="139">
        <v>170</v>
      </c>
      <c r="AJ94" s="139">
        <v>120</v>
      </c>
      <c r="AK94" s="139">
        <v>240</v>
      </c>
      <c r="AL94" s="139">
        <v>100</v>
      </c>
      <c r="AM94" s="139">
        <v>110</v>
      </c>
      <c r="AO94" s="139">
        <v>90</v>
      </c>
      <c r="AP94" s="139">
        <v>145</v>
      </c>
      <c r="AQ94" s="139">
        <v>110</v>
      </c>
      <c r="AR94" s="139">
        <f t="shared" si="591"/>
        <v>110</v>
      </c>
      <c r="AT94" s="139">
        <f>AO94</f>
        <v>90</v>
      </c>
      <c r="AU94" s="139">
        <f t="shared" si="592"/>
        <v>145</v>
      </c>
      <c r="AV94" s="139">
        <f t="shared" si="593"/>
        <v>110</v>
      </c>
      <c r="AW94" s="139">
        <f t="shared" si="594"/>
        <v>110</v>
      </c>
      <c r="AY94" s="139">
        <f>AT94</f>
        <v>90</v>
      </c>
      <c r="AZ94" s="139">
        <f t="shared" si="595"/>
        <v>145</v>
      </c>
      <c r="BA94" s="139">
        <f t="shared" si="596"/>
        <v>110</v>
      </c>
      <c r="BB94" s="139">
        <f t="shared" si="597"/>
        <v>110</v>
      </c>
    </row>
    <row r="95" spans="2:55" outlineLevel="1" x14ac:dyDescent="0.15">
      <c r="B95" s="162"/>
      <c r="C95" s="162"/>
      <c r="D95" s="162"/>
      <c r="E95" s="162"/>
      <c r="F95" s="166"/>
      <c r="AB95" s="97"/>
    </row>
    <row r="96" spans="2:55" outlineLevel="1" x14ac:dyDescent="0.15">
      <c r="B96" s="516" t="s">
        <v>124</v>
      </c>
      <c r="C96" s="516"/>
      <c r="D96" s="516"/>
      <c r="E96" s="162"/>
      <c r="X96" s="167"/>
      <c r="Z96" s="167"/>
      <c r="AA96" s="167"/>
      <c r="AB96" s="168"/>
      <c r="AC96" s="169">
        <f>AB63</f>
        <v>3352.9245999999998</v>
      </c>
      <c r="AE96" s="169">
        <f>AC99</f>
        <v>3389.3894545952776</v>
      </c>
      <c r="AF96" s="169">
        <f>AE99</f>
        <v>3431.9297268934147</v>
      </c>
      <c r="AG96" s="169">
        <f t="shared" ref="AG96:AH96" si="598">AF99</f>
        <v>3473.921158496802</v>
      </c>
      <c r="AH96" s="169">
        <f t="shared" si="598"/>
        <v>3526.7144618167845</v>
      </c>
      <c r="AJ96" s="169">
        <f>AH99</f>
        <v>3571.9433758216892</v>
      </c>
      <c r="AK96" s="169">
        <f>AJ99</f>
        <v>3617.7631815976752</v>
      </c>
      <c r="AL96" s="169">
        <f t="shared" ref="AL96:AM96" si="599">AK99</f>
        <v>3665.1225741194712</v>
      </c>
      <c r="AM96" s="169">
        <f t="shared" si="599"/>
        <v>3723.7773303997974</v>
      </c>
      <c r="AO96" s="169">
        <f>AM99</f>
        <v>3774.4492113067181</v>
      </c>
      <c r="AP96" s="169">
        <f>AO99</f>
        <v>3826.550566151775</v>
      </c>
      <c r="AQ96" s="169">
        <f t="shared" ref="AQ96:AR96" si="600">AP99</f>
        <v>3881.8585068203297</v>
      </c>
      <c r="AR96" s="169">
        <f t="shared" si="600"/>
        <v>3949.3716826161326</v>
      </c>
      <c r="AT96" s="169">
        <f>AR99</f>
        <v>4008.1684266661227</v>
      </c>
      <c r="AU96" s="169">
        <f>AT99</f>
        <v>4067.4124834821209</v>
      </c>
      <c r="AV96" s="169">
        <f t="shared" ref="AV96:AW96" si="601">AU99</f>
        <v>4132.0030142746891</v>
      </c>
      <c r="AW96" s="169">
        <f t="shared" si="601"/>
        <v>4209.7124652227249</v>
      </c>
      <c r="AY96" s="169">
        <f>AW99</f>
        <v>4277.9368344193281</v>
      </c>
      <c r="AZ96" s="169">
        <f>AY99</f>
        <v>4345.3028036624528</v>
      </c>
      <c r="BA96" s="169">
        <f t="shared" ref="BA96:BB96" si="602">AZ99</f>
        <v>4420.7338650550109</v>
      </c>
      <c r="BB96" s="169">
        <f t="shared" si="602"/>
        <v>4510.1794983771606</v>
      </c>
    </row>
    <row r="97" spans="2:55" outlineLevel="1" x14ac:dyDescent="0.15">
      <c r="B97" s="162" t="s">
        <v>125</v>
      </c>
      <c r="C97" s="162"/>
      <c r="D97" s="162"/>
      <c r="E97" s="162"/>
      <c r="F97" s="169">
        <v>41.127299999999998</v>
      </c>
      <c r="G97" s="169">
        <v>61.988399999999999</v>
      </c>
      <c r="H97" s="169">
        <v>112.44029999999999</v>
      </c>
      <c r="I97" s="169">
        <v>174.6585</v>
      </c>
      <c r="J97" s="170">
        <f>SUM(F97:I97)</f>
        <v>390.21449999999999</v>
      </c>
      <c r="K97" s="169">
        <v>158.84100000000001</v>
      </c>
      <c r="L97" s="169">
        <v>149.73910000000001</v>
      </c>
      <c r="M97" s="169">
        <v>150.1266</v>
      </c>
      <c r="N97" s="169">
        <v>216.92080000000001</v>
      </c>
      <c r="O97" s="170">
        <f>SUM(K97:N97)</f>
        <v>675.62750000000005</v>
      </c>
      <c r="P97" s="169">
        <v>166.9427</v>
      </c>
      <c r="Q97" s="169">
        <v>144.1549</v>
      </c>
      <c r="R97" s="169">
        <v>206.61429999999999</v>
      </c>
      <c r="S97" s="169">
        <v>338.26080000000002</v>
      </c>
      <c r="T97" s="170">
        <f>SUM(P97:S97)</f>
        <v>855.97270000000003</v>
      </c>
      <c r="U97" s="169">
        <v>255.38929999999999</v>
      </c>
      <c r="V97" s="169">
        <v>247.68950000000001</v>
      </c>
      <c r="W97" s="169">
        <v>248.13800000000001</v>
      </c>
      <c r="X97" s="171">
        <v>349.4</v>
      </c>
      <c r="Y97" s="170"/>
      <c r="Z97" s="171">
        <v>227.9</v>
      </c>
      <c r="AA97" s="171">
        <v>290.60000000000002</v>
      </c>
      <c r="AB97" s="172">
        <v>232.1</v>
      </c>
      <c r="AC97" s="127">
        <f>AC10*AC100</f>
        <v>104.18529884365137</v>
      </c>
      <c r="AD97" s="170">
        <f>SUM(Z97:AC97)</f>
        <v>854.78529884365139</v>
      </c>
      <c r="AE97" s="127">
        <f>AE10*AE100</f>
        <v>121.54363513753428</v>
      </c>
      <c r="AF97" s="127">
        <f>AF10*AF100</f>
        <v>119.97551886682108</v>
      </c>
      <c r="AG97" s="127">
        <f>AG10*AG100</f>
        <v>150.83800948566369</v>
      </c>
      <c r="AH97" s="127">
        <f>AH10*AH100</f>
        <v>129.22546858544135</v>
      </c>
      <c r="AI97" s="170">
        <f>SUM(AE97:AH97)</f>
        <v>521.58263207546042</v>
      </c>
      <c r="AJ97" s="127">
        <f>AJ10*AJ100</f>
        <v>130.91373078853152</v>
      </c>
      <c r="AK97" s="127">
        <f>AK10*AK100</f>
        <v>135.3125500622744</v>
      </c>
      <c r="AL97" s="127">
        <f>AL10*AL100</f>
        <v>167.58501794378827</v>
      </c>
      <c r="AM97" s="127">
        <f>AM10*AM100</f>
        <v>144.7768025912018</v>
      </c>
      <c r="AN97" s="170">
        <f>SUM(AJ97:AM97)</f>
        <v>578.58810138579599</v>
      </c>
      <c r="AO97" s="127">
        <f>AO10*AO100</f>
        <v>148.86101384301941</v>
      </c>
      <c r="AP97" s="127">
        <f>AP10*AP100</f>
        <v>158.02268762444251</v>
      </c>
      <c r="AQ97" s="127">
        <f>AQ10*AQ100</f>
        <v>192.89478798800806</v>
      </c>
      <c r="AR97" s="127">
        <f>AR10*AR100</f>
        <v>167.99069728568608</v>
      </c>
      <c r="AS97" s="170">
        <f>SUM(AO97:AR97)</f>
        <v>667.76918674115609</v>
      </c>
      <c r="AT97" s="127">
        <f>AT10*AT100</f>
        <v>169.26873375999506</v>
      </c>
      <c r="AU97" s="127">
        <f>AU10*AU100</f>
        <v>184.54437369305171</v>
      </c>
      <c r="AV97" s="127">
        <f>AV10*AV100</f>
        <v>222.02700270867356</v>
      </c>
      <c r="AW97" s="127">
        <f>AW10*AW100</f>
        <v>194.92676913315131</v>
      </c>
      <c r="AX97" s="170">
        <f>SUM(AT97:AW97)</f>
        <v>770.76687929487161</v>
      </c>
      <c r="AY97" s="127">
        <f>AY10*AY100</f>
        <v>192.47419783749967</v>
      </c>
      <c r="AZ97" s="127">
        <f>AZ10*AZ100</f>
        <v>215.51731826444987</v>
      </c>
      <c r="BA97" s="127">
        <f>BA10*BA100</f>
        <v>255.55895234899756</v>
      </c>
      <c r="BB97" s="127">
        <f>BB10*BB100</f>
        <v>226.18184184372942</v>
      </c>
      <c r="BC97" s="170">
        <f>SUM(AY97:BB97)</f>
        <v>889.73231029467649</v>
      </c>
    </row>
    <row r="98" spans="2:55" outlineLevel="1" x14ac:dyDescent="0.15">
      <c r="B98" s="516" t="s">
        <v>126</v>
      </c>
      <c r="C98" s="516"/>
      <c r="D98" s="516"/>
      <c r="E98" s="162"/>
      <c r="F98" s="169">
        <v>87</v>
      </c>
      <c r="G98" s="169">
        <v>87</v>
      </c>
      <c r="H98" s="169">
        <v>87</v>
      </c>
      <c r="I98" s="169">
        <v>87</v>
      </c>
      <c r="J98" s="170">
        <f>SUM(F98:I98)</f>
        <v>348</v>
      </c>
      <c r="K98" s="127">
        <v>93.1</v>
      </c>
      <c r="L98" s="127">
        <v>93.1</v>
      </c>
      <c r="M98" s="127">
        <v>93.1</v>
      </c>
      <c r="N98" s="127">
        <v>93.1</v>
      </c>
      <c r="O98" s="170">
        <f>SUM(K98:N98)</f>
        <v>372.4</v>
      </c>
      <c r="P98" s="127">
        <v>91</v>
      </c>
      <c r="Q98" s="127">
        <v>91</v>
      </c>
      <c r="R98" s="127">
        <v>91</v>
      </c>
      <c r="S98" s="127">
        <v>91</v>
      </c>
      <c r="T98" s="170">
        <f>SUM(P98:S98)</f>
        <v>364</v>
      </c>
      <c r="U98" s="127">
        <v>100.4</v>
      </c>
      <c r="V98" s="127">
        <v>100.4</v>
      </c>
      <c r="W98" s="127">
        <v>100.4</v>
      </c>
      <c r="X98" s="127">
        <v>100.4</v>
      </c>
      <c r="Y98" s="170">
        <f>SUM(U98:X98)</f>
        <v>401.6</v>
      </c>
      <c r="Z98" s="169">
        <v>105</v>
      </c>
      <c r="AA98" s="169">
        <v>105</v>
      </c>
      <c r="AB98" s="173">
        <v>105</v>
      </c>
      <c r="AC98" s="169">
        <f>AC97*AC101</f>
        <v>67.720444248373397</v>
      </c>
      <c r="AD98" s="170">
        <f>SUM(Z98:AC98)</f>
        <v>382.72044424837338</v>
      </c>
      <c r="AE98" s="169">
        <f>AE97*AE101</f>
        <v>79.003362839397283</v>
      </c>
      <c r="AF98" s="169">
        <f t="shared" ref="AF98:AH98" si="603">AF97*AF101</f>
        <v>77.984087263433707</v>
      </c>
      <c r="AG98" s="169">
        <f t="shared" si="603"/>
        <v>98.044706165681404</v>
      </c>
      <c r="AH98" s="169">
        <f t="shared" si="603"/>
        <v>83.996554580536881</v>
      </c>
      <c r="AI98" s="170">
        <f>SUM(AE98:AH98)</f>
        <v>339.02871084904928</v>
      </c>
      <c r="AJ98" s="169">
        <f>AJ97*AJ101</f>
        <v>85.093925012545498</v>
      </c>
      <c r="AK98" s="169">
        <f t="shared" ref="AK98" si="604">AK97*AK101</f>
        <v>87.953157540478358</v>
      </c>
      <c r="AL98" s="169">
        <f t="shared" ref="AL98" si="605">AL97*AL101</f>
        <v>108.93026166346237</v>
      </c>
      <c r="AM98" s="169">
        <f t="shared" ref="AM98" si="606">AM97*AM101</f>
        <v>94.10492168428118</v>
      </c>
      <c r="AN98" s="170">
        <f>SUM(AJ98:AM98)</f>
        <v>376.08226590076742</v>
      </c>
      <c r="AO98" s="169">
        <f>AO97*AO101</f>
        <v>96.759658997962617</v>
      </c>
      <c r="AP98" s="169">
        <f t="shared" ref="AP98" si="607">AP97*AP101</f>
        <v>102.71474695588763</v>
      </c>
      <c r="AQ98" s="169">
        <f t="shared" ref="AQ98" si="608">AQ97*AQ101</f>
        <v>125.38161219220524</v>
      </c>
      <c r="AR98" s="169">
        <f t="shared" ref="AR98" si="609">AR97*AR101</f>
        <v>109.19395323569596</v>
      </c>
      <c r="AS98" s="170">
        <f>SUM(AO98:AR98)</f>
        <v>434.04997138175145</v>
      </c>
      <c r="AT98" s="169">
        <f>AT97*AT101</f>
        <v>110.02467694399679</v>
      </c>
      <c r="AU98" s="169">
        <f t="shared" ref="AU98" si="610">AU97*AU101</f>
        <v>119.95384290048362</v>
      </c>
      <c r="AV98" s="169">
        <f t="shared" ref="AV98" si="611">AV97*AV101</f>
        <v>144.31755176063783</v>
      </c>
      <c r="AW98" s="169">
        <f t="shared" ref="AW98" si="612">AW97*AW101</f>
        <v>126.70239993654836</v>
      </c>
      <c r="AX98" s="170">
        <f>SUM(AT98:AW98)</f>
        <v>500.99847154166662</v>
      </c>
      <c r="AY98" s="169">
        <f>AY97*AY101</f>
        <v>125.10822859437479</v>
      </c>
      <c r="AZ98" s="169">
        <f t="shared" ref="AZ98" si="613">AZ97*AZ101</f>
        <v>140.08625687189243</v>
      </c>
      <c r="BA98" s="169">
        <f t="shared" ref="BA98" si="614">BA97*BA101</f>
        <v>166.11331902684842</v>
      </c>
      <c r="BB98" s="169">
        <f t="shared" ref="BB98" si="615">BB97*BB101</f>
        <v>147.01819719842413</v>
      </c>
      <c r="BC98" s="170">
        <f>SUM(AY98:BB98)</f>
        <v>578.32600169153977</v>
      </c>
    </row>
    <row r="99" spans="2:55" outlineLevel="1" x14ac:dyDescent="0.15">
      <c r="B99" s="516" t="s">
        <v>127</v>
      </c>
      <c r="C99" s="516"/>
      <c r="D99" s="516"/>
      <c r="E99" s="162"/>
      <c r="F99" s="166"/>
      <c r="AB99" s="97"/>
      <c r="AC99" s="140">
        <f>AC96+AC97-AC98</f>
        <v>3389.3894545952776</v>
      </c>
      <c r="AE99" s="140">
        <f>AE96+AE97-AE98</f>
        <v>3431.9297268934147</v>
      </c>
      <c r="AF99" s="140">
        <f t="shared" ref="AF99:AH99" si="616">AF96+AF97-AF98</f>
        <v>3473.921158496802</v>
      </c>
      <c r="AG99" s="140">
        <f t="shared" si="616"/>
        <v>3526.7144618167845</v>
      </c>
      <c r="AH99" s="140">
        <f t="shared" si="616"/>
        <v>3571.9433758216892</v>
      </c>
      <c r="AJ99" s="140">
        <f>AJ96+AJ97-AJ98</f>
        <v>3617.7631815976752</v>
      </c>
      <c r="AK99" s="140">
        <f t="shared" ref="AK99" si="617">AK96+AK97-AK98</f>
        <v>3665.1225741194712</v>
      </c>
      <c r="AL99" s="140">
        <f t="shared" ref="AL99" si="618">AL96+AL97-AL98</f>
        <v>3723.7773303997974</v>
      </c>
      <c r="AM99" s="140">
        <f t="shared" ref="AM99" si="619">AM96+AM97-AM98</f>
        <v>3774.4492113067181</v>
      </c>
      <c r="AO99" s="140">
        <f>AO96+AO97-AO98</f>
        <v>3826.550566151775</v>
      </c>
      <c r="AP99" s="140">
        <f t="shared" ref="AP99" si="620">AP96+AP97-AP98</f>
        <v>3881.8585068203297</v>
      </c>
      <c r="AQ99" s="140">
        <f t="shared" ref="AQ99" si="621">AQ96+AQ97-AQ98</f>
        <v>3949.3716826161326</v>
      </c>
      <c r="AR99" s="140">
        <f t="shared" ref="AR99" si="622">AR96+AR97-AR98</f>
        <v>4008.1684266661227</v>
      </c>
      <c r="AT99" s="140">
        <f>AT96+AT97-AT98</f>
        <v>4067.4124834821209</v>
      </c>
      <c r="AU99" s="140">
        <f t="shared" ref="AU99" si="623">AU96+AU97-AU98</f>
        <v>4132.0030142746891</v>
      </c>
      <c r="AV99" s="140">
        <f t="shared" ref="AV99" si="624">AV96+AV97-AV98</f>
        <v>4209.7124652227249</v>
      </c>
      <c r="AW99" s="140">
        <f t="shared" ref="AW99" si="625">AW96+AW97-AW98</f>
        <v>4277.9368344193281</v>
      </c>
      <c r="AY99" s="140">
        <f>AY96+AY97-AY98</f>
        <v>4345.3028036624528</v>
      </c>
      <c r="AZ99" s="140">
        <f t="shared" ref="AZ99" si="626">AZ96+AZ97-AZ98</f>
        <v>4420.7338650550109</v>
      </c>
      <c r="BA99" s="140">
        <f t="shared" ref="BA99" si="627">BA96+BA97-BA98</f>
        <v>4510.1794983771606</v>
      </c>
      <c r="BB99" s="140">
        <f t="shared" ref="BB99" si="628">BB96+BB97-BB98</f>
        <v>4589.3431430224664</v>
      </c>
    </row>
    <row r="100" spans="2:55" outlineLevel="1" x14ac:dyDescent="0.15">
      <c r="B100" s="516" t="s">
        <v>128</v>
      </c>
      <c r="C100" s="516"/>
      <c r="D100" s="516"/>
      <c r="E100" s="162"/>
      <c r="F100" s="174">
        <f>F97/F10</f>
        <v>1.9860045345059089E-2</v>
      </c>
      <c r="G100" s="174">
        <f>G97/G10</f>
        <v>2.679164380043645E-2</v>
      </c>
      <c r="H100" s="174">
        <f>H97/H10</f>
        <v>3.9102718550673599E-2</v>
      </c>
      <c r="I100" s="174">
        <f>I97/I10</f>
        <v>5.7920637476934426E-2</v>
      </c>
      <c r="J100" s="175"/>
      <c r="K100" s="174">
        <f>K97/K10</f>
        <v>5.6542682732899037E-2</v>
      </c>
      <c r="L100" s="174">
        <f>L97/L10</f>
        <v>4.5832733211393188E-2</v>
      </c>
      <c r="M100" s="174">
        <f>M97/M10</f>
        <v>4.6504098798936272E-2</v>
      </c>
      <c r="N100" s="174">
        <f>N97/N10</f>
        <v>6.0493249917345032E-2</v>
      </c>
      <c r="O100" s="175"/>
      <c r="P100" s="174">
        <f>P97/P10</f>
        <v>6.5948838798874018E-2</v>
      </c>
      <c r="Q100" s="174">
        <f>Q97/Q10</f>
        <v>4.9963015227674289E-2</v>
      </c>
      <c r="R100" s="174">
        <f>R97/R10</f>
        <v>6.221329021716946E-2</v>
      </c>
      <c r="S100" s="174">
        <f>S97/S10</f>
        <v>7.568438483765276E-2</v>
      </c>
      <c r="T100" s="175"/>
      <c r="U100" s="174">
        <f>U97/U10</f>
        <v>9.4853728242344587E-2</v>
      </c>
      <c r="V100" s="174">
        <f>V97/V10</f>
        <v>6.7684998139468378E-2</v>
      </c>
      <c r="W100" s="174">
        <f>W97/W10</f>
        <v>5.368874179363934E-2</v>
      </c>
      <c r="X100" s="174">
        <f>X97/X10</f>
        <v>6.8848292560500318E-2</v>
      </c>
      <c r="Y100" s="175"/>
      <c r="Z100" s="174">
        <f>Z97/Z10</f>
        <v>4.3392048830808001E-2</v>
      </c>
      <c r="AA100" s="174">
        <f>AA97/AA10</f>
        <v>5.996469268167362E-2</v>
      </c>
      <c r="AB100" s="176">
        <f>AB97/AB10</f>
        <v>3.7884514601987898E-2</v>
      </c>
      <c r="AC100" s="174">
        <v>0.02</v>
      </c>
      <c r="AD100" s="175"/>
      <c r="AE100" s="174">
        <f>$AC$100</f>
        <v>0.02</v>
      </c>
      <c r="AF100" s="174">
        <f t="shared" ref="AF100:AH100" si="629">$AC$100</f>
        <v>0.02</v>
      </c>
      <c r="AG100" s="174">
        <f t="shared" si="629"/>
        <v>0.02</v>
      </c>
      <c r="AH100" s="174">
        <f t="shared" si="629"/>
        <v>0.02</v>
      </c>
      <c r="AI100" s="175"/>
      <c r="AJ100" s="174">
        <f>$AC$100</f>
        <v>0.02</v>
      </c>
      <c r="AK100" s="174">
        <f t="shared" ref="AK100:AM100" si="630">$AC$100</f>
        <v>0.02</v>
      </c>
      <c r="AL100" s="174">
        <f t="shared" si="630"/>
        <v>0.02</v>
      </c>
      <c r="AM100" s="174">
        <f t="shared" si="630"/>
        <v>0.02</v>
      </c>
      <c r="AN100" s="175"/>
      <c r="AO100" s="174">
        <f>$AC$100</f>
        <v>0.02</v>
      </c>
      <c r="AP100" s="174">
        <f t="shared" ref="AP100:AR100" si="631">$AC$100</f>
        <v>0.02</v>
      </c>
      <c r="AQ100" s="174">
        <f t="shared" si="631"/>
        <v>0.02</v>
      </c>
      <c r="AR100" s="174">
        <f t="shared" si="631"/>
        <v>0.02</v>
      </c>
      <c r="AS100" s="175"/>
      <c r="AT100" s="174">
        <f>$AC$100</f>
        <v>0.02</v>
      </c>
      <c r="AU100" s="174">
        <f t="shared" ref="AU100:AW100" si="632">$AC$100</f>
        <v>0.02</v>
      </c>
      <c r="AV100" s="174">
        <f t="shared" si="632"/>
        <v>0.02</v>
      </c>
      <c r="AW100" s="174">
        <f t="shared" si="632"/>
        <v>0.02</v>
      </c>
      <c r="AX100" s="175"/>
      <c r="AY100" s="174">
        <f>AT100</f>
        <v>0.02</v>
      </c>
      <c r="AZ100" s="174">
        <f t="shared" ref="AZ100" si="633">AU100</f>
        <v>0.02</v>
      </c>
      <c r="BA100" s="174">
        <f t="shared" ref="BA100" si="634">AV100</f>
        <v>0.02</v>
      </c>
      <c r="BB100" s="174">
        <f t="shared" ref="BB100" si="635">AW100</f>
        <v>0.02</v>
      </c>
      <c r="BC100" s="175"/>
    </row>
    <row r="101" spans="2:55" outlineLevel="1" x14ac:dyDescent="0.15">
      <c r="B101" s="516" t="s">
        <v>129</v>
      </c>
      <c r="C101" s="516"/>
      <c r="D101" s="516"/>
      <c r="E101" s="162"/>
      <c r="F101" s="174">
        <f>F98/F97</f>
        <v>2.115383212610602</v>
      </c>
      <c r="G101" s="174">
        <f t="shared" ref="G101:I101" si="636">G98/G97</f>
        <v>1.4034883946028611</v>
      </c>
      <c r="H101" s="174">
        <f t="shared" si="636"/>
        <v>0.77374393344734949</v>
      </c>
      <c r="I101" s="174">
        <f t="shared" si="636"/>
        <v>0.49811489277647525</v>
      </c>
      <c r="J101" s="175"/>
      <c r="K101" s="174">
        <f>K98/K97</f>
        <v>0.58612071190687531</v>
      </c>
      <c r="L101" s="174">
        <f t="shared" ref="L101:N101" si="637">L98/L97</f>
        <v>0.62174809385123853</v>
      </c>
      <c r="M101" s="174">
        <f t="shared" si="637"/>
        <v>0.62014326575037337</v>
      </c>
      <c r="N101" s="174">
        <f t="shared" si="637"/>
        <v>0.42918890212464639</v>
      </c>
      <c r="O101" s="175"/>
      <c r="P101" s="174">
        <f>P98/P97</f>
        <v>0.54509721000079669</v>
      </c>
      <c r="Q101" s="174">
        <f t="shared" ref="Q101:S101" si="638">Q98/Q97</f>
        <v>0.63126539576524976</v>
      </c>
      <c r="R101" s="174">
        <f t="shared" si="638"/>
        <v>0.44043418098360088</v>
      </c>
      <c r="S101" s="174">
        <f t="shared" si="638"/>
        <v>0.26902319157289284</v>
      </c>
      <c r="T101" s="175"/>
      <c r="U101" s="174">
        <f>U98/U97</f>
        <v>0.39312531887592789</v>
      </c>
      <c r="V101" s="174">
        <f t="shared" ref="V101:AB101" si="639">V98/V97</f>
        <v>0.40534620966976798</v>
      </c>
      <c r="W101" s="174">
        <f t="shared" si="639"/>
        <v>0.40461356180834862</v>
      </c>
      <c r="X101" s="174">
        <f t="shared" si="639"/>
        <v>0.2873497424155696</v>
      </c>
      <c r="Y101" s="175"/>
      <c r="Z101" s="174">
        <f t="shared" si="639"/>
        <v>0.46072838964458096</v>
      </c>
      <c r="AA101" s="174">
        <f t="shared" si="639"/>
        <v>0.36132140399174117</v>
      </c>
      <c r="AB101" s="176">
        <f t="shared" si="639"/>
        <v>0.45239121068504956</v>
      </c>
      <c r="AC101" s="174">
        <v>0.65</v>
      </c>
      <c r="AD101" s="175"/>
      <c r="AE101" s="174">
        <f>AC101</f>
        <v>0.65</v>
      </c>
      <c r="AF101" s="174">
        <f>AE101</f>
        <v>0.65</v>
      </c>
      <c r="AG101" s="174">
        <f t="shared" ref="AG101:AH101" si="640">AF101</f>
        <v>0.65</v>
      </c>
      <c r="AH101" s="174">
        <f t="shared" si="640"/>
        <v>0.65</v>
      </c>
      <c r="AI101" s="175"/>
      <c r="AJ101" s="174">
        <f>AH101</f>
        <v>0.65</v>
      </c>
      <c r="AK101" s="174">
        <f>AJ101</f>
        <v>0.65</v>
      </c>
      <c r="AL101" s="174">
        <f t="shared" ref="AL101:AM101" si="641">AK101</f>
        <v>0.65</v>
      </c>
      <c r="AM101" s="174">
        <f t="shared" si="641"/>
        <v>0.65</v>
      </c>
      <c r="AN101" s="175"/>
      <c r="AO101" s="174">
        <f>AM101</f>
        <v>0.65</v>
      </c>
      <c r="AP101" s="174">
        <f>AO101</f>
        <v>0.65</v>
      </c>
      <c r="AQ101" s="174">
        <f t="shared" ref="AQ101:AR101" si="642">AP101</f>
        <v>0.65</v>
      </c>
      <c r="AR101" s="174">
        <f t="shared" si="642"/>
        <v>0.65</v>
      </c>
      <c r="AS101" s="175"/>
      <c r="AT101" s="174">
        <f>AR101</f>
        <v>0.65</v>
      </c>
      <c r="AU101" s="174">
        <f>AT101</f>
        <v>0.65</v>
      </c>
      <c r="AV101" s="174">
        <f t="shared" ref="AV101:AW101" si="643">AU101</f>
        <v>0.65</v>
      </c>
      <c r="AW101" s="174">
        <f t="shared" si="643"/>
        <v>0.65</v>
      </c>
      <c r="AX101" s="175"/>
      <c r="AY101" s="174">
        <f>AW101</f>
        <v>0.65</v>
      </c>
      <c r="AZ101" s="174">
        <f>AY101</f>
        <v>0.65</v>
      </c>
      <c r="BA101" s="174">
        <f t="shared" ref="BA101:BB101" si="644">AZ101</f>
        <v>0.65</v>
      </c>
      <c r="BB101" s="174">
        <f t="shared" si="644"/>
        <v>0.65</v>
      </c>
      <c r="BC101" s="175"/>
    </row>
    <row r="102" spans="2:55" outlineLevel="1" x14ac:dyDescent="0.15">
      <c r="B102" s="162"/>
      <c r="C102" s="162"/>
      <c r="D102" s="162"/>
      <c r="E102" s="162"/>
      <c r="F102" s="166"/>
      <c r="AB102" s="97"/>
    </row>
    <row r="103" spans="2:55" outlineLevel="1" x14ac:dyDescent="0.15">
      <c r="B103" s="516" t="s">
        <v>130</v>
      </c>
      <c r="C103" s="516"/>
      <c r="D103" s="516"/>
      <c r="E103" s="162"/>
      <c r="F103" s="177">
        <f>F76</f>
        <v>3252.2089000000001</v>
      </c>
      <c r="G103" s="177">
        <f>G76</f>
        <v>3418.7640999999999</v>
      </c>
      <c r="H103" s="177">
        <f>H76</f>
        <v>3537.0050000000001</v>
      </c>
      <c r="I103" s="177">
        <f>I76</f>
        <v>3606.7202000000002</v>
      </c>
      <c r="J103" s="141">
        <f>I103</f>
        <v>3606.7202000000002</v>
      </c>
      <c r="K103" s="177">
        <f>K76</f>
        <v>3671.7202000000002</v>
      </c>
      <c r="L103" s="177">
        <f>L76</f>
        <v>3512.0913</v>
      </c>
      <c r="M103" s="177">
        <f>M76</f>
        <v>3467.8243000000002</v>
      </c>
      <c r="N103" s="177">
        <f>N76</f>
        <v>3465.9477999999999</v>
      </c>
      <c r="O103" s="141">
        <f>N103</f>
        <v>3465.9477999999999</v>
      </c>
      <c r="P103" s="177">
        <f>P76</f>
        <v>3458.8733000000002</v>
      </c>
      <c r="Q103" s="177">
        <f>Q76</f>
        <v>3558.0931999999998</v>
      </c>
      <c r="R103" s="177">
        <f>R76</f>
        <v>3456.2510000000002</v>
      </c>
      <c r="S103" s="177">
        <f>S76</f>
        <v>3663.0120999999999</v>
      </c>
      <c r="T103" s="141">
        <f>S103</f>
        <v>3663.0120999999999</v>
      </c>
      <c r="U103" s="177">
        <f>U76</f>
        <v>4292.9283999999998</v>
      </c>
      <c r="V103" s="177">
        <f>V76</f>
        <v>5193.875</v>
      </c>
      <c r="W103" s="177">
        <f>W76</f>
        <v>5375.7627000000002</v>
      </c>
      <c r="X103" s="177">
        <f>X76</f>
        <v>5858.9534999999996</v>
      </c>
      <c r="Y103" s="141">
        <f>X103</f>
        <v>5858.9534999999996</v>
      </c>
      <c r="Z103" s="177">
        <f>Z76</f>
        <v>5450.2825999999995</v>
      </c>
      <c r="AA103" s="177">
        <f>AA76</f>
        <v>5471.8095999999996</v>
      </c>
      <c r="AB103" s="178">
        <f>AB76</f>
        <v>4761.4962999999998</v>
      </c>
      <c r="AC103" s="177">
        <f>AB103-AC106</f>
        <v>4724.0489731377811</v>
      </c>
      <c r="AD103" s="141">
        <f>AC103</f>
        <v>4724.0489731377811</v>
      </c>
      <c r="AE103" s="177">
        <f>AC103-AE106</f>
        <v>4675.4315190827674</v>
      </c>
      <c r="AF103" s="177">
        <f t="shared" ref="AF103:AH103" si="645">AE103-AF106</f>
        <v>4627.4413115360394</v>
      </c>
      <c r="AG103" s="177">
        <f t="shared" si="645"/>
        <v>4565.5977276469175</v>
      </c>
      <c r="AH103" s="177">
        <f t="shared" si="645"/>
        <v>4512.6152855268865</v>
      </c>
      <c r="AI103" s="141">
        <f>AH103</f>
        <v>4512.6152855268865</v>
      </c>
      <c r="AJ103" s="177">
        <f>AH103-AJ106</f>
        <v>4458.9406559035888</v>
      </c>
      <c r="AK103" s="177">
        <f t="shared" ref="AK103:AM103" si="646">AJ103-AK106</f>
        <v>4403.4625103780563</v>
      </c>
      <c r="AL103" s="177">
        <f t="shared" si="646"/>
        <v>4333.0768028416651</v>
      </c>
      <c r="AM103" s="177">
        <f t="shared" si="646"/>
        <v>4272.2705457533602</v>
      </c>
      <c r="AN103" s="141">
        <f>AM103</f>
        <v>4272.2705457533602</v>
      </c>
      <c r="AO103" s="177">
        <f>AM103-AO106</f>
        <v>4211.2375300777221</v>
      </c>
      <c r="AP103" s="177">
        <f t="shared" ref="AP103:AR103" si="647">AO103-AP106</f>
        <v>4146.4482281517003</v>
      </c>
      <c r="AQ103" s="177">
        <f t="shared" si="647"/>
        <v>4067.3613650766169</v>
      </c>
      <c r="AR103" s="177">
        <f t="shared" si="647"/>
        <v>3998.4851791894857</v>
      </c>
      <c r="AS103" s="141">
        <f>AR103</f>
        <v>3998.4851791894857</v>
      </c>
      <c r="AT103" s="177">
        <f>AR103-AT106</f>
        <v>3929.0849983478879</v>
      </c>
      <c r="AU103" s="177">
        <f t="shared" ref="AU103:AW103" si="648">AT103-AU106</f>
        <v>3853.4218051337366</v>
      </c>
      <c r="AV103" s="177">
        <f t="shared" si="648"/>
        <v>3762.3907340231804</v>
      </c>
      <c r="AW103" s="177">
        <f t="shared" si="648"/>
        <v>3682.4707586785885</v>
      </c>
      <c r="AX103" s="141">
        <f>AW103</f>
        <v>3682.4707586785885</v>
      </c>
      <c r="AY103" s="177">
        <f>AW103-AY106</f>
        <v>3603.5563375652137</v>
      </c>
      <c r="AZ103" s="177">
        <f t="shared" ref="AZ103:BB103" si="649">AY103-AZ106</f>
        <v>3515.1942370767892</v>
      </c>
      <c r="BA103" s="177">
        <f t="shared" si="649"/>
        <v>3410.4150666137002</v>
      </c>
      <c r="BB103" s="177">
        <f t="shared" si="649"/>
        <v>3317.680511457771</v>
      </c>
      <c r="BC103" s="141">
        <f>BB103</f>
        <v>3317.680511457771</v>
      </c>
    </row>
    <row r="104" spans="2:55" outlineLevel="1" x14ac:dyDescent="0.15">
      <c r="B104" s="516" t="s">
        <v>131</v>
      </c>
      <c r="C104" s="516"/>
      <c r="D104" s="516"/>
      <c r="E104" s="162"/>
      <c r="F104" s="177">
        <f>F37</f>
        <v>15.023199999999999</v>
      </c>
      <c r="G104" s="177">
        <f>G37</f>
        <v>11.8912</v>
      </c>
      <c r="H104" s="177">
        <f>H37</f>
        <v>14.6866</v>
      </c>
      <c r="I104" s="177">
        <f>I37</f>
        <v>15.1928</v>
      </c>
      <c r="J104" s="170">
        <f>SUM(F104:I104)</f>
        <v>56.793799999999997</v>
      </c>
      <c r="K104" s="177">
        <f>K37</f>
        <v>12.908899999999999</v>
      </c>
      <c r="L104" s="177">
        <f>L37</f>
        <v>2.6227999999999998</v>
      </c>
      <c r="M104" s="177">
        <f>M37</f>
        <v>9.4192999999999998</v>
      </c>
      <c r="N104" s="177">
        <f>N37</f>
        <v>8.5581999999999994</v>
      </c>
      <c r="O104" s="170">
        <f>SUM(K104:N104)</f>
        <v>33.5092</v>
      </c>
      <c r="P104" s="177">
        <f>P37</f>
        <v>8.9718</v>
      </c>
      <c r="Q104" s="177">
        <f>Q37</f>
        <v>7.7526999999999999</v>
      </c>
      <c r="R104" s="177">
        <f>R37</f>
        <v>6.0049000000000001</v>
      </c>
      <c r="S104" s="177">
        <f>S37</f>
        <v>5.3147000000000002</v>
      </c>
      <c r="T104" s="170">
        <f>SUM(P104:S104)</f>
        <v>28.0441</v>
      </c>
      <c r="U104" s="177">
        <f>U37</f>
        <v>12.5764</v>
      </c>
      <c r="V104" s="177">
        <f>V37</f>
        <v>7.8125</v>
      </c>
      <c r="W104" s="177">
        <f>W37</f>
        <v>9.8087</v>
      </c>
      <c r="X104" s="177">
        <f>X37</f>
        <v>9.5435999999999996</v>
      </c>
      <c r="Y104" s="170">
        <f>SUM(U104:X104)</f>
        <v>39.741199999999999</v>
      </c>
      <c r="Z104" s="177">
        <f>Z37</f>
        <v>14.562799999999999</v>
      </c>
      <c r="AA104" s="177">
        <f>AA37</f>
        <v>11.813499999999999</v>
      </c>
      <c r="AB104" s="178">
        <f>AB37</f>
        <v>12.370799999999999</v>
      </c>
      <c r="AC104" s="177">
        <f>AC103*AC105</f>
        <v>14.172146919413343</v>
      </c>
      <c r="AD104" s="170">
        <f>SUM(Z104:AC104)</f>
        <v>52.919246919413347</v>
      </c>
      <c r="AE104" s="177">
        <f>AE103*AE105</f>
        <v>14.026294557248303</v>
      </c>
      <c r="AF104" s="177">
        <f t="shared" ref="AF104:AH104" si="650">AF103*AF105</f>
        <v>13.882323934608118</v>
      </c>
      <c r="AG104" s="177">
        <f t="shared" si="650"/>
        <v>13.696793182940754</v>
      </c>
      <c r="AH104" s="177">
        <f t="shared" si="650"/>
        <v>13.53784585658066</v>
      </c>
      <c r="AI104" s="170">
        <f>SUM(AE104:AH104)</f>
        <v>55.143257531377834</v>
      </c>
      <c r="AJ104" s="177">
        <f>AJ103*AJ105</f>
        <v>13.376821967710766</v>
      </c>
      <c r="AK104" s="177">
        <f t="shared" ref="AK104" si="651">AK103*AK105</f>
        <v>13.210387531134169</v>
      </c>
      <c r="AL104" s="177">
        <f t="shared" ref="AL104" si="652">AL103*AL105</f>
        <v>12.999230408524996</v>
      </c>
      <c r="AM104" s="177">
        <f t="shared" ref="AM104" si="653">AM103*AM105</f>
        <v>12.816811637260081</v>
      </c>
      <c r="AN104" s="170">
        <f>SUM(AJ104:AM104)</f>
        <v>52.40325154463001</v>
      </c>
      <c r="AO104" s="177">
        <f>AO103*AO105</f>
        <v>12.633712590233166</v>
      </c>
      <c r="AP104" s="177">
        <f t="shared" ref="AP104" si="654">AP103*AP105</f>
        <v>12.439344684455101</v>
      </c>
      <c r="AQ104" s="177">
        <f t="shared" ref="AQ104" si="655">AQ103*AQ105</f>
        <v>12.202084095229852</v>
      </c>
      <c r="AR104" s="177">
        <f t="shared" ref="AR104" si="656">AR103*AR105</f>
        <v>11.995455537568457</v>
      </c>
      <c r="AS104" s="170">
        <f>SUM(AO104:AR104)</f>
        <v>49.270596907486578</v>
      </c>
      <c r="AT104" s="177">
        <f>AT103*AT105</f>
        <v>11.787254995043664</v>
      </c>
      <c r="AU104" s="177">
        <f t="shared" ref="AU104" si="657">AU103*AU105</f>
        <v>11.56026541540121</v>
      </c>
      <c r="AV104" s="177">
        <f t="shared" ref="AV104" si="658">AV103*AV105</f>
        <v>11.287172202069542</v>
      </c>
      <c r="AW104" s="177">
        <f t="shared" ref="AW104" si="659">AW103*AW105</f>
        <v>11.047412276035766</v>
      </c>
      <c r="AX104" s="170">
        <f>SUM(AT104:AW104)</f>
        <v>45.682104888550178</v>
      </c>
      <c r="AY104" s="177">
        <f>AY103*AY105</f>
        <v>10.810669012695641</v>
      </c>
      <c r="AZ104" s="177">
        <f t="shared" ref="AZ104" si="660">AZ103*AZ105</f>
        <v>10.545582711230368</v>
      </c>
      <c r="BA104" s="177">
        <f t="shared" ref="BA104" si="661">BA103*BA105</f>
        <v>10.231245199841101</v>
      </c>
      <c r="BB104" s="177">
        <f t="shared" ref="BB104" si="662">BB103*BB105</f>
        <v>9.9530415343733125</v>
      </c>
      <c r="BC104" s="170">
        <f>SUM(AY104:BB104)</f>
        <v>41.540538458140418</v>
      </c>
    </row>
    <row r="105" spans="2:55" outlineLevel="1" x14ac:dyDescent="0.15">
      <c r="B105" s="516" t="s">
        <v>132</v>
      </c>
      <c r="C105" s="516"/>
      <c r="D105" s="516"/>
      <c r="E105" s="162"/>
      <c r="F105" s="179">
        <f>F104/F103</f>
        <v>4.6193834596541441E-3</v>
      </c>
      <c r="G105" s="179">
        <f t="shared" ref="G105:I105" si="663">G104/G103</f>
        <v>3.478216002092686E-3</v>
      </c>
      <c r="H105" s="179">
        <f t="shared" si="663"/>
        <v>4.1522700702995895E-3</v>
      </c>
      <c r="I105" s="179">
        <f t="shared" si="663"/>
        <v>4.2123589182216014E-3</v>
      </c>
      <c r="K105" s="179">
        <f>K104/K103</f>
        <v>3.5157635377554091E-3</v>
      </c>
      <c r="L105" s="179">
        <f t="shared" ref="L105" si="664">L104/L103</f>
        <v>7.4679151991293618E-4</v>
      </c>
      <c r="M105" s="179">
        <f t="shared" ref="M105" si="665">M104/M103</f>
        <v>2.7161987416721195E-3</v>
      </c>
      <c r="N105" s="179">
        <f t="shared" ref="N105" si="666">N104/N103</f>
        <v>2.4692235699568239E-3</v>
      </c>
      <c r="P105" s="179">
        <f>P104/P103</f>
        <v>2.5938504310059579E-3</v>
      </c>
      <c r="Q105" s="179">
        <f t="shared" ref="Q105" si="667">Q104/Q103</f>
        <v>2.178891772705673E-3</v>
      </c>
      <c r="R105" s="179">
        <f t="shared" ref="R105" si="668">R104/R103</f>
        <v>1.7374027522885345E-3</v>
      </c>
      <c r="S105" s="179">
        <f t="shared" ref="S105" si="669">S104/S103</f>
        <v>1.4509097581195541E-3</v>
      </c>
      <c r="U105" s="179">
        <f>U104/U103</f>
        <v>2.9295620211136062E-3</v>
      </c>
      <c r="V105" s="179">
        <f t="shared" ref="V105" si="670">V104/V103</f>
        <v>1.5041755914418425E-3</v>
      </c>
      <c r="W105" s="179">
        <f t="shared" ref="W105" si="671">W104/W103</f>
        <v>1.8246155099070872E-3</v>
      </c>
      <c r="X105" s="179">
        <f t="shared" ref="X105" si="672">X104/X103</f>
        <v>1.6288915759444071E-3</v>
      </c>
      <c r="Z105" s="179">
        <f>Z104/Z103</f>
        <v>2.6719348460940355E-3</v>
      </c>
      <c r="AA105" s="179">
        <f t="shared" ref="AA105" si="673">AA104/AA103</f>
        <v>2.1589749760298677E-3</v>
      </c>
      <c r="AB105" s="180">
        <f t="shared" ref="AB105" si="674">AB104/AB103</f>
        <v>2.5980908564393929E-3</v>
      </c>
      <c r="AC105" s="179">
        <v>3.0000000000000001E-3</v>
      </c>
      <c r="AD105" s="181">
        <f>AD104/AD103</f>
        <v>1.1202095325498632E-2</v>
      </c>
      <c r="AE105" s="179">
        <f>AC105</f>
        <v>3.0000000000000001E-3</v>
      </c>
      <c r="AF105" s="182">
        <f>AE105</f>
        <v>3.0000000000000001E-3</v>
      </c>
      <c r="AG105" s="182">
        <f t="shared" ref="AG105:AH105" si="675">AF105</f>
        <v>3.0000000000000001E-3</v>
      </c>
      <c r="AH105" s="182">
        <f t="shared" si="675"/>
        <v>3.0000000000000001E-3</v>
      </c>
      <c r="AI105" s="181">
        <f>AI104/AI103</f>
        <v>1.2219800280390929E-2</v>
      </c>
      <c r="AJ105" s="179">
        <f>AH105</f>
        <v>3.0000000000000001E-3</v>
      </c>
      <c r="AK105" s="182">
        <f>AJ105</f>
        <v>3.0000000000000001E-3</v>
      </c>
      <c r="AL105" s="182">
        <f t="shared" ref="AL105:AM105" si="676">AK105</f>
        <v>3.0000000000000001E-3</v>
      </c>
      <c r="AM105" s="182">
        <f t="shared" si="676"/>
        <v>3.0000000000000001E-3</v>
      </c>
      <c r="AN105" s="181">
        <f>AN104/AN103</f>
        <v>1.2265901932806871E-2</v>
      </c>
      <c r="AO105" s="179">
        <f>AM105</f>
        <v>3.0000000000000001E-3</v>
      </c>
      <c r="AP105" s="182">
        <f>AO105</f>
        <v>3.0000000000000001E-3</v>
      </c>
      <c r="AQ105" s="182">
        <f t="shared" ref="AQ105:AR105" si="677">AP105</f>
        <v>3.0000000000000001E-3</v>
      </c>
      <c r="AR105" s="182">
        <f t="shared" si="677"/>
        <v>3.0000000000000001E-3</v>
      </c>
      <c r="AS105" s="181">
        <f>AS104/AS103</f>
        <v>1.2322315751955342E-2</v>
      </c>
      <c r="AT105" s="179">
        <f>AR105</f>
        <v>3.0000000000000001E-3</v>
      </c>
      <c r="AU105" s="182">
        <f>AT105</f>
        <v>3.0000000000000001E-3</v>
      </c>
      <c r="AV105" s="182">
        <f t="shared" ref="AV105:AW105" si="678">AU105</f>
        <v>3.0000000000000001E-3</v>
      </c>
      <c r="AW105" s="182">
        <f t="shared" si="678"/>
        <v>3.0000000000000001E-3</v>
      </c>
      <c r="AX105" s="181">
        <f>AX104/AX103</f>
        <v>1.2405286526957424E-2</v>
      </c>
      <c r="AY105" s="179">
        <f>AW105</f>
        <v>3.0000000000000001E-3</v>
      </c>
      <c r="AZ105" s="182">
        <f>AY105</f>
        <v>3.0000000000000001E-3</v>
      </c>
      <c r="BA105" s="182">
        <f t="shared" ref="BA105:BB105" si="679">AZ105</f>
        <v>3.0000000000000001E-3</v>
      </c>
      <c r="BB105" s="182">
        <f t="shared" si="679"/>
        <v>3.0000000000000001E-3</v>
      </c>
      <c r="BC105" s="181">
        <f>BC104/BC103</f>
        <v>1.2520958035193005E-2</v>
      </c>
    </row>
    <row r="106" spans="2:55" outlineLevel="1" x14ac:dyDescent="0.15">
      <c r="B106" s="516" t="s">
        <v>133</v>
      </c>
      <c r="C106" s="516"/>
      <c r="D106" s="516"/>
      <c r="E106" s="162"/>
      <c r="F106" s="177">
        <f>F73</f>
        <v>0</v>
      </c>
      <c r="G106" s="177">
        <f>G73</f>
        <v>0</v>
      </c>
      <c r="H106" s="177">
        <f>H73</f>
        <v>0</v>
      </c>
      <c r="I106" s="177">
        <f>I73</f>
        <v>69.727599999999995</v>
      </c>
      <c r="K106" s="177">
        <f>K73</f>
        <v>0</v>
      </c>
      <c r="L106" s="177">
        <f>L73</f>
        <v>0</v>
      </c>
      <c r="M106" s="177">
        <f>M73</f>
        <v>0</v>
      </c>
      <c r="N106" s="177">
        <f>N73</f>
        <v>53.022799999999997</v>
      </c>
      <c r="P106" s="177">
        <f>P73</f>
        <v>0</v>
      </c>
      <c r="Q106" s="177">
        <f>Q73</f>
        <v>0</v>
      </c>
      <c r="R106" s="177">
        <f>R73</f>
        <v>0</v>
      </c>
      <c r="S106" s="177">
        <f>S73</f>
        <v>62.433199999999999</v>
      </c>
      <c r="U106" s="177">
        <f>U73</f>
        <v>0</v>
      </c>
      <c r="V106" s="177">
        <f>V73</f>
        <v>0</v>
      </c>
      <c r="W106" s="177">
        <f>W73</f>
        <v>0</v>
      </c>
      <c r="X106" s="177">
        <f>X73</f>
        <v>75.672700000000006</v>
      </c>
      <c r="Z106" s="177">
        <v>0</v>
      </c>
      <c r="AA106" s="177">
        <v>0</v>
      </c>
      <c r="AB106" s="178">
        <v>0</v>
      </c>
      <c r="AC106" s="169">
        <f>AC33*AC108</f>
        <v>37.44732686221861</v>
      </c>
      <c r="AD106" s="141">
        <f>SUM(Z106:AC106)</f>
        <v>37.44732686221861</v>
      </c>
      <c r="AE106" s="169">
        <f>AE33*AE108</f>
        <v>48.617454055013717</v>
      </c>
      <c r="AF106" s="169">
        <f>AF33*AF108</f>
        <v>47.990207546728428</v>
      </c>
      <c r="AG106" s="169">
        <f>AG33*AG108</f>
        <v>61.843583889122108</v>
      </c>
      <c r="AH106" s="169">
        <f>AH33*AH108</f>
        <v>52.982442120030953</v>
      </c>
      <c r="AI106" s="141">
        <f>SUM(AE106:AH106)</f>
        <v>211.43368761089519</v>
      </c>
      <c r="AJ106" s="169">
        <f>AJ33*AJ108</f>
        <v>53.674629623297932</v>
      </c>
      <c r="AK106" s="169">
        <f>AK33*AK108</f>
        <v>55.478145525532511</v>
      </c>
      <c r="AL106" s="169">
        <f>AL33*AL108</f>
        <v>70.385707536391081</v>
      </c>
      <c r="AM106" s="169">
        <f>AM33*AM108</f>
        <v>60.806257088304754</v>
      </c>
      <c r="AN106" s="141">
        <f>SUM(AJ106:AM106)</f>
        <v>240.3447397735263</v>
      </c>
      <c r="AO106" s="169">
        <f>AO33*AO108</f>
        <v>61.033015675637955</v>
      </c>
      <c r="AP106" s="169">
        <f>AP33*AP108</f>
        <v>64.789301926021437</v>
      </c>
      <c r="AQ106" s="169">
        <f>AQ33*AQ108</f>
        <v>79.086863075083315</v>
      </c>
      <c r="AR106" s="169">
        <f>AR33*AR108</f>
        <v>68.8761858871313</v>
      </c>
      <c r="AS106" s="141">
        <f>SUM(AO106:AR106)</f>
        <v>273.78536656387405</v>
      </c>
      <c r="AT106" s="169">
        <f>AT33*AT108</f>
        <v>69.400180841597987</v>
      </c>
      <c r="AU106" s="169">
        <f>AU33*AU108</f>
        <v>75.663193214151221</v>
      </c>
      <c r="AV106" s="169">
        <f>AV33*AV108</f>
        <v>91.031071110556184</v>
      </c>
      <c r="AW106" s="169">
        <f>AW33*AW108</f>
        <v>79.919975344592046</v>
      </c>
      <c r="AX106" s="141">
        <f>SUM(AT106:AW106)</f>
        <v>316.01442051089742</v>
      </c>
      <c r="AY106" s="169">
        <f>AY33*AY108</f>
        <v>78.914421113374871</v>
      </c>
      <c r="AZ106" s="169">
        <f>AZ33*AZ108</f>
        <v>88.362100488424446</v>
      </c>
      <c r="BA106" s="169">
        <f>BA33*BA108</f>
        <v>104.779170463089</v>
      </c>
      <c r="BB106" s="169">
        <f>BB33*BB108</f>
        <v>92.734555155929044</v>
      </c>
      <c r="BC106" s="141">
        <f>SUM(AY106:BB106)</f>
        <v>364.79024722081738</v>
      </c>
    </row>
    <row r="107" spans="2:55" outlineLevel="1" x14ac:dyDescent="0.15">
      <c r="AB107" s="97"/>
    </row>
    <row r="108" spans="2:55" outlineLevel="1" x14ac:dyDescent="0.15">
      <c r="B108" s="98" t="s">
        <v>134</v>
      </c>
      <c r="I108" s="105">
        <f>I106/I33</f>
        <v>8.1549153948152348E-2</v>
      </c>
      <c r="N108" s="105">
        <f>N106/N33</f>
        <v>5.6951707533963225E-2</v>
      </c>
      <c r="S108" s="105">
        <f>S106/S33</f>
        <v>4.4169281598756223E-2</v>
      </c>
      <c r="X108" s="105">
        <f>X106/X33</f>
        <v>4.2184800452121488E-2</v>
      </c>
      <c r="AB108" s="97"/>
      <c r="AC108" s="174">
        <v>0.02</v>
      </c>
      <c r="AE108" s="174">
        <v>0.02</v>
      </c>
      <c r="AF108" s="105">
        <f>AE108</f>
        <v>0.02</v>
      </c>
      <c r="AG108" s="105">
        <f t="shared" ref="AG108:AH108" si="680">AF108</f>
        <v>0.02</v>
      </c>
      <c r="AH108" s="105">
        <f t="shared" si="680"/>
        <v>0.02</v>
      </c>
      <c r="AI108" s="205"/>
      <c r="AJ108" s="174">
        <f>AH108</f>
        <v>0.02</v>
      </c>
      <c r="AK108" s="105">
        <f>AJ108</f>
        <v>0.02</v>
      </c>
      <c r="AL108" s="105">
        <f t="shared" ref="AL108:AM108" si="681">AK108</f>
        <v>0.02</v>
      </c>
      <c r="AM108" s="105">
        <f t="shared" si="681"/>
        <v>0.02</v>
      </c>
      <c r="AN108" s="205"/>
      <c r="AO108" s="174">
        <v>0.02</v>
      </c>
      <c r="AP108" s="105">
        <f>AO108</f>
        <v>0.02</v>
      </c>
      <c r="AQ108" s="105">
        <f t="shared" ref="AQ108:AR108" si="682">AP108</f>
        <v>0.02</v>
      </c>
      <c r="AR108" s="105">
        <f t="shared" si="682"/>
        <v>0.02</v>
      </c>
      <c r="AS108" s="205"/>
      <c r="AT108" s="174">
        <f>AR108</f>
        <v>0.02</v>
      </c>
      <c r="AU108" s="105">
        <f>AT108</f>
        <v>0.02</v>
      </c>
      <c r="AV108" s="105">
        <f t="shared" ref="AV108:AW108" si="683">AU108</f>
        <v>0.02</v>
      </c>
      <c r="AW108" s="105">
        <f t="shared" si="683"/>
        <v>0.02</v>
      </c>
      <c r="AX108" s="205"/>
      <c r="AY108" s="174">
        <f>AW108</f>
        <v>0.02</v>
      </c>
      <c r="AZ108" s="105">
        <f>AY108</f>
        <v>0.02</v>
      </c>
      <c r="BA108" s="105">
        <f t="shared" ref="BA108:BB108" si="684">AZ108</f>
        <v>0.02</v>
      </c>
      <c r="BB108" s="105">
        <f t="shared" si="684"/>
        <v>0.02</v>
      </c>
    </row>
    <row r="109" spans="2:55" ht="13" thickBot="1" x14ac:dyDescent="0.2">
      <c r="AB109" s="97"/>
    </row>
    <row r="110" spans="2:55" ht="17" thickBot="1" x14ac:dyDescent="0.25">
      <c r="B110" s="513" t="s">
        <v>135</v>
      </c>
      <c r="C110" s="514"/>
      <c r="D110" s="515"/>
      <c r="E110" s="153"/>
      <c r="AB110" s="97"/>
    </row>
    <row r="111" spans="2:55" outlineLevel="1" x14ac:dyDescent="0.15">
      <c r="AB111" s="97"/>
    </row>
    <row r="112" spans="2:55" outlineLevel="1" x14ac:dyDescent="0.15">
      <c r="B112" s="98" t="s">
        <v>60</v>
      </c>
      <c r="AB112" s="97"/>
      <c r="AC112" s="140">
        <f>AC44</f>
        <v>1342.8553139573576</v>
      </c>
      <c r="AE112" s="140">
        <f>AE44</f>
        <v>1753.3822840155303</v>
      </c>
      <c r="AF112" s="140">
        <f t="shared" ref="AF112:AH112" si="685">AF44</f>
        <v>1730.7329746037849</v>
      </c>
      <c r="AG112" s="140">
        <f t="shared" si="685"/>
        <v>2235.3282713306126</v>
      </c>
      <c r="AH112" s="140">
        <f t="shared" si="685"/>
        <v>1913.6907791733229</v>
      </c>
      <c r="AJ112" s="140">
        <f>AJ44</f>
        <v>1938.9455506384802</v>
      </c>
      <c r="AK112" s="140">
        <f t="shared" ref="AK112:AM112" si="686">AK44</f>
        <v>2004.5577984037595</v>
      </c>
      <c r="AL112" s="140">
        <f t="shared" si="686"/>
        <v>2548.0169135606752</v>
      </c>
      <c r="AM112" s="140">
        <f t="shared" si="686"/>
        <v>2200.0433408202725</v>
      </c>
      <c r="AO112" s="140">
        <f>AO44</f>
        <v>2206.6930591452765</v>
      </c>
      <c r="AP112" s="140">
        <f t="shared" ref="AP112:AR112" si="687">AP44</f>
        <v>2343.2332534955467</v>
      </c>
      <c r="AQ112" s="140">
        <f t="shared" si="687"/>
        <v>2862.5695931000473</v>
      </c>
      <c r="AR112" s="140">
        <f t="shared" si="687"/>
        <v>2491.9649141874752</v>
      </c>
      <c r="AT112" s="140">
        <f>AT44</f>
        <v>2511.147832605644</v>
      </c>
      <c r="AU112" s="140">
        <f t="shared" ref="AU112:AW112" si="688">AU44</f>
        <v>2738.7341642937572</v>
      </c>
      <c r="AV112" s="140">
        <f t="shared" si="688"/>
        <v>3296.9616236738261</v>
      </c>
      <c r="AW112" s="140">
        <f t="shared" si="688"/>
        <v>2893.6867162627641</v>
      </c>
      <c r="AY112" s="140">
        <f>AY44</f>
        <v>2857.3516185462545</v>
      </c>
      <c r="AZ112" s="140">
        <f t="shared" ref="AZ112:BB112" si="689">AZ44</f>
        <v>3200.6048886285748</v>
      </c>
      <c r="BA112" s="140">
        <f t="shared" si="689"/>
        <v>3796.9604691958202</v>
      </c>
      <c r="BB112" s="140">
        <f t="shared" si="689"/>
        <v>3359.8173892977411</v>
      </c>
    </row>
    <row r="113" spans="2:55" outlineLevel="1" x14ac:dyDescent="0.15">
      <c r="B113" s="98" t="s">
        <v>136</v>
      </c>
      <c r="AB113" s="97"/>
      <c r="AC113" s="127">
        <f>AC24</f>
        <v>67.720444248373397</v>
      </c>
      <c r="AE113" s="127">
        <f>AE24</f>
        <v>79.003362839397283</v>
      </c>
      <c r="AF113" s="127">
        <f>AF24</f>
        <v>77.984087263433707</v>
      </c>
      <c r="AG113" s="127">
        <f>AG24</f>
        <v>98.044706165681404</v>
      </c>
      <c r="AH113" s="127">
        <f>AH24</f>
        <v>83.996554580536881</v>
      </c>
      <c r="AJ113" s="127">
        <f>AJ24</f>
        <v>85.093925012545498</v>
      </c>
      <c r="AK113" s="127">
        <f>AK24</f>
        <v>87.953157540478358</v>
      </c>
      <c r="AL113" s="127">
        <f>AL24</f>
        <v>108.93026166346237</v>
      </c>
      <c r="AM113" s="127">
        <f>AM24</f>
        <v>94.10492168428118</v>
      </c>
      <c r="AO113" s="127">
        <f>AO24</f>
        <v>96.759658997962617</v>
      </c>
      <c r="AP113" s="127">
        <f>AP24</f>
        <v>102.71474695588763</v>
      </c>
      <c r="AQ113" s="127">
        <f>AQ24</f>
        <v>125.38161219220524</v>
      </c>
      <c r="AR113" s="127">
        <f>AR24</f>
        <v>109.19395323569596</v>
      </c>
      <c r="AT113" s="127">
        <f>AT24*0.75</f>
        <v>82.5185077079976</v>
      </c>
      <c r="AU113" s="127">
        <f>AU24</f>
        <v>119.95384290048362</v>
      </c>
      <c r="AV113" s="127">
        <f>AV24</f>
        <v>144.31755176063783</v>
      </c>
      <c r="AW113" s="127">
        <f>AW24</f>
        <v>126.70239993654836</v>
      </c>
      <c r="AY113" s="127">
        <f>AY24</f>
        <v>125.10822859437479</v>
      </c>
      <c r="AZ113" s="127">
        <f>AZ24</f>
        <v>140.08625687189243</v>
      </c>
      <c r="BA113" s="127">
        <f>BA24</f>
        <v>166.11331902684842</v>
      </c>
      <c r="BB113" s="127">
        <f>BB24</f>
        <v>147.01819719842413</v>
      </c>
    </row>
    <row r="114" spans="2:55" outlineLevel="1" x14ac:dyDescent="0.15">
      <c r="B114" s="98" t="s">
        <v>137</v>
      </c>
      <c r="AB114" s="97"/>
      <c r="AC114" s="127">
        <f>AC58-AB58</f>
        <v>-1770.3465344010992</v>
      </c>
      <c r="AE114" s="127">
        <f>AE58-AD58</f>
        <v>2215.5070149934199</v>
      </c>
      <c r="AF114" s="127">
        <f t="shared" ref="AF114:AH114" si="690">AF58-AE58</f>
        <v>-551.56677423927431</v>
      </c>
      <c r="AG114" s="127">
        <f t="shared" si="690"/>
        <v>1909.3698344019003</v>
      </c>
      <c r="AH114" s="127">
        <f t="shared" si="690"/>
        <v>-2725.2479325079275</v>
      </c>
      <c r="AJ114" s="127">
        <f>AJ58-AI58</f>
        <v>1810.2686147113636</v>
      </c>
      <c r="AK114" s="127">
        <f t="shared" ref="AK114:AM114" si="691">AK58-AJ58</f>
        <v>-330.60962936140913</v>
      </c>
      <c r="AL114" s="127">
        <f t="shared" si="691"/>
        <v>2034.083765456302</v>
      </c>
      <c r="AM114" s="127">
        <f t="shared" si="691"/>
        <v>-2987.049131155939</v>
      </c>
      <c r="AO114" s="127">
        <f>AO58-AN58</f>
        <v>2131.7502265108415</v>
      </c>
      <c r="AP114" s="127">
        <f t="shared" ref="AP114:AR114" si="692">AP58-AO58</f>
        <v>-195.89872930770525</v>
      </c>
      <c r="AQ114" s="127">
        <f t="shared" si="692"/>
        <v>2242.8506137724826</v>
      </c>
      <c r="AR114" s="127">
        <f t="shared" si="692"/>
        <v>-3392.4923737086847</v>
      </c>
      <c r="AT114" s="127">
        <f>AT58-AS58</f>
        <v>2309.9941344776962</v>
      </c>
      <c r="AU114" s="127">
        <f t="shared" ref="AU114:AW114" si="693">AU58-AT58</f>
        <v>-12.503870781179103</v>
      </c>
      <c r="AV114" s="127">
        <f t="shared" si="693"/>
        <v>2466.6262069508148</v>
      </c>
      <c r="AW114" s="127">
        <f t="shared" si="693"/>
        <v>-3851.8437887508844</v>
      </c>
      <c r="AY114" s="127">
        <f>AY58-AX58</f>
        <v>2494.3944033048774</v>
      </c>
      <c r="AZ114" s="127">
        <f t="shared" ref="AZ114:BB114" si="694">AZ58-AY58</f>
        <v>231.32046028037075</v>
      </c>
      <c r="BA114" s="127">
        <f t="shared" si="694"/>
        <v>2704.9045378338851</v>
      </c>
      <c r="BB114" s="127">
        <f t="shared" si="694"/>
        <v>-4372.0705095831954</v>
      </c>
    </row>
    <row r="115" spans="2:55" outlineLevel="1" x14ac:dyDescent="0.15">
      <c r="B115" s="98" t="s">
        <v>138</v>
      </c>
      <c r="AB115" s="97"/>
      <c r="AC115" s="127">
        <f>AC60-AB60</f>
        <v>-2082.1106530008901</v>
      </c>
      <c r="AE115" s="127">
        <f>AE60-AD60</f>
        <v>-321.71544049132171</v>
      </c>
      <c r="AF115" s="127">
        <f>AF60-AE60</f>
        <v>-491.83205266900995</v>
      </c>
      <c r="AG115" s="127">
        <f t="shared" ref="AG115:AH115" si="695">AG60-AF60</f>
        <v>-891.83365724956957</v>
      </c>
      <c r="AH115" s="127">
        <f t="shared" si="695"/>
        <v>415.88908830595574</v>
      </c>
      <c r="AJ115" s="127">
        <f>AJ60-AI60</f>
        <v>-971.95167563642258</v>
      </c>
      <c r="AK115" s="127">
        <f>AK60-AJ60</f>
        <v>1483.660559320537</v>
      </c>
      <c r="AL115" s="127">
        <f t="shared" ref="AL115:AM115" si="696">AL60-AK60</f>
        <v>-1390.8416124395596</v>
      </c>
      <c r="AM115" s="127">
        <f t="shared" si="696"/>
        <v>-285.65112944556904</v>
      </c>
      <c r="AO115" s="127">
        <f>AO60-AN60</f>
        <v>637.8706467129382</v>
      </c>
      <c r="AP115" s="127">
        <f>AP60-AO60</f>
        <v>1303.5340355715637</v>
      </c>
      <c r="AQ115" s="127">
        <f t="shared" ref="AQ115:AR115" si="697">AQ60-AP60</f>
        <v>-232.1730173785304</v>
      </c>
      <c r="AR115" s="127">
        <f t="shared" si="697"/>
        <v>-375.26712017197542</v>
      </c>
      <c r="AT115" s="127">
        <f>AT60-AS60</f>
        <v>-444.49187164738532</v>
      </c>
      <c r="AU115" s="127">
        <f t="shared" ref="AU115:AW115" si="698">AU60-AT60</f>
        <v>1578.7326228894444</v>
      </c>
      <c r="AV115" s="127">
        <f t="shared" si="698"/>
        <v>-319.99505308745302</v>
      </c>
      <c r="AW115" s="127">
        <f t="shared" si="698"/>
        <v>-408.35968401471882</v>
      </c>
      <c r="AY115" s="127">
        <f>AY60-AX60</f>
        <v>-564.2831231879004</v>
      </c>
      <c r="AZ115" s="127">
        <f t="shared" ref="AZ115:BB115" si="699">AZ60-AY60</f>
        <v>1907.8538825986657</v>
      </c>
      <c r="BA115" s="127">
        <f t="shared" si="699"/>
        <v>-429.93512191171203</v>
      </c>
      <c r="BB115" s="127">
        <f t="shared" si="699"/>
        <v>-442.66878843554787</v>
      </c>
    </row>
    <row r="116" spans="2:55" outlineLevel="1" x14ac:dyDescent="0.15">
      <c r="AB116" s="97"/>
    </row>
    <row r="117" spans="2:55" s="160" customFormat="1" outlineLevel="1" x14ac:dyDescent="0.15">
      <c r="B117" s="160" t="s">
        <v>139</v>
      </c>
      <c r="F117" s="96"/>
      <c r="G117" s="96"/>
      <c r="H117" s="96"/>
      <c r="I117" s="96"/>
      <c r="J117" s="96"/>
      <c r="K117" s="96"/>
      <c r="L117" s="96"/>
      <c r="M117" s="96"/>
      <c r="N117" s="96"/>
      <c r="O117" s="96"/>
      <c r="P117" s="96"/>
      <c r="Q117" s="96"/>
      <c r="R117" s="96"/>
      <c r="S117" s="96"/>
      <c r="T117" s="96"/>
      <c r="U117" s="96"/>
      <c r="V117" s="96"/>
      <c r="W117" s="96"/>
      <c r="X117" s="96"/>
      <c r="Y117" s="96"/>
      <c r="Z117" s="96"/>
      <c r="AA117" s="96"/>
      <c r="AB117" s="183"/>
      <c r="AC117" s="141">
        <f>AC112+AC113-AC114-AC115</f>
        <v>5263.0329456077206</v>
      </c>
      <c r="AD117" s="96"/>
      <c r="AE117" s="141">
        <f>AE112+AE113-AE114-AE115</f>
        <v>-61.405927647170529</v>
      </c>
      <c r="AF117" s="141">
        <f>AF112+AF113-AF114-AF115</f>
        <v>2852.1158887755028</v>
      </c>
      <c r="AG117" s="141">
        <f t="shared" ref="AG117:AH117" si="700">AG112+AG113-AG114-AG115</f>
        <v>1315.8368003439632</v>
      </c>
      <c r="AH117" s="141">
        <f t="shared" si="700"/>
        <v>4307.0461779558318</v>
      </c>
      <c r="AI117" s="96"/>
      <c r="AJ117" s="141">
        <f>AJ112+AJ113-AJ114-AJ115</f>
        <v>1185.7225365760846</v>
      </c>
      <c r="AK117" s="141">
        <f>AK112+AK113-AK114-AK115</f>
        <v>939.46002598511018</v>
      </c>
      <c r="AL117" s="141">
        <f t="shared" ref="AL117:AM117" si="701">AL112+AL113-AL114-AL115</f>
        <v>2013.7050222073951</v>
      </c>
      <c r="AM117" s="141">
        <f t="shared" si="701"/>
        <v>5566.8485231060622</v>
      </c>
      <c r="AN117" s="96"/>
      <c r="AO117" s="141">
        <f>AO112+AO113-AO114-AO115</f>
        <v>-466.1681550805406</v>
      </c>
      <c r="AP117" s="141">
        <f>AP112+AP113-AP114-AP115</f>
        <v>1338.312694187576</v>
      </c>
      <c r="AQ117" s="141">
        <f t="shared" ref="AQ117:AR117" si="702">AQ112+AQ113-AQ114-AQ115</f>
        <v>977.27360889830061</v>
      </c>
      <c r="AR117" s="141">
        <f t="shared" si="702"/>
        <v>6368.9183613038313</v>
      </c>
      <c r="AS117" s="96"/>
      <c r="AT117" s="141">
        <f>AT112+AT113-AT114-AT115</f>
        <v>728.16407748333086</v>
      </c>
      <c r="AU117" s="141">
        <f>AU112+AU113-AU114-AU115</f>
        <v>1292.4592550859757</v>
      </c>
      <c r="AV117" s="141">
        <f t="shared" ref="AV117:AW117" si="703">AV112+AV113-AV114-AV115</f>
        <v>1294.6480215711022</v>
      </c>
      <c r="AW117" s="141">
        <f t="shared" si="703"/>
        <v>7280.5925889649152</v>
      </c>
      <c r="AX117" s="96"/>
      <c r="AY117" s="141">
        <f>AY112+AY113-AY114-AY115</f>
        <v>1052.3485670236523</v>
      </c>
      <c r="AZ117" s="141">
        <f>AZ112+AZ113-AZ114-AZ115</f>
        <v>1201.516802621431</v>
      </c>
      <c r="BA117" s="141">
        <f t="shared" ref="BA117:BB117" si="704">BA112+BA113-BA114-BA115</f>
        <v>1688.1043723004955</v>
      </c>
      <c r="BB117" s="141">
        <f t="shared" si="704"/>
        <v>8321.5748845149101</v>
      </c>
      <c r="BC117" s="96"/>
    </row>
    <row r="118" spans="2:55" outlineLevel="1" x14ac:dyDescent="0.15">
      <c r="AB118" s="97"/>
    </row>
    <row r="119" spans="2:55" outlineLevel="1" x14ac:dyDescent="0.15">
      <c r="B119" s="98" t="s">
        <v>140</v>
      </c>
      <c r="AB119" s="97"/>
      <c r="AC119" s="127">
        <f>-AC97</f>
        <v>-104.18529884365137</v>
      </c>
      <c r="AE119" s="127">
        <f>-AE97</f>
        <v>-121.54363513753428</v>
      </c>
      <c r="AF119" s="127">
        <f t="shared" ref="AF119:AH119" si="705">-AF97</f>
        <v>-119.97551886682108</v>
      </c>
      <c r="AG119" s="127">
        <f t="shared" si="705"/>
        <v>-150.83800948566369</v>
      </c>
      <c r="AH119" s="127">
        <f t="shared" si="705"/>
        <v>-129.22546858544135</v>
      </c>
      <c r="AJ119" s="127">
        <f>-AJ97</f>
        <v>-130.91373078853152</v>
      </c>
      <c r="AK119" s="127">
        <f t="shared" ref="AK119:AM119" si="706">-AK97</f>
        <v>-135.3125500622744</v>
      </c>
      <c r="AL119" s="127">
        <f t="shared" si="706"/>
        <v>-167.58501794378827</v>
      </c>
      <c r="AM119" s="127">
        <f t="shared" si="706"/>
        <v>-144.7768025912018</v>
      </c>
      <c r="AO119" s="127">
        <f>-AO97</f>
        <v>-148.86101384301941</v>
      </c>
      <c r="AP119" s="127">
        <f t="shared" ref="AP119:AR119" si="707">-AP97</f>
        <v>-158.02268762444251</v>
      </c>
      <c r="AQ119" s="127">
        <f t="shared" si="707"/>
        <v>-192.89478798800806</v>
      </c>
      <c r="AR119" s="127">
        <f t="shared" si="707"/>
        <v>-167.99069728568608</v>
      </c>
      <c r="AT119" s="127">
        <f>-AT97</f>
        <v>-169.26873375999506</v>
      </c>
      <c r="AU119" s="127">
        <f t="shared" ref="AU119:AW119" si="708">-AU97</f>
        <v>-184.54437369305171</v>
      </c>
      <c r="AV119" s="127">
        <f t="shared" si="708"/>
        <v>-222.02700270867356</v>
      </c>
      <c r="AW119" s="127">
        <f t="shared" si="708"/>
        <v>-194.92676913315131</v>
      </c>
      <c r="AY119" s="127">
        <f>-AY97</f>
        <v>-192.47419783749967</v>
      </c>
      <c r="AZ119" s="127">
        <f t="shared" ref="AZ119:BB119" si="709">-AZ97</f>
        <v>-215.51731826444987</v>
      </c>
      <c r="BA119" s="127">
        <f t="shared" si="709"/>
        <v>-255.55895234899756</v>
      </c>
      <c r="BB119" s="127">
        <f t="shared" si="709"/>
        <v>-226.18184184372942</v>
      </c>
    </row>
    <row r="120" spans="2:55" outlineLevel="1" x14ac:dyDescent="0.15">
      <c r="B120" s="98" t="s">
        <v>363</v>
      </c>
      <c r="F120" s="368"/>
      <c r="G120" s="368"/>
      <c r="H120" s="368"/>
      <c r="I120" s="368"/>
      <c r="K120" s="368"/>
      <c r="L120" s="368"/>
      <c r="M120" s="368"/>
      <c r="N120" s="368"/>
      <c r="P120" s="368"/>
      <c r="Q120" s="368"/>
      <c r="R120" s="368"/>
      <c r="S120" s="368"/>
      <c r="U120" s="368"/>
      <c r="V120" s="368"/>
      <c r="W120" s="368"/>
      <c r="X120" s="368"/>
      <c r="Z120" s="368"/>
      <c r="AA120" s="368"/>
      <c r="AB120" s="97"/>
      <c r="AC120" s="127">
        <f>-AC57</f>
        <v>-1504</v>
      </c>
      <c r="AE120" s="127">
        <f>-AE57</f>
        <v>-1674</v>
      </c>
      <c r="AF120" s="127">
        <f t="shared" ref="AF120:AH120" si="710">-AF57</f>
        <v>-441</v>
      </c>
      <c r="AG120" s="127">
        <f t="shared" si="710"/>
        <v>-1543</v>
      </c>
      <c r="AH120" s="127">
        <f t="shared" si="710"/>
        <v>-967</v>
      </c>
      <c r="AJ120" s="127">
        <f>-AJ57</f>
        <v>-788</v>
      </c>
      <c r="AK120" s="127">
        <f t="shared" ref="AK120:AM120" si="711">-AK57</f>
        <v>-1554</v>
      </c>
      <c r="AL120" s="127">
        <f t="shared" si="711"/>
        <v>-1058</v>
      </c>
      <c r="AM120" s="127">
        <f t="shared" si="711"/>
        <v>-802</v>
      </c>
      <c r="AO120" s="127">
        <f>-AO57</f>
        <v>-1762</v>
      </c>
      <c r="AP120" s="127">
        <f t="shared" ref="AP120:AR120" si="712">-AP57</f>
        <v>-1400</v>
      </c>
      <c r="AQ120" s="127">
        <f t="shared" si="712"/>
        <v>-1023</v>
      </c>
      <c r="AR120" s="127">
        <f t="shared" si="712"/>
        <v>-1544</v>
      </c>
      <c r="AT120" s="127">
        <f>-AT57</f>
        <v>-478</v>
      </c>
      <c r="AU120" s="127">
        <f t="shared" ref="AU120:AW120" si="713">-AU57</f>
        <v>-1153</v>
      </c>
      <c r="AV120" s="127">
        <f t="shared" si="713"/>
        <v>-1025</v>
      </c>
      <c r="AW120" s="127">
        <f t="shared" si="713"/>
        <v>-1806</v>
      </c>
      <c r="AY120" s="127">
        <f>-AY57</f>
        <v>-957</v>
      </c>
      <c r="AZ120" s="127">
        <f t="shared" ref="AZ120:BB120" si="714">-AZ57</f>
        <v>-1000</v>
      </c>
      <c r="BA120" s="127">
        <f t="shared" si="714"/>
        <v>-1406</v>
      </c>
      <c r="BB120" s="127">
        <f t="shared" si="714"/>
        <v>-1983</v>
      </c>
    </row>
    <row r="121" spans="2:55" outlineLevel="1" x14ac:dyDescent="0.15">
      <c r="B121" s="98" t="s">
        <v>364</v>
      </c>
      <c r="F121" s="368"/>
      <c r="G121" s="368"/>
      <c r="H121" s="368"/>
      <c r="I121" s="368"/>
      <c r="K121" s="368"/>
      <c r="L121" s="368"/>
      <c r="M121" s="368"/>
      <c r="N121" s="368"/>
      <c r="P121" s="368"/>
      <c r="Q121" s="368"/>
      <c r="R121" s="368"/>
      <c r="S121" s="368"/>
      <c r="U121" s="368"/>
      <c r="V121" s="368"/>
      <c r="W121" s="368"/>
      <c r="X121" s="368"/>
      <c r="Z121" s="368"/>
      <c r="AA121" s="368"/>
      <c r="AB121" s="97"/>
      <c r="AC121" s="127">
        <f>-AC64</f>
        <v>-313</v>
      </c>
      <c r="AE121" s="127">
        <f>-AE64</f>
        <v>-232</v>
      </c>
      <c r="AF121" s="127">
        <f t="shared" ref="AF121:AH121" si="715">-AF64</f>
        <v>-235</v>
      </c>
      <c r="AG121" s="127">
        <f t="shared" si="715"/>
        <v>-422</v>
      </c>
      <c r="AH121" s="127">
        <f t="shared" si="715"/>
        <v>-705</v>
      </c>
      <c r="AJ121" s="127">
        <f>-AJ64</f>
        <v>-376</v>
      </c>
      <c r="AK121" s="127">
        <f t="shared" ref="AK121:AM121" si="716">-AK64</f>
        <v>-258</v>
      </c>
      <c r="AL121" s="127">
        <f t="shared" si="716"/>
        <v>-192</v>
      </c>
      <c r="AM121" s="127">
        <f t="shared" si="716"/>
        <v>-558</v>
      </c>
      <c r="AO121" s="127">
        <f>-AO64</f>
        <v>-381</v>
      </c>
      <c r="AP121" s="127">
        <f t="shared" ref="AP121:AR121" si="717">-AP64</f>
        <v>-184</v>
      </c>
      <c r="AQ121" s="127">
        <f t="shared" si="717"/>
        <v>-125</v>
      </c>
      <c r="AR121" s="127">
        <f t="shared" si="717"/>
        <v>-650</v>
      </c>
      <c r="AT121" s="127">
        <f>-AT64</f>
        <v>-459</v>
      </c>
      <c r="AU121" s="127">
        <f t="shared" ref="AU121:AW121" si="718">-AU64</f>
        <v>-509</v>
      </c>
      <c r="AV121" s="127">
        <f t="shared" si="718"/>
        <v>-443</v>
      </c>
      <c r="AW121" s="127">
        <f t="shared" si="718"/>
        <v>-690</v>
      </c>
      <c r="AY121" s="127">
        <f>-AY64</f>
        <v>-475</v>
      </c>
      <c r="AZ121" s="127">
        <f t="shared" ref="AZ121:BB121" si="719">-AZ64</f>
        <v>-374</v>
      </c>
      <c r="BA121" s="127">
        <f t="shared" si="719"/>
        <v>-571</v>
      </c>
      <c r="BB121" s="127">
        <f t="shared" si="719"/>
        <v>-445</v>
      </c>
    </row>
    <row r="122" spans="2:55" outlineLevel="1" x14ac:dyDescent="0.15">
      <c r="B122" s="98" t="s">
        <v>234</v>
      </c>
      <c r="F122" s="265"/>
      <c r="G122" s="265"/>
      <c r="H122" s="265"/>
      <c r="I122" s="265"/>
      <c r="K122" s="265"/>
      <c r="L122" s="265"/>
      <c r="M122" s="265"/>
      <c r="N122" s="265"/>
      <c r="P122" s="265"/>
      <c r="Q122" s="265"/>
      <c r="R122" s="265"/>
      <c r="S122" s="265"/>
      <c r="U122" s="265"/>
      <c r="V122" s="265"/>
      <c r="W122" s="265"/>
      <c r="X122" s="265"/>
      <c r="Z122" s="265"/>
      <c r="AA122" s="265"/>
      <c r="AB122" s="97"/>
      <c r="AC122" s="268">
        <f>-SUM('Share Buyback Program'!E23:E27)/1000000</f>
        <v>-1083.7434714586241</v>
      </c>
      <c r="AE122" s="127">
        <f>-(10500000000*(1-'Share Buyback Program'!$C$8)/8)/1000000</f>
        <v>-882.50024100872122</v>
      </c>
      <c r="AF122" s="127">
        <f>-(10500000000*(1-'Share Buyback Program'!$C$8)/8)/1000000</f>
        <v>-882.50024100872122</v>
      </c>
      <c r="AG122" s="127">
        <f>-(10500000000*(1-'Share Buyback Program'!$C$8)/8)/1000000</f>
        <v>-882.50024100872122</v>
      </c>
      <c r="AH122" s="127">
        <f>-(10500000000*(1-'Share Buyback Program'!$C$8)/8)/1000000</f>
        <v>-882.50024100872122</v>
      </c>
      <c r="AJ122" s="127">
        <f>-(10500000000*(1-'Share Buyback Program'!$C$8)/8)/1000000</f>
        <v>-882.50024100872122</v>
      </c>
      <c r="AK122" s="127">
        <f>-(10500000000*(1-'Share Buyback Program'!$C$8)/8)/1000000</f>
        <v>-882.50024100872122</v>
      </c>
      <c r="AL122" s="127">
        <f>-(10500000000*(1-'Share Buyback Program'!$C$8)/8)/1000000</f>
        <v>-882.50024100872122</v>
      </c>
      <c r="AM122" s="127">
        <f>-(10500000000*(1-'Share Buyback Program'!$C$8)/8)/1000000</f>
        <v>-882.50024100872122</v>
      </c>
      <c r="AO122" s="127">
        <v>0</v>
      </c>
      <c r="AP122" s="127">
        <v>0</v>
      </c>
      <c r="AQ122" s="127">
        <v>0</v>
      </c>
      <c r="AR122" s="127">
        <v>0</v>
      </c>
      <c r="AT122" s="127">
        <v>0</v>
      </c>
      <c r="AU122" s="127">
        <v>0</v>
      </c>
      <c r="AV122" s="127">
        <v>0</v>
      </c>
      <c r="AW122" s="127">
        <v>0</v>
      </c>
      <c r="AY122" s="127">
        <v>0</v>
      </c>
      <c r="AZ122" s="127">
        <v>0</v>
      </c>
      <c r="BA122" s="127">
        <v>0</v>
      </c>
      <c r="BB122" s="127">
        <v>0</v>
      </c>
    </row>
    <row r="123" spans="2:55" outlineLevel="1" x14ac:dyDescent="0.15">
      <c r="AB123" s="97"/>
    </row>
    <row r="124" spans="2:55" s="160" customFormat="1" outlineLevel="1" x14ac:dyDescent="0.15">
      <c r="B124" s="160" t="s">
        <v>141</v>
      </c>
      <c r="F124" s="96"/>
      <c r="G124" s="96"/>
      <c r="H124" s="96"/>
      <c r="I124" s="96"/>
      <c r="J124" s="96"/>
      <c r="K124" s="96"/>
      <c r="L124" s="96"/>
      <c r="M124" s="96"/>
      <c r="N124" s="96"/>
      <c r="O124" s="96"/>
      <c r="P124" s="96"/>
      <c r="Q124" s="96"/>
      <c r="R124" s="96"/>
      <c r="S124" s="96"/>
      <c r="T124" s="96"/>
      <c r="U124" s="96"/>
      <c r="V124" s="96"/>
      <c r="W124" s="96"/>
      <c r="X124" s="96"/>
      <c r="Y124" s="96"/>
      <c r="Z124" s="96"/>
      <c r="AA124" s="96"/>
      <c r="AB124" s="183"/>
      <c r="AC124" s="170">
        <f>SUM(AC119:AC122)</f>
        <v>-3004.9287703022756</v>
      </c>
      <c r="AD124" s="96"/>
      <c r="AE124" s="170">
        <f>SUM(AE119:AE122)</f>
        <v>-2910.0438761462556</v>
      </c>
      <c r="AF124" s="170">
        <f t="shared" ref="AF124:AH124" si="720">SUM(AF119:AF122)</f>
        <v>-1678.4757598755423</v>
      </c>
      <c r="AG124" s="170">
        <f t="shared" si="720"/>
        <v>-2998.3382504943852</v>
      </c>
      <c r="AH124" s="170">
        <f t="shared" si="720"/>
        <v>-2683.7257095941627</v>
      </c>
      <c r="AI124" s="96"/>
      <c r="AJ124" s="170">
        <f>SUM(AJ119:AJ122)</f>
        <v>-2177.413971797253</v>
      </c>
      <c r="AK124" s="170">
        <f t="shared" ref="AK124:AM124" si="721">SUM(AK119:AK122)</f>
        <v>-2829.8127910709954</v>
      </c>
      <c r="AL124" s="170">
        <f t="shared" si="721"/>
        <v>-2300.0852589525093</v>
      </c>
      <c r="AM124" s="170">
        <f t="shared" si="721"/>
        <v>-2387.2770435999232</v>
      </c>
      <c r="AN124" s="96"/>
      <c r="AO124" s="170">
        <f>SUM(AO119:AO122)</f>
        <v>-2291.8610138430195</v>
      </c>
      <c r="AP124" s="170">
        <f t="shared" ref="AP124:AR124" si="722">SUM(AP119:AP122)</f>
        <v>-1742.0226876244426</v>
      </c>
      <c r="AQ124" s="170">
        <f t="shared" si="722"/>
        <v>-1340.8947879880081</v>
      </c>
      <c r="AR124" s="170">
        <f t="shared" si="722"/>
        <v>-2361.9906972856861</v>
      </c>
      <c r="AS124" s="96"/>
      <c r="AT124" s="170">
        <f>SUM(AT119:AT122)</f>
        <v>-1106.268733759995</v>
      </c>
      <c r="AU124" s="170">
        <f t="shared" ref="AU124:AW124" si="723">SUM(AU119:AU122)</f>
        <v>-1846.5443736930517</v>
      </c>
      <c r="AV124" s="170">
        <f t="shared" si="723"/>
        <v>-1690.0270027086735</v>
      </c>
      <c r="AW124" s="170">
        <f t="shared" si="723"/>
        <v>-2690.9267691331515</v>
      </c>
      <c r="AX124" s="96"/>
      <c r="AY124" s="170">
        <f>SUM(AY119:AY122)</f>
        <v>-1624.4741978374996</v>
      </c>
      <c r="AZ124" s="170">
        <f t="shared" ref="AZ124:BB124" si="724">SUM(AZ119:AZ122)</f>
        <v>-1589.5173182644498</v>
      </c>
      <c r="BA124" s="170">
        <f t="shared" si="724"/>
        <v>-2232.5589523489975</v>
      </c>
      <c r="BB124" s="170">
        <f t="shared" si="724"/>
        <v>-2654.1818418437292</v>
      </c>
      <c r="BC124" s="96"/>
    </row>
    <row r="125" spans="2:55" outlineLevel="1" x14ac:dyDescent="0.15">
      <c r="AB125" s="97"/>
    </row>
    <row r="126" spans="2:55" outlineLevel="1" x14ac:dyDescent="0.15">
      <c r="B126" s="98" t="s">
        <v>142</v>
      </c>
      <c r="AB126" s="97"/>
      <c r="AC126" s="127">
        <f>-AC106</f>
        <v>-37.44732686221861</v>
      </c>
      <c r="AE126" s="127">
        <f>-AE106</f>
        <v>-48.617454055013717</v>
      </c>
      <c r="AF126" s="127">
        <f t="shared" ref="AF126:AH126" si="725">-AF106</f>
        <v>-47.990207546728428</v>
      </c>
      <c r="AG126" s="127">
        <f t="shared" si="725"/>
        <v>-61.843583889122108</v>
      </c>
      <c r="AH126" s="127">
        <f t="shared" si="725"/>
        <v>-52.982442120030953</v>
      </c>
      <c r="AJ126" s="127">
        <f>-AJ106</f>
        <v>-53.674629623297932</v>
      </c>
      <c r="AK126" s="127">
        <f t="shared" ref="AK126:AM126" si="726">-AK106</f>
        <v>-55.478145525532511</v>
      </c>
      <c r="AL126" s="127">
        <f t="shared" si="726"/>
        <v>-70.385707536391081</v>
      </c>
      <c r="AM126" s="127">
        <f t="shared" si="726"/>
        <v>-60.806257088304754</v>
      </c>
      <c r="AO126" s="127">
        <f>-AO106</f>
        <v>-61.033015675637955</v>
      </c>
      <c r="AP126" s="127">
        <f t="shared" ref="AP126:AR126" si="727">-AP106</f>
        <v>-64.789301926021437</v>
      </c>
      <c r="AQ126" s="127">
        <f t="shared" si="727"/>
        <v>-79.086863075083315</v>
      </c>
      <c r="AR126" s="127">
        <f t="shared" si="727"/>
        <v>-68.8761858871313</v>
      </c>
      <c r="AT126" s="127">
        <f>-AT106</f>
        <v>-69.400180841597987</v>
      </c>
      <c r="AU126" s="127">
        <f t="shared" ref="AU126:AW126" si="728">-AU106</f>
        <v>-75.663193214151221</v>
      </c>
      <c r="AV126" s="127">
        <f t="shared" si="728"/>
        <v>-91.031071110556184</v>
      </c>
      <c r="AW126" s="127">
        <f t="shared" si="728"/>
        <v>-79.919975344592046</v>
      </c>
      <c r="AY126" s="127">
        <f>-AY106</f>
        <v>-78.914421113374871</v>
      </c>
      <c r="AZ126" s="127">
        <f t="shared" ref="AZ126:BB126" si="729">-AZ106</f>
        <v>-88.362100488424446</v>
      </c>
      <c r="BA126" s="127">
        <f t="shared" si="729"/>
        <v>-104.779170463089</v>
      </c>
      <c r="BB126" s="127">
        <f t="shared" si="729"/>
        <v>-92.734555155929044</v>
      </c>
    </row>
    <row r="127" spans="2:55" outlineLevel="1" x14ac:dyDescent="0.15">
      <c r="B127" s="98" t="s">
        <v>143</v>
      </c>
      <c r="AB127" s="97"/>
      <c r="AC127" s="140">
        <f>-AC104</f>
        <v>-14.172146919413343</v>
      </c>
      <c r="AE127" s="140">
        <f>-AE104</f>
        <v>-14.026294557248303</v>
      </c>
      <c r="AF127" s="140">
        <f t="shared" ref="AF127:AH127" si="730">-AF104</f>
        <v>-13.882323934608118</v>
      </c>
      <c r="AG127" s="140">
        <f t="shared" si="730"/>
        <v>-13.696793182940754</v>
      </c>
      <c r="AH127" s="140">
        <f t="shared" si="730"/>
        <v>-13.53784585658066</v>
      </c>
      <c r="AJ127" s="140">
        <f>-AJ104</f>
        <v>-13.376821967710766</v>
      </c>
      <c r="AK127" s="140">
        <f t="shared" ref="AK127:AM127" si="731">-AK104</f>
        <v>-13.210387531134169</v>
      </c>
      <c r="AL127" s="140">
        <f t="shared" si="731"/>
        <v>-12.999230408524996</v>
      </c>
      <c r="AM127" s="140">
        <f t="shared" si="731"/>
        <v>-12.816811637260081</v>
      </c>
      <c r="AO127" s="140">
        <f>-AO104</f>
        <v>-12.633712590233166</v>
      </c>
      <c r="AP127" s="140">
        <f t="shared" ref="AP127:AR127" si="732">-AP104</f>
        <v>-12.439344684455101</v>
      </c>
      <c r="AQ127" s="140">
        <f t="shared" si="732"/>
        <v>-12.202084095229852</v>
      </c>
      <c r="AR127" s="140">
        <f t="shared" si="732"/>
        <v>-11.995455537568457</v>
      </c>
      <c r="AT127" s="140">
        <f>-AT104</f>
        <v>-11.787254995043664</v>
      </c>
      <c r="AU127" s="140">
        <f t="shared" ref="AU127:AW127" si="733">-AU104</f>
        <v>-11.56026541540121</v>
      </c>
      <c r="AV127" s="140">
        <f t="shared" si="733"/>
        <v>-11.287172202069542</v>
      </c>
      <c r="AW127" s="140">
        <f t="shared" si="733"/>
        <v>-11.047412276035766</v>
      </c>
      <c r="AY127" s="140">
        <f>-AY104</f>
        <v>-10.810669012695641</v>
      </c>
      <c r="AZ127" s="140">
        <f t="shared" ref="AZ127:BB127" si="734">-AZ104</f>
        <v>-10.545582711230368</v>
      </c>
      <c r="BA127" s="140">
        <f t="shared" si="734"/>
        <v>-10.231245199841101</v>
      </c>
      <c r="BB127" s="140">
        <f t="shared" si="734"/>
        <v>-9.9530415343733125</v>
      </c>
    </row>
    <row r="128" spans="2:55" outlineLevel="1" x14ac:dyDescent="0.15">
      <c r="AB128" s="97"/>
    </row>
    <row r="129" spans="2:55" outlineLevel="1" x14ac:dyDescent="0.15">
      <c r="F129" s="368"/>
      <c r="G129" s="368"/>
      <c r="H129" s="368"/>
      <c r="I129" s="368"/>
      <c r="K129" s="368"/>
      <c r="L129" s="368"/>
      <c r="M129" s="368"/>
      <c r="N129" s="368"/>
      <c r="P129" s="368"/>
      <c r="Q129" s="368"/>
      <c r="R129" s="368"/>
      <c r="S129" s="368"/>
      <c r="U129" s="368"/>
      <c r="V129" s="368"/>
      <c r="W129" s="368"/>
      <c r="X129" s="368"/>
      <c r="Z129" s="368"/>
      <c r="AA129" s="368"/>
      <c r="AB129" s="97"/>
      <c r="AC129" s="368"/>
      <c r="AE129" s="368"/>
      <c r="AF129" s="368"/>
      <c r="AG129" s="368"/>
      <c r="AH129" s="368"/>
      <c r="AJ129" s="368"/>
      <c r="AK129" s="368"/>
      <c r="AL129" s="368"/>
      <c r="AM129" s="368"/>
      <c r="AO129" s="368"/>
      <c r="AP129" s="368"/>
      <c r="AQ129" s="368"/>
      <c r="AR129" s="368"/>
      <c r="AT129" s="368"/>
      <c r="AU129" s="368"/>
      <c r="AV129" s="368"/>
      <c r="AW129" s="368"/>
      <c r="AY129" s="368"/>
      <c r="AZ129" s="368"/>
      <c r="BA129" s="368"/>
      <c r="BB129" s="368"/>
    </row>
    <row r="130" spans="2:55" s="160" customFormat="1" outlineLevel="1" x14ac:dyDescent="0.15">
      <c r="B130" s="160" t="s">
        <v>144</v>
      </c>
      <c r="F130" s="96"/>
      <c r="G130" s="96"/>
      <c r="H130" s="96"/>
      <c r="I130" s="96"/>
      <c r="J130" s="96"/>
      <c r="K130" s="96"/>
      <c r="L130" s="96"/>
      <c r="M130" s="96"/>
      <c r="N130" s="96"/>
      <c r="O130" s="96"/>
      <c r="P130" s="96"/>
      <c r="Q130" s="96"/>
      <c r="R130" s="96"/>
      <c r="S130" s="96"/>
      <c r="T130" s="96"/>
      <c r="U130" s="96"/>
      <c r="V130" s="96"/>
      <c r="W130" s="96"/>
      <c r="X130" s="96"/>
      <c r="Y130" s="96"/>
      <c r="Z130" s="96"/>
      <c r="AA130" s="96"/>
      <c r="AB130" s="183"/>
      <c r="AC130" s="170">
        <f>SUM(AC126:AC127)</f>
        <v>-51.619473781631953</v>
      </c>
      <c r="AD130" s="96"/>
      <c r="AE130" s="170">
        <f>SUM(AE126:AE127)</f>
        <v>-62.643748612262016</v>
      </c>
      <c r="AF130" s="170">
        <f t="shared" ref="AF130:AH130" si="735">SUM(AF126:AF127)</f>
        <v>-61.872531481336544</v>
      </c>
      <c r="AG130" s="170">
        <f t="shared" si="735"/>
        <v>-75.540377072062867</v>
      </c>
      <c r="AH130" s="170">
        <f t="shared" si="735"/>
        <v>-66.520287976611613</v>
      </c>
      <c r="AI130" s="96"/>
      <c r="AJ130" s="170">
        <f>SUM(AJ126:AJ127)</f>
        <v>-67.0514515910087</v>
      </c>
      <c r="AK130" s="170">
        <f t="shared" ref="AK130:AM130" si="736">SUM(AK126:AK127)</f>
        <v>-68.688533056666685</v>
      </c>
      <c r="AL130" s="170">
        <f t="shared" si="736"/>
        <v>-83.384937944916075</v>
      </c>
      <c r="AM130" s="170">
        <f t="shared" si="736"/>
        <v>-73.623068725564835</v>
      </c>
      <c r="AN130" s="96"/>
      <c r="AO130" s="170">
        <f>SUM(AO126:AO127)</f>
        <v>-73.666728265871114</v>
      </c>
      <c r="AP130" s="170">
        <f t="shared" ref="AP130:AR130" si="737">SUM(AP126:AP127)</f>
        <v>-77.228646610476545</v>
      </c>
      <c r="AQ130" s="170">
        <f t="shared" si="737"/>
        <v>-91.288947170313165</v>
      </c>
      <c r="AR130" s="170">
        <f t="shared" si="737"/>
        <v>-80.87164142469976</v>
      </c>
      <c r="AS130" s="96"/>
      <c r="AT130" s="170">
        <f>SUM(AT126:AT127)</f>
        <v>-81.187435836641654</v>
      </c>
      <c r="AU130" s="170">
        <f t="shared" ref="AU130:AW130" si="738">SUM(AU126:AU127)</f>
        <v>-87.223458629552425</v>
      </c>
      <c r="AV130" s="170">
        <f t="shared" si="738"/>
        <v>-102.31824331262573</v>
      </c>
      <c r="AW130" s="170">
        <f t="shared" si="738"/>
        <v>-90.967387620627818</v>
      </c>
      <c r="AX130" s="96"/>
      <c r="AY130" s="170">
        <f>SUM(AY126:AY127)</f>
        <v>-89.725090126070512</v>
      </c>
      <c r="AZ130" s="170">
        <f t="shared" ref="AZ130:BB130" si="739">SUM(AZ126:AZ127)</f>
        <v>-98.907683199654812</v>
      </c>
      <c r="BA130" s="170">
        <f t="shared" si="739"/>
        <v>-115.0104156629301</v>
      </c>
      <c r="BB130" s="170">
        <f t="shared" si="739"/>
        <v>-102.68759669030236</v>
      </c>
      <c r="BC130" s="96"/>
    </row>
    <row r="131" spans="2:55" outlineLevel="1" x14ac:dyDescent="0.15">
      <c r="AB131" s="97"/>
    </row>
    <row r="132" spans="2:55" s="160" customFormat="1" outlineLevel="1" x14ac:dyDescent="0.15">
      <c r="B132" s="160" t="s">
        <v>145</v>
      </c>
      <c r="F132" s="96"/>
      <c r="G132" s="96"/>
      <c r="H132" s="96"/>
      <c r="I132" s="96"/>
      <c r="J132" s="96"/>
      <c r="K132" s="96"/>
      <c r="L132" s="96"/>
      <c r="M132" s="96"/>
      <c r="N132" s="96"/>
      <c r="O132" s="96"/>
      <c r="P132" s="96"/>
      <c r="Q132" s="96"/>
      <c r="R132" s="96"/>
      <c r="S132" s="96"/>
      <c r="T132" s="96"/>
      <c r="U132" s="96"/>
      <c r="V132" s="96"/>
      <c r="W132" s="96"/>
      <c r="X132" s="96"/>
      <c r="Y132" s="96"/>
      <c r="Z132" s="96"/>
      <c r="AA132" s="96"/>
      <c r="AB132" s="183"/>
      <c r="AC132" s="141">
        <f>AC117+AC124+AC130</f>
        <v>2206.4847015238133</v>
      </c>
      <c r="AD132" s="96"/>
      <c r="AE132" s="141">
        <f>AE117+AE124+AE130</f>
        <v>-3034.0935524056886</v>
      </c>
      <c r="AF132" s="141">
        <f t="shared" ref="AF132:AH132" si="740">AF117+AF124+AF130</f>
        <v>1111.7675974186238</v>
      </c>
      <c r="AG132" s="141">
        <f t="shared" si="740"/>
        <v>-1758.0418272224849</v>
      </c>
      <c r="AH132" s="141">
        <f t="shared" si="740"/>
        <v>1556.8001803850575</v>
      </c>
      <c r="AI132" s="96"/>
      <c r="AJ132" s="141">
        <f>AJ117+AJ124+AJ130</f>
        <v>-1058.7428868121772</v>
      </c>
      <c r="AK132" s="141">
        <f t="shared" ref="AK132:AM132" si="741">AK117+AK124+AK130</f>
        <v>-1959.041298142552</v>
      </c>
      <c r="AL132" s="141">
        <f t="shared" si="741"/>
        <v>-369.76517469003028</v>
      </c>
      <c r="AM132" s="141">
        <f t="shared" si="741"/>
        <v>3105.9484107805742</v>
      </c>
      <c r="AN132" s="96"/>
      <c r="AO132" s="141">
        <f>AO117+AO124+AO130</f>
        <v>-2831.695897189431</v>
      </c>
      <c r="AP132" s="141">
        <f t="shared" ref="AP132:AR132" si="742">AP117+AP124+AP130</f>
        <v>-480.93864004734314</v>
      </c>
      <c r="AQ132" s="141">
        <f t="shared" si="742"/>
        <v>-454.91012626002072</v>
      </c>
      <c r="AR132" s="141">
        <f t="shared" si="742"/>
        <v>3926.0560225934455</v>
      </c>
      <c r="AS132" s="96"/>
      <c r="AT132" s="141">
        <f>AT117+AT124+AT130</f>
        <v>-459.29209211330584</v>
      </c>
      <c r="AU132" s="141">
        <f t="shared" ref="AU132:AW132" si="743">AU117+AU124+AU130</f>
        <v>-641.30857723662848</v>
      </c>
      <c r="AV132" s="141">
        <f t="shared" si="743"/>
        <v>-497.6972244501971</v>
      </c>
      <c r="AW132" s="141">
        <f t="shared" si="743"/>
        <v>4498.6984322111357</v>
      </c>
      <c r="AX132" s="96"/>
      <c r="AY132" s="141">
        <f>AY117+AY124+AY130</f>
        <v>-661.85072093991778</v>
      </c>
      <c r="AZ132" s="141">
        <f t="shared" ref="AZ132:BB132" si="744">AZ117+AZ124+AZ130</f>
        <v>-486.90819884267364</v>
      </c>
      <c r="BA132" s="141">
        <f t="shared" si="744"/>
        <v>-659.46499571143215</v>
      </c>
      <c r="BB132" s="141">
        <f t="shared" si="744"/>
        <v>5564.7054459808787</v>
      </c>
      <c r="BC132" s="96"/>
    </row>
  </sheetData>
  <mergeCells count="33">
    <mergeCell ref="AC1:BC2"/>
    <mergeCell ref="F1:AB2"/>
    <mergeCell ref="B105:D105"/>
    <mergeCell ref="B106:D106"/>
    <mergeCell ref="B53:D53"/>
    <mergeCell ref="B91:D91"/>
    <mergeCell ref="B92:D92"/>
    <mergeCell ref="B93:D93"/>
    <mergeCell ref="B94:D94"/>
    <mergeCell ref="B96:D96"/>
    <mergeCell ref="B98:D98"/>
    <mergeCell ref="AY3:BB3"/>
    <mergeCell ref="F3:I3"/>
    <mergeCell ref="K3:N3"/>
    <mergeCell ref="P3:S3"/>
    <mergeCell ref="U3:X3"/>
    <mergeCell ref="B110:D110"/>
    <mergeCell ref="B99:D99"/>
    <mergeCell ref="B100:D100"/>
    <mergeCell ref="B101:D101"/>
    <mergeCell ref="B103:D103"/>
    <mergeCell ref="B104:D104"/>
    <mergeCell ref="Z3:AC3"/>
    <mergeCell ref="AE3:AH3"/>
    <mergeCell ref="AJ3:AM3"/>
    <mergeCell ref="AO3:AR3"/>
    <mergeCell ref="AT3:AW3"/>
    <mergeCell ref="B2:D2"/>
    <mergeCell ref="B3:D3"/>
    <mergeCell ref="B4:D4"/>
    <mergeCell ref="C8:D8"/>
    <mergeCell ref="B1:D1"/>
    <mergeCell ref="B6:D6"/>
  </mergeCells>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3F7E2-203A-4DD1-8C1A-B9D969319ACC}">
  <sheetPr>
    <tabColor theme="5"/>
  </sheetPr>
  <dimension ref="B2:M40"/>
  <sheetViews>
    <sheetView showGridLines="0" zoomScale="110" zoomScaleNormal="110" workbookViewId="0"/>
  </sheetViews>
  <sheetFormatPr baseColWidth="10" defaultColWidth="9.1640625" defaultRowHeight="12" x14ac:dyDescent="0.15"/>
  <cols>
    <col min="1" max="1" width="9.1640625" style="166"/>
    <col min="2" max="2" width="35.1640625" style="166" bestFit="1" customWidth="1"/>
    <col min="3" max="3" width="13.1640625" style="166" bestFit="1" customWidth="1"/>
    <col min="4" max="4" width="11" style="166" bestFit="1" customWidth="1"/>
    <col min="5" max="5" width="10.6640625" style="166" bestFit="1" customWidth="1"/>
    <col min="6" max="6" width="11.33203125" style="166" bestFit="1" customWidth="1"/>
    <col min="7" max="8" width="11.5" style="166" bestFit="1" customWidth="1"/>
    <col min="9" max="9" width="11" style="166" bestFit="1" customWidth="1"/>
    <col min="10" max="10" width="15.5" style="166" bestFit="1" customWidth="1"/>
    <col min="11" max="11" width="15.83203125" style="166" customWidth="1"/>
    <col min="12" max="16384" width="9.1640625" style="166"/>
  </cols>
  <sheetData>
    <row r="2" spans="2:11" ht="17" thickBot="1" x14ac:dyDescent="0.25">
      <c r="B2" s="519" t="s">
        <v>202</v>
      </c>
      <c r="C2" s="519"/>
      <c r="D2" s="519"/>
      <c r="E2" s="519"/>
      <c r="F2" s="519"/>
      <c r="G2" s="519"/>
      <c r="H2" s="519"/>
      <c r="I2" s="184"/>
      <c r="J2" s="519" t="s">
        <v>201</v>
      </c>
      <c r="K2" s="519"/>
    </row>
    <row r="3" spans="2:11" x14ac:dyDescent="0.15">
      <c r="B3" s="160" t="s">
        <v>170</v>
      </c>
      <c r="C3" s="185">
        <v>44561</v>
      </c>
      <c r="D3" s="185">
        <v>44926</v>
      </c>
      <c r="E3" s="185">
        <v>45291</v>
      </c>
      <c r="F3" s="185">
        <v>45657</v>
      </c>
      <c r="G3" s="185">
        <v>46022</v>
      </c>
      <c r="H3" s="185">
        <v>46387</v>
      </c>
      <c r="I3" s="98"/>
      <c r="J3" s="160" t="s">
        <v>189</v>
      </c>
      <c r="K3" s="186">
        <f>(K4*K5)+(K8*K9)*(1-K6)</f>
        <v>5.2221774782089392E-2</v>
      </c>
    </row>
    <row r="4" spans="2:11" x14ac:dyDescent="0.15">
      <c r="B4" s="98"/>
      <c r="C4" s="98"/>
      <c r="D4" s="98"/>
      <c r="E4" s="98"/>
      <c r="F4" s="98"/>
      <c r="G4" s="98"/>
      <c r="H4" s="98"/>
      <c r="I4" s="98"/>
      <c r="J4" s="98" t="s">
        <v>190</v>
      </c>
      <c r="K4" s="187">
        <f>'Operating Model'!AD104/'Operating Model'!AD103</f>
        <v>1.1202095325498632E-2</v>
      </c>
    </row>
    <row r="5" spans="2:11" x14ac:dyDescent="0.15">
      <c r="B5" s="98" t="s">
        <v>171</v>
      </c>
      <c r="C5" s="188">
        <f>'Operating Model'!AD27</f>
        <v>6974.4066515959184</v>
      </c>
      <c r="D5" s="188">
        <f>'Operating Model'!AI27</f>
        <v>10232.655669695709</v>
      </c>
      <c r="E5" s="188">
        <f>'Operating Model'!AN27</f>
        <v>11641.154722775547</v>
      </c>
      <c r="F5" s="188">
        <f>'Operating Model'!AS27</f>
        <v>13255.218356811945</v>
      </c>
      <c r="G5" s="188">
        <f>'Operating Model'!AX27</f>
        <v>15299.72255400321</v>
      </c>
      <c r="H5" s="188">
        <f>'Operating Model'!BC27</f>
        <v>17661.186359349333</v>
      </c>
      <c r="I5" s="82"/>
      <c r="J5" s="98" t="s">
        <v>191</v>
      </c>
      <c r="K5" s="187">
        <f>'Operating Model'!AD76/DCF!K17</f>
        <v>1.3434658422308964E-2</v>
      </c>
    </row>
    <row r="6" spans="2:11" x14ac:dyDescent="0.15">
      <c r="B6" s="98" t="s">
        <v>172</v>
      </c>
      <c r="C6" s="105">
        <f>'Operating Model'!AD41</f>
        <v>0.18639280295650312</v>
      </c>
      <c r="D6" s="105">
        <f>'Operating Model'!AI41</f>
        <v>0.25000000000000006</v>
      </c>
      <c r="E6" s="105">
        <f>'Operating Model'!AJ41</f>
        <v>0.25</v>
      </c>
      <c r="F6" s="105">
        <f>'Operating Model'!AK41</f>
        <v>0.25</v>
      </c>
      <c r="G6" s="105">
        <f>'Operating Model'!AL41</f>
        <v>0.25</v>
      </c>
      <c r="H6" s="105">
        <f>'Operating Model'!AM41</f>
        <v>0.25</v>
      </c>
      <c r="I6" s="82"/>
      <c r="J6" s="98" t="s">
        <v>192</v>
      </c>
      <c r="K6" s="189">
        <v>0.25</v>
      </c>
    </row>
    <row r="7" spans="2:11" x14ac:dyDescent="0.15">
      <c r="B7" s="98"/>
      <c r="C7" s="82"/>
      <c r="D7" s="82"/>
      <c r="E7" s="82"/>
      <c r="F7" s="82"/>
      <c r="G7" s="82"/>
      <c r="H7" s="82"/>
      <c r="I7" s="82"/>
      <c r="J7" s="98"/>
      <c r="K7" s="98"/>
    </row>
    <row r="8" spans="2:11" x14ac:dyDescent="0.15">
      <c r="B8" s="98" t="s">
        <v>173</v>
      </c>
      <c r="C8" s="188">
        <f>C5*(1-C6)</f>
        <v>5674.4274468464755</v>
      </c>
      <c r="D8" s="188">
        <f t="shared" ref="D8:H8" si="0">D5*(1-D6)</f>
        <v>7674.4917522717815</v>
      </c>
      <c r="E8" s="188">
        <f t="shared" si="0"/>
        <v>8730.8660420816595</v>
      </c>
      <c r="F8" s="188">
        <f t="shared" si="0"/>
        <v>9941.4137676089595</v>
      </c>
      <c r="G8" s="188">
        <f t="shared" si="0"/>
        <v>11474.791915502408</v>
      </c>
      <c r="H8" s="188">
        <f t="shared" si="0"/>
        <v>13245.889769511999</v>
      </c>
      <c r="I8" s="82"/>
      <c r="J8" s="160" t="s">
        <v>193</v>
      </c>
      <c r="K8" s="186">
        <f>K12+(K13*K11)</f>
        <v>7.0373819503944959E-2</v>
      </c>
    </row>
    <row r="9" spans="2:11" x14ac:dyDescent="0.15">
      <c r="B9" s="98" t="s">
        <v>136</v>
      </c>
      <c r="C9" s="188">
        <f>'Operating Model'!AD24</f>
        <v>482.3766442483734</v>
      </c>
      <c r="D9" s="188">
        <f>'Operating Model'!AI24</f>
        <v>339.02871084904928</v>
      </c>
      <c r="E9" s="188">
        <f>'Operating Model'!AN24</f>
        <v>376.08226590076742</v>
      </c>
      <c r="F9" s="188">
        <f>'Operating Model'!AS24</f>
        <v>434.04997138175145</v>
      </c>
      <c r="G9" s="188">
        <f>'Operating Model'!AX24</f>
        <v>500.99847154166662</v>
      </c>
      <c r="H9" s="188">
        <f>'Operating Model'!BC24</f>
        <v>578.32600169153977</v>
      </c>
      <c r="I9" s="82"/>
      <c r="J9" s="98" t="s">
        <v>194</v>
      </c>
      <c r="K9" s="187">
        <f>1-K5</f>
        <v>0.98656534157769105</v>
      </c>
    </row>
    <row r="10" spans="2:11" x14ac:dyDescent="0.15">
      <c r="B10" s="98" t="s">
        <v>174</v>
      </c>
      <c r="C10" s="188">
        <f>'Operating Model'!AD97</f>
        <v>854.78529884365139</v>
      </c>
      <c r="D10" s="188">
        <f>'Operating Model'!AI97</f>
        <v>521.58263207546042</v>
      </c>
      <c r="E10" s="188">
        <f>'Operating Model'!AN97</f>
        <v>578.58810138579599</v>
      </c>
      <c r="F10" s="188">
        <f>'Operating Model'!AS97</f>
        <v>667.76918674115609</v>
      </c>
      <c r="G10" s="188">
        <f>'Operating Model'!AX97</f>
        <v>770.76687929487161</v>
      </c>
      <c r="H10" s="188">
        <f>'Operating Model'!BC97</f>
        <v>889.73231029467649</v>
      </c>
      <c r="I10" s="82"/>
      <c r="J10" s="98"/>
      <c r="K10" s="98"/>
    </row>
    <row r="11" spans="2:11" x14ac:dyDescent="0.15">
      <c r="B11" s="98"/>
      <c r="C11" s="127"/>
      <c r="D11" s="127"/>
      <c r="E11" s="127"/>
      <c r="F11" s="127"/>
      <c r="G11" s="127"/>
      <c r="H11" s="127"/>
      <c r="I11" s="82"/>
      <c r="J11" s="98" t="s">
        <v>195</v>
      </c>
      <c r="K11" s="190">
        <v>4.53E-2</v>
      </c>
    </row>
    <row r="12" spans="2:11" x14ac:dyDescent="0.15">
      <c r="B12" s="98" t="s">
        <v>175</v>
      </c>
      <c r="C12" s="188">
        <f>'Operating Model'!AD88</f>
        <v>-4183.6878127403997</v>
      </c>
      <c r="D12" s="188">
        <f>'Operating Model'!AI88</f>
        <v>-3117.5326365381297</v>
      </c>
      <c r="E12" s="188">
        <f>'Operating Model'!AN88</f>
        <v>-1092.5150023831538</v>
      </c>
      <c r="F12" s="188">
        <f>'Operating Model'!AS88</f>
        <v>3012.6157122987515</v>
      </c>
      <c r="G12" s="188">
        <f>'Operating Model'!AX88</f>
        <v>4469.5154449898764</v>
      </c>
      <c r="H12" s="188">
        <f>'Operating Model'!BC88</f>
        <v>5450.1826915749625</v>
      </c>
      <c r="I12" s="82"/>
      <c r="J12" s="98" t="s">
        <v>196</v>
      </c>
      <c r="K12" s="190">
        <v>1.35E-2</v>
      </c>
    </row>
    <row r="13" spans="2:11" x14ac:dyDescent="0.15">
      <c r="B13" s="98"/>
      <c r="C13" s="188"/>
      <c r="D13" s="188"/>
      <c r="E13" s="188"/>
      <c r="F13" s="188"/>
      <c r="G13" s="188"/>
      <c r="H13" s="188"/>
      <c r="I13" s="82"/>
      <c r="J13" s="98" t="s">
        <v>197</v>
      </c>
      <c r="K13" s="191">
        <f>Beta!I7</f>
        <v>1.2554927042813457</v>
      </c>
    </row>
    <row r="14" spans="2:11" x14ac:dyDescent="0.15">
      <c r="B14" s="98" t="s">
        <v>176</v>
      </c>
      <c r="C14" s="188">
        <f>C8+C9-C10-C12</f>
        <v>9485.7066049915975</v>
      </c>
      <c r="D14" s="188">
        <f t="shared" ref="D14:H14" si="1">D8+D9-D10-D12</f>
        <v>10609.4704675835</v>
      </c>
      <c r="E14" s="188">
        <f t="shared" si="1"/>
        <v>9620.8752089797854</v>
      </c>
      <c r="F14" s="188">
        <f t="shared" si="1"/>
        <v>6695.0788399508037</v>
      </c>
      <c r="G14" s="188">
        <f t="shared" si="1"/>
        <v>6735.508062759327</v>
      </c>
      <c r="H14" s="188">
        <f t="shared" si="1"/>
        <v>7484.3007693339005</v>
      </c>
      <c r="I14" s="82"/>
      <c r="J14" s="98"/>
      <c r="K14" s="98"/>
    </row>
    <row r="15" spans="2:11" ht="13" thickBot="1" x14ac:dyDescent="0.2">
      <c r="B15" s="98" t="s">
        <v>177</v>
      </c>
      <c r="C15" s="127">
        <f ca="1">(C3-TODAY())/365</f>
        <v>7.6712328767123292E-2</v>
      </c>
      <c r="D15" s="127">
        <f t="shared" ref="D15:H15" ca="1" si="2">(D3-TODAY())/365</f>
        <v>1.0767123287671232</v>
      </c>
      <c r="E15" s="127">
        <f t="shared" ca="1" si="2"/>
        <v>2.0767123287671234</v>
      </c>
      <c r="F15" s="127">
        <f t="shared" ca="1" si="2"/>
        <v>3.0794520547945203</v>
      </c>
      <c r="G15" s="127">
        <f t="shared" ca="1" si="2"/>
        <v>4.0794520547945208</v>
      </c>
      <c r="H15" s="127">
        <f t="shared" ca="1" si="2"/>
        <v>5.0794520547945208</v>
      </c>
      <c r="I15" s="82"/>
      <c r="J15" s="98" t="s">
        <v>198</v>
      </c>
      <c r="K15" s="192">
        <f>'Operating Model'!AD48</f>
        <v>394.60761000000002</v>
      </c>
    </row>
    <row r="16" spans="2:11" ht="13" thickBot="1" x14ac:dyDescent="0.2">
      <c r="B16" s="252" t="s">
        <v>178</v>
      </c>
      <c r="C16" s="253">
        <f ca="1">C14/(1+$K$3)^C15</f>
        <v>9448.7375561970948</v>
      </c>
      <c r="D16" s="253">
        <f t="shared" ref="D16:H16" ca="1" si="3">D14/(1+$K$3)^D15</f>
        <v>10043.62576336335</v>
      </c>
      <c r="E16" s="253">
        <f t="shared" ca="1" si="3"/>
        <v>8655.7381614831629</v>
      </c>
      <c r="F16" s="253">
        <f t="shared" ca="1" si="3"/>
        <v>5723.706707579895</v>
      </c>
      <c r="G16" s="253">
        <f t="shared" ca="1" si="3"/>
        <v>5472.4871640621723</v>
      </c>
      <c r="H16" s="254">
        <f t="shared" ca="1" si="3"/>
        <v>5779.0751021812339</v>
      </c>
      <c r="I16" s="98"/>
      <c r="J16" s="98" t="s">
        <v>53</v>
      </c>
      <c r="K16" s="193">
        <f>K15*K18</f>
        <v>346907.44210320001</v>
      </c>
    </row>
    <row r="17" spans="2:13" x14ac:dyDescent="0.15">
      <c r="B17" s="98"/>
      <c r="C17" s="98"/>
      <c r="D17" s="98"/>
      <c r="E17" s="98"/>
      <c r="F17" s="98"/>
      <c r="G17" s="98"/>
      <c r="H17" s="98"/>
      <c r="I17" s="98"/>
      <c r="J17" s="98" t="s">
        <v>199</v>
      </c>
      <c r="K17" s="193">
        <f>K16+'Operating Model'!AD76</f>
        <v>351631.49107633781</v>
      </c>
    </row>
    <row r="18" spans="2:13" x14ac:dyDescent="0.15">
      <c r="B18" s="98" t="s">
        <v>179</v>
      </c>
      <c r="C18" s="194">
        <f ca="1">SUM(C16:H16)</f>
        <v>45123.370454866905</v>
      </c>
      <c r="D18" s="98"/>
      <c r="E18" s="98"/>
      <c r="F18" s="98"/>
      <c r="G18" s="98"/>
      <c r="H18" s="98"/>
      <c r="I18" s="98"/>
      <c r="J18" s="98" t="s">
        <v>200</v>
      </c>
      <c r="K18" s="193">
        <v>879.12</v>
      </c>
    </row>
    <row r="19" spans="2:13" x14ac:dyDescent="0.15">
      <c r="B19" s="98" t="s">
        <v>180</v>
      </c>
      <c r="C19" s="189">
        <v>0.03</v>
      </c>
      <c r="D19" s="98"/>
      <c r="E19" s="98"/>
      <c r="F19" s="98"/>
      <c r="G19" s="98"/>
      <c r="H19" s="98"/>
      <c r="I19" s="98"/>
      <c r="J19" s="98"/>
      <c r="K19" s="98"/>
    </row>
    <row r="20" spans="2:13" x14ac:dyDescent="0.15">
      <c r="B20" s="98" t="s">
        <v>181</v>
      </c>
      <c r="C20" s="194">
        <f ca="1">H16*(1+C19)/(K3-C19)</f>
        <v>267865.52440646209</v>
      </c>
      <c r="D20" s="98"/>
      <c r="E20" s="98"/>
      <c r="F20" s="98"/>
      <c r="G20" s="98"/>
      <c r="H20" s="98"/>
      <c r="I20" s="98"/>
      <c r="J20" s="98"/>
      <c r="K20" s="98"/>
    </row>
    <row r="21" spans="2:13" x14ac:dyDescent="0.15">
      <c r="B21" s="98" t="s">
        <v>182</v>
      </c>
      <c r="C21" s="194">
        <f ca="1">C20+C18</f>
        <v>312988.894861329</v>
      </c>
      <c r="D21" s="98"/>
      <c r="E21" s="98"/>
      <c r="F21" s="98"/>
      <c r="G21" s="98"/>
      <c r="H21" s="98"/>
      <c r="I21" s="98"/>
      <c r="J21" s="98"/>
      <c r="K21" s="98"/>
    </row>
    <row r="22" spans="2:13" x14ac:dyDescent="0.15">
      <c r="B22" s="98" t="s">
        <v>183</v>
      </c>
      <c r="C22" s="194">
        <f>'Operating Model'!BC56</f>
        <v>11625.105978829646</v>
      </c>
      <c r="D22" s="98"/>
      <c r="E22" s="98"/>
      <c r="F22" s="98"/>
      <c r="G22" s="98"/>
      <c r="H22" s="98"/>
      <c r="I22" s="98"/>
      <c r="J22" s="98"/>
      <c r="K22" s="98"/>
    </row>
    <row r="23" spans="2:13" x14ac:dyDescent="0.15">
      <c r="B23" s="98" t="s">
        <v>184</v>
      </c>
      <c r="C23" s="194">
        <f>'Operating Model'!BC77+'Operating Model'!BC73</f>
        <v>3023.5283551559291</v>
      </c>
      <c r="D23" s="98"/>
      <c r="E23" s="98"/>
      <c r="F23" s="98"/>
      <c r="G23" s="98"/>
      <c r="H23" s="98"/>
      <c r="I23" s="98"/>
      <c r="J23" s="98"/>
      <c r="K23" s="98"/>
    </row>
    <row r="24" spans="2:13" x14ac:dyDescent="0.15">
      <c r="B24" s="98" t="s">
        <v>53</v>
      </c>
      <c r="C24" s="194">
        <f ca="1">C21+C22-C23</f>
        <v>321590.47248500271</v>
      </c>
      <c r="D24" s="98"/>
      <c r="E24" s="98"/>
      <c r="F24" s="98"/>
      <c r="G24" s="98"/>
      <c r="H24" s="98"/>
      <c r="I24" s="98"/>
      <c r="J24" s="98"/>
      <c r="K24" s="98"/>
    </row>
    <row r="25" spans="2:13" x14ac:dyDescent="0.15">
      <c r="B25" s="98" t="s">
        <v>185</v>
      </c>
      <c r="C25" s="328">
        <f>'Operating Model'!BC48</f>
        <v>334.37690832045325</v>
      </c>
      <c r="D25" s="98"/>
      <c r="E25" s="98"/>
      <c r="F25" s="98"/>
      <c r="G25" s="98"/>
      <c r="H25" s="98"/>
      <c r="I25" s="98"/>
      <c r="J25" s="98"/>
      <c r="K25" s="98"/>
    </row>
    <row r="26" spans="2:13" ht="13" thickBot="1" x14ac:dyDescent="0.2"/>
    <row r="27" spans="2:13" x14ac:dyDescent="0.15">
      <c r="B27" s="249" t="s">
        <v>186</v>
      </c>
      <c r="C27" s="250">
        <f ca="1">C24/C25</f>
        <v>961.76041013215979</v>
      </c>
    </row>
    <row r="28" spans="2:13" ht="13" thickBot="1" x14ac:dyDescent="0.2">
      <c r="B28" s="251" t="s">
        <v>187</v>
      </c>
      <c r="C28" s="475">
        <f ca="1">C27/K18-1</f>
        <v>9.4003560528892249E-2</v>
      </c>
    </row>
    <row r="31" spans="2:13" ht="15" x14ac:dyDescent="0.2">
      <c r="D31"/>
      <c r="E31"/>
      <c r="F31"/>
      <c r="G31"/>
      <c r="H31"/>
      <c r="I31"/>
      <c r="J31"/>
      <c r="K31"/>
      <c r="L31"/>
      <c r="M31"/>
    </row>
    <row r="32" spans="2:13" ht="15" x14ac:dyDescent="0.2">
      <c r="D32"/>
      <c r="E32"/>
      <c r="F32"/>
      <c r="G32"/>
      <c r="H32"/>
      <c r="I32"/>
      <c r="J32"/>
      <c r="K32"/>
      <c r="L32"/>
      <c r="M32"/>
    </row>
    <row r="33" spans="4:13" ht="15" x14ac:dyDescent="0.2">
      <c r="D33"/>
      <c r="E33"/>
      <c r="F33"/>
      <c r="G33"/>
      <c r="H33"/>
      <c r="I33"/>
      <c r="J33"/>
      <c r="K33"/>
      <c r="L33"/>
      <c r="M33"/>
    </row>
    <row r="34" spans="4:13" ht="15" x14ac:dyDescent="0.2">
      <c r="D34"/>
      <c r="E34"/>
      <c r="F34"/>
      <c r="G34"/>
      <c r="H34"/>
      <c r="I34"/>
      <c r="J34"/>
      <c r="K34"/>
      <c r="L34"/>
      <c r="M34"/>
    </row>
    <row r="35" spans="4:13" ht="15" x14ac:dyDescent="0.2">
      <c r="D35"/>
      <c r="E35"/>
      <c r="F35"/>
      <c r="G35"/>
      <c r="H35"/>
      <c r="I35"/>
      <c r="J35"/>
      <c r="K35"/>
      <c r="L35"/>
      <c r="M35"/>
    </row>
    <row r="36" spans="4:13" ht="15" x14ac:dyDescent="0.2">
      <c r="D36"/>
      <c r="E36"/>
      <c r="F36"/>
      <c r="G36"/>
      <c r="H36"/>
      <c r="I36"/>
      <c r="J36"/>
      <c r="K36"/>
      <c r="L36"/>
      <c r="M36"/>
    </row>
    <row r="37" spans="4:13" ht="15" x14ac:dyDescent="0.2">
      <c r="D37"/>
      <c r="E37"/>
      <c r="F37"/>
      <c r="G37"/>
      <c r="H37"/>
      <c r="I37"/>
      <c r="J37"/>
      <c r="K37"/>
      <c r="L37"/>
      <c r="M37"/>
    </row>
    <row r="38" spans="4:13" ht="15" x14ac:dyDescent="0.2">
      <c r="D38"/>
      <c r="E38"/>
      <c r="F38"/>
      <c r="G38"/>
      <c r="H38"/>
      <c r="I38"/>
      <c r="J38"/>
      <c r="K38"/>
      <c r="L38"/>
      <c r="M38"/>
    </row>
    <row r="39" spans="4:13" ht="15" x14ac:dyDescent="0.2">
      <c r="D39"/>
      <c r="E39"/>
      <c r="F39"/>
      <c r="G39"/>
      <c r="H39"/>
      <c r="I39"/>
      <c r="J39"/>
      <c r="K39"/>
      <c r="L39"/>
      <c r="M39"/>
    </row>
    <row r="40" spans="4:13" ht="15" x14ac:dyDescent="0.2">
      <c r="D40"/>
      <c r="E40"/>
      <c r="F40"/>
      <c r="G40"/>
      <c r="H40"/>
      <c r="I40"/>
      <c r="J40"/>
      <c r="K40"/>
      <c r="L40"/>
      <c r="M40"/>
    </row>
  </sheetData>
  <mergeCells count="2">
    <mergeCell ref="B2:H2"/>
    <mergeCell ref="J2:K2"/>
  </mergeCells>
  <conditionalFormatting sqref="E32:K3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D22B-EA23-4BD1-94D1-B93B6733DF98}">
  <sheetPr>
    <tabColor theme="5"/>
  </sheetPr>
  <dimension ref="B1:CC93"/>
  <sheetViews>
    <sheetView showGridLines="0" topLeftCell="B1" zoomScale="85" zoomScaleNormal="85" workbookViewId="0">
      <pane xSplit="3" ySplit="8" topLeftCell="E9" activePane="bottomRight" state="frozen"/>
      <selection activeCell="B1" sqref="B1"/>
      <selection pane="topRight" activeCell="G1" sqref="G1"/>
      <selection pane="bottomLeft" activeCell="B8" sqref="B8"/>
      <selection pane="bottomRight"/>
    </sheetView>
  </sheetViews>
  <sheetFormatPr baseColWidth="10" defaultColWidth="9.1640625" defaultRowHeight="12" outlineLevelRow="1" outlineLevelCol="1" x14ac:dyDescent="0.15"/>
  <cols>
    <col min="1" max="1" width="1.83203125" style="265" customWidth="1"/>
    <col min="2" max="2" width="41.83203125" style="265" customWidth="1"/>
    <col min="3" max="3" width="11.1640625" style="265" bestFit="1" customWidth="1"/>
    <col min="4" max="4" width="10.5" style="265" bestFit="1" customWidth="1"/>
    <col min="5" max="5" width="9.5" style="265" customWidth="1" outlineLevel="1"/>
    <col min="6" max="6" width="8.1640625" style="265" customWidth="1" outlineLevel="1"/>
    <col min="7" max="7" width="8" style="265" customWidth="1" outlineLevel="1"/>
    <col min="8" max="8" width="8.1640625" style="265" customWidth="1" outlineLevel="1"/>
    <col min="9" max="9" width="12.5" style="96" customWidth="1"/>
    <col min="10" max="10" width="8" style="265" customWidth="1" outlineLevel="1"/>
    <col min="11" max="11" width="7.83203125" style="265" customWidth="1" outlineLevel="1"/>
    <col min="12" max="12" width="8" style="265" customWidth="1" outlineLevel="1"/>
    <col min="13" max="13" width="8.33203125" style="265" customWidth="1" outlineLevel="1"/>
    <col min="14" max="14" width="11.5" style="96" customWidth="1"/>
    <col min="15" max="15" width="7.83203125" style="265" customWidth="1" outlineLevel="1"/>
    <col min="16" max="16" width="8" style="265" customWidth="1" outlineLevel="1"/>
    <col min="17" max="17" width="7.6640625" style="265" customWidth="1" outlineLevel="1"/>
    <col min="18" max="18" width="8.83203125" style="265" customWidth="1" outlineLevel="1"/>
    <col min="19" max="19" width="10.83203125" style="96" bestFit="1" customWidth="1"/>
    <col min="20" max="20" width="8" style="265" customWidth="1" outlineLevel="1"/>
    <col min="21" max="21" width="9" style="265" customWidth="1" outlineLevel="1"/>
    <col min="22" max="22" width="9.33203125" style="265" customWidth="1" outlineLevel="1"/>
    <col min="23" max="23" width="8.83203125" style="265" customWidth="1" outlineLevel="1"/>
    <col min="24" max="24" width="11.5" style="96" bestFit="1" customWidth="1"/>
    <col min="25" max="26" width="8.83203125" style="265" customWidth="1" outlineLevel="1"/>
    <col min="27" max="27" width="9.33203125" style="265" customWidth="1" outlineLevel="1"/>
    <col min="28" max="28" width="11" style="256" customWidth="1" outlineLevel="1"/>
    <col min="29" max="29" width="11.5" style="96" customWidth="1"/>
    <col min="30" max="30" width="10.6640625" style="265" customWidth="1" outlineLevel="1"/>
    <col min="31" max="33" width="10.5" style="265" customWidth="1" outlineLevel="1"/>
    <col min="34" max="34" width="13.6640625" style="96" customWidth="1"/>
    <col min="35" max="35" width="10.6640625" style="265" customWidth="1" outlineLevel="1"/>
    <col min="36" max="37" width="10.5" style="265" customWidth="1" outlineLevel="1"/>
    <col min="38" max="38" width="10.6640625" style="265" customWidth="1" outlineLevel="1"/>
    <col min="39" max="39" width="11.6640625" style="96" bestFit="1" customWidth="1"/>
    <col min="40" max="43" width="10.5" style="265" customWidth="1" outlineLevel="1"/>
    <col min="44" max="44" width="16.1640625" style="96" customWidth="1"/>
    <col min="45" max="45" width="10.6640625" style="265" customWidth="1" outlineLevel="1"/>
    <col min="46" max="46" width="10.33203125" style="265" customWidth="1" outlineLevel="1"/>
    <col min="47" max="48" width="10.5" style="265" customWidth="1" outlineLevel="1"/>
    <col min="49" max="49" width="11.83203125" style="96" bestFit="1" customWidth="1"/>
    <col min="50" max="50" width="10.5" style="265" customWidth="1" outlineLevel="1"/>
    <col min="51" max="51" width="10.33203125" style="265" customWidth="1" outlineLevel="1"/>
    <col min="52" max="53" width="10.5" style="265" customWidth="1" outlineLevel="1"/>
    <col min="54" max="54" width="12" style="96" bestFit="1" customWidth="1"/>
    <col min="55" max="16384" width="9.1640625" style="265"/>
  </cols>
  <sheetData>
    <row r="1" spans="2:54" ht="15" customHeight="1" x14ac:dyDescent="0.15">
      <c r="B1" s="506" t="s">
        <v>80</v>
      </c>
      <c r="C1" s="506"/>
      <c r="D1" s="506"/>
    </row>
    <row r="2" spans="2:54" x14ac:dyDescent="0.15">
      <c r="B2" s="506"/>
      <c r="C2" s="506"/>
      <c r="D2" s="506"/>
    </row>
    <row r="3" spans="2:54" ht="14" thickBot="1" x14ac:dyDescent="0.2">
      <c r="B3" s="501" t="s">
        <v>55</v>
      </c>
      <c r="C3" s="501"/>
      <c r="D3" s="501"/>
    </row>
    <row r="4" spans="2:54" ht="13" x14ac:dyDescent="0.15">
      <c r="B4" s="538" t="s">
        <v>49</v>
      </c>
      <c r="C4" s="538"/>
      <c r="D4" s="538"/>
      <c r="E4" s="522" t="s">
        <v>169</v>
      </c>
      <c r="F4" s="523"/>
      <c r="G4" s="523"/>
      <c r="H4" s="523"/>
      <c r="I4" s="523"/>
      <c r="J4" s="523"/>
      <c r="K4" s="523"/>
      <c r="L4" s="523"/>
      <c r="M4" s="523"/>
      <c r="N4" s="523"/>
      <c r="O4" s="523"/>
      <c r="P4" s="523"/>
      <c r="Q4" s="523"/>
      <c r="R4" s="523"/>
      <c r="S4" s="523"/>
      <c r="T4" s="523"/>
      <c r="U4" s="523"/>
      <c r="V4" s="523"/>
      <c r="W4" s="523"/>
      <c r="X4" s="523"/>
      <c r="Y4" s="523"/>
      <c r="Z4" s="523"/>
      <c r="AA4" s="524"/>
      <c r="AB4" s="530" t="s">
        <v>168</v>
      </c>
      <c r="AC4" s="531"/>
      <c r="AD4" s="531"/>
      <c r="AE4" s="531"/>
      <c r="AF4" s="531"/>
      <c r="AG4" s="531"/>
      <c r="AH4" s="531"/>
      <c r="AI4" s="531"/>
      <c r="AJ4" s="531"/>
      <c r="AK4" s="531"/>
      <c r="AL4" s="531"/>
      <c r="AM4" s="531"/>
      <c r="AN4" s="531"/>
      <c r="AO4" s="531"/>
      <c r="AP4" s="531"/>
      <c r="AQ4" s="531"/>
      <c r="AR4" s="531"/>
      <c r="AS4" s="531"/>
      <c r="AT4" s="531"/>
      <c r="AU4" s="531"/>
      <c r="AV4" s="531"/>
      <c r="AW4" s="531"/>
      <c r="AX4" s="531"/>
      <c r="AY4" s="531"/>
      <c r="AZ4" s="531"/>
      <c r="BA4" s="531"/>
      <c r="BB4" s="532"/>
    </row>
    <row r="5" spans="2:54" s="368" customFormat="1" ht="13" x14ac:dyDescent="0.15">
      <c r="B5" s="538" t="s">
        <v>61</v>
      </c>
      <c r="C5" s="538"/>
      <c r="D5" s="538"/>
      <c r="E5" s="525"/>
      <c r="F5" s="518"/>
      <c r="G5" s="518"/>
      <c r="H5" s="518"/>
      <c r="I5" s="518"/>
      <c r="J5" s="518"/>
      <c r="K5" s="518"/>
      <c r="L5" s="518"/>
      <c r="M5" s="518"/>
      <c r="N5" s="518"/>
      <c r="O5" s="518"/>
      <c r="P5" s="518"/>
      <c r="Q5" s="518"/>
      <c r="R5" s="518"/>
      <c r="S5" s="518"/>
      <c r="T5" s="518"/>
      <c r="U5" s="518"/>
      <c r="V5" s="518"/>
      <c r="W5" s="518"/>
      <c r="X5" s="518"/>
      <c r="Y5" s="518"/>
      <c r="Z5" s="518"/>
      <c r="AA5" s="526"/>
      <c r="AB5" s="533"/>
      <c r="AC5" s="517"/>
      <c r="AD5" s="517"/>
      <c r="AE5" s="517"/>
      <c r="AF5" s="517"/>
      <c r="AG5" s="517"/>
      <c r="AH5" s="517"/>
      <c r="AI5" s="517"/>
      <c r="AJ5" s="517"/>
      <c r="AK5" s="517"/>
      <c r="AL5" s="517"/>
      <c r="AM5" s="517"/>
      <c r="AN5" s="517"/>
      <c r="AO5" s="517"/>
      <c r="AP5" s="517"/>
      <c r="AQ5" s="517"/>
      <c r="AR5" s="517"/>
      <c r="AS5" s="517"/>
      <c r="AT5" s="517"/>
      <c r="AU5" s="517"/>
      <c r="AV5" s="517"/>
      <c r="AW5" s="517"/>
      <c r="AX5" s="517"/>
      <c r="AY5" s="517"/>
      <c r="AZ5" s="517"/>
      <c r="BA5" s="517"/>
      <c r="BB5" s="534"/>
    </row>
    <row r="6" spans="2:54" ht="13" thickBot="1" x14ac:dyDescent="0.2">
      <c r="E6" s="527"/>
      <c r="F6" s="528"/>
      <c r="G6" s="528"/>
      <c r="H6" s="528"/>
      <c r="I6" s="528"/>
      <c r="J6" s="528"/>
      <c r="K6" s="528"/>
      <c r="L6" s="528"/>
      <c r="M6" s="528"/>
      <c r="N6" s="528"/>
      <c r="O6" s="528"/>
      <c r="P6" s="528"/>
      <c r="Q6" s="528"/>
      <c r="R6" s="528"/>
      <c r="S6" s="528"/>
      <c r="T6" s="528"/>
      <c r="U6" s="528"/>
      <c r="V6" s="528"/>
      <c r="W6" s="528"/>
      <c r="X6" s="528"/>
      <c r="Y6" s="528"/>
      <c r="Z6" s="528"/>
      <c r="AA6" s="529"/>
      <c r="AB6" s="535"/>
      <c r="AC6" s="536"/>
      <c r="AD6" s="536"/>
      <c r="AE6" s="536"/>
      <c r="AF6" s="536"/>
      <c r="AG6" s="536"/>
      <c r="AH6" s="536"/>
      <c r="AI6" s="536"/>
      <c r="AJ6" s="536"/>
      <c r="AK6" s="536"/>
      <c r="AL6" s="536"/>
      <c r="AM6" s="536"/>
      <c r="AN6" s="536"/>
      <c r="AO6" s="536"/>
      <c r="AP6" s="536"/>
      <c r="AQ6" s="536"/>
      <c r="AR6" s="536"/>
      <c r="AS6" s="536"/>
      <c r="AT6" s="536"/>
      <c r="AU6" s="536"/>
      <c r="AV6" s="536"/>
      <c r="AW6" s="536"/>
      <c r="AX6" s="536"/>
      <c r="AY6" s="536"/>
      <c r="AZ6" s="536"/>
      <c r="BA6" s="536"/>
      <c r="BB6" s="537"/>
    </row>
    <row r="7" spans="2:54" x14ac:dyDescent="0.15">
      <c r="B7" s="166"/>
      <c r="C7" s="520" t="s">
        <v>47</v>
      </c>
      <c r="D7" s="521"/>
      <c r="E7" s="511">
        <v>2017</v>
      </c>
      <c r="F7" s="511"/>
      <c r="G7" s="511"/>
      <c r="H7" s="511"/>
      <c r="I7" s="441">
        <f>E7</f>
        <v>2017</v>
      </c>
      <c r="J7" s="511">
        <f>E7+1</f>
        <v>2018</v>
      </c>
      <c r="K7" s="511"/>
      <c r="L7" s="511"/>
      <c r="M7" s="511"/>
      <c r="N7" s="441">
        <f>J7</f>
        <v>2018</v>
      </c>
      <c r="O7" s="511">
        <f>J7+1</f>
        <v>2019</v>
      </c>
      <c r="P7" s="511"/>
      <c r="Q7" s="511"/>
      <c r="R7" s="511"/>
      <c r="S7" s="441">
        <f>O7</f>
        <v>2019</v>
      </c>
      <c r="T7" s="511">
        <f>O7+1</f>
        <v>2020</v>
      </c>
      <c r="U7" s="511"/>
      <c r="V7" s="511"/>
      <c r="W7" s="511"/>
      <c r="X7" s="441">
        <f>T7</f>
        <v>2020</v>
      </c>
      <c r="Y7" s="511">
        <f>T7+1</f>
        <v>2021</v>
      </c>
      <c r="Z7" s="511"/>
      <c r="AA7" s="511"/>
      <c r="AB7" s="511"/>
      <c r="AC7" s="441">
        <f>Y7</f>
        <v>2021</v>
      </c>
      <c r="AD7" s="511">
        <f>Y7+1</f>
        <v>2022</v>
      </c>
      <c r="AE7" s="511"/>
      <c r="AF7" s="511"/>
      <c r="AG7" s="511"/>
      <c r="AH7" s="441">
        <f>AD7</f>
        <v>2022</v>
      </c>
      <c r="AI7" s="511">
        <f>AD7+1</f>
        <v>2023</v>
      </c>
      <c r="AJ7" s="511"/>
      <c r="AK7" s="511"/>
      <c r="AL7" s="511"/>
      <c r="AM7" s="441">
        <f>AI7</f>
        <v>2023</v>
      </c>
      <c r="AN7" s="511">
        <f>AI7+1</f>
        <v>2024</v>
      </c>
      <c r="AO7" s="511"/>
      <c r="AP7" s="511"/>
      <c r="AQ7" s="511"/>
      <c r="AR7" s="441">
        <f>AN7</f>
        <v>2024</v>
      </c>
      <c r="AS7" s="511">
        <f>AN7+1</f>
        <v>2025</v>
      </c>
      <c r="AT7" s="511"/>
      <c r="AU7" s="511"/>
      <c r="AV7" s="511"/>
      <c r="AW7" s="441">
        <f>AS7</f>
        <v>2025</v>
      </c>
      <c r="AX7" s="511">
        <f>AS7+1</f>
        <v>2026</v>
      </c>
      <c r="AY7" s="511"/>
      <c r="AZ7" s="511"/>
      <c r="BA7" s="511"/>
      <c r="BB7" s="441">
        <f>AX7</f>
        <v>2026</v>
      </c>
    </row>
    <row r="8" spans="2:54" ht="15.75" customHeight="1" thickBot="1" x14ac:dyDescent="0.2">
      <c r="B8" s="166"/>
      <c r="C8" s="196" t="s">
        <v>46</v>
      </c>
      <c r="D8" s="197" t="s">
        <v>45</v>
      </c>
      <c r="E8" s="92">
        <v>1</v>
      </c>
      <c r="F8" s="92">
        <v>2</v>
      </c>
      <c r="G8" s="92">
        <v>3</v>
      </c>
      <c r="H8" s="92">
        <v>4</v>
      </c>
      <c r="I8" s="267" t="s">
        <v>203</v>
      </c>
      <c r="J8" s="92">
        <v>1</v>
      </c>
      <c r="K8" s="92">
        <v>2</v>
      </c>
      <c r="L8" s="92">
        <v>3</v>
      </c>
      <c r="M8" s="92">
        <v>4</v>
      </c>
      <c r="N8" s="267" t="s">
        <v>203</v>
      </c>
      <c r="O8" s="92">
        <v>1</v>
      </c>
      <c r="P8" s="92">
        <v>2</v>
      </c>
      <c r="Q8" s="92">
        <v>3</v>
      </c>
      <c r="R8" s="92">
        <v>4</v>
      </c>
      <c r="S8" s="267" t="s">
        <v>203</v>
      </c>
      <c r="T8" s="92">
        <v>1</v>
      </c>
      <c r="U8" s="92">
        <v>2</v>
      </c>
      <c r="V8" s="92">
        <v>3</v>
      </c>
      <c r="W8" s="92">
        <v>4</v>
      </c>
      <c r="X8" s="267" t="s">
        <v>203</v>
      </c>
      <c r="Y8" s="92">
        <v>1</v>
      </c>
      <c r="Z8" s="92">
        <v>2</v>
      </c>
      <c r="AA8" s="92">
        <v>3</v>
      </c>
      <c r="AB8" s="442">
        <v>4</v>
      </c>
      <c r="AC8" s="267" t="s">
        <v>203</v>
      </c>
      <c r="AD8" s="92">
        <v>1</v>
      </c>
      <c r="AE8" s="92">
        <v>2</v>
      </c>
      <c r="AF8" s="92">
        <v>3</v>
      </c>
      <c r="AG8" s="92">
        <v>4</v>
      </c>
      <c r="AH8" s="267" t="s">
        <v>203</v>
      </c>
      <c r="AI8" s="92">
        <v>1</v>
      </c>
      <c r="AJ8" s="92">
        <v>2</v>
      </c>
      <c r="AK8" s="92">
        <v>3</v>
      </c>
      <c r="AL8" s="92">
        <v>4</v>
      </c>
      <c r="AM8" s="267" t="s">
        <v>203</v>
      </c>
      <c r="AN8" s="92">
        <v>1</v>
      </c>
      <c r="AO8" s="92">
        <v>2</v>
      </c>
      <c r="AP8" s="92">
        <v>3</v>
      </c>
      <c r="AQ8" s="92">
        <v>4</v>
      </c>
      <c r="AR8" s="267" t="s">
        <v>203</v>
      </c>
      <c r="AS8" s="92">
        <v>1</v>
      </c>
      <c r="AT8" s="92">
        <v>2</v>
      </c>
      <c r="AU8" s="92">
        <v>3</v>
      </c>
      <c r="AV8" s="92">
        <v>4</v>
      </c>
      <c r="AW8" s="267" t="s">
        <v>203</v>
      </c>
      <c r="AX8" s="92">
        <v>1</v>
      </c>
      <c r="AY8" s="92">
        <v>2</v>
      </c>
      <c r="AZ8" s="92">
        <v>3</v>
      </c>
      <c r="BA8" s="92">
        <v>4</v>
      </c>
      <c r="BB8" s="267" t="s">
        <v>203</v>
      </c>
    </row>
    <row r="9" spans="2:54" ht="13" x14ac:dyDescent="0.15">
      <c r="B9" s="443" t="s">
        <v>44</v>
      </c>
      <c r="C9" s="198">
        <f>(AC9/I9)^(1/4)-1</f>
        <v>0.20177935430094807</v>
      </c>
      <c r="D9" s="199">
        <f>(BB9/AC9)^(1/4)-1</f>
        <v>0.20027604735027138</v>
      </c>
      <c r="E9" s="106">
        <f>E14+E18+E22+E26+E30</f>
        <v>2070.8562989375005</v>
      </c>
      <c r="F9" s="106">
        <f>F14+F18+F22+F26+F30</f>
        <v>2313.7214148461535</v>
      </c>
      <c r="G9" s="106">
        <f>G14+G18+G22+G26+G30</f>
        <v>2875.511068476927</v>
      </c>
      <c r="H9" s="106">
        <f>H14+H18+H22+H26+H30</f>
        <v>3015.4795873846133</v>
      </c>
      <c r="I9" s="200">
        <f>SUM(E9:H9)</f>
        <v>10275.568369645194</v>
      </c>
      <c r="J9" s="106">
        <f>J14+J18+J22+J26+J30</f>
        <v>2809.22291484375</v>
      </c>
      <c r="K9" s="106">
        <f>K14+K18+K22+K26+K30</f>
        <v>3267.0776868000003</v>
      </c>
      <c r="L9" s="106">
        <f>L14+L18+L22+L26+L30</f>
        <v>3228.2444747307732</v>
      </c>
      <c r="M9" s="106">
        <f>M14+M18+M22+M26+M30</f>
        <v>3585.867849659091</v>
      </c>
      <c r="N9" s="200">
        <f>SUM(J9:M9)</f>
        <v>12890.412926033614</v>
      </c>
      <c r="O9" s="106">
        <f>O14+O18+O22+O26+O30</f>
        <v>2531.3971108593696</v>
      </c>
      <c r="P9" s="106">
        <f>P14+P18+P22+P26+P30</f>
        <v>2885.2321931153838</v>
      </c>
      <c r="Q9" s="106">
        <f>Q14+Q18+Q22+Q26+Q30</f>
        <v>3321.0637032500031</v>
      </c>
      <c r="R9" s="106">
        <f>R14+R18+R22+R26+R30</f>
        <v>4469.3604992045366</v>
      </c>
      <c r="S9" s="200">
        <f>SUM(O9:R9)</f>
        <v>13207.053506429293</v>
      </c>
      <c r="T9" s="106">
        <f>T14+T18+T22+T26+T30</f>
        <v>2692.4539997784623</v>
      </c>
      <c r="U9" s="106">
        <f>U14+U18+U22+U26+U30</f>
        <v>3659.444586075384</v>
      </c>
      <c r="V9" s="106">
        <f>V14+V18+V22+V26+V30</f>
        <v>4621.7883248923081</v>
      </c>
      <c r="W9" s="106">
        <f>W14+W18+W22+W26+W30</f>
        <v>5074.9261456697031</v>
      </c>
      <c r="X9" s="200">
        <f>SUM(T9:W9)</f>
        <v>16048.613056415856</v>
      </c>
      <c r="Y9" s="106">
        <f>Y14+Y18+Y22+Y26+Y30</f>
        <v>5252.1142960687503</v>
      </c>
      <c r="Z9" s="106">
        <f>Z14+Z18+Z22+Z26+Z30</f>
        <v>4846.1850966646089</v>
      </c>
      <c r="AA9" s="106">
        <f>AA14+AA18+AA22+AA26+AA30</f>
        <v>6126.5137600000053</v>
      </c>
      <c r="AB9" s="257">
        <f>AB59</f>
        <v>5209.2649421825681</v>
      </c>
      <c r="AC9" s="200">
        <f>SUM(Y9:AB9)</f>
        <v>21434.078094915931</v>
      </c>
      <c r="AD9" s="257">
        <f>Y9*(1+AD10)</f>
        <v>6077.1817568767137</v>
      </c>
      <c r="AE9" s="201">
        <f>Z9*(1+AE10)</f>
        <v>5998.7759433410538</v>
      </c>
      <c r="AF9" s="201">
        <f t="shared" ref="AF9:AG9" si="0">AA9*(1+AF10)</f>
        <v>7541.9004742831839</v>
      </c>
      <c r="AG9" s="201">
        <f t="shared" si="0"/>
        <v>6461.2734292720679</v>
      </c>
      <c r="AH9" s="200">
        <f>SUM(AD9:AG9)</f>
        <v>26079.131603773018</v>
      </c>
      <c r="AI9" s="257">
        <f>AD9*(1+AI10)</f>
        <v>6545.686539426576</v>
      </c>
      <c r="AJ9" s="201">
        <f>AE9*(1+AJ10)</f>
        <v>6765.6275031137193</v>
      </c>
      <c r="AK9" s="201">
        <f t="shared" ref="AK9" si="1">AF9*(1+AK10)</f>
        <v>8379.2508971894131</v>
      </c>
      <c r="AL9" s="201">
        <f t="shared" ref="AL9" si="2">AG9*(1+AL10)</f>
        <v>7238.8401295600897</v>
      </c>
      <c r="AM9" s="200">
        <f>SUM(AI9:AL9)</f>
        <v>28929.405069289798</v>
      </c>
      <c r="AN9" s="257">
        <f>AI9*(1+AN10)</f>
        <v>7443.0506921509696</v>
      </c>
      <c r="AO9" s="201">
        <f>AJ9*(1+AO10)</f>
        <v>7901.1343812221248</v>
      </c>
      <c r="AP9" s="201">
        <f t="shared" ref="AP9" si="3">AK9*(1+AP10)</f>
        <v>9644.7393994004033</v>
      </c>
      <c r="AQ9" s="201">
        <f t="shared" ref="AQ9" si="4">AL9*(1+AQ10)</f>
        <v>8399.5348642843037</v>
      </c>
      <c r="AR9" s="200">
        <f>SUM(AN9:AQ9)</f>
        <v>33388.4593370578</v>
      </c>
      <c r="AS9" s="257">
        <f>AN9*(1+AS10)</f>
        <v>8463.4366879997524</v>
      </c>
      <c r="AT9" s="201">
        <f>AO9*(1+AT10)</f>
        <v>9227.2186846525856</v>
      </c>
      <c r="AU9" s="201">
        <f t="shared" ref="AU9" si="5">AP9*(1+AU10)</f>
        <v>11101.350135433679</v>
      </c>
      <c r="AV9" s="201">
        <f t="shared" ref="AV9" si="6">AQ9*(1+AV10)</f>
        <v>9746.338456657566</v>
      </c>
      <c r="AW9" s="200">
        <f>SUM(AS9:AV9)</f>
        <v>38538.343964743588</v>
      </c>
      <c r="AX9" s="257">
        <f>AS9*(1+AX10)</f>
        <v>9623.7098918749834</v>
      </c>
      <c r="AY9" s="201">
        <f>AT9*(1+AY10)</f>
        <v>10775.865913222493</v>
      </c>
      <c r="AZ9" s="201">
        <f t="shared" ref="AZ9" si="7">AU9*(1+AZ10)</f>
        <v>12777.947617449878</v>
      </c>
      <c r="BA9" s="201">
        <f t="shared" ref="BA9" si="8">AV9*(1+BA10)</f>
        <v>11309.092092186471</v>
      </c>
      <c r="BB9" s="200">
        <f>SUM(AX9:BA9)</f>
        <v>44486.615514733829</v>
      </c>
    </row>
    <row r="10" spans="2:54" x14ac:dyDescent="0.15">
      <c r="B10" s="91" t="s">
        <v>38</v>
      </c>
      <c r="C10" s="264"/>
      <c r="D10" s="266"/>
      <c r="E10" s="106"/>
      <c r="F10" s="106"/>
      <c r="G10" s="106"/>
      <c r="H10" s="106"/>
      <c r="I10" s="203"/>
      <c r="J10" s="118">
        <f>J9/E9-1</f>
        <v>0.35655135331460963</v>
      </c>
      <c r="K10" s="118">
        <f>K9/F9-1</f>
        <v>0.41204453822165887</v>
      </c>
      <c r="L10" s="118">
        <f>L9/G9-1</f>
        <v>0.12266807459749351</v>
      </c>
      <c r="M10" s="118">
        <f>M9/H9-1</f>
        <v>0.18915341515184547</v>
      </c>
      <c r="N10" s="203"/>
      <c r="O10" s="118">
        <f>O9/J9-1</f>
        <v>-9.8897742331648719E-2</v>
      </c>
      <c r="P10" s="118">
        <f>P9/K9-1</f>
        <v>-0.11687677193211221</v>
      </c>
      <c r="Q10" s="118">
        <f>Q9/L9-1</f>
        <v>2.875223027431062E-2</v>
      </c>
      <c r="R10" s="118">
        <f>R9/M9-1</f>
        <v>0.24638182068796532</v>
      </c>
      <c r="S10" s="203"/>
      <c r="T10" s="118">
        <f>T9/O9-1</f>
        <v>6.3623715231474032E-2</v>
      </c>
      <c r="U10" s="118">
        <f>U9/P9-1</f>
        <v>0.26833625203801348</v>
      </c>
      <c r="V10" s="118">
        <f>V9/Q9-1</f>
        <v>0.39165903995440132</v>
      </c>
      <c r="W10" s="118">
        <f>W9/R9-1</f>
        <v>0.13549268325366604</v>
      </c>
      <c r="X10" s="203"/>
      <c r="Y10" s="118">
        <f>Y9/T9-1</f>
        <v>0.9506793046421218</v>
      </c>
      <c r="Z10" s="118">
        <f>Z9/U9-1</f>
        <v>0.32429525374012003</v>
      </c>
      <c r="AA10" s="118">
        <f>AA9/V9-1</f>
        <v>0.32557212259234269</v>
      </c>
      <c r="AB10" s="258">
        <f>AB9/W9-1</f>
        <v>2.6471084042768211E-2</v>
      </c>
      <c r="AC10" s="203"/>
      <c r="AD10" s="118">
        <f>AVERAGE(T10,O10,J10)+0.05</f>
        <v>0.15709244207147832</v>
      </c>
      <c r="AE10" s="118">
        <f t="shared" ref="AE10:AG10" si="9">AVERAGE(U10,P10,K10)+0.05</f>
        <v>0.23783467277585341</v>
      </c>
      <c r="AF10" s="118">
        <f t="shared" si="9"/>
        <v>0.23102644827540181</v>
      </c>
      <c r="AG10" s="118">
        <f t="shared" si="9"/>
        <v>0.2403426396978256</v>
      </c>
      <c r="AH10" s="203"/>
      <c r="AI10" s="118">
        <f>AD10-0.08</f>
        <v>7.709244207147832E-2</v>
      </c>
      <c r="AJ10" s="118">
        <f>AE10-0.11</f>
        <v>0.12783467277585342</v>
      </c>
      <c r="AK10" s="118">
        <f>AF10-0.12</f>
        <v>0.11102644827540181</v>
      </c>
      <c r="AL10" s="118">
        <f>AG10-0.12</f>
        <v>0.1203426396978256</v>
      </c>
      <c r="AM10" s="203"/>
      <c r="AN10" s="118">
        <f>AI10+0.06</f>
        <v>0.1370924420714783</v>
      </c>
      <c r="AO10" s="118">
        <f t="shared" ref="AO10:AQ10" si="10">AJ10+0.04</f>
        <v>0.16783467277585343</v>
      </c>
      <c r="AP10" s="118">
        <f t="shared" si="10"/>
        <v>0.15102644827540182</v>
      </c>
      <c r="AQ10" s="118">
        <f t="shared" si="10"/>
        <v>0.16034263969782561</v>
      </c>
      <c r="AR10" s="203"/>
      <c r="AS10" s="118">
        <f>AN10</f>
        <v>0.1370924420714783</v>
      </c>
      <c r="AT10" s="118">
        <f t="shared" ref="AT10" si="11">AO10</f>
        <v>0.16783467277585343</v>
      </c>
      <c r="AU10" s="118">
        <f t="shared" ref="AU10" si="12">AP10</f>
        <v>0.15102644827540182</v>
      </c>
      <c r="AV10" s="118">
        <f t="shared" ref="AV10" si="13">AQ10</f>
        <v>0.16034263969782561</v>
      </c>
      <c r="AW10" s="203"/>
      <c r="AX10" s="118">
        <f>AS10</f>
        <v>0.1370924420714783</v>
      </c>
      <c r="AY10" s="118">
        <f t="shared" ref="AY10" si="14">AT10</f>
        <v>0.16783467277585343</v>
      </c>
      <c r="AZ10" s="118">
        <f t="shared" ref="AZ10" si="15">AU10</f>
        <v>0.15102644827540182</v>
      </c>
      <c r="BA10" s="118">
        <f t="shared" ref="BA10" si="16">AV10</f>
        <v>0.16034263969782561</v>
      </c>
      <c r="BB10" s="203"/>
    </row>
    <row r="11" spans="2:54" x14ac:dyDescent="0.15">
      <c r="B11" s="91"/>
      <c r="C11" s="264"/>
      <c r="D11" s="266"/>
      <c r="E11" s="106"/>
      <c r="F11" s="106"/>
      <c r="G11" s="106"/>
      <c r="H11" s="106"/>
      <c r="I11" s="203"/>
      <c r="J11" s="118"/>
      <c r="K11" s="118"/>
      <c r="L11" s="118"/>
      <c r="M11" s="118"/>
      <c r="N11" s="203"/>
      <c r="O11" s="118"/>
      <c r="P11" s="118"/>
      <c r="Q11" s="118"/>
      <c r="R11" s="118"/>
      <c r="S11" s="203"/>
      <c r="T11" s="118"/>
      <c r="U11" s="118"/>
      <c r="V11" s="118"/>
      <c r="W11" s="118"/>
      <c r="X11" s="203"/>
      <c r="Y11" s="118"/>
      <c r="Z11" s="118"/>
      <c r="AA11" s="118"/>
      <c r="AB11" s="258"/>
      <c r="AC11" s="203"/>
      <c r="AD11" s="118"/>
      <c r="AE11" s="118"/>
      <c r="AF11" s="118"/>
      <c r="AG11" s="118"/>
      <c r="AH11" s="203"/>
      <c r="AI11" s="118"/>
      <c r="AJ11" s="118"/>
      <c r="AK11" s="118"/>
      <c r="AL11" s="118"/>
      <c r="AM11" s="203"/>
      <c r="AN11" s="118"/>
      <c r="AO11" s="118"/>
      <c r="AP11" s="118"/>
      <c r="AQ11" s="118"/>
      <c r="AR11" s="203"/>
      <c r="AS11" s="118"/>
      <c r="AT11" s="118"/>
      <c r="AU11" s="118"/>
      <c r="AV11" s="118"/>
      <c r="AW11" s="203"/>
      <c r="AX11" s="118"/>
      <c r="AY11" s="118"/>
      <c r="AZ11" s="118"/>
      <c r="BA11" s="118"/>
      <c r="BB11" s="203"/>
    </row>
    <row r="12" spans="2:54" ht="13" x14ac:dyDescent="0.15">
      <c r="B12" s="443" t="s">
        <v>206</v>
      </c>
      <c r="C12" s="264"/>
      <c r="D12" s="266"/>
      <c r="E12" s="106"/>
      <c r="F12" s="106"/>
      <c r="G12" s="106"/>
      <c r="H12" s="106"/>
      <c r="I12" s="203"/>
      <c r="J12" s="106"/>
      <c r="K12" s="106"/>
      <c r="L12" s="106"/>
      <c r="M12" s="106"/>
      <c r="N12" s="203"/>
      <c r="O12" s="106"/>
      <c r="P12" s="106"/>
      <c r="Q12" s="106"/>
      <c r="R12" s="106"/>
      <c r="S12" s="203"/>
      <c r="T12" s="106"/>
      <c r="U12" s="106"/>
      <c r="V12" s="106"/>
      <c r="W12" s="106"/>
      <c r="X12" s="203"/>
      <c r="Y12" s="106"/>
      <c r="Z12" s="106"/>
      <c r="AA12" s="106"/>
      <c r="AB12" s="259"/>
      <c r="AC12" s="203"/>
      <c r="AD12" s="105"/>
      <c r="AE12" s="105"/>
      <c r="AF12" s="105"/>
      <c r="AG12" s="105"/>
      <c r="AH12" s="203"/>
      <c r="AI12" s="243"/>
      <c r="AJ12" s="105"/>
      <c r="AK12" s="105"/>
      <c r="AL12" s="105"/>
      <c r="AM12" s="203"/>
      <c r="AN12" s="105"/>
      <c r="AO12" s="105"/>
      <c r="AP12" s="105"/>
      <c r="AQ12" s="105"/>
      <c r="AR12" s="203"/>
      <c r="AS12" s="105"/>
      <c r="AT12" s="105"/>
      <c r="AU12" s="105"/>
      <c r="AV12" s="105"/>
      <c r="AW12" s="203"/>
      <c r="AX12" s="105"/>
      <c r="AY12" s="105"/>
      <c r="AZ12" s="105"/>
      <c r="BA12" s="105"/>
      <c r="BB12" s="203"/>
    </row>
    <row r="13" spans="2:54" outlineLevel="1" x14ac:dyDescent="0.15">
      <c r="B13" s="91"/>
      <c r="C13" s="264"/>
      <c r="D13" s="266"/>
      <c r="E13" s="288"/>
      <c r="F13" s="288"/>
      <c r="G13" s="288"/>
      <c r="H13" s="288"/>
      <c r="I13" s="289"/>
      <c r="J13" s="288"/>
      <c r="K13" s="288"/>
      <c r="L13" s="288"/>
      <c r="M13" s="288"/>
      <c r="N13" s="289"/>
      <c r="O13" s="288"/>
      <c r="P13" s="288"/>
      <c r="Q13" s="288"/>
      <c r="R13" s="288"/>
      <c r="S13" s="289"/>
      <c r="T13" s="288"/>
      <c r="U13" s="288"/>
      <c r="V13" s="288"/>
      <c r="W13" s="288"/>
      <c r="X13" s="289"/>
      <c r="Y13" s="288"/>
      <c r="Z13" s="288"/>
      <c r="AA13" s="288"/>
      <c r="AB13" s="290"/>
      <c r="AC13" s="289"/>
      <c r="AD13" s="105">
        <f>AD15+AD19+AD23+AD27+AD31</f>
        <v>1</v>
      </c>
      <c r="AE13" s="105">
        <f t="shared" ref="AE13:AG13" si="17">AE15+AE19+AE23+AE27+AE31</f>
        <v>1</v>
      </c>
      <c r="AF13" s="105">
        <f t="shared" si="17"/>
        <v>1</v>
      </c>
      <c r="AG13" s="105">
        <f t="shared" si="17"/>
        <v>1</v>
      </c>
      <c r="AH13" s="203"/>
      <c r="AI13" s="105">
        <f>AI15+AI19+AI23+AI27+AI31</f>
        <v>1</v>
      </c>
      <c r="AJ13" s="105">
        <f t="shared" ref="AJ13:AL13" si="18">AJ15+AJ19+AJ23+AJ27+AJ31</f>
        <v>1</v>
      </c>
      <c r="AK13" s="105">
        <f t="shared" si="18"/>
        <v>1</v>
      </c>
      <c r="AL13" s="105">
        <f t="shared" si="18"/>
        <v>1</v>
      </c>
      <c r="AM13" s="203"/>
      <c r="AN13" s="105">
        <f>AN15+AN19+AN23+AN27+AN31</f>
        <v>1</v>
      </c>
      <c r="AO13" s="105">
        <f t="shared" ref="AO13:AQ13" si="19">AO15+AO19+AO23+AO27+AO31</f>
        <v>1</v>
      </c>
      <c r="AP13" s="105">
        <f t="shared" si="19"/>
        <v>1</v>
      </c>
      <c r="AQ13" s="105">
        <f t="shared" si="19"/>
        <v>1</v>
      </c>
      <c r="AR13" s="203"/>
      <c r="AS13" s="105">
        <f>AS15+AS19+AS23+AS27+AS31</f>
        <v>1</v>
      </c>
      <c r="AT13" s="105">
        <f t="shared" ref="AT13:AV13" si="20">AT15+AT19+AT23+AT27+AT31</f>
        <v>1</v>
      </c>
      <c r="AU13" s="105">
        <f t="shared" si="20"/>
        <v>1</v>
      </c>
      <c r="AV13" s="105">
        <f t="shared" si="20"/>
        <v>1</v>
      </c>
      <c r="AW13" s="203"/>
      <c r="AX13" s="105">
        <f>AX15+AX19+AX23+AX27+AX31</f>
        <v>1</v>
      </c>
      <c r="AY13" s="105">
        <f t="shared" ref="AY13:BA13" si="21">AY15+AY19+AY23+AY27+AY31</f>
        <v>1</v>
      </c>
      <c r="AZ13" s="105">
        <f t="shared" si="21"/>
        <v>1</v>
      </c>
      <c r="BA13" s="105">
        <f t="shared" si="21"/>
        <v>1</v>
      </c>
      <c r="BB13" s="203"/>
    </row>
    <row r="14" spans="2:54" outlineLevel="1" x14ac:dyDescent="0.15">
      <c r="B14" s="195" t="s">
        <v>35</v>
      </c>
      <c r="C14" s="198">
        <f>(AC14/I14)^(1/4)-1</f>
        <v>0.57389755957099409</v>
      </c>
      <c r="D14" s="199">
        <f>(BB14/AC14)^(1/4)-1</f>
        <v>0.36088436109708222</v>
      </c>
      <c r="E14" s="201">
        <v>0</v>
      </c>
      <c r="F14" s="201">
        <v>243.831488363077</v>
      </c>
      <c r="G14" s="201">
        <v>448.78486856053797</v>
      </c>
      <c r="H14" s="201">
        <v>575.58985367307696</v>
      </c>
      <c r="I14" s="203">
        <f>SUM(E14:H14)</f>
        <v>1268.206210596692</v>
      </c>
      <c r="J14" s="201">
        <v>143.52117017765599</v>
      </c>
      <c r="K14" s="201">
        <v>796.00147056000003</v>
      </c>
      <c r="L14" s="201">
        <v>604.86703055769203</v>
      </c>
      <c r="M14" s="201">
        <v>663.92129282509097</v>
      </c>
      <c r="N14" s="203">
        <f>SUM(J14:M14)</f>
        <v>2208.3109641204392</v>
      </c>
      <c r="O14" s="201">
        <v>421.99037167031202</v>
      </c>
      <c r="P14" s="201">
        <v>852.60133752769195</v>
      </c>
      <c r="Q14" s="201">
        <v>827.56036813963601</v>
      </c>
      <c r="R14" s="201">
        <v>1005.29553245727</v>
      </c>
      <c r="S14" s="203">
        <f>SUM(O14:R14)</f>
        <v>3107.44760979491</v>
      </c>
      <c r="T14" s="201">
        <v>384.44086283815398</v>
      </c>
      <c r="U14" s="201">
        <v>1046.4952976412001</v>
      </c>
      <c r="V14" s="201">
        <v>2385.73957540025</v>
      </c>
      <c r="W14" s="201">
        <v>1373.54765167964</v>
      </c>
      <c r="X14" s="203">
        <f>SUM(T14:W14)</f>
        <v>5190.2233875592437</v>
      </c>
      <c r="Y14" s="201">
        <v>1355.6253524220001</v>
      </c>
      <c r="Z14" s="201">
        <v>1600.02945189415</v>
      </c>
      <c r="AA14" s="201">
        <v>2608.4810508923101</v>
      </c>
      <c r="AB14" s="285">
        <f>AB$9*AB15</f>
        <v>2217.9447273061937</v>
      </c>
      <c r="AC14" s="203">
        <f>SUM(Y14:AB14)</f>
        <v>7782.0805825146545</v>
      </c>
      <c r="AD14" s="285">
        <f>AD$9*AD15</f>
        <v>2917.0472433008226</v>
      </c>
      <c r="AE14" s="243">
        <f>AE$9*AE15</f>
        <v>2879.4124528037055</v>
      </c>
      <c r="AF14" s="243">
        <f>AF$9*AF15</f>
        <v>3620.1122276559281</v>
      </c>
      <c r="AG14" s="243">
        <f>AG$9*AG15</f>
        <v>3101.4112460505926</v>
      </c>
      <c r="AH14" s="203">
        <f>SUM(AD14:AG14)</f>
        <v>12517.98316981105</v>
      </c>
      <c r="AI14" s="285">
        <f>AI$9*AI15</f>
        <v>3469.2138658960853</v>
      </c>
      <c r="AJ14" s="243">
        <f>AJ$9*AJ15</f>
        <v>3585.7825766502715</v>
      </c>
      <c r="AK14" s="243">
        <f>AK$9*AK15</f>
        <v>4441.0029755103888</v>
      </c>
      <c r="AL14" s="243">
        <f>AL$9*AL15</f>
        <v>3836.5852686668477</v>
      </c>
      <c r="AM14" s="203">
        <f>SUM(AI14:AL14)</f>
        <v>15332.584686723592</v>
      </c>
      <c r="AN14" s="285">
        <f>AN$9*AN15</f>
        <v>4093.6778806830334</v>
      </c>
      <c r="AO14" s="243">
        <f>AO$9*AO15</f>
        <v>4345.6239096721692</v>
      </c>
      <c r="AP14" s="243">
        <f>AP$9*AP15</f>
        <v>5304.6066696702219</v>
      </c>
      <c r="AQ14" s="243">
        <f>AQ$9*AQ15</f>
        <v>4619.7441753563671</v>
      </c>
      <c r="AR14" s="203">
        <f>SUM(AN14:AQ14)</f>
        <v>18363.65263538179</v>
      </c>
      <c r="AS14" s="285">
        <f>AS$9*AS15</f>
        <v>4908.7932790398563</v>
      </c>
      <c r="AT14" s="243">
        <f>AT$9*AT15</f>
        <v>5351.7868370984988</v>
      </c>
      <c r="AU14" s="243">
        <f>AU$9*AU15</f>
        <v>6438.7830785515334</v>
      </c>
      <c r="AV14" s="243">
        <f>AV$9*AV15</f>
        <v>5652.8763048613882</v>
      </c>
      <c r="AW14" s="203">
        <f>SUM(AS14:AV14)</f>
        <v>22352.239499551277</v>
      </c>
      <c r="AX14" s="285">
        <f>AX$9*AX15</f>
        <v>5774.2259351249895</v>
      </c>
      <c r="AY14" s="243">
        <f>AY$9*AY15</f>
        <v>6465.5195479334952</v>
      </c>
      <c r="AZ14" s="243">
        <f>AZ$9*AZ15</f>
        <v>7666.7685704699261</v>
      </c>
      <c r="BA14" s="243">
        <f>BA$9*BA15</f>
        <v>6785.455255311882</v>
      </c>
      <c r="BB14" s="203">
        <f>SUM(AX14:BA14)</f>
        <v>26691.969308840293</v>
      </c>
    </row>
    <row r="15" spans="2:54" outlineLevel="1" x14ac:dyDescent="0.15">
      <c r="B15" s="91" t="s">
        <v>39</v>
      </c>
      <c r="C15" s="196"/>
      <c r="D15" s="197"/>
      <c r="E15" s="118">
        <f>E14/E$9</f>
        <v>0</v>
      </c>
      <c r="F15" s="118">
        <f>F14/F$9</f>
        <v>0.10538498144094419</v>
      </c>
      <c r="G15" s="118">
        <f>G14/G$9</f>
        <v>0.15607134101495426</v>
      </c>
      <c r="H15" s="118">
        <f>H14/H$9</f>
        <v>0.19087837837837851</v>
      </c>
      <c r="I15" s="203"/>
      <c r="J15" s="118">
        <f>J14/J$9</f>
        <v>5.1089277899343449E-2</v>
      </c>
      <c r="K15" s="118">
        <f>K14/K$9</f>
        <v>0.24364326375711573</v>
      </c>
      <c r="L15" s="118">
        <f>L14/L$9</f>
        <v>0.1873671697705411</v>
      </c>
      <c r="M15" s="118">
        <f>M14/M$9</f>
        <v>0.18514940334128879</v>
      </c>
      <c r="N15" s="203"/>
      <c r="O15" s="118">
        <f>O14/O$9</f>
        <v>0.16670255720053853</v>
      </c>
      <c r="P15" s="118">
        <f>P14/P$9</f>
        <v>0.29550527668522913</v>
      </c>
      <c r="Q15" s="118">
        <f>Q14/Q$9</f>
        <v>0.24918533400301324</v>
      </c>
      <c r="R15" s="118">
        <f>R14/R$9</f>
        <v>0.224930509104422</v>
      </c>
      <c r="S15" s="203"/>
      <c r="T15" s="118">
        <f>T14/T$9</f>
        <v>0.14278456117348193</v>
      </c>
      <c r="U15" s="118">
        <f>U14/U$9</f>
        <v>0.28597107375890796</v>
      </c>
      <c r="V15" s="118">
        <f>V14/V$9</f>
        <v>0.51619403739262337</v>
      </c>
      <c r="W15" s="118">
        <f>W14/W$9</f>
        <v>0.27065372229143686</v>
      </c>
      <c r="X15" s="203"/>
      <c r="Y15" s="118">
        <f>Y14/Y$9</f>
        <v>0.25811040582964778</v>
      </c>
      <c r="Z15" s="118">
        <f>Z14/Z$9</f>
        <v>0.33016267847370745</v>
      </c>
      <c r="AA15" s="118">
        <f>AA14/AA$9</f>
        <v>0.42576923076923079</v>
      </c>
      <c r="AB15" s="259">
        <f>AA15</f>
        <v>0.42576923076923079</v>
      </c>
      <c r="AC15" s="203"/>
      <c r="AD15" s="105">
        <v>0.48</v>
      </c>
      <c r="AE15" s="105">
        <v>0.48</v>
      </c>
      <c r="AF15" s="105">
        <v>0.48</v>
      </c>
      <c r="AG15" s="105">
        <v>0.48</v>
      </c>
      <c r="AH15" s="203"/>
      <c r="AI15" s="105">
        <v>0.53</v>
      </c>
      <c r="AJ15" s="105">
        <v>0.53</v>
      </c>
      <c r="AK15" s="105">
        <v>0.53</v>
      </c>
      <c r="AL15" s="105">
        <v>0.53</v>
      </c>
      <c r="AM15" s="203"/>
      <c r="AN15" s="105">
        <v>0.55000000000000004</v>
      </c>
      <c r="AO15" s="105">
        <v>0.55000000000000004</v>
      </c>
      <c r="AP15" s="105">
        <v>0.55000000000000004</v>
      </c>
      <c r="AQ15" s="105">
        <v>0.55000000000000004</v>
      </c>
      <c r="AR15" s="203"/>
      <c r="AS15" s="105">
        <v>0.57999999999999996</v>
      </c>
      <c r="AT15" s="105">
        <v>0.57999999999999996</v>
      </c>
      <c r="AU15" s="105">
        <v>0.57999999999999996</v>
      </c>
      <c r="AV15" s="105">
        <v>0.57999999999999996</v>
      </c>
      <c r="AW15" s="203"/>
      <c r="AX15" s="105">
        <v>0.6</v>
      </c>
      <c r="AY15" s="105">
        <v>0.6</v>
      </c>
      <c r="AZ15" s="105">
        <v>0.6</v>
      </c>
      <c r="BA15" s="105">
        <v>0.6</v>
      </c>
      <c r="BB15" s="203"/>
    </row>
    <row r="16" spans="2:54" outlineLevel="1" x14ac:dyDescent="0.15">
      <c r="B16" s="91" t="s">
        <v>38</v>
      </c>
      <c r="C16" s="196"/>
      <c r="D16" s="197"/>
      <c r="E16" s="118"/>
      <c r="F16" s="118"/>
      <c r="G16" s="118"/>
      <c r="H16" s="118"/>
      <c r="I16" s="203"/>
      <c r="J16" s="118"/>
      <c r="K16" s="118">
        <f>K14/F14-1</f>
        <v>2.2645556810723106</v>
      </c>
      <c r="L16" s="118">
        <f>L14/G14-1</f>
        <v>0.34778837909081517</v>
      </c>
      <c r="M16" s="118">
        <f>M14/H14-1</f>
        <v>0.15346246739468139</v>
      </c>
      <c r="N16" s="203"/>
      <c r="O16" s="118">
        <f>O14/J14-1</f>
        <v>1.9402656844837329</v>
      </c>
      <c r="P16" s="118">
        <f>P14/K14-1</f>
        <v>7.1105229149731386E-2</v>
      </c>
      <c r="Q16" s="118">
        <f>Q14/L14-1</f>
        <v>0.36816907903976692</v>
      </c>
      <c r="R16" s="118">
        <f>R14/M14-1</f>
        <v>0.51417877890250696</v>
      </c>
      <c r="S16" s="203"/>
      <c r="T16" s="118">
        <f>T14/O14-1</f>
        <v>-8.898190895571978E-2</v>
      </c>
      <c r="U16" s="118">
        <f>U14/P14-1</f>
        <v>0.2274145624445616</v>
      </c>
      <c r="V16" s="118">
        <f>V14/Q14-1</f>
        <v>1.8828586617353564</v>
      </c>
      <c r="W16" s="118">
        <f>W14/R14-1</f>
        <v>0.36631230054533481</v>
      </c>
      <c r="X16" s="203"/>
      <c r="Y16" s="118">
        <f>Y14/T14-1</f>
        <v>2.5262259646751071</v>
      </c>
      <c r="Z16" s="118">
        <f>Z14/U14-1</f>
        <v>0.52894089013167633</v>
      </c>
      <c r="AA16" s="118">
        <f>AA14/V14-1</f>
        <v>9.3363700627169699E-2</v>
      </c>
      <c r="AB16" s="259"/>
      <c r="AC16" s="203"/>
      <c r="AD16" s="105"/>
      <c r="AE16" s="105"/>
      <c r="AF16" s="105"/>
      <c r="AG16" s="105"/>
      <c r="AH16" s="203"/>
      <c r="AI16" s="105"/>
      <c r="AJ16" s="105"/>
      <c r="AK16" s="105"/>
      <c r="AL16" s="105"/>
      <c r="AM16" s="203"/>
      <c r="AN16" s="105"/>
      <c r="AO16" s="105"/>
      <c r="AP16" s="105"/>
      <c r="AQ16" s="105"/>
      <c r="AR16" s="203"/>
      <c r="AS16" s="105"/>
      <c r="AT16" s="105"/>
      <c r="AU16" s="105"/>
      <c r="AV16" s="105"/>
      <c r="AW16" s="203"/>
      <c r="AX16" s="105"/>
      <c r="AY16" s="105"/>
      <c r="AZ16" s="105"/>
      <c r="BA16" s="105"/>
      <c r="BB16" s="203"/>
    </row>
    <row r="17" spans="2:54" outlineLevel="1" x14ac:dyDescent="0.15">
      <c r="B17" s="91"/>
      <c r="C17" s="196"/>
      <c r="D17" s="197"/>
      <c r="E17" s="118"/>
      <c r="F17" s="118"/>
      <c r="G17" s="118"/>
      <c r="H17" s="118"/>
      <c r="I17" s="203"/>
      <c r="J17" s="118"/>
      <c r="K17" s="118"/>
      <c r="L17" s="118"/>
      <c r="M17" s="118"/>
      <c r="N17" s="203"/>
      <c r="O17" s="118"/>
      <c r="P17" s="118"/>
      <c r="Q17" s="118"/>
      <c r="R17" s="118"/>
      <c r="S17" s="203"/>
      <c r="T17" s="118"/>
      <c r="U17" s="118"/>
      <c r="V17" s="118"/>
      <c r="W17" s="118"/>
      <c r="X17" s="203"/>
      <c r="Y17" s="118"/>
      <c r="Z17" s="118"/>
      <c r="AA17" s="118"/>
      <c r="AC17" s="203"/>
      <c r="AH17" s="203"/>
      <c r="AM17" s="203"/>
      <c r="AR17" s="203"/>
      <c r="AW17" s="203"/>
      <c r="BB17" s="203"/>
    </row>
    <row r="18" spans="2:54" outlineLevel="1" x14ac:dyDescent="0.15">
      <c r="B18" s="195" t="s">
        <v>43</v>
      </c>
      <c r="C18" s="198">
        <f>(AC18/I18)^(1/4)-1</f>
        <v>7.2058276200190896E-2</v>
      </c>
      <c r="D18" s="199">
        <f>(BB18/AC18)^(1/4)-1</f>
        <v>8.7549572157253452E-2</v>
      </c>
      <c r="E18" s="106">
        <v>1023.3691087240625</v>
      </c>
      <c r="F18" s="106">
        <v>1021.0443575203839</v>
      </c>
      <c r="G18" s="106">
        <v>1389.0960217350046</v>
      </c>
      <c r="H18" s="106">
        <v>1381.4156488153824</v>
      </c>
      <c r="I18" s="203">
        <f>SUM(E18:H18)</f>
        <v>4814.9251367948327</v>
      </c>
      <c r="J18" s="106">
        <v>1558.2298476431249</v>
      </c>
      <c r="K18" s="106">
        <v>1318.377435615</v>
      </c>
      <c r="L18" s="106">
        <v>1475.8755545607733</v>
      </c>
      <c r="M18" s="106">
        <v>1659.8032320627265</v>
      </c>
      <c r="N18" s="203">
        <f>SUM(J18:M18)</f>
        <v>6012.2860698816239</v>
      </c>
      <c r="O18" s="106">
        <v>1227.608353949995</v>
      </c>
      <c r="P18" s="106">
        <v>894.19164667538428</v>
      </c>
      <c r="Q18" s="106">
        <v>1499.953167253095</v>
      </c>
      <c r="R18" s="106">
        <v>2079.9217912909071</v>
      </c>
      <c r="S18" s="203">
        <f>SUM(O18:R18)</f>
        <v>5701.6749591693815</v>
      </c>
      <c r="T18" s="106">
        <v>1031.000495793231</v>
      </c>
      <c r="U18" s="106">
        <v>1234.3277869614139</v>
      </c>
      <c r="V18" s="106">
        <v>795.24652513341505</v>
      </c>
      <c r="W18" s="106">
        <v>1869.550970341732</v>
      </c>
      <c r="X18" s="203">
        <f>SUM(T18:W18)</f>
        <v>4930.1257782297926</v>
      </c>
      <c r="Y18" s="106">
        <v>1845.1567296855001</v>
      </c>
      <c r="Z18" s="106">
        <v>1386.6921916416022</v>
      </c>
      <c r="AA18" s="106">
        <v>1690.6821626153819</v>
      </c>
      <c r="AB18" s="285">
        <f>$AB$9*AB19</f>
        <v>1437.5567676984551</v>
      </c>
      <c r="AC18" s="203">
        <f>SUM(Y18:AB18)</f>
        <v>6360.0878516409393</v>
      </c>
      <c r="AD18" s="285">
        <f>AD$9*AD19</f>
        <v>1519.2954392191784</v>
      </c>
      <c r="AE18" s="243">
        <f>AE$9*AE19</f>
        <v>1499.6939858352634</v>
      </c>
      <c r="AF18" s="243">
        <f>AF$9*AF19</f>
        <v>1885.475118570796</v>
      </c>
      <c r="AG18" s="243">
        <f>AG$9*AG19</f>
        <v>1615.318357318017</v>
      </c>
      <c r="AH18" s="203">
        <f>SUM(AD18:AG18)</f>
        <v>6519.7829009432544</v>
      </c>
      <c r="AI18" s="285">
        <f>AI$9*AI19</f>
        <v>1570.9647694623782</v>
      </c>
      <c r="AJ18" s="243">
        <f>AJ$9*AJ19</f>
        <v>1623.7506007472925</v>
      </c>
      <c r="AK18" s="243">
        <f>AK$9*AK19</f>
        <v>2011.020215325459</v>
      </c>
      <c r="AL18" s="243">
        <f>AL$9*AL19</f>
        <v>1737.3216310944215</v>
      </c>
      <c r="AM18" s="203">
        <f>SUM(AI18:AL18)</f>
        <v>6943.0572166295515</v>
      </c>
      <c r="AN18" s="285">
        <f>AN$9*AN19</f>
        <v>1786.3321661162327</v>
      </c>
      <c r="AO18" s="243">
        <f>AO$9*AO19</f>
        <v>1896.2722514933098</v>
      </c>
      <c r="AP18" s="243">
        <f>AP$9*AP19</f>
        <v>2314.7374558560969</v>
      </c>
      <c r="AQ18" s="243">
        <f>AQ$9*AQ19</f>
        <v>2015.8883674282329</v>
      </c>
      <c r="AR18" s="203">
        <f>SUM(AN18:AQ18)</f>
        <v>8013.2302408938722</v>
      </c>
      <c r="AS18" s="285">
        <f>AS$9*AS19</f>
        <v>1861.9560713599456</v>
      </c>
      <c r="AT18" s="243">
        <f>AT$9*AT19</f>
        <v>2029.9881106235689</v>
      </c>
      <c r="AU18" s="243">
        <f>AU$9*AU19</f>
        <v>2442.2970297954093</v>
      </c>
      <c r="AV18" s="243">
        <f>AV$9*AV19</f>
        <v>2144.1944604646646</v>
      </c>
      <c r="AW18" s="203">
        <f>SUM(AS18:AV18)</f>
        <v>8478.4356722435896</v>
      </c>
      <c r="AX18" s="285">
        <f>AX$9*AX19</f>
        <v>1924.7419783749967</v>
      </c>
      <c r="AY18" s="243">
        <f>AY$9*AY19</f>
        <v>2155.1731826444989</v>
      </c>
      <c r="AZ18" s="243">
        <f>AZ$9*AZ19</f>
        <v>2555.5895234899758</v>
      </c>
      <c r="BA18" s="243">
        <f>BA$9*BA19</f>
        <v>2261.8184184372944</v>
      </c>
      <c r="BB18" s="203">
        <f>SUM(AX18:BA18)</f>
        <v>8897.3231029467661</v>
      </c>
    </row>
    <row r="19" spans="2:54" outlineLevel="1" x14ac:dyDescent="0.15">
      <c r="B19" s="91" t="s">
        <v>39</v>
      </c>
      <c r="C19" s="196"/>
      <c r="D19" s="197"/>
      <c r="E19" s="118">
        <f>E18/E$9</f>
        <v>0.49417678534677906</v>
      </c>
      <c r="F19" s="118">
        <f>F18/F$9</f>
        <v>0.44129960978395327</v>
      </c>
      <c r="G19" s="118">
        <f>G18/G$9</f>
        <v>0.48307796028438438</v>
      </c>
      <c r="H19" s="118">
        <f>H18/H$9</f>
        <v>0.4581081081081077</v>
      </c>
      <c r="I19" s="203"/>
      <c r="J19" s="118">
        <f>J18/J$9</f>
        <v>0.55468358862144418</v>
      </c>
      <c r="K19" s="118">
        <f>K18/K$9</f>
        <v>0.40353415559772293</v>
      </c>
      <c r="L19" s="118">
        <f>L18/L$9</f>
        <v>0.45717589424012173</v>
      </c>
      <c r="M19" s="118">
        <f>M18/M$9</f>
        <v>0.46287350835322172</v>
      </c>
      <c r="N19" s="203"/>
      <c r="O19" s="118">
        <f>O18/O$9</f>
        <v>0.48495289367429245</v>
      </c>
      <c r="P19" s="118">
        <f>P18/P$9</f>
        <v>0.30992016823085006</v>
      </c>
      <c r="Q19" s="118">
        <f>Q18/Q$9</f>
        <v>0.45164841788046289</v>
      </c>
      <c r="R19" s="118">
        <f>R18/R$9</f>
        <v>0.46537346711259803</v>
      </c>
      <c r="S19" s="203"/>
      <c r="T19" s="118">
        <f>T18/T$9</f>
        <v>0.38292223223797428</v>
      </c>
      <c r="U19" s="118">
        <f>U18/U$9</f>
        <v>0.33729921520281408</v>
      </c>
      <c r="V19" s="118">
        <f>V18/V$9</f>
        <v>0.17206467913087409</v>
      </c>
      <c r="W19" s="118">
        <f>W18/W$9</f>
        <v>0.36838978867445571</v>
      </c>
      <c r="X19" s="203"/>
      <c r="Y19" s="118">
        <f>Y18/Y$9</f>
        <v>0.35131694126813173</v>
      </c>
      <c r="Z19" s="118">
        <f>Z18/Z$9</f>
        <v>0.2861409880105476</v>
      </c>
      <c r="AA19" s="118">
        <f>AA18/AA$9</f>
        <v>0.27596153846153776</v>
      </c>
      <c r="AB19" s="259">
        <f>AA19</f>
        <v>0.27596153846153776</v>
      </c>
      <c r="AC19" s="203"/>
      <c r="AD19" s="105">
        <v>0.25</v>
      </c>
      <c r="AE19" s="105">
        <v>0.25</v>
      </c>
      <c r="AF19" s="105">
        <v>0.25</v>
      </c>
      <c r="AG19" s="105">
        <v>0.25</v>
      </c>
      <c r="AH19" s="203"/>
      <c r="AI19" s="105">
        <v>0.24</v>
      </c>
      <c r="AJ19" s="105">
        <v>0.24</v>
      </c>
      <c r="AK19" s="105">
        <v>0.24</v>
      </c>
      <c r="AL19" s="105">
        <v>0.24</v>
      </c>
      <c r="AM19" s="203"/>
      <c r="AN19" s="105">
        <v>0.24</v>
      </c>
      <c r="AO19" s="105">
        <v>0.24</v>
      </c>
      <c r="AP19" s="105">
        <v>0.24</v>
      </c>
      <c r="AQ19" s="105">
        <v>0.24</v>
      </c>
      <c r="AR19" s="203"/>
      <c r="AS19" s="105">
        <v>0.22</v>
      </c>
      <c r="AT19" s="105">
        <v>0.22</v>
      </c>
      <c r="AU19" s="105">
        <v>0.22</v>
      </c>
      <c r="AV19" s="105">
        <v>0.22</v>
      </c>
      <c r="AW19" s="203"/>
      <c r="AX19" s="105">
        <v>0.2</v>
      </c>
      <c r="AY19" s="105">
        <v>0.2</v>
      </c>
      <c r="AZ19" s="105">
        <v>0.2</v>
      </c>
      <c r="BA19" s="105">
        <v>0.2</v>
      </c>
      <c r="BB19" s="203"/>
    </row>
    <row r="20" spans="2:54" outlineLevel="1" x14ac:dyDescent="0.15">
      <c r="B20" s="91" t="s">
        <v>38</v>
      </c>
      <c r="C20" s="196"/>
      <c r="D20" s="197"/>
      <c r="E20" s="118"/>
      <c r="F20" s="118"/>
      <c r="G20" s="118"/>
      <c r="H20" s="118"/>
      <c r="I20" s="203"/>
      <c r="J20" s="118">
        <f>J18/E18-1</f>
        <v>0.52264694562251091</v>
      </c>
      <c r="K20" s="118">
        <f t="shared" ref="K20:M20" si="22">K18/F18-1</f>
        <v>0.29120485893158676</v>
      </c>
      <c r="L20" s="118">
        <f t="shared" si="22"/>
        <v>6.2471946840204406E-2</v>
      </c>
      <c r="M20" s="118">
        <f t="shared" si="22"/>
        <v>0.20152340353612774</v>
      </c>
      <c r="N20" s="203"/>
      <c r="O20" s="118">
        <f>O18/J18-1</f>
        <v>-0.2121776156407259</v>
      </c>
      <c r="P20" s="118">
        <f t="shared" ref="P20" si="23">P18/K18-1</f>
        <v>-0.32174836847214427</v>
      </c>
      <c r="Q20" s="118">
        <f t="shared" ref="Q20" si="24">Q18/L18-1</f>
        <v>1.6314121212941624E-2</v>
      </c>
      <c r="R20" s="118">
        <f t="shared" ref="R20" si="25">R18/M18-1</f>
        <v>0.2531134721951811</v>
      </c>
      <c r="S20" s="203"/>
      <c r="T20" s="118">
        <f>T18/O18-1</f>
        <v>-0.16015519731855177</v>
      </c>
      <c r="U20" s="118">
        <f t="shared" ref="U20" si="26">U18/P18-1</f>
        <v>0.38038393844391205</v>
      </c>
      <c r="V20" s="118">
        <f t="shared" ref="V20" si="27">V18/Q18-1</f>
        <v>-0.469819096692351</v>
      </c>
      <c r="W20" s="118">
        <f t="shared" ref="W20" si="28">W18/R18-1</f>
        <v>-0.10114362079864947</v>
      </c>
      <c r="X20" s="203"/>
      <c r="Y20" s="118">
        <f t="shared" ref="Y20" si="29">Y18/T18-1</f>
        <v>0.7896758897927334</v>
      </c>
      <c r="Z20" s="118">
        <f t="shared" ref="Z20" si="30">Z18/U18-1</f>
        <v>0.12343917579241159</v>
      </c>
      <c r="AA20" s="118">
        <f t="shared" ref="AA20" si="31">AA18/V18-1</f>
        <v>1.1259849734417178</v>
      </c>
      <c r="AB20" s="259"/>
      <c r="AC20" s="203"/>
      <c r="AD20" s="105"/>
      <c r="AE20" s="105"/>
      <c r="AF20" s="105"/>
      <c r="AG20" s="105"/>
      <c r="AH20" s="203"/>
      <c r="AI20" s="105"/>
      <c r="AJ20" s="105"/>
      <c r="AK20" s="105"/>
      <c r="AL20" s="105"/>
      <c r="AM20" s="203"/>
      <c r="AN20" s="105"/>
      <c r="AO20" s="105"/>
      <c r="AP20" s="105"/>
      <c r="AQ20" s="105"/>
      <c r="AR20" s="203"/>
      <c r="AS20" s="105"/>
      <c r="AT20" s="105"/>
      <c r="AU20" s="105"/>
      <c r="AV20" s="105"/>
      <c r="AW20" s="203"/>
      <c r="AX20" s="105"/>
      <c r="AY20" s="105"/>
      <c r="AZ20" s="105"/>
      <c r="BA20" s="105"/>
      <c r="BB20" s="203"/>
    </row>
    <row r="21" spans="2:54" outlineLevel="1" x14ac:dyDescent="0.15">
      <c r="B21" s="91"/>
      <c r="C21" s="196"/>
      <c r="D21" s="197"/>
      <c r="E21" s="118"/>
      <c r="F21" s="118"/>
      <c r="G21" s="118"/>
      <c r="H21" s="118"/>
      <c r="I21" s="203"/>
      <c r="J21" s="118"/>
      <c r="K21" s="118"/>
      <c r="L21" s="118"/>
      <c r="M21" s="118"/>
      <c r="N21" s="203"/>
      <c r="O21" s="118"/>
      <c r="P21" s="118"/>
      <c r="Q21" s="118"/>
      <c r="R21" s="118"/>
      <c r="S21" s="203"/>
      <c r="T21" s="118"/>
      <c r="U21" s="118"/>
      <c r="V21" s="118"/>
      <c r="W21" s="118"/>
      <c r="X21" s="203"/>
      <c r="Y21" s="118"/>
      <c r="Z21" s="118"/>
      <c r="AA21" s="118"/>
      <c r="AC21" s="203"/>
      <c r="AH21" s="203"/>
      <c r="AM21" s="203"/>
      <c r="AR21" s="203"/>
      <c r="AW21" s="203"/>
      <c r="BB21" s="203"/>
    </row>
    <row r="22" spans="2:54" outlineLevel="1" x14ac:dyDescent="0.15">
      <c r="B22" s="195" t="s">
        <v>42</v>
      </c>
      <c r="C22" s="198">
        <f>(AC22/I22)^(1/4)-1</f>
        <v>0.16553704658292889</v>
      </c>
      <c r="D22" s="199">
        <f>(BB22/AC22)^(1/4)-1</f>
        <v>-1.7282050875799593E-2</v>
      </c>
      <c r="E22" s="106">
        <v>194.31059026406299</v>
      </c>
      <c r="F22" s="106">
        <v>137.15521220423099</v>
      </c>
      <c r="G22" s="106">
        <v>213.70708026692299</v>
      </c>
      <c r="H22" s="106">
        <v>230.23594146923099</v>
      </c>
      <c r="I22" s="203">
        <f>SUM(E22:H22)</f>
        <v>775.40882420444791</v>
      </c>
      <c r="J22" s="106">
        <v>287.042340355313</v>
      </c>
      <c r="K22" s="106">
        <v>248.75045954999999</v>
      </c>
      <c r="L22" s="106">
        <v>217.752131000769</v>
      </c>
      <c r="M22" s="106">
        <v>276.63387201045498</v>
      </c>
      <c r="N22" s="203">
        <f>SUM(J22:M22)</f>
        <v>1030.1788029165371</v>
      </c>
      <c r="O22" s="106">
        <v>172.632424774219</v>
      </c>
      <c r="P22" s="106">
        <v>228.74670031230801</v>
      </c>
      <c r="Q22" s="106">
        <v>155.16756902618201</v>
      </c>
      <c r="R22" s="106">
        <v>207.992179129091</v>
      </c>
      <c r="S22" s="203">
        <f>SUM(O22:R22)</f>
        <v>764.53887324180005</v>
      </c>
      <c r="T22" s="106">
        <v>227.16960076800001</v>
      </c>
      <c r="U22" s="106">
        <v>268.33212760030801</v>
      </c>
      <c r="V22" s="106">
        <v>289.18055459396902</v>
      </c>
      <c r="W22" s="106">
        <v>419.69511579099998</v>
      </c>
      <c r="X22" s="203">
        <f>SUM(T22:W22)</f>
        <v>1204.377398753277</v>
      </c>
      <c r="Y22" s="106">
        <v>414.21885768449999</v>
      </c>
      <c r="Z22" s="106">
        <v>391.11831046301501</v>
      </c>
      <c r="AA22" s="106">
        <v>338.13643252307702</v>
      </c>
      <c r="AB22" s="285">
        <f>$AB$9*AB23</f>
        <v>287.51135353969158</v>
      </c>
      <c r="AC22" s="203">
        <f>SUM(Y22:AB22)</f>
        <v>1430.9849542102836</v>
      </c>
      <c r="AD22" s="285">
        <f>AD$9*AD23</f>
        <v>243.08727027506856</v>
      </c>
      <c r="AE22" s="243">
        <f>AE$9*AE23</f>
        <v>239.95103773364215</v>
      </c>
      <c r="AF22" s="243">
        <f>AF$9*AF23</f>
        <v>301.67601897132738</v>
      </c>
      <c r="AG22" s="243">
        <f>AG$9*AG23</f>
        <v>258.4509371708827</v>
      </c>
      <c r="AH22" s="203">
        <f>SUM(AD22:AG22)</f>
        <v>1043.1652641509208</v>
      </c>
      <c r="AI22" s="285">
        <f>AI$9*AI23</f>
        <v>196.37059618279727</v>
      </c>
      <c r="AJ22" s="243">
        <f>AJ$9*AJ23</f>
        <v>202.96882509341157</v>
      </c>
      <c r="AK22" s="243">
        <f>AK$9*AK23</f>
        <v>251.37752691568238</v>
      </c>
      <c r="AL22" s="243">
        <f>AL$9*AL23</f>
        <v>217.16520388680269</v>
      </c>
      <c r="AM22" s="203">
        <f>SUM(AI22:AL22)</f>
        <v>867.88215207869393</v>
      </c>
      <c r="AN22" s="285">
        <f>AN$9*AN23</f>
        <v>148.86101384301941</v>
      </c>
      <c r="AO22" s="243">
        <f>AO$9*AO23</f>
        <v>158.02268762444251</v>
      </c>
      <c r="AP22" s="243">
        <f>AP$9*AP23</f>
        <v>192.89478798800806</v>
      </c>
      <c r="AQ22" s="243">
        <f>AQ$9*AQ23</f>
        <v>167.99069728568608</v>
      </c>
      <c r="AR22" s="203">
        <f>SUM(AN22:AQ22)</f>
        <v>667.76918674115609</v>
      </c>
      <c r="AS22" s="285">
        <f>AS$9*AS23</f>
        <v>253.90310063999257</v>
      </c>
      <c r="AT22" s="243">
        <f>AT$9*AT23</f>
        <v>276.81656053957755</v>
      </c>
      <c r="AU22" s="243">
        <f>AU$9*AU23</f>
        <v>333.04050406301036</v>
      </c>
      <c r="AV22" s="243">
        <f>AV$9*AV23</f>
        <v>292.39015369972697</v>
      </c>
      <c r="AW22" s="203">
        <f>SUM(AS22:AV22)</f>
        <v>1156.1503189423074</v>
      </c>
      <c r="AX22" s="285">
        <f>AX$9*AX23</f>
        <v>288.71129675624951</v>
      </c>
      <c r="AY22" s="243">
        <f>AY$9*AY23</f>
        <v>323.27597739667476</v>
      </c>
      <c r="AZ22" s="243">
        <f>AZ$9*AZ23</f>
        <v>383.3384285234963</v>
      </c>
      <c r="BA22" s="243">
        <f>BA$9*BA23</f>
        <v>339.27276276559411</v>
      </c>
      <c r="BB22" s="203">
        <f>SUM(AX22:BA22)</f>
        <v>1334.5984654420147</v>
      </c>
    </row>
    <row r="23" spans="2:54" outlineLevel="1" x14ac:dyDescent="0.15">
      <c r="B23" s="91" t="s">
        <v>39</v>
      </c>
      <c r="C23" s="196"/>
      <c r="D23" s="197"/>
      <c r="E23" s="118">
        <f>E22/E$9</f>
        <v>9.3831035192426637E-2</v>
      </c>
      <c r="F23" s="118">
        <f>F22/F$9</f>
        <v>5.9279052060531183E-2</v>
      </c>
      <c r="G23" s="118">
        <f>G22/G$9</f>
        <v>7.4319686197597323E-2</v>
      </c>
      <c r="H23" s="118">
        <f>H22/H$9</f>
        <v>7.6351351351351474E-2</v>
      </c>
      <c r="I23" s="203"/>
      <c r="J23" s="118">
        <f>J22/J$9</f>
        <v>0.10217855579868727</v>
      </c>
      <c r="K23" s="118">
        <f>K22/K$9</f>
        <v>7.613851992409866E-2</v>
      </c>
      <c r="L23" s="118">
        <f>L22/L$9</f>
        <v>6.7452181117394747E-2</v>
      </c>
      <c r="M23" s="118">
        <f>M22/M$9</f>
        <v>7.7145584725537106E-2</v>
      </c>
      <c r="N23" s="203"/>
      <c r="O23" s="118">
        <f>O22/O$9</f>
        <v>6.819650067294776E-2</v>
      </c>
      <c r="P23" s="118">
        <f>P22/P$9</f>
        <v>7.9281903500915282E-2</v>
      </c>
      <c r="Q23" s="118">
        <f>Q22/Q$9</f>
        <v>4.6722250125565058E-2</v>
      </c>
      <c r="R23" s="118">
        <f>R22/R$9</f>
        <v>4.6537346711259864E-2</v>
      </c>
      <c r="S23" s="203"/>
      <c r="T23" s="118">
        <f>T22/T$9</f>
        <v>8.4372695238875667E-2</v>
      </c>
      <c r="U23" s="118">
        <f>U22/U$9</f>
        <v>7.3325916348438019E-2</v>
      </c>
      <c r="V23" s="118">
        <f>V22/V$9</f>
        <v>6.2568974229408741E-2</v>
      </c>
      <c r="W23" s="118">
        <f>W22/W$9</f>
        <v>8.2699748477938831E-2</v>
      </c>
      <c r="X23" s="203"/>
      <c r="Y23" s="118">
        <f>Y22/Y$9</f>
        <v>7.8867068447947927E-2</v>
      </c>
      <c r="Z23" s="118">
        <f>Z22/Z$9</f>
        <v>8.0706432515795262E-2</v>
      </c>
      <c r="AA23" s="118">
        <f>AA22/AA$9</f>
        <v>5.5192307692307659E-2</v>
      </c>
      <c r="AB23" s="259">
        <f>AA23</f>
        <v>5.5192307692307659E-2</v>
      </c>
      <c r="AC23" s="203"/>
      <c r="AD23" s="105">
        <v>0.04</v>
      </c>
      <c r="AE23" s="105">
        <v>0.04</v>
      </c>
      <c r="AF23" s="105">
        <v>0.04</v>
      </c>
      <c r="AG23" s="105">
        <v>0.04</v>
      </c>
      <c r="AH23" s="203"/>
      <c r="AI23" s="105">
        <v>0.03</v>
      </c>
      <c r="AJ23" s="105">
        <v>0.03</v>
      </c>
      <c r="AK23" s="105">
        <v>0.03</v>
      </c>
      <c r="AL23" s="105">
        <v>0.03</v>
      </c>
      <c r="AM23" s="203"/>
      <c r="AN23" s="105">
        <v>0.02</v>
      </c>
      <c r="AO23" s="105">
        <v>0.02</v>
      </c>
      <c r="AP23" s="105">
        <v>0.02</v>
      </c>
      <c r="AQ23" s="105">
        <v>0.02</v>
      </c>
      <c r="AR23" s="203"/>
      <c r="AS23" s="105">
        <v>0.03</v>
      </c>
      <c r="AT23" s="105">
        <v>0.03</v>
      </c>
      <c r="AU23" s="105">
        <v>0.03</v>
      </c>
      <c r="AV23" s="105">
        <v>0.03</v>
      </c>
      <c r="AW23" s="203"/>
      <c r="AX23" s="105">
        <v>0.03</v>
      </c>
      <c r="AY23" s="105">
        <v>0.03</v>
      </c>
      <c r="AZ23" s="105">
        <v>0.03</v>
      </c>
      <c r="BA23" s="105">
        <v>0.03</v>
      </c>
      <c r="BB23" s="203"/>
    </row>
    <row r="24" spans="2:54" outlineLevel="1" x14ac:dyDescent="0.15">
      <c r="B24" s="91" t="s">
        <v>38</v>
      </c>
      <c r="C24" s="196"/>
      <c r="D24" s="197"/>
      <c r="E24" s="118"/>
      <c r="F24" s="118"/>
      <c r="G24" s="118">
        <f>G22/F22-1</f>
        <v>0.5581404223173263</v>
      </c>
      <c r="H24" s="118">
        <f>H22/G22-1</f>
        <v>7.7343535748386261E-2</v>
      </c>
      <c r="I24" s="203"/>
      <c r="J24" s="118">
        <f>J22/H22-1</f>
        <v>0.2467312380663802</v>
      </c>
      <c r="K24" s="118">
        <f>K22/J22-1</f>
        <v>-0.1334015071014043</v>
      </c>
      <c r="L24" s="118">
        <f>L22/K22-1</f>
        <v>-0.12461616595727409</v>
      </c>
      <c r="M24" s="118">
        <f>M22/L22-1</f>
        <v>0.27040718609306302</v>
      </c>
      <c r="N24" s="203"/>
      <c r="O24" s="118">
        <f>O22/M22-1</f>
        <v>-0.37595340903266317</v>
      </c>
      <c r="P24" s="118">
        <f>P22/O22-1</f>
        <v>0.3250506132407005</v>
      </c>
      <c r="Q24" s="118">
        <f>Q22/P22-1</f>
        <v>-0.32166204446083102</v>
      </c>
      <c r="R24" s="118">
        <f>R22/Q22-1</f>
        <v>0.34043589413968123</v>
      </c>
      <c r="S24" s="203"/>
      <c r="T24" s="118">
        <f>T22/R22-1</f>
        <v>9.2202609344298914E-2</v>
      </c>
      <c r="U24" s="118">
        <f>U22/T22-1</f>
        <v>0.18119733755374146</v>
      </c>
      <c r="V24" s="118">
        <f>V22/U22-1</f>
        <v>7.7696350340558551E-2</v>
      </c>
      <c r="W24" s="118">
        <f>W22/V22-1</f>
        <v>0.4513255096985449</v>
      </c>
      <c r="X24" s="203"/>
      <c r="Y24" s="118">
        <f>Y22/W22-1</f>
        <v>-1.3048181645332835E-2</v>
      </c>
      <c r="Z24" s="118">
        <f>Z22/Y22-1</f>
        <v>-5.5768941449498399E-2</v>
      </c>
      <c r="AA24" s="118">
        <f>AA22/Z22-1</f>
        <v>-0.1354625353060479</v>
      </c>
      <c r="AB24" s="259"/>
      <c r="AC24" s="203"/>
      <c r="AD24" s="105"/>
      <c r="AE24" s="105"/>
      <c r="AF24" s="105"/>
      <c r="AG24" s="105"/>
      <c r="AH24" s="203"/>
      <c r="AI24" s="105"/>
      <c r="AJ24" s="105"/>
      <c r="AK24" s="105"/>
      <c r="AL24" s="105"/>
      <c r="AM24" s="203"/>
      <c r="AN24" s="105"/>
      <c r="AO24" s="105"/>
      <c r="AP24" s="105"/>
      <c r="AQ24" s="105"/>
      <c r="AR24" s="203"/>
      <c r="AS24" s="105"/>
      <c r="AT24" s="105"/>
      <c r="AU24" s="105"/>
      <c r="AV24" s="105"/>
      <c r="AW24" s="203"/>
      <c r="AX24" s="105"/>
      <c r="AY24" s="105"/>
      <c r="AZ24" s="105"/>
      <c r="BA24" s="105"/>
      <c r="BB24" s="203"/>
    </row>
    <row r="25" spans="2:54" outlineLevel="1" x14ac:dyDescent="0.15">
      <c r="B25" s="91"/>
      <c r="C25" s="196"/>
      <c r="D25" s="197"/>
      <c r="E25" s="118"/>
      <c r="F25" s="118"/>
      <c r="G25" s="118"/>
      <c r="H25" s="118"/>
      <c r="I25" s="203"/>
      <c r="J25" s="118"/>
      <c r="K25" s="118"/>
      <c r="L25" s="118"/>
      <c r="M25" s="118"/>
      <c r="N25" s="203"/>
      <c r="O25" s="118"/>
      <c r="P25" s="118"/>
      <c r="Q25" s="118"/>
      <c r="R25" s="118"/>
      <c r="S25" s="203"/>
      <c r="T25" s="118"/>
      <c r="U25" s="118"/>
      <c r="V25" s="118"/>
      <c r="W25" s="118"/>
      <c r="X25" s="203"/>
      <c r="Y25" s="118"/>
      <c r="Z25" s="118"/>
      <c r="AA25" s="118"/>
      <c r="AC25" s="203"/>
      <c r="AH25" s="203"/>
      <c r="AM25" s="203"/>
      <c r="AR25" s="203"/>
      <c r="AW25" s="203"/>
      <c r="BB25" s="203"/>
    </row>
    <row r="26" spans="2:54" outlineLevel="1" x14ac:dyDescent="0.15">
      <c r="B26" s="195" t="s">
        <v>41</v>
      </c>
      <c r="C26" s="198">
        <f>(AC26/I26)^(1/4)-1</f>
        <v>0.14416297716221571</v>
      </c>
      <c r="D26" s="199">
        <f>(BB26/AC26)^(1/4)-1</f>
        <v>6.7201961657223919E-2</v>
      </c>
      <c r="E26" s="106">
        <v>77.72423610562501</v>
      </c>
      <c r="F26" s="106">
        <v>121.9157441815384</v>
      </c>
      <c r="G26" s="106">
        <v>85.482832106769195</v>
      </c>
      <c r="H26" s="106">
        <v>115.1179707346154</v>
      </c>
      <c r="I26" s="203">
        <f>SUM(E26:H26)</f>
        <v>400.24078312854795</v>
      </c>
      <c r="J26" s="106">
        <v>61.509072933281303</v>
      </c>
      <c r="K26" s="106">
        <v>124.37522977500001</v>
      </c>
      <c r="L26" s="106">
        <v>120.97340611153851</v>
      </c>
      <c r="M26" s="106">
        <v>165.98032320627252</v>
      </c>
      <c r="N26" s="203">
        <f>SUM(J26:M26)</f>
        <v>472.83803202609238</v>
      </c>
      <c r="O26" s="106">
        <v>95.906902652343703</v>
      </c>
      <c r="P26" s="106">
        <v>103.97577286923071</v>
      </c>
      <c r="Q26" s="106">
        <v>103.4450460174545</v>
      </c>
      <c r="R26" s="106">
        <v>173.3268159409086</v>
      </c>
      <c r="S26" s="203">
        <f>SUM(O26:R26)</f>
        <v>476.65453747993752</v>
      </c>
      <c r="T26" s="106">
        <v>104.84750804676921</v>
      </c>
      <c r="U26" s="106">
        <v>134.16606380015381</v>
      </c>
      <c r="V26" s="106">
        <v>144.59027729698411</v>
      </c>
      <c r="W26" s="106">
        <v>152.61640574218148</v>
      </c>
      <c r="X26" s="203">
        <f>SUM(T26:W26)</f>
        <v>536.2202548860887</v>
      </c>
      <c r="Y26" s="106">
        <v>150.62503915799999</v>
      </c>
      <c r="Z26" s="106">
        <v>177.78105021046133</v>
      </c>
      <c r="AA26" s="106">
        <v>193.22081858461581</v>
      </c>
      <c r="AB26" s="285">
        <f>$AB$9*AB27</f>
        <v>164.29220202268124</v>
      </c>
      <c r="AC26" s="203">
        <f>SUM(Y26:AB26)</f>
        <v>685.91910997575837</v>
      </c>
      <c r="AD26" s="285">
        <f>AD$9*AD27</f>
        <v>182.31545270630141</v>
      </c>
      <c r="AE26" s="243">
        <f>AE$9*AE27</f>
        <v>179.96327830023159</v>
      </c>
      <c r="AF26" s="243">
        <f>AF$9*AF27</f>
        <v>226.25701422849551</v>
      </c>
      <c r="AG26" s="243">
        <f>AG$9*AG27</f>
        <v>193.83820287816204</v>
      </c>
      <c r="AH26" s="203">
        <f>SUM(AD26:AG26)</f>
        <v>782.37394811319064</v>
      </c>
      <c r="AI26" s="285">
        <f>AI$9*AI27</f>
        <v>130.91373078853152</v>
      </c>
      <c r="AJ26" s="243">
        <f>AJ$9*AJ27</f>
        <v>135.3125500622744</v>
      </c>
      <c r="AK26" s="243">
        <f>AK$9*AK27</f>
        <v>167.58501794378827</v>
      </c>
      <c r="AL26" s="243">
        <f>AL$9*AL27</f>
        <v>144.7768025912018</v>
      </c>
      <c r="AM26" s="203">
        <f>SUM(AI26:AL26)</f>
        <v>578.58810138579599</v>
      </c>
      <c r="AN26" s="285">
        <f>AN$9*AN27</f>
        <v>74.430506921509703</v>
      </c>
      <c r="AO26" s="243">
        <f>AO$9*AO27</f>
        <v>79.011343812221256</v>
      </c>
      <c r="AP26" s="243">
        <f>AP$9*AP27</f>
        <v>96.447393994004031</v>
      </c>
      <c r="AQ26" s="243">
        <f>AQ$9*AQ27</f>
        <v>83.995348642843041</v>
      </c>
      <c r="AR26" s="203">
        <f>SUM(AN26:AQ26)</f>
        <v>333.88459337057805</v>
      </c>
      <c r="AS26" s="285">
        <f>AS$9*AS27</f>
        <v>169.26873375999506</v>
      </c>
      <c r="AT26" s="243">
        <f>AT$9*AT27</f>
        <v>184.54437369305171</v>
      </c>
      <c r="AU26" s="243">
        <f>AU$9*AU27</f>
        <v>222.02700270867356</v>
      </c>
      <c r="AV26" s="243">
        <f>AV$9*AV27</f>
        <v>194.92676913315131</v>
      </c>
      <c r="AW26" s="203">
        <f>SUM(AS26:AV26)</f>
        <v>770.76687929487161</v>
      </c>
      <c r="AX26" s="285">
        <f>AX$9*AX27</f>
        <v>192.47419783749967</v>
      </c>
      <c r="AY26" s="243">
        <f>AY$9*AY27</f>
        <v>215.51731826444987</v>
      </c>
      <c r="AZ26" s="243">
        <f>AZ$9*AZ27</f>
        <v>255.55895234899756</v>
      </c>
      <c r="BA26" s="243">
        <f>BA$9*BA27</f>
        <v>226.18184184372942</v>
      </c>
      <c r="BB26" s="203">
        <f>SUM(AX26:BA26)</f>
        <v>889.73231029467649</v>
      </c>
    </row>
    <row r="27" spans="2:54" outlineLevel="1" x14ac:dyDescent="0.15">
      <c r="B27" s="91" t="s">
        <v>39</v>
      </c>
      <c r="C27" s="196"/>
      <c r="D27" s="197"/>
      <c r="E27" s="118">
        <f>E26/E$9</f>
        <v>3.7532414076970569E-2</v>
      </c>
      <c r="F27" s="118">
        <f>F26/F$9</f>
        <v>5.2692490720472045E-2</v>
      </c>
      <c r="G27" s="118">
        <f>G26/G$9</f>
        <v>2.9727874479038928E-2</v>
      </c>
      <c r="H27" s="118">
        <f>H26/H$9</f>
        <v>3.8175675675675709E-2</v>
      </c>
      <c r="I27" s="203"/>
      <c r="J27" s="118">
        <f>J26/J$9</f>
        <v>2.1895404814004395E-2</v>
      </c>
      <c r="K27" s="118">
        <f>K26/K$9</f>
        <v>3.8069259962049337E-2</v>
      </c>
      <c r="L27" s="118">
        <f>L26/L$9</f>
        <v>3.7473433954108251E-2</v>
      </c>
      <c r="M27" s="118">
        <f>M26/M$9</f>
        <v>4.6287350835322136E-2</v>
      </c>
      <c r="N27" s="203"/>
      <c r="O27" s="118">
        <f>O26/O$9</f>
        <v>3.7886944818304236E-2</v>
      </c>
      <c r="P27" s="118">
        <f>P26/P$9</f>
        <v>3.6037228864052327E-2</v>
      </c>
      <c r="Q27" s="118">
        <f>Q26/Q$9</f>
        <v>3.1148166750376655E-2</v>
      </c>
      <c r="R27" s="118">
        <f>R26/R$9</f>
        <v>3.87811222593831E-2</v>
      </c>
      <c r="S27" s="203"/>
      <c r="T27" s="118">
        <f>T26/T$9</f>
        <v>3.8941243956404144E-2</v>
      </c>
      <c r="U27" s="118">
        <f>U26/U$9</f>
        <v>3.6662958174218954E-2</v>
      </c>
      <c r="V27" s="118">
        <f>V26/V$9</f>
        <v>3.1284487114704287E-2</v>
      </c>
      <c r="W27" s="118">
        <f>W26/W$9</f>
        <v>3.0072635810159509E-2</v>
      </c>
      <c r="X27" s="203"/>
      <c r="Y27" s="118">
        <f>Y26/Y$9</f>
        <v>2.8678933981071974E-2</v>
      </c>
      <c r="Z27" s="118">
        <f>Z26/Z$9</f>
        <v>3.6684742052634202E-2</v>
      </c>
      <c r="AA27" s="118">
        <f>AA26/AA$9</f>
        <v>3.1538461538461585E-2</v>
      </c>
      <c r="AB27" s="259">
        <f>AA27</f>
        <v>3.1538461538461585E-2</v>
      </c>
      <c r="AC27" s="203"/>
      <c r="AD27" s="105">
        <v>0.03</v>
      </c>
      <c r="AE27" s="105">
        <v>0.03</v>
      </c>
      <c r="AF27" s="105">
        <v>0.03</v>
      </c>
      <c r="AG27" s="105">
        <v>0.03</v>
      </c>
      <c r="AH27" s="203"/>
      <c r="AI27" s="105">
        <v>0.02</v>
      </c>
      <c r="AJ27" s="105">
        <v>0.02</v>
      </c>
      <c r="AK27" s="105">
        <v>0.02</v>
      </c>
      <c r="AL27" s="105">
        <v>0.02</v>
      </c>
      <c r="AM27" s="203"/>
      <c r="AN27" s="105">
        <v>0.01</v>
      </c>
      <c r="AO27" s="105">
        <v>0.01</v>
      </c>
      <c r="AP27" s="105">
        <v>0.01</v>
      </c>
      <c r="AQ27" s="105">
        <v>0.01</v>
      </c>
      <c r="AR27" s="203"/>
      <c r="AS27" s="105">
        <v>0.02</v>
      </c>
      <c r="AT27" s="105">
        <v>0.02</v>
      </c>
      <c r="AU27" s="105">
        <v>0.02</v>
      </c>
      <c r="AV27" s="105">
        <v>0.02</v>
      </c>
      <c r="AW27" s="203"/>
      <c r="AX27" s="105">
        <v>0.02</v>
      </c>
      <c r="AY27" s="105">
        <v>0.02</v>
      </c>
      <c r="AZ27" s="105">
        <v>0.02</v>
      </c>
      <c r="BA27" s="105">
        <v>0.02</v>
      </c>
      <c r="BB27" s="203"/>
    </row>
    <row r="28" spans="2:54" outlineLevel="1" x14ac:dyDescent="0.15">
      <c r="B28" s="91" t="s">
        <v>38</v>
      </c>
      <c r="C28" s="196"/>
      <c r="D28" s="197"/>
      <c r="E28" s="118"/>
      <c r="F28" s="118"/>
      <c r="G28" s="118">
        <f>G26/F26-1</f>
        <v>-0.29883680995720163</v>
      </c>
      <c r="H28" s="118">
        <f>H26/G26-1</f>
        <v>0.34667941968548166</v>
      </c>
      <c r="I28" s="203"/>
      <c r="J28" s="118">
        <f>J26/H26-1</f>
        <v>-0.4656866122572656</v>
      </c>
      <c r="K28" s="118">
        <f>K26/J26-1</f>
        <v>1.022063150096725</v>
      </c>
      <c r="L28" s="118">
        <f>L26/K26-1</f>
        <v>-2.7351295508081019E-2</v>
      </c>
      <c r="M28" s="118">
        <f>M26/L26-1</f>
        <v>0.37203976098050218</v>
      </c>
      <c r="N28" s="203"/>
      <c r="O28" s="118">
        <f>O26/M26-1</f>
        <v>-0.42217908243765057</v>
      </c>
      <c r="P28" s="118">
        <f>P26/O26-1</f>
        <v>8.4132319924209664E-2</v>
      </c>
      <c r="Q28" s="118">
        <f>Q26/P26-1</f>
        <v>-5.1043318758851042E-3</v>
      </c>
      <c r="R28" s="118">
        <f>R26/Q26-1</f>
        <v>0.67554486767459898</v>
      </c>
      <c r="S28" s="203"/>
      <c r="T28" s="118">
        <f>T26/R26-1</f>
        <v>-0.39508778559392499</v>
      </c>
      <c r="U28" s="118">
        <f>U26/T26-1</f>
        <v>0.27963044901655176</v>
      </c>
      <c r="V28" s="118">
        <f>V26/U26-1</f>
        <v>7.7696350340557219E-2</v>
      </c>
      <c r="W28" s="118">
        <f>W26/V26-1</f>
        <v>5.5509461598942433E-2</v>
      </c>
      <c r="X28" s="203"/>
      <c r="Y28" s="118">
        <f>Y26/W26-1</f>
        <v>-1.3048181645330836E-2</v>
      </c>
      <c r="Z28" s="118">
        <f>Z26/Y26-1</f>
        <v>0.18028882318812678</v>
      </c>
      <c r="AA28" s="118">
        <f>AA26/Z26-1</f>
        <v>8.6847098472399242E-2</v>
      </c>
      <c r="AB28" s="259"/>
      <c r="AC28" s="203"/>
      <c r="AD28" s="105"/>
      <c r="AE28" s="105"/>
      <c r="AF28" s="105"/>
      <c r="AG28" s="105"/>
      <c r="AH28" s="203"/>
      <c r="AI28" s="105"/>
      <c r="AJ28" s="105"/>
      <c r="AK28" s="105"/>
      <c r="AL28" s="105"/>
      <c r="AM28" s="203"/>
      <c r="AN28" s="105"/>
      <c r="AO28" s="105"/>
      <c r="AP28" s="105"/>
      <c r="AQ28" s="105"/>
      <c r="AR28" s="203"/>
      <c r="AS28" s="105"/>
      <c r="AT28" s="105"/>
      <c r="AU28" s="105"/>
      <c r="AV28" s="105"/>
      <c r="AW28" s="203"/>
      <c r="AX28" s="105"/>
      <c r="AY28" s="105"/>
      <c r="AZ28" s="105"/>
      <c r="BA28" s="105"/>
      <c r="BB28" s="203"/>
    </row>
    <row r="29" spans="2:54" outlineLevel="1" x14ac:dyDescent="0.15">
      <c r="B29" s="91"/>
      <c r="C29" s="196"/>
      <c r="D29" s="197"/>
      <c r="E29" s="118"/>
      <c r="F29" s="118"/>
      <c r="G29" s="118"/>
      <c r="H29" s="118"/>
      <c r="I29" s="203"/>
      <c r="J29" s="118"/>
      <c r="K29" s="118"/>
      <c r="L29" s="118"/>
      <c r="M29" s="118"/>
      <c r="N29" s="203"/>
      <c r="O29" s="118"/>
      <c r="P29" s="118"/>
      <c r="Q29" s="118"/>
      <c r="R29" s="118"/>
      <c r="S29" s="203"/>
      <c r="T29" s="118"/>
      <c r="U29" s="118"/>
      <c r="V29" s="118"/>
      <c r="W29" s="118"/>
      <c r="X29" s="203"/>
      <c r="Y29" s="118"/>
      <c r="Z29" s="118"/>
      <c r="AA29" s="118"/>
      <c r="AC29" s="203"/>
      <c r="AH29" s="203"/>
      <c r="AM29" s="203"/>
      <c r="AR29" s="203"/>
      <c r="AW29" s="203"/>
      <c r="BB29" s="203"/>
    </row>
    <row r="30" spans="2:54" ht="13" outlineLevel="1" thickBot="1" x14ac:dyDescent="0.2">
      <c r="B30" s="195" t="s">
        <v>40</v>
      </c>
      <c r="C30" s="198">
        <f>(AC30/I30)^(1/4)-1</f>
        <v>0.14443604818098632</v>
      </c>
      <c r="D30" s="199">
        <f>(BB30/AC30)^(1/4)-1</f>
        <v>6.56202146941256E-2</v>
      </c>
      <c r="E30" s="106">
        <v>775.45236384375005</v>
      </c>
      <c r="F30" s="106">
        <v>789.774612576923</v>
      </c>
      <c r="G30" s="106">
        <v>738.44026580769196</v>
      </c>
      <c r="H30" s="106">
        <v>713.12017269230705</v>
      </c>
      <c r="I30" s="204">
        <f>SUM(E30:H30)</f>
        <v>3016.7874149206718</v>
      </c>
      <c r="J30" s="106">
        <v>758.92048373437501</v>
      </c>
      <c r="K30" s="106">
        <v>779.57309129999999</v>
      </c>
      <c r="L30" s="106">
        <v>808.77635250000003</v>
      </c>
      <c r="M30" s="106">
        <v>819.52912955454599</v>
      </c>
      <c r="N30" s="204">
        <f>SUM(J30:M30)</f>
        <v>3166.7990570889206</v>
      </c>
      <c r="O30" s="106">
        <v>613.25905781250003</v>
      </c>
      <c r="P30" s="106">
        <v>805.71673573076896</v>
      </c>
      <c r="Q30" s="106">
        <v>734.93755281363599</v>
      </c>
      <c r="R30" s="106">
        <v>1002.82418038636</v>
      </c>
      <c r="S30" s="204">
        <f>SUM(O30:R30)</f>
        <v>3156.7375267432653</v>
      </c>
      <c r="T30" s="106">
        <v>944.99553233230802</v>
      </c>
      <c r="U30" s="106">
        <v>976.12331007230796</v>
      </c>
      <c r="V30" s="106">
        <v>1007.03139246769</v>
      </c>
      <c r="W30" s="106">
        <v>1259.5160021151501</v>
      </c>
      <c r="X30" s="204">
        <f>SUM(T30:W30)</f>
        <v>4187.6662369874557</v>
      </c>
      <c r="Y30" s="106">
        <v>1486.48831711875</v>
      </c>
      <c r="Z30" s="106">
        <v>1290.56409245538</v>
      </c>
      <c r="AA30" s="106">
        <v>1295.9932953846201</v>
      </c>
      <c r="AB30" s="285">
        <f>$AB$9*AB31</f>
        <v>1101.9598916155462</v>
      </c>
      <c r="AC30" s="204">
        <f>SUM(Y30:AB30)</f>
        <v>5175.0055965742968</v>
      </c>
      <c r="AD30" s="285">
        <f>AB$9*AD31</f>
        <v>1041.8529884365137</v>
      </c>
      <c r="AE30" s="243">
        <f>AE$9*AE31</f>
        <v>1199.7551886682108</v>
      </c>
      <c r="AF30" s="243">
        <f>AF$9*AF31</f>
        <v>1508.3800948566368</v>
      </c>
      <c r="AG30" s="243">
        <f>AG$9*AG31</f>
        <v>1292.2546858544138</v>
      </c>
      <c r="AH30" s="204">
        <f>SUM(AD30:AG30)</f>
        <v>5042.2429578157753</v>
      </c>
      <c r="AI30" s="285">
        <f>AI$9*AI31</f>
        <v>1178.2235770967836</v>
      </c>
      <c r="AJ30" s="243">
        <f>AJ$9*AJ31</f>
        <v>1217.8129505604695</v>
      </c>
      <c r="AK30" s="243">
        <f>AK$9*AK31</f>
        <v>1508.2651614940944</v>
      </c>
      <c r="AL30" s="243">
        <f>AL$9*AL31</f>
        <v>1302.9912233208161</v>
      </c>
      <c r="AM30" s="204">
        <f>SUM(AI30:AL30)</f>
        <v>5207.2929124721632</v>
      </c>
      <c r="AN30" s="285">
        <f>AN$9*AN31</f>
        <v>1339.7491245871745</v>
      </c>
      <c r="AO30" s="243">
        <f>AO$9*AO31</f>
        <v>1422.2041886199825</v>
      </c>
      <c r="AP30" s="243">
        <f>AP$9*AP31</f>
        <v>1736.0530918920724</v>
      </c>
      <c r="AQ30" s="243">
        <f>AQ$9*AQ31</f>
        <v>1511.9162755711745</v>
      </c>
      <c r="AR30" s="204">
        <f>SUM(AN30:AQ30)</f>
        <v>6009.9226806704046</v>
      </c>
      <c r="AS30" s="285">
        <f>AS$9*AS31</f>
        <v>1269.5155031999627</v>
      </c>
      <c r="AT30" s="243">
        <f>AT$9*AT31</f>
        <v>1384.0828026978877</v>
      </c>
      <c r="AU30" s="243">
        <f>AU$9*AU31</f>
        <v>1665.2025203150517</v>
      </c>
      <c r="AV30" s="243">
        <f>AV$9*AV31</f>
        <v>1461.9507684986349</v>
      </c>
      <c r="AW30" s="204">
        <f>SUM(AS30:AV30)</f>
        <v>5780.7515947115371</v>
      </c>
      <c r="AX30" s="285">
        <f>AX$9*AX31</f>
        <v>1443.5564837812474</v>
      </c>
      <c r="AY30" s="243">
        <f>AY$9*AY31</f>
        <v>1616.3798869833738</v>
      </c>
      <c r="AZ30" s="243">
        <f>AZ$9*AZ31</f>
        <v>1916.6921426174815</v>
      </c>
      <c r="BA30" s="243">
        <f>BA$9*BA31</f>
        <v>1696.3638138279705</v>
      </c>
      <c r="BB30" s="204">
        <f>SUM(AX30:BA30)</f>
        <v>6672.9923272100732</v>
      </c>
    </row>
    <row r="31" spans="2:54" outlineLevel="1" x14ac:dyDescent="0.15">
      <c r="B31" s="91" t="s">
        <v>39</v>
      </c>
      <c r="C31" s="196"/>
      <c r="D31" s="197"/>
      <c r="E31" s="118">
        <f>E30/E$9</f>
        <v>0.37445976538382375</v>
      </c>
      <c r="F31" s="118">
        <f>F30/F$9</f>
        <v>0.34134386599409922</v>
      </c>
      <c r="G31" s="118">
        <f>G30/G$9</f>
        <v>0.25680313802402505</v>
      </c>
      <c r="H31" s="118">
        <f>H30/H$9</f>
        <v>0.23648648648648643</v>
      </c>
      <c r="I31" s="119"/>
      <c r="J31" s="118">
        <f>J30/J$9</f>
        <v>0.2701531728665208</v>
      </c>
      <c r="K31" s="118">
        <f>K30/K$9</f>
        <v>0.23861480075901326</v>
      </c>
      <c r="L31" s="118">
        <f>L30/L$9</f>
        <v>0.25053132091783409</v>
      </c>
      <c r="M31" s="118">
        <f>M30/M$9</f>
        <v>0.22854415274463022</v>
      </c>
      <c r="N31" s="119"/>
      <c r="O31" s="118">
        <f>O30/O$9</f>
        <v>0.24226110363391709</v>
      </c>
      <c r="P31" s="118">
        <f>P30/P$9</f>
        <v>0.27925542271895321</v>
      </c>
      <c r="Q31" s="118">
        <f>Q30/Q$9</f>
        <v>0.2212958312405823</v>
      </c>
      <c r="R31" s="118">
        <f>R30/R$9</f>
        <v>0.22437755481233707</v>
      </c>
      <c r="S31" s="119"/>
      <c r="T31" s="118">
        <f>T30/T$9</f>
        <v>0.35097926739326396</v>
      </c>
      <c r="U31" s="118">
        <f>U30/U$9</f>
        <v>0.26674083651562092</v>
      </c>
      <c r="V31" s="118">
        <f>V30/V$9</f>
        <v>0.21788782213238958</v>
      </c>
      <c r="W31" s="118">
        <f>W30/W$9</f>
        <v>0.24818410474600913</v>
      </c>
      <c r="X31" s="119"/>
      <c r="Y31" s="118">
        <f>Y30/Y$9</f>
        <v>0.28302665047320058</v>
      </c>
      <c r="Z31" s="118">
        <f>Z30/Z$9</f>
        <v>0.26630515894731543</v>
      </c>
      <c r="AA31" s="118">
        <f>AA30/AA$9</f>
        <v>0.21153846153846212</v>
      </c>
      <c r="AB31" s="259">
        <f>AA31</f>
        <v>0.21153846153846212</v>
      </c>
      <c r="AC31" s="205"/>
      <c r="AD31" s="105">
        <v>0.2</v>
      </c>
      <c r="AE31" s="105">
        <v>0.2</v>
      </c>
      <c r="AF31" s="105">
        <v>0.2</v>
      </c>
      <c r="AG31" s="105">
        <v>0.2</v>
      </c>
      <c r="AH31" s="205"/>
      <c r="AI31" s="105">
        <v>0.18</v>
      </c>
      <c r="AJ31" s="105">
        <v>0.18</v>
      </c>
      <c r="AK31" s="105">
        <v>0.18</v>
      </c>
      <c r="AL31" s="105">
        <v>0.18</v>
      </c>
      <c r="AM31" s="205"/>
      <c r="AN31" s="105">
        <v>0.18</v>
      </c>
      <c r="AO31" s="105">
        <v>0.18</v>
      </c>
      <c r="AP31" s="105">
        <v>0.18</v>
      </c>
      <c r="AQ31" s="105">
        <v>0.18</v>
      </c>
      <c r="AR31" s="205"/>
      <c r="AS31" s="105">
        <v>0.15</v>
      </c>
      <c r="AT31" s="105">
        <v>0.15</v>
      </c>
      <c r="AU31" s="105">
        <v>0.15</v>
      </c>
      <c r="AV31" s="105">
        <v>0.15</v>
      </c>
      <c r="AW31" s="205"/>
      <c r="AX31" s="105">
        <v>0.15</v>
      </c>
      <c r="AY31" s="105">
        <v>0.15</v>
      </c>
      <c r="AZ31" s="105">
        <v>0.15</v>
      </c>
      <c r="BA31" s="105">
        <v>0.15</v>
      </c>
    </row>
    <row r="32" spans="2:54" outlineLevel="1" x14ac:dyDescent="0.15">
      <c r="B32" s="91" t="s">
        <v>38</v>
      </c>
      <c r="C32" s="196"/>
      <c r="D32" s="197"/>
      <c r="E32" s="118"/>
      <c r="F32" s="118"/>
      <c r="G32" s="118">
        <f>G30/F30-1</f>
        <v>-6.4998729956302737E-2</v>
      </c>
      <c r="H32" s="118">
        <f>H30/G30-1</f>
        <v>-3.4288613836205517E-2</v>
      </c>
      <c r="I32" s="119"/>
      <c r="J32" s="118">
        <f>J30/H30-1</f>
        <v>6.42252355155708E-2</v>
      </c>
      <c r="K32" s="118">
        <f>K30/J30-1</f>
        <v>2.721313761884625E-2</v>
      </c>
      <c r="L32" s="118">
        <f>L30/K30-1</f>
        <v>3.7460581343695898E-2</v>
      </c>
      <c r="M32" s="118">
        <f>M30/L30-1</f>
        <v>1.3295118015392182E-2</v>
      </c>
      <c r="N32" s="119"/>
      <c r="O32" s="118">
        <f>O30/M30-1</f>
        <v>-0.25169339844474325</v>
      </c>
      <c r="P32" s="118">
        <f>P30/O30-1</f>
        <v>0.31382769722923776</v>
      </c>
      <c r="Q32" s="118">
        <f>Q30/P30-1</f>
        <v>-8.784623649766643E-2</v>
      </c>
      <c r="R32" s="118">
        <f>R30/Q30-1</f>
        <v>0.3645025710649108</v>
      </c>
      <c r="S32" s="119"/>
      <c r="T32" s="118">
        <f>T30/R30-1</f>
        <v>-5.7665789462488126E-2</v>
      </c>
      <c r="U32" s="118">
        <f>U30/T30-1</f>
        <v>3.293960307216981E-2</v>
      </c>
      <c r="V32" s="118">
        <f>V30/U30-1</f>
        <v>3.1664116691458188E-2</v>
      </c>
      <c r="W32" s="118">
        <f>W30/V30-1</f>
        <v>0.25072168706554088</v>
      </c>
      <c r="X32" s="119"/>
      <c r="Y32" s="118">
        <f>Y30/W30-1</f>
        <v>0.18020597961632667</v>
      </c>
      <c r="Z32" s="118">
        <f>Z30/Y30-1</f>
        <v>-0.13180340700095683</v>
      </c>
      <c r="AA32" s="118">
        <f>AA30/Z30-1</f>
        <v>4.2068448680534498E-3</v>
      </c>
      <c r="AB32" s="259"/>
      <c r="AC32" s="205"/>
      <c r="AD32" s="105"/>
      <c r="AE32" s="105"/>
      <c r="AF32" s="105"/>
      <c r="AG32" s="105"/>
      <c r="AH32" s="205"/>
      <c r="AI32" s="105"/>
      <c r="AJ32" s="105"/>
      <c r="AK32" s="105"/>
      <c r="AL32" s="105"/>
      <c r="AM32" s="205"/>
      <c r="AN32" s="105"/>
      <c r="AO32" s="105"/>
      <c r="AP32" s="105"/>
      <c r="AQ32" s="105"/>
      <c r="AR32" s="205"/>
      <c r="AS32" s="105"/>
      <c r="AT32" s="105"/>
      <c r="AU32" s="105"/>
      <c r="AV32" s="105"/>
      <c r="AW32" s="205"/>
      <c r="AX32" s="105"/>
      <c r="AY32" s="105"/>
      <c r="AZ32" s="105"/>
      <c r="BA32" s="105"/>
    </row>
    <row r="33" spans="2:54" outlineLevel="1" x14ac:dyDescent="0.15">
      <c r="B33" s="91"/>
      <c r="C33" s="196"/>
      <c r="D33" s="197"/>
      <c r="E33" s="118"/>
      <c r="F33" s="118"/>
      <c r="G33" s="118"/>
      <c r="H33" s="118"/>
      <c r="I33" s="119"/>
      <c r="J33" s="118"/>
      <c r="K33" s="118"/>
      <c r="L33" s="118"/>
      <c r="M33" s="118"/>
      <c r="N33" s="119"/>
      <c r="O33" s="118"/>
      <c r="P33" s="118"/>
      <c r="Q33" s="118"/>
      <c r="R33" s="118"/>
      <c r="S33" s="119"/>
      <c r="T33" s="118"/>
      <c r="U33" s="118"/>
      <c r="V33" s="118"/>
      <c r="W33" s="118"/>
      <c r="X33" s="119"/>
      <c r="Y33" s="118"/>
      <c r="Z33" s="118"/>
      <c r="AA33" s="118"/>
    </row>
    <row r="34" spans="2:54" ht="13" outlineLevel="1" thickBot="1" x14ac:dyDescent="0.2">
      <c r="B34" s="91"/>
      <c r="C34" s="196"/>
      <c r="D34" s="197"/>
      <c r="E34" s="118"/>
      <c r="F34" s="118"/>
      <c r="G34" s="118"/>
      <c r="H34" s="118"/>
      <c r="I34" s="119"/>
      <c r="J34" s="118"/>
      <c r="K34" s="118"/>
      <c r="L34" s="118"/>
      <c r="M34" s="118"/>
      <c r="N34" s="119"/>
      <c r="O34" s="118"/>
      <c r="P34" s="118"/>
      <c r="Q34" s="118"/>
      <c r="R34" s="118"/>
      <c r="S34" s="119"/>
      <c r="T34" s="118"/>
      <c r="U34" s="118"/>
      <c r="V34" s="118"/>
      <c r="W34" s="118"/>
      <c r="X34" s="119"/>
      <c r="Y34" s="118"/>
      <c r="Z34" s="118"/>
      <c r="AA34" s="118"/>
    </row>
    <row r="35" spans="2:54" outlineLevel="1" x14ac:dyDescent="0.15">
      <c r="B35" s="91" t="s">
        <v>37</v>
      </c>
      <c r="C35" s="198">
        <f>(AC35/I35)^(1/4)-1</f>
        <v>0.11199988002218531</v>
      </c>
      <c r="D35" s="199">
        <f>(BB35/AC35)^(1/4)-1</f>
        <v>-9.0674863618285251E-3</v>
      </c>
      <c r="E35" s="144">
        <v>44</v>
      </c>
      <c r="F35" s="144">
        <v>42</v>
      </c>
      <c r="G35" s="144">
        <v>55</v>
      </c>
      <c r="H35" s="144">
        <v>57</v>
      </c>
      <c r="I35" s="206">
        <f>SUM(E35:H35)</f>
        <v>198</v>
      </c>
      <c r="J35" s="144">
        <v>49</v>
      </c>
      <c r="K35" s="144">
        <v>58</v>
      </c>
      <c r="L35" s="144">
        <v>53</v>
      </c>
      <c r="M35" s="144">
        <v>64</v>
      </c>
      <c r="N35" s="206">
        <f>SUM(J35:M35)</f>
        <v>224</v>
      </c>
      <c r="O35" s="144">
        <v>48</v>
      </c>
      <c r="P35" s="144">
        <v>48</v>
      </c>
      <c r="Q35" s="144">
        <v>57</v>
      </c>
      <c r="R35" s="144">
        <v>76</v>
      </c>
      <c r="S35" s="206">
        <f>SUM(O35:R35)</f>
        <v>229</v>
      </c>
      <c r="T35" s="144">
        <v>57</v>
      </c>
      <c r="U35" s="144">
        <v>61</v>
      </c>
      <c r="V35" s="144">
        <v>60</v>
      </c>
      <c r="W35" s="144">
        <v>80</v>
      </c>
      <c r="X35" s="206">
        <f>SUM(T35:W35)</f>
        <v>258</v>
      </c>
      <c r="Y35" s="144">
        <v>76</v>
      </c>
      <c r="Z35" s="144">
        <v>72</v>
      </c>
      <c r="AA35" s="144">
        <v>79</v>
      </c>
      <c r="AB35" s="261">
        <f>AB38+AB41+AB44+AB47</f>
        <v>75.75</v>
      </c>
      <c r="AC35" s="206">
        <f>SUM(Y35:AB35)</f>
        <v>302.75</v>
      </c>
      <c r="AD35" s="139">
        <f>AD38+AD41+AD44+AD47</f>
        <v>61</v>
      </c>
      <c r="AE35" s="139">
        <f>AE38+AE41+AE44+AE47</f>
        <v>67.25</v>
      </c>
      <c r="AF35" s="139">
        <f>AF38+AF41+AF44+AF47</f>
        <v>72.5</v>
      </c>
      <c r="AG35" s="139">
        <f>AG38+AG41+AG44+AG47</f>
        <v>79.1875</v>
      </c>
      <c r="AH35" s="206">
        <f>SUM(AD35:AG35)</f>
        <v>279.9375</v>
      </c>
      <c r="AI35" s="139">
        <f>AI38+AI41+AI44+AI47</f>
        <v>63.75</v>
      </c>
      <c r="AJ35" s="139">
        <f>AJ38+AJ41+AJ44+AJ47</f>
        <v>67.8125</v>
      </c>
      <c r="AK35" s="139">
        <f>AK38+AK41+AK44+AK47</f>
        <v>76.125</v>
      </c>
      <c r="AL35" s="139">
        <f>AL38+AL41+AL44+AL47</f>
        <v>81.734375</v>
      </c>
      <c r="AM35" s="206">
        <f>SUM(AI35:AL35)</f>
        <v>289.421875</v>
      </c>
      <c r="AN35" s="139">
        <f>AN38+AN41+AN44+AN47</f>
        <v>66.6875</v>
      </c>
      <c r="AO35" s="139">
        <f>AO38+AO41+AO44+AO47</f>
        <v>71.015625</v>
      </c>
      <c r="AP35" s="139">
        <f>AP38+AP41+AP44+AP47</f>
        <v>79.15625</v>
      </c>
      <c r="AQ35" s="139">
        <f>AQ38+AQ41+AQ44+AQ47</f>
        <v>81.16796875</v>
      </c>
      <c r="AR35" s="206">
        <f>SUM(AN35:AQ35)</f>
        <v>298.02734375</v>
      </c>
      <c r="AS35" s="139">
        <f>AS38+AS41+AS44+AS47</f>
        <v>68.609375</v>
      </c>
      <c r="AT35" s="139">
        <f>AT38+AT41+AT44+AT47</f>
        <v>71.76953125</v>
      </c>
      <c r="AU35" s="139">
        <f>AU38+AU41+AU44+AU47</f>
        <v>80.4453125</v>
      </c>
      <c r="AV35" s="139">
        <f>AV38+AV41+AV44+AV47</f>
        <v>79.4599609375</v>
      </c>
      <c r="AW35" s="206">
        <f>SUM(AS35:AV35)</f>
        <v>300.2841796875</v>
      </c>
      <c r="AX35" s="139">
        <f>AX38+AX41+AX44+AX47</f>
        <v>65.01171875</v>
      </c>
      <c r="AY35" s="139">
        <f>AY38+AY41+AY44+AY47</f>
        <v>69.4619140625</v>
      </c>
      <c r="AZ35" s="139">
        <f>AZ38+AZ41+AZ44+AZ47</f>
        <v>77.056640625</v>
      </c>
      <c r="BA35" s="139">
        <f>BA38+BA41+BA44+BA47</f>
        <v>80.387451171875</v>
      </c>
      <c r="BB35" s="206">
        <f>SUM(AX35:BA35)</f>
        <v>291.917724609375</v>
      </c>
    </row>
    <row r="36" spans="2:54" ht="13" outlineLevel="1" thickBot="1" x14ac:dyDescent="0.2">
      <c r="B36" s="91" t="s">
        <v>36</v>
      </c>
      <c r="C36" s="207">
        <f>(AC36/I36)^(1/4)-1</f>
        <v>8.0736946012054833E-2</v>
      </c>
      <c r="D36" s="208">
        <f>(BB36/AC36)^(1/4)-1</f>
        <v>0.21125912292806182</v>
      </c>
      <c r="E36" s="201">
        <f t="shared" ref="E36:AJ36" si="32">E9/E35</f>
        <v>47.06491588494319</v>
      </c>
      <c r="F36" s="201">
        <f t="shared" si="32"/>
        <v>55.08860511538461</v>
      </c>
      <c r="G36" s="201">
        <f t="shared" si="32"/>
        <v>52.282019426853218</v>
      </c>
      <c r="H36" s="201">
        <f t="shared" si="32"/>
        <v>52.903150655870405</v>
      </c>
      <c r="I36" s="204">
        <f t="shared" si="32"/>
        <v>51.896809947702998</v>
      </c>
      <c r="J36" s="201">
        <f t="shared" si="32"/>
        <v>57.331079894770411</v>
      </c>
      <c r="K36" s="201">
        <f t="shared" si="32"/>
        <v>56.328925634482765</v>
      </c>
      <c r="L36" s="201">
        <f t="shared" si="32"/>
        <v>60.910273108127797</v>
      </c>
      <c r="M36" s="201">
        <f t="shared" si="32"/>
        <v>56.029185150923297</v>
      </c>
      <c r="N36" s="204">
        <f t="shared" si="32"/>
        <v>57.546486276935774</v>
      </c>
      <c r="O36" s="201">
        <f t="shared" si="32"/>
        <v>52.737439809570198</v>
      </c>
      <c r="P36" s="201">
        <f t="shared" si="32"/>
        <v>60.109004023237162</v>
      </c>
      <c r="Q36" s="201">
        <f t="shared" si="32"/>
        <v>58.264275495614086</v>
      </c>
      <c r="R36" s="201">
        <f t="shared" si="32"/>
        <v>58.807374989533379</v>
      </c>
      <c r="S36" s="204">
        <f t="shared" si="32"/>
        <v>57.672722735499093</v>
      </c>
      <c r="T36" s="201">
        <f t="shared" si="32"/>
        <v>47.236035083832668</v>
      </c>
      <c r="U36" s="201">
        <f t="shared" si="32"/>
        <v>59.990894853694819</v>
      </c>
      <c r="V36" s="201">
        <f t="shared" si="32"/>
        <v>77.029805414871802</v>
      </c>
      <c r="W36" s="201">
        <f t="shared" si="32"/>
        <v>63.436576820871288</v>
      </c>
      <c r="X36" s="204">
        <f t="shared" si="32"/>
        <v>62.203926575255252</v>
      </c>
      <c r="Y36" s="201">
        <f t="shared" si="32"/>
        <v>69.106767053536188</v>
      </c>
      <c r="Z36" s="201">
        <f t="shared" si="32"/>
        <v>67.308126342564009</v>
      </c>
      <c r="AA36" s="201">
        <f t="shared" si="32"/>
        <v>77.550807088607655</v>
      </c>
      <c r="AB36" s="260">
        <f t="shared" si="32"/>
        <v>68.769174154225325</v>
      </c>
      <c r="AC36" s="204">
        <f t="shared" si="32"/>
        <v>70.797945813099687</v>
      </c>
      <c r="AD36" s="188">
        <f t="shared" si="32"/>
        <v>99.625930440601863</v>
      </c>
      <c r="AE36" s="188">
        <f t="shared" si="32"/>
        <v>89.201129269011957</v>
      </c>
      <c r="AF36" s="188">
        <f t="shared" si="32"/>
        <v>104.02621343838874</v>
      </c>
      <c r="AG36" s="188">
        <f t="shared" si="32"/>
        <v>81.59461315576408</v>
      </c>
      <c r="AH36" s="204">
        <f t="shared" si="32"/>
        <v>93.160550493495933</v>
      </c>
      <c r="AI36" s="188">
        <f t="shared" si="32"/>
        <v>102.67743591257374</v>
      </c>
      <c r="AJ36" s="188">
        <f t="shared" si="32"/>
        <v>99.769622165732272</v>
      </c>
      <c r="AK36" s="188">
        <f t="shared" ref="AK36:BB36" si="33">AK9/AK35</f>
        <v>110.07226137523038</v>
      </c>
      <c r="AL36" s="188">
        <f t="shared" si="33"/>
        <v>88.565430757378266</v>
      </c>
      <c r="AM36" s="204">
        <f t="shared" si="33"/>
        <v>99.95583460749053</v>
      </c>
      <c r="AN36" s="188">
        <f t="shared" si="33"/>
        <v>111.61088198164528</v>
      </c>
      <c r="AO36" s="188">
        <f t="shared" si="33"/>
        <v>111.25909799740725</v>
      </c>
      <c r="AP36" s="188">
        <f t="shared" si="33"/>
        <v>121.84431929759688</v>
      </c>
      <c r="AQ36" s="188">
        <f t="shared" si="33"/>
        <v>103.48336903877866</v>
      </c>
      <c r="AR36" s="204">
        <f t="shared" si="33"/>
        <v>112.03153011713476</v>
      </c>
      <c r="AS36" s="188">
        <f t="shared" si="33"/>
        <v>123.35685448234665</v>
      </c>
      <c r="AT36" s="188">
        <f t="shared" si="33"/>
        <v>128.56735335933499</v>
      </c>
      <c r="AU36" s="188">
        <f t="shared" si="33"/>
        <v>137.99871975677488</v>
      </c>
      <c r="AV36" s="188">
        <f t="shared" si="33"/>
        <v>122.65722688088964</v>
      </c>
      <c r="AW36" s="204">
        <f t="shared" si="33"/>
        <v>128.33957488153291</v>
      </c>
      <c r="AX36" s="188">
        <f t="shared" si="33"/>
        <v>148.03038708886592</v>
      </c>
      <c r="AY36" s="188">
        <f t="shared" si="33"/>
        <v>155.13344339355021</v>
      </c>
      <c r="AZ36" s="188">
        <f t="shared" si="33"/>
        <v>165.8253917353392</v>
      </c>
      <c r="BA36" s="188">
        <f t="shared" si="33"/>
        <v>140.68230709301505</v>
      </c>
      <c r="BB36" s="204">
        <f t="shared" si="33"/>
        <v>152.39436239873024</v>
      </c>
    </row>
    <row r="37" spans="2:54" ht="13" outlineLevel="1" thickBot="1" x14ac:dyDescent="0.2">
      <c r="B37" s="91"/>
      <c r="C37" s="91"/>
      <c r="D37" s="91"/>
      <c r="E37" s="147"/>
      <c r="F37" s="147"/>
      <c r="G37" s="147"/>
      <c r="H37" s="147"/>
      <c r="I37" s="151"/>
      <c r="J37" s="147"/>
      <c r="K37" s="147"/>
      <c r="L37" s="147"/>
      <c r="M37" s="147"/>
      <c r="N37" s="151"/>
      <c r="O37" s="147"/>
      <c r="P37" s="147"/>
      <c r="Q37" s="147"/>
      <c r="R37" s="147"/>
      <c r="S37" s="151"/>
      <c r="T37" s="147"/>
      <c r="U37" s="147"/>
      <c r="V37" s="147"/>
      <c r="W37" s="147"/>
      <c r="X37" s="151"/>
      <c r="Y37" s="147"/>
      <c r="Z37" s="147"/>
      <c r="AA37" s="147"/>
    </row>
    <row r="38" spans="2:54" ht="13" outlineLevel="1" thickBot="1" x14ac:dyDescent="0.2">
      <c r="B38" s="209" t="s">
        <v>35</v>
      </c>
      <c r="C38" s="210"/>
      <c r="D38" s="210"/>
      <c r="E38" s="211">
        <v>0</v>
      </c>
      <c r="F38" s="211">
        <v>2</v>
      </c>
      <c r="G38" s="211">
        <v>4</v>
      </c>
      <c r="H38" s="211">
        <v>5</v>
      </c>
      <c r="I38" s="356">
        <f>SUM(E38:H38)</f>
        <v>11</v>
      </c>
      <c r="J38" s="211">
        <v>1</v>
      </c>
      <c r="K38" s="211">
        <v>7</v>
      </c>
      <c r="L38" s="211">
        <v>5</v>
      </c>
      <c r="M38" s="211">
        <v>5</v>
      </c>
      <c r="N38" s="356">
        <f>SUM(J38:M38)</f>
        <v>18</v>
      </c>
      <c r="O38" s="211">
        <v>4</v>
      </c>
      <c r="P38" s="211">
        <v>7</v>
      </c>
      <c r="Q38" s="211">
        <v>7</v>
      </c>
      <c r="R38" s="211">
        <v>8</v>
      </c>
      <c r="S38" s="356">
        <f>SUM(O38:R38)</f>
        <v>26</v>
      </c>
      <c r="T38" s="211">
        <v>2</v>
      </c>
      <c r="U38" s="211">
        <v>7</v>
      </c>
      <c r="V38" s="211">
        <v>14</v>
      </c>
      <c r="W38" s="211">
        <v>8</v>
      </c>
      <c r="X38" s="356">
        <f>SUM(T38:W38)</f>
        <v>31</v>
      </c>
      <c r="Y38" s="211">
        <v>7</v>
      </c>
      <c r="Z38" s="211">
        <v>9</v>
      </c>
      <c r="AA38" s="211">
        <v>15</v>
      </c>
      <c r="AB38" s="262">
        <f>AVERAGE(W38,R38,M38,H38)</f>
        <v>6.5</v>
      </c>
      <c r="AC38" s="356">
        <f>SUM(Y38:AB38)</f>
        <v>37.5</v>
      </c>
      <c r="AD38" s="212">
        <f t="shared" ref="AD38:AG39" si="34">AVERAGE(Y38,T38,O38,J38)</f>
        <v>3.5</v>
      </c>
      <c r="AE38" s="212">
        <f t="shared" si="34"/>
        <v>7.5</v>
      </c>
      <c r="AF38" s="212">
        <f t="shared" si="34"/>
        <v>10.25</v>
      </c>
      <c r="AG38" s="212">
        <f t="shared" si="34"/>
        <v>6.875</v>
      </c>
      <c r="AH38" s="356">
        <f>SUM(AD38:AG38)</f>
        <v>28.125</v>
      </c>
      <c r="AI38" s="212">
        <f t="shared" ref="AI38:AL39" si="35">AVERAGE(AD38,Y38,T38,O38)</f>
        <v>4.125</v>
      </c>
      <c r="AJ38" s="212">
        <f t="shared" si="35"/>
        <v>7.625</v>
      </c>
      <c r="AK38" s="212">
        <f t="shared" si="35"/>
        <v>11.5625</v>
      </c>
      <c r="AL38" s="212">
        <f t="shared" si="35"/>
        <v>7.34375</v>
      </c>
      <c r="AM38" s="356">
        <f>SUM(AI38:AL38)</f>
        <v>30.65625</v>
      </c>
      <c r="AN38" s="212">
        <f t="shared" ref="AN38:AQ39" si="36">AVERAGE(AI38,AD38,Y38,T38)</f>
        <v>4.15625</v>
      </c>
      <c r="AO38" s="212">
        <f t="shared" si="36"/>
        <v>7.78125</v>
      </c>
      <c r="AP38" s="212">
        <f t="shared" si="36"/>
        <v>12.703125</v>
      </c>
      <c r="AQ38" s="212">
        <f t="shared" si="36"/>
        <v>7.1796875</v>
      </c>
      <c r="AR38" s="356">
        <f>SUM(AN38:AQ38)</f>
        <v>31.8203125</v>
      </c>
      <c r="AS38" s="212">
        <f t="shared" ref="AS38:AV39" si="37">AVERAGE(AN38,AI38,AD38,Y38)</f>
        <v>4.6953125</v>
      </c>
      <c r="AT38" s="212">
        <f t="shared" si="37"/>
        <v>7.9765625</v>
      </c>
      <c r="AU38" s="212">
        <f t="shared" si="37"/>
        <v>12.37890625</v>
      </c>
      <c r="AV38" s="212">
        <f t="shared" si="37"/>
        <v>6.974609375</v>
      </c>
      <c r="AW38" s="356">
        <f>SUM(AS38:AV38)</f>
        <v>32.025390625</v>
      </c>
      <c r="AX38" s="212">
        <f t="shared" ref="AX38:BA39" si="38">AVERAGE(AS38,AN38,AI38,AD38)</f>
        <v>4.119140625</v>
      </c>
      <c r="AY38" s="212">
        <f t="shared" si="38"/>
        <v>7.720703125</v>
      </c>
      <c r="AZ38" s="212">
        <f t="shared" si="38"/>
        <v>11.7236328125</v>
      </c>
      <c r="BA38" s="213">
        <f t="shared" si="38"/>
        <v>7.09326171875</v>
      </c>
      <c r="BB38" s="214"/>
    </row>
    <row r="39" spans="2:54" outlineLevel="1" x14ac:dyDescent="0.15">
      <c r="B39" s="196" t="s">
        <v>249</v>
      </c>
      <c r="C39" s="91"/>
      <c r="D39" s="91"/>
      <c r="E39" s="188">
        <v>0</v>
      </c>
      <c r="F39" s="188">
        <f>F14/F38</f>
        <v>121.9157441815385</v>
      </c>
      <c r="G39" s="188">
        <f>G14/G38</f>
        <v>112.19621714013449</v>
      </c>
      <c r="H39" s="188">
        <f>H14/H38</f>
        <v>115.1179707346154</v>
      </c>
      <c r="I39" s="215"/>
      <c r="J39" s="188">
        <f>J14/J38</f>
        <v>143.52117017765599</v>
      </c>
      <c r="K39" s="188">
        <f>K14/K38</f>
        <v>113.71449579428572</v>
      </c>
      <c r="L39" s="188">
        <f>L14/L38</f>
        <v>120.97340611153841</v>
      </c>
      <c r="M39" s="188">
        <f>M14/M38</f>
        <v>132.78425856501821</v>
      </c>
      <c r="N39" s="215"/>
      <c r="O39" s="188">
        <f>O14/O38</f>
        <v>105.497592917578</v>
      </c>
      <c r="P39" s="188">
        <f>P14/P38</f>
        <v>121.80019107538456</v>
      </c>
      <c r="Q39" s="188">
        <f>Q14/Q38</f>
        <v>118.22290973423371</v>
      </c>
      <c r="R39" s="188">
        <f>R14/R38</f>
        <v>125.66194155715876</v>
      </c>
      <c r="S39" s="215"/>
      <c r="T39" s="188">
        <f>T14/T38</f>
        <v>192.22043141907699</v>
      </c>
      <c r="U39" s="188">
        <f>U14/U38</f>
        <v>149.49932823445715</v>
      </c>
      <c r="V39" s="188">
        <f>V14/V38</f>
        <v>170.40996967144642</v>
      </c>
      <c r="W39" s="188">
        <f>W14/W38</f>
        <v>171.693456459955</v>
      </c>
      <c r="X39" s="215"/>
      <c r="Y39" s="188">
        <f>Y14/Y38</f>
        <v>193.6607646317143</v>
      </c>
      <c r="Z39" s="188">
        <f>Z14/Z38</f>
        <v>177.7810502104611</v>
      </c>
      <c r="AA39" s="188">
        <f>AA14/AA38</f>
        <v>173.898736726154</v>
      </c>
      <c r="AB39" s="260">
        <f>AVERAGE(W39,R39,M39,H39)</f>
        <v>136.31440682918685</v>
      </c>
      <c r="AC39" s="215"/>
      <c r="AD39" s="188">
        <f t="shared" si="34"/>
        <v>158.72498978650631</v>
      </c>
      <c r="AE39" s="188">
        <f t="shared" si="34"/>
        <v>140.69876632864714</v>
      </c>
      <c r="AF39" s="188">
        <f t="shared" si="34"/>
        <v>145.87625556084313</v>
      </c>
      <c r="AG39" s="188">
        <f t="shared" si="34"/>
        <v>141.61351585282969</v>
      </c>
      <c r="AH39" s="215"/>
      <c r="AI39" s="188">
        <f t="shared" si="35"/>
        <v>162.52594468871888</v>
      </c>
      <c r="AJ39" s="188">
        <f t="shared" si="35"/>
        <v>147.44483396223748</v>
      </c>
      <c r="AK39" s="188">
        <f t="shared" si="35"/>
        <v>152.1019679231693</v>
      </c>
      <c r="AL39" s="188">
        <f t="shared" si="35"/>
        <v>143.82083017478257</v>
      </c>
      <c r="AM39" s="215"/>
      <c r="AN39" s="188">
        <f t="shared" si="36"/>
        <v>176.78303263150411</v>
      </c>
      <c r="AO39" s="188">
        <f t="shared" si="36"/>
        <v>153.85599468395071</v>
      </c>
      <c r="AP39" s="188">
        <f t="shared" si="36"/>
        <v>160.57173247040322</v>
      </c>
      <c r="AQ39" s="188">
        <f t="shared" si="36"/>
        <v>148.36055232918852</v>
      </c>
      <c r="AR39" s="215"/>
      <c r="AS39" s="188">
        <f t="shared" si="37"/>
        <v>172.92368293461089</v>
      </c>
      <c r="AT39" s="188">
        <f t="shared" si="37"/>
        <v>154.9451612963241</v>
      </c>
      <c r="AU39" s="188">
        <f t="shared" si="37"/>
        <v>158.1121731701424</v>
      </c>
      <c r="AV39" s="188">
        <f t="shared" si="37"/>
        <v>142.52732629649691</v>
      </c>
      <c r="AW39" s="215"/>
      <c r="AX39" s="188">
        <f t="shared" si="38"/>
        <v>167.73941251033506</v>
      </c>
      <c r="AY39" s="188">
        <f t="shared" si="38"/>
        <v>149.23618906778987</v>
      </c>
      <c r="AZ39" s="188">
        <f t="shared" si="38"/>
        <v>154.16553228113952</v>
      </c>
      <c r="BA39" s="216">
        <f t="shared" si="38"/>
        <v>144.08055616332442</v>
      </c>
    </row>
    <row r="40" spans="2:54" outlineLevel="1" x14ac:dyDescent="0.15">
      <c r="B40" s="196"/>
      <c r="C40" s="91"/>
      <c r="D40" s="91"/>
      <c r="BA40" s="266"/>
    </row>
    <row r="41" spans="2:54" outlineLevel="1" x14ac:dyDescent="0.15">
      <c r="B41" s="217" t="str">
        <f>B18</f>
        <v>Argon-Fluoride Lithography</v>
      </c>
      <c r="C41" s="91"/>
      <c r="D41" s="91"/>
      <c r="E41" s="144">
        <v>22</v>
      </c>
      <c r="F41" s="144">
        <v>19</v>
      </c>
      <c r="G41" s="144">
        <v>24</v>
      </c>
      <c r="H41" s="144">
        <v>25</v>
      </c>
      <c r="I41" s="145"/>
      <c r="J41" s="144">
        <v>24</v>
      </c>
      <c r="K41" s="144">
        <v>24</v>
      </c>
      <c r="L41" s="144">
        <v>25</v>
      </c>
      <c r="M41" s="144">
        <v>29</v>
      </c>
      <c r="N41" s="145"/>
      <c r="O41" s="144">
        <v>21</v>
      </c>
      <c r="P41" s="144">
        <v>16</v>
      </c>
      <c r="Q41" s="144">
        <v>30</v>
      </c>
      <c r="R41" s="144">
        <v>37</v>
      </c>
      <c r="S41" s="145"/>
      <c r="T41" s="144">
        <v>22</v>
      </c>
      <c r="U41" s="144">
        <v>24</v>
      </c>
      <c r="V41" s="144">
        <v>13</v>
      </c>
      <c r="W41" s="144">
        <v>31</v>
      </c>
      <c r="X41" s="145"/>
      <c r="Y41" s="144">
        <v>28</v>
      </c>
      <c r="Z41" s="144">
        <v>23</v>
      </c>
      <c r="AA41" s="144">
        <v>27</v>
      </c>
      <c r="AB41" s="261">
        <f>AVERAGE(W41,R41,M41,H41)</f>
        <v>30.5</v>
      </c>
      <c r="AC41" s="218"/>
      <c r="AD41" s="139">
        <f t="shared" ref="AD41:AG42" si="39">AVERAGE(Y41,T41,O41,J41)</f>
        <v>23.75</v>
      </c>
      <c r="AE41" s="139">
        <f t="shared" si="39"/>
        <v>21.75</v>
      </c>
      <c r="AF41" s="139">
        <f t="shared" si="39"/>
        <v>23.75</v>
      </c>
      <c r="AG41" s="139">
        <f t="shared" si="39"/>
        <v>31.875</v>
      </c>
      <c r="AH41" s="218"/>
      <c r="AI41" s="139">
        <f t="shared" ref="AI41:AL42" si="40">AVERAGE(AD41,Y41,T41,O41)</f>
        <v>23.6875</v>
      </c>
      <c r="AJ41" s="139">
        <f t="shared" si="40"/>
        <v>21.1875</v>
      </c>
      <c r="AK41" s="139">
        <f t="shared" si="40"/>
        <v>23.4375</v>
      </c>
      <c r="AL41" s="139">
        <f t="shared" si="40"/>
        <v>32.59375</v>
      </c>
      <c r="AM41" s="218"/>
      <c r="AN41" s="139">
        <f t="shared" ref="AN41:AQ42" si="41">AVERAGE(AI41,AD41,Y41,T41)</f>
        <v>24.359375</v>
      </c>
      <c r="AO41" s="139">
        <f t="shared" si="41"/>
        <v>22.484375</v>
      </c>
      <c r="AP41" s="139">
        <f t="shared" si="41"/>
        <v>21.796875</v>
      </c>
      <c r="AQ41" s="139">
        <f t="shared" si="41"/>
        <v>31.4921875</v>
      </c>
      <c r="AR41" s="218"/>
      <c r="AS41" s="139">
        <f t="shared" ref="AS41:AV42" si="42">AVERAGE(AN41,AI41,AD41,Y41)</f>
        <v>24.94921875</v>
      </c>
      <c r="AT41" s="139">
        <f t="shared" si="42"/>
        <v>22.10546875</v>
      </c>
      <c r="AU41" s="139">
        <f t="shared" si="42"/>
        <v>23.99609375</v>
      </c>
      <c r="AV41" s="139">
        <f t="shared" si="42"/>
        <v>31.615234375</v>
      </c>
      <c r="AW41" s="218"/>
      <c r="AX41" s="139">
        <f t="shared" ref="AX41:BA42" si="43">AVERAGE(AS41,AN41,AI41,AD41)</f>
        <v>24.1865234375</v>
      </c>
      <c r="AY41" s="139">
        <f t="shared" si="43"/>
        <v>21.8818359375</v>
      </c>
      <c r="AZ41" s="139">
        <f t="shared" si="43"/>
        <v>23.2451171875</v>
      </c>
      <c r="BA41" s="219">
        <f t="shared" si="43"/>
        <v>31.89404296875</v>
      </c>
      <c r="BB41" s="214"/>
    </row>
    <row r="42" spans="2:54" outlineLevel="1" x14ac:dyDescent="0.15">
      <c r="B42" s="196" t="s">
        <v>249</v>
      </c>
      <c r="C42" s="91"/>
      <c r="D42" s="91"/>
      <c r="E42" s="188">
        <f>E18/E41</f>
        <v>46.516777669275569</v>
      </c>
      <c r="F42" s="188">
        <f>F18/F41</f>
        <v>53.73917671159915</v>
      </c>
      <c r="G42" s="188">
        <f>G18/G41</f>
        <v>57.87900090562519</v>
      </c>
      <c r="H42" s="188">
        <f>H18/H41</f>
        <v>55.256625952615295</v>
      </c>
      <c r="I42" s="215"/>
      <c r="J42" s="188">
        <f>J18/J41</f>
        <v>64.926243651796867</v>
      </c>
      <c r="K42" s="188">
        <f>K18/K41</f>
        <v>54.932393150624996</v>
      </c>
      <c r="L42" s="188">
        <f>L18/L41</f>
        <v>59.035022182430929</v>
      </c>
      <c r="M42" s="188">
        <f>M18/M41</f>
        <v>57.23459420905953</v>
      </c>
      <c r="N42" s="215"/>
      <c r="O42" s="188">
        <f>O18/O41</f>
        <v>58.457540664285474</v>
      </c>
      <c r="P42" s="188">
        <f>P18/P41</f>
        <v>55.886977917211517</v>
      </c>
      <c r="Q42" s="188">
        <f>Q18/Q41</f>
        <v>49.998438908436498</v>
      </c>
      <c r="R42" s="188">
        <f>R18/R41</f>
        <v>56.214102467321815</v>
      </c>
      <c r="S42" s="215"/>
      <c r="T42" s="188">
        <f>T18/T41</f>
        <v>46.863658899692318</v>
      </c>
      <c r="U42" s="188">
        <f>U18/U41</f>
        <v>51.430324456725579</v>
      </c>
      <c r="V42" s="188">
        <f>V18/V41</f>
        <v>61.172809625647311</v>
      </c>
      <c r="W42" s="188">
        <f>W18/W41</f>
        <v>60.308095817475227</v>
      </c>
      <c r="X42" s="215"/>
      <c r="Y42" s="188">
        <f>Y18/Y41</f>
        <v>65.898454631625</v>
      </c>
      <c r="Z42" s="188">
        <f>Z18/Z41</f>
        <v>60.290964853982707</v>
      </c>
      <c r="AA42" s="188">
        <f>AA18/AA41</f>
        <v>62.617857874643775</v>
      </c>
      <c r="AB42" s="260">
        <f>AVERAGE(W42,R42,M42,H42)</f>
        <v>57.253354611617965</v>
      </c>
      <c r="AC42" s="215"/>
      <c r="AD42" s="188">
        <f t="shared" si="39"/>
        <v>59.03647446184992</v>
      </c>
      <c r="AE42" s="188">
        <f t="shared" si="39"/>
        <v>55.6351650946362</v>
      </c>
      <c r="AF42" s="188">
        <f t="shared" si="39"/>
        <v>58.206032147789628</v>
      </c>
      <c r="AG42" s="188">
        <f t="shared" si="39"/>
        <v>57.752536776368636</v>
      </c>
      <c r="AH42" s="215"/>
      <c r="AI42" s="188">
        <f t="shared" si="40"/>
        <v>57.564032164363184</v>
      </c>
      <c r="AJ42" s="188">
        <f t="shared" si="40"/>
        <v>55.810858080639001</v>
      </c>
      <c r="AK42" s="188">
        <f t="shared" si="40"/>
        <v>57.998784639129305</v>
      </c>
      <c r="AL42" s="188">
        <f t="shared" si="40"/>
        <v>57.882022418195909</v>
      </c>
      <c r="AM42" s="215"/>
      <c r="AN42" s="188">
        <f t="shared" si="41"/>
        <v>57.340655039382611</v>
      </c>
      <c r="AO42" s="188">
        <f t="shared" si="41"/>
        <v>55.791828121495868</v>
      </c>
      <c r="AP42" s="188">
        <f t="shared" si="41"/>
        <v>59.998871071802505</v>
      </c>
      <c r="AQ42" s="188">
        <f t="shared" si="41"/>
        <v>58.299002405914429</v>
      </c>
      <c r="AR42" s="215"/>
      <c r="AS42" s="188">
        <f t="shared" si="42"/>
        <v>59.959904074305172</v>
      </c>
      <c r="AT42" s="188">
        <f t="shared" si="42"/>
        <v>56.882204037688439</v>
      </c>
      <c r="AU42" s="188">
        <f t="shared" si="42"/>
        <v>59.705386433341303</v>
      </c>
      <c r="AV42" s="188">
        <f t="shared" si="42"/>
        <v>57.796729053024237</v>
      </c>
      <c r="AW42" s="215"/>
      <c r="AX42" s="188">
        <f t="shared" si="43"/>
        <v>58.475266434975225</v>
      </c>
      <c r="AY42" s="188">
        <f t="shared" si="43"/>
        <v>56.030013833614873</v>
      </c>
      <c r="AZ42" s="188">
        <f t="shared" si="43"/>
        <v>58.977268573015678</v>
      </c>
      <c r="BA42" s="216">
        <f t="shared" si="43"/>
        <v>57.932572663375801</v>
      </c>
    </row>
    <row r="43" spans="2:54" outlineLevel="1" x14ac:dyDescent="0.15">
      <c r="B43" s="196"/>
      <c r="C43" s="91"/>
      <c r="D43" s="91"/>
      <c r="E43" s="188"/>
      <c r="F43" s="188"/>
      <c r="G43" s="188"/>
      <c r="H43" s="188"/>
      <c r="I43" s="215"/>
      <c r="J43" s="188"/>
      <c r="K43" s="188"/>
      <c r="L43" s="188"/>
      <c r="M43" s="188"/>
      <c r="N43" s="215"/>
      <c r="O43" s="188"/>
      <c r="P43" s="188"/>
      <c r="Q43" s="188"/>
      <c r="R43" s="188"/>
      <c r="S43" s="215"/>
      <c r="T43" s="188"/>
      <c r="U43" s="188"/>
      <c r="V43" s="188"/>
      <c r="W43" s="188"/>
      <c r="X43" s="215"/>
      <c r="Y43" s="188"/>
      <c r="Z43" s="188"/>
      <c r="AA43" s="188"/>
      <c r="BA43" s="266"/>
    </row>
    <row r="44" spans="2:54" outlineLevel="1" x14ac:dyDescent="0.15">
      <c r="B44" s="217" t="str">
        <f>B22</f>
        <v xml:space="preserve">Krypton-Fluoride Lithography </v>
      </c>
      <c r="C44" s="91"/>
      <c r="D44" s="91"/>
      <c r="E44" s="144">
        <v>19</v>
      </c>
      <c r="F44" s="144">
        <v>14</v>
      </c>
      <c r="G44" s="144">
        <v>18</v>
      </c>
      <c r="H44" s="144">
        <v>20</v>
      </c>
      <c r="I44" s="145"/>
      <c r="J44" s="144">
        <v>19</v>
      </c>
      <c r="K44" s="144">
        <v>19</v>
      </c>
      <c r="L44" s="144">
        <v>18</v>
      </c>
      <c r="M44" s="144">
        <v>22</v>
      </c>
      <c r="N44" s="145"/>
      <c r="O44" s="144">
        <v>14</v>
      </c>
      <c r="P44" s="144">
        <v>19</v>
      </c>
      <c r="Q44" s="144">
        <v>14</v>
      </c>
      <c r="R44" s="144">
        <v>18</v>
      </c>
      <c r="S44" s="145"/>
      <c r="T44" s="144">
        <v>22</v>
      </c>
      <c r="U44" s="144">
        <v>23</v>
      </c>
      <c r="V44" s="144">
        <v>23</v>
      </c>
      <c r="W44" s="144">
        <v>35</v>
      </c>
      <c r="X44" s="145"/>
      <c r="Y44" s="144">
        <v>35</v>
      </c>
      <c r="Z44" s="144">
        <v>31</v>
      </c>
      <c r="AA44" s="144">
        <v>30</v>
      </c>
      <c r="AB44" s="261">
        <f>AVERAGE(W44,R44,M44,H44)</f>
        <v>23.75</v>
      </c>
      <c r="AC44" s="218"/>
      <c r="AD44" s="139">
        <f t="shared" ref="AD44:AG45" si="44">AVERAGE(Y44,T44,O44,J44)</f>
        <v>22.5</v>
      </c>
      <c r="AE44" s="139">
        <f t="shared" si="44"/>
        <v>23</v>
      </c>
      <c r="AF44" s="139">
        <f t="shared" si="44"/>
        <v>21.25</v>
      </c>
      <c r="AG44" s="139">
        <f t="shared" si="44"/>
        <v>24.6875</v>
      </c>
      <c r="AH44" s="218"/>
      <c r="AI44" s="139">
        <f t="shared" ref="AI44:AL45" si="45">AVERAGE(AD44,Y44,T44,O44)</f>
        <v>23.375</v>
      </c>
      <c r="AJ44" s="139">
        <f t="shared" si="45"/>
        <v>24</v>
      </c>
      <c r="AK44" s="139">
        <f t="shared" si="45"/>
        <v>22.0625</v>
      </c>
      <c r="AL44" s="139">
        <f t="shared" si="45"/>
        <v>25.359375</v>
      </c>
      <c r="AM44" s="218"/>
      <c r="AN44" s="139">
        <f t="shared" ref="AN44:AQ45" si="46">AVERAGE(AI44,AD44,Y44,T44)</f>
        <v>25.71875</v>
      </c>
      <c r="AO44" s="139">
        <f t="shared" si="46"/>
        <v>25.25</v>
      </c>
      <c r="AP44" s="139">
        <f t="shared" si="46"/>
        <v>24.078125</v>
      </c>
      <c r="AQ44" s="139">
        <f t="shared" si="46"/>
        <v>27.19921875</v>
      </c>
      <c r="AR44" s="218"/>
      <c r="AS44" s="139">
        <f t="shared" ref="AS44:AV45" si="47">AVERAGE(AN44,AI44,AD44,Y44)</f>
        <v>26.6484375</v>
      </c>
      <c r="AT44" s="139">
        <f t="shared" si="47"/>
        <v>25.8125</v>
      </c>
      <c r="AU44" s="139">
        <f t="shared" si="47"/>
        <v>24.34765625</v>
      </c>
      <c r="AV44" s="139">
        <f t="shared" si="47"/>
        <v>25.2490234375</v>
      </c>
      <c r="AW44" s="218"/>
      <c r="AX44" s="139">
        <f t="shared" ref="AX44:BA45" si="48">AVERAGE(AS44,AN44,AI44,AD44)</f>
        <v>24.560546875</v>
      </c>
      <c r="AY44" s="139">
        <f t="shared" si="48"/>
        <v>24.515625</v>
      </c>
      <c r="AZ44" s="139">
        <f t="shared" si="48"/>
        <v>22.9345703125</v>
      </c>
      <c r="BA44" s="219">
        <f t="shared" si="48"/>
        <v>25.623779296875</v>
      </c>
      <c r="BB44" s="214"/>
    </row>
    <row r="45" spans="2:54" outlineLevel="1" x14ac:dyDescent="0.15">
      <c r="B45" s="196" t="s">
        <v>249</v>
      </c>
      <c r="C45" s="91"/>
      <c r="D45" s="91"/>
      <c r="E45" s="188">
        <f>E22/E44</f>
        <v>10.226873171792789</v>
      </c>
      <c r="F45" s="188">
        <f>F22/F44</f>
        <v>9.7968008717307846</v>
      </c>
      <c r="G45" s="188">
        <f>G22/G44</f>
        <v>11.87261557038461</v>
      </c>
      <c r="H45" s="188">
        <f>H22/H44</f>
        <v>11.511797073461549</v>
      </c>
      <c r="I45" s="215"/>
      <c r="J45" s="188">
        <f>J22/J44</f>
        <v>15.107491597648053</v>
      </c>
      <c r="K45" s="188">
        <f>K22/K44</f>
        <v>13.09212945</v>
      </c>
      <c r="L45" s="188">
        <f>L22/L44</f>
        <v>12.097340611153832</v>
      </c>
      <c r="M45" s="188">
        <f>M22/M44</f>
        <v>12.574266909566136</v>
      </c>
      <c r="N45" s="215"/>
      <c r="O45" s="188">
        <f>O22/O44</f>
        <v>12.330887483872786</v>
      </c>
      <c r="P45" s="188">
        <f>P22/P44</f>
        <v>12.039300016437263</v>
      </c>
      <c r="Q45" s="188">
        <f>Q22/Q44</f>
        <v>11.083397787584429</v>
      </c>
      <c r="R45" s="188">
        <f>R22/R44</f>
        <v>11.555121062727277</v>
      </c>
      <c r="S45" s="215"/>
      <c r="T45" s="188">
        <f>T22/T44</f>
        <v>10.325890944000001</v>
      </c>
      <c r="U45" s="188">
        <f>U22/U44</f>
        <v>11.666614243491653</v>
      </c>
      <c r="V45" s="188">
        <f>V22/V44</f>
        <v>12.573067591042131</v>
      </c>
      <c r="W45" s="188">
        <f>W22/W44</f>
        <v>11.9912890226</v>
      </c>
      <c r="X45" s="215"/>
      <c r="Y45" s="188">
        <f>Y22/Y44</f>
        <v>11.834824505271428</v>
      </c>
      <c r="Z45" s="188">
        <f>Z22/Z44</f>
        <v>12.616719692355323</v>
      </c>
      <c r="AA45" s="188">
        <f>AA22/AA44</f>
        <v>11.271214417435901</v>
      </c>
      <c r="AB45" s="260">
        <f>AVERAGE(W45,R45,M45,H45)</f>
        <v>11.908118517088742</v>
      </c>
      <c r="AC45" s="215"/>
      <c r="AD45" s="188">
        <f t="shared" si="44"/>
        <v>12.399773632698068</v>
      </c>
      <c r="AE45" s="188">
        <f t="shared" si="44"/>
        <v>12.353690850571059</v>
      </c>
      <c r="AF45" s="188">
        <f t="shared" si="44"/>
        <v>11.756255101804074</v>
      </c>
      <c r="AG45" s="188">
        <f t="shared" si="44"/>
        <v>12.007198877995538</v>
      </c>
      <c r="AH45" s="215"/>
      <c r="AI45" s="188">
        <f t="shared" si="45"/>
        <v>11.72284414146057</v>
      </c>
      <c r="AJ45" s="188">
        <f t="shared" si="45"/>
        <v>12.169081200713823</v>
      </c>
      <c r="AK45" s="188">
        <f t="shared" si="45"/>
        <v>11.670983724466634</v>
      </c>
      <c r="AL45" s="188">
        <f t="shared" si="45"/>
        <v>11.865431870102888</v>
      </c>
      <c r="AM45" s="215"/>
      <c r="AN45" s="188">
        <f t="shared" si="46"/>
        <v>11.570833305857517</v>
      </c>
      <c r="AO45" s="188">
        <f t="shared" si="46"/>
        <v>12.201526496782964</v>
      </c>
      <c r="AP45" s="188">
        <f t="shared" si="46"/>
        <v>11.817880208687185</v>
      </c>
      <c r="AQ45" s="188">
        <f t="shared" si="46"/>
        <v>11.943009571946792</v>
      </c>
      <c r="AR45" s="215"/>
      <c r="AS45" s="188">
        <f t="shared" si="47"/>
        <v>11.882068896321897</v>
      </c>
      <c r="AT45" s="188">
        <f t="shared" si="47"/>
        <v>12.335254560105794</v>
      </c>
      <c r="AU45" s="188">
        <f t="shared" si="47"/>
        <v>11.629083363098449</v>
      </c>
      <c r="AV45" s="188">
        <f t="shared" si="47"/>
        <v>11.930939709283489</v>
      </c>
      <c r="AW45" s="215"/>
      <c r="AX45" s="188">
        <f t="shared" si="48"/>
        <v>11.893879994084514</v>
      </c>
      <c r="AY45" s="188">
        <f t="shared" si="48"/>
        <v>12.264888277043408</v>
      </c>
      <c r="AZ45" s="188">
        <f t="shared" si="48"/>
        <v>11.718550599514085</v>
      </c>
      <c r="BA45" s="216">
        <f t="shared" si="48"/>
        <v>11.936645007332178</v>
      </c>
    </row>
    <row r="46" spans="2:54" outlineLevel="1" x14ac:dyDescent="0.15">
      <c r="B46" s="196"/>
      <c r="C46" s="91"/>
      <c r="D46" s="91"/>
      <c r="E46" s="147"/>
      <c r="F46" s="147"/>
      <c r="G46" s="147"/>
      <c r="H46" s="147"/>
      <c r="I46" s="151"/>
      <c r="J46" s="147"/>
      <c r="K46" s="147"/>
      <c r="L46" s="147"/>
      <c r="M46" s="147"/>
      <c r="N46" s="151"/>
      <c r="O46" s="147"/>
      <c r="P46" s="147"/>
      <c r="Q46" s="147"/>
      <c r="R46" s="147"/>
      <c r="S46" s="151"/>
      <c r="T46" s="147"/>
      <c r="U46" s="147"/>
      <c r="V46" s="147"/>
      <c r="W46" s="147"/>
      <c r="X46" s="151"/>
      <c r="Y46" s="147"/>
      <c r="Z46" s="147"/>
      <c r="AA46" s="147"/>
      <c r="BA46" s="266"/>
    </row>
    <row r="47" spans="2:54" outlineLevel="1" x14ac:dyDescent="0.15">
      <c r="B47" s="220" t="s">
        <v>34</v>
      </c>
      <c r="E47" s="221">
        <f>E35-E41-E44</f>
        <v>3</v>
      </c>
      <c r="F47" s="221">
        <f>F35-F41-F44</f>
        <v>9</v>
      </c>
      <c r="G47" s="221">
        <f>G35-G41-G44</f>
        <v>13</v>
      </c>
      <c r="H47" s="221">
        <f>H35-H41-H44</f>
        <v>12</v>
      </c>
      <c r="I47" s="222"/>
      <c r="J47" s="221">
        <f>J35-J41-J44</f>
        <v>6</v>
      </c>
      <c r="K47" s="221">
        <f>K35-K41-K44</f>
        <v>15</v>
      </c>
      <c r="L47" s="221">
        <f>L35-L41-L44</f>
        <v>10</v>
      </c>
      <c r="M47" s="221">
        <f>M35-M41-M44</f>
        <v>13</v>
      </c>
      <c r="N47" s="222"/>
      <c r="O47" s="221">
        <f>O35-O41-O44</f>
        <v>13</v>
      </c>
      <c r="P47" s="221">
        <f>P35-P41-P44</f>
        <v>13</v>
      </c>
      <c r="Q47" s="221">
        <f>Q35-Q41-Q44</f>
        <v>13</v>
      </c>
      <c r="R47" s="221">
        <f>R35-R41-R44</f>
        <v>21</v>
      </c>
      <c r="S47" s="222"/>
      <c r="T47" s="221">
        <f>T35-T41-T44</f>
        <v>13</v>
      </c>
      <c r="U47" s="221">
        <f>U35-U41-U44</f>
        <v>14</v>
      </c>
      <c r="V47" s="221">
        <f>V35-V41-V44</f>
        <v>24</v>
      </c>
      <c r="W47" s="221">
        <f>W35-W41-W44</f>
        <v>14</v>
      </c>
      <c r="X47" s="222"/>
      <c r="Y47" s="221">
        <f>Y35-Y41-Y44</f>
        <v>13</v>
      </c>
      <c r="Z47" s="221">
        <f>Z35-Z41-Z44</f>
        <v>18</v>
      </c>
      <c r="AA47" s="221">
        <f>AA35-AA41-AA44</f>
        <v>22</v>
      </c>
      <c r="AB47" s="261">
        <f>AVERAGE(W47,R47,M47,H47)</f>
        <v>15</v>
      </c>
      <c r="AC47" s="218"/>
      <c r="AD47" s="139">
        <f t="shared" ref="AD47:AG48" si="49">AVERAGE(Y47,T47,O47,J47)</f>
        <v>11.25</v>
      </c>
      <c r="AE47" s="139">
        <f t="shared" si="49"/>
        <v>15</v>
      </c>
      <c r="AF47" s="139">
        <f t="shared" si="49"/>
        <v>17.25</v>
      </c>
      <c r="AG47" s="139">
        <f t="shared" si="49"/>
        <v>15.75</v>
      </c>
      <c r="AH47" s="218"/>
      <c r="AI47" s="139">
        <f t="shared" ref="AI47:AL48" si="50">AVERAGE(AD47,Y47,T47,O47)</f>
        <v>12.5625</v>
      </c>
      <c r="AJ47" s="139">
        <f t="shared" si="50"/>
        <v>15</v>
      </c>
      <c r="AK47" s="139">
        <f t="shared" si="50"/>
        <v>19.0625</v>
      </c>
      <c r="AL47" s="139">
        <f t="shared" si="50"/>
        <v>16.4375</v>
      </c>
      <c r="AM47" s="218"/>
      <c r="AN47" s="139">
        <f t="shared" ref="AN47:AQ48" si="51">AVERAGE(AI47,AD47,Y47,T47)</f>
        <v>12.453125</v>
      </c>
      <c r="AO47" s="139">
        <f t="shared" si="51"/>
        <v>15.5</v>
      </c>
      <c r="AP47" s="139">
        <f t="shared" si="51"/>
        <v>20.578125</v>
      </c>
      <c r="AQ47" s="139">
        <f t="shared" si="51"/>
        <v>15.296875</v>
      </c>
      <c r="AR47" s="218"/>
      <c r="AS47" s="139">
        <f t="shared" ref="AS47:AV48" si="52">AVERAGE(AN47,AI47,AD47,Y47)</f>
        <v>12.31640625</v>
      </c>
      <c r="AT47" s="139">
        <f t="shared" si="52"/>
        <v>15.875</v>
      </c>
      <c r="AU47" s="139">
        <f t="shared" si="52"/>
        <v>19.72265625</v>
      </c>
      <c r="AV47" s="139">
        <f t="shared" si="52"/>
        <v>15.62109375</v>
      </c>
      <c r="AW47" s="218"/>
      <c r="AX47" s="139">
        <f t="shared" ref="AX47:BA48" si="53">AVERAGE(AS47,AN47,AI47,AD47)</f>
        <v>12.1455078125</v>
      </c>
      <c r="AY47" s="139">
        <f t="shared" si="53"/>
        <v>15.34375</v>
      </c>
      <c r="AZ47" s="139">
        <f t="shared" si="53"/>
        <v>19.1533203125</v>
      </c>
      <c r="BA47" s="219">
        <f t="shared" si="53"/>
        <v>15.7763671875</v>
      </c>
      <c r="BB47" s="214"/>
    </row>
    <row r="48" spans="2:54" ht="13" outlineLevel="1" thickBot="1" x14ac:dyDescent="0.2">
      <c r="B48" s="357" t="s">
        <v>249</v>
      </c>
      <c r="C48" s="223"/>
      <c r="D48" s="223"/>
      <c r="E48" s="224">
        <f>E26/E47</f>
        <v>25.908078701875002</v>
      </c>
      <c r="F48" s="224">
        <f>F26/F47</f>
        <v>13.54619379794871</v>
      </c>
      <c r="G48" s="224">
        <f>G26/G47</f>
        <v>6.5756024697514768</v>
      </c>
      <c r="H48" s="224">
        <f>H26/H47</f>
        <v>9.5931642278846159</v>
      </c>
      <c r="I48" s="225"/>
      <c r="J48" s="224">
        <f>J26/J47</f>
        <v>10.251512155546884</v>
      </c>
      <c r="K48" s="224">
        <f>K26/K47</f>
        <v>8.2916819850000003</v>
      </c>
      <c r="L48" s="224">
        <f>L26/L47</f>
        <v>12.09734061115385</v>
      </c>
      <c r="M48" s="224">
        <f>M26/M47</f>
        <v>12.76771716971327</v>
      </c>
      <c r="N48" s="225"/>
      <c r="O48" s="224">
        <f>O26/O47</f>
        <v>7.377454050180285</v>
      </c>
      <c r="P48" s="224">
        <f>P26/P47</f>
        <v>7.9981363745562088</v>
      </c>
      <c r="Q48" s="224">
        <f>Q26/Q47</f>
        <v>7.9573112321118851</v>
      </c>
      <c r="R48" s="224">
        <f>R26/R47</f>
        <v>8.2536579019480278</v>
      </c>
      <c r="S48" s="225"/>
      <c r="T48" s="224">
        <f>T26/T47</f>
        <v>8.0651929266745537</v>
      </c>
      <c r="U48" s="224">
        <f>U26/U47</f>
        <v>9.5832902714395569</v>
      </c>
      <c r="V48" s="224">
        <f>V26/V47</f>
        <v>6.024594887374338</v>
      </c>
      <c r="W48" s="224">
        <f>W26/W47</f>
        <v>10.901171838727249</v>
      </c>
      <c r="X48" s="225"/>
      <c r="Y48" s="224">
        <f>Y26/Y47</f>
        <v>11.586541473692307</v>
      </c>
      <c r="Z48" s="224">
        <f>Z26/Z47</f>
        <v>9.8767250116922956</v>
      </c>
      <c r="AA48" s="224">
        <f>AA26/AA47</f>
        <v>8.7827644811189014</v>
      </c>
      <c r="AB48" s="263">
        <f>AVERAGE(W48,R48,M48,H48)</f>
        <v>10.37892778456829</v>
      </c>
      <c r="AC48" s="225"/>
      <c r="AD48" s="224">
        <f t="shared" si="49"/>
        <v>9.3201751515235074</v>
      </c>
      <c r="AE48" s="224">
        <f t="shared" si="49"/>
        <v>8.937458410672015</v>
      </c>
      <c r="AF48" s="224">
        <f t="shared" si="49"/>
        <v>8.7155028029397439</v>
      </c>
      <c r="AG48" s="224">
        <f t="shared" si="49"/>
        <v>10.575368673739209</v>
      </c>
      <c r="AH48" s="225"/>
      <c r="AI48" s="224">
        <f t="shared" si="50"/>
        <v>9.0873409005176633</v>
      </c>
      <c r="AJ48" s="224">
        <f t="shared" si="50"/>
        <v>9.0989025170900195</v>
      </c>
      <c r="AK48" s="224">
        <f t="shared" si="50"/>
        <v>7.8700433508862169</v>
      </c>
      <c r="AL48" s="224">
        <f t="shared" si="50"/>
        <v>10.027281549745695</v>
      </c>
      <c r="AM48" s="225"/>
      <c r="AN48" s="224">
        <f t="shared" si="51"/>
        <v>9.5148126131020074</v>
      </c>
      <c r="AO48" s="224">
        <f t="shared" si="51"/>
        <v>9.3740940527234713</v>
      </c>
      <c r="AP48" s="224">
        <f t="shared" si="51"/>
        <v>7.8482263805798</v>
      </c>
      <c r="AQ48" s="224">
        <f t="shared" si="51"/>
        <v>10.47068746169511</v>
      </c>
      <c r="AR48" s="225"/>
      <c r="AS48" s="224">
        <f t="shared" si="52"/>
        <v>9.8772175347088709</v>
      </c>
      <c r="AT48" s="224">
        <f t="shared" si="52"/>
        <v>9.3217949980444494</v>
      </c>
      <c r="AU48" s="224">
        <f t="shared" si="52"/>
        <v>8.3041342538811662</v>
      </c>
      <c r="AV48" s="224">
        <f t="shared" si="52"/>
        <v>10.363066367437076</v>
      </c>
      <c r="AW48" s="225"/>
      <c r="AX48" s="224">
        <f t="shared" si="53"/>
        <v>9.4498865499630114</v>
      </c>
      <c r="AY48" s="224">
        <f t="shared" si="53"/>
        <v>9.1830624946324892</v>
      </c>
      <c r="AZ48" s="224">
        <f t="shared" si="53"/>
        <v>8.184476697071732</v>
      </c>
      <c r="BA48" s="226">
        <f t="shared" si="53"/>
        <v>10.359101013154273</v>
      </c>
    </row>
    <row r="49" spans="2:81" x14ac:dyDescent="0.15">
      <c r="B49" s="91"/>
      <c r="C49" s="91"/>
      <c r="D49" s="91"/>
      <c r="E49" s="147"/>
      <c r="F49" s="147"/>
      <c r="G49" s="147"/>
      <c r="H49" s="147"/>
      <c r="I49" s="151"/>
      <c r="J49" s="147"/>
      <c r="K49" s="147"/>
      <c r="L49" s="147"/>
      <c r="M49" s="147"/>
      <c r="N49" s="151"/>
      <c r="O49" s="147"/>
      <c r="P49" s="147"/>
      <c r="Q49" s="147"/>
      <c r="R49" s="147"/>
      <c r="S49" s="151"/>
      <c r="T49" s="147"/>
      <c r="U49" s="147"/>
      <c r="V49" s="147"/>
      <c r="W49" s="147"/>
      <c r="X49" s="151"/>
      <c r="Y49" s="147"/>
      <c r="Z49" s="147"/>
      <c r="AA49" s="147"/>
      <c r="BB49" s="265"/>
    </row>
    <row r="50" spans="2:81" hidden="1" x14ac:dyDescent="0.15">
      <c r="E50" s="283"/>
      <c r="F50" s="283"/>
      <c r="G50" s="283"/>
      <c r="H50" s="283"/>
      <c r="I50" s="282"/>
      <c r="J50" s="283"/>
      <c r="K50" s="283"/>
      <c r="L50" s="283"/>
      <c r="M50" s="283"/>
      <c r="N50" s="282"/>
      <c r="O50" s="283"/>
      <c r="P50" s="283"/>
      <c r="Q50" s="283"/>
      <c r="R50" s="283"/>
      <c r="S50" s="282"/>
      <c r="T50" s="283"/>
      <c r="U50" s="283"/>
      <c r="V50" s="283"/>
      <c r="W50" s="283"/>
      <c r="X50" s="282"/>
      <c r="Y50" s="283"/>
      <c r="Z50" s="283"/>
      <c r="AA50" s="283"/>
      <c r="AB50" s="284"/>
      <c r="AC50" s="282"/>
      <c r="AD50" s="283"/>
      <c r="AE50" s="283"/>
      <c r="AF50" s="283"/>
      <c r="AG50" s="283"/>
      <c r="AH50" s="282"/>
      <c r="AI50" s="283"/>
      <c r="AJ50" s="283"/>
      <c r="AK50" s="283"/>
      <c r="AL50" s="283"/>
      <c r="AM50" s="282"/>
      <c r="AN50" s="283"/>
      <c r="AO50" s="283"/>
      <c r="AP50" s="283"/>
      <c r="AQ50" s="283"/>
      <c r="AR50" s="282"/>
      <c r="AS50" s="283"/>
      <c r="AT50" s="283"/>
      <c r="AU50" s="283"/>
      <c r="AV50" s="283"/>
      <c r="AW50" s="282"/>
      <c r="AX50" s="283"/>
      <c r="AY50" s="283"/>
      <c r="AZ50" s="283"/>
      <c r="BA50" s="283"/>
      <c r="BB50" s="282"/>
    </row>
    <row r="51" spans="2:81" hidden="1" x14ac:dyDescent="0.15">
      <c r="E51" s="265">
        <v>1</v>
      </c>
      <c r="F51" s="265">
        <f>E51+1</f>
        <v>2</v>
      </c>
      <c r="G51" s="265">
        <f>F51+1</f>
        <v>3</v>
      </c>
      <c r="H51" s="265">
        <f>G51+1</f>
        <v>4</v>
      </c>
      <c r="I51" s="265"/>
      <c r="J51" s="265">
        <v>5</v>
      </c>
      <c r="K51" s="265">
        <f>J51+1</f>
        <v>6</v>
      </c>
      <c r="L51" s="265">
        <f>K51+1</f>
        <v>7</v>
      </c>
      <c r="M51" s="265">
        <f>L51+1</f>
        <v>8</v>
      </c>
      <c r="N51" s="265"/>
      <c r="O51" s="265">
        <v>9</v>
      </c>
      <c r="P51" s="277">
        <f>O51+1</f>
        <v>10</v>
      </c>
      <c r="Q51" s="277">
        <f>P51+1</f>
        <v>11</v>
      </c>
      <c r="R51" s="277">
        <f>Q51+1</f>
        <v>12</v>
      </c>
      <c r="S51" s="265"/>
      <c r="T51" s="265">
        <v>13</v>
      </c>
      <c r="U51" s="277">
        <f>T51+1</f>
        <v>14</v>
      </c>
      <c r="V51" s="277">
        <f>U51+1</f>
        <v>15</v>
      </c>
      <c r="W51" s="277">
        <f>V51+1</f>
        <v>16</v>
      </c>
      <c r="X51" s="265"/>
      <c r="Y51" s="265">
        <v>17</v>
      </c>
      <c r="Z51" s="265">
        <f>Y51+1</f>
        <v>18</v>
      </c>
      <c r="AA51" s="265">
        <f>Z51+1</f>
        <v>19</v>
      </c>
      <c r="AB51" s="265">
        <f>AA51+1</f>
        <v>20</v>
      </c>
      <c r="AD51" s="265">
        <v>21</v>
      </c>
      <c r="AE51" s="265">
        <f>AD51+1</f>
        <v>22</v>
      </c>
      <c r="AF51" s="265">
        <f>AE51+1</f>
        <v>23</v>
      </c>
      <c r="AG51" s="265">
        <f>AF51+1</f>
        <v>24</v>
      </c>
      <c r="AI51" s="265">
        <v>25</v>
      </c>
      <c r="AJ51" s="265">
        <f>AI51+1</f>
        <v>26</v>
      </c>
      <c r="AK51" s="265">
        <f>AJ51+1</f>
        <v>27</v>
      </c>
      <c r="AL51" s="265">
        <f>AK51+1</f>
        <v>28</v>
      </c>
      <c r="AN51" s="265">
        <v>29</v>
      </c>
      <c r="AO51" s="265">
        <f>AN51+1</f>
        <v>30</v>
      </c>
      <c r="AP51" s="265">
        <f>AO51+1</f>
        <v>31</v>
      </c>
      <c r="AQ51" s="265">
        <f>AP51+1</f>
        <v>32</v>
      </c>
      <c r="AS51" s="265">
        <v>33</v>
      </c>
      <c r="AT51" s="265">
        <f>AS51+1</f>
        <v>34</v>
      </c>
      <c r="AU51" s="265">
        <f>AT51+1</f>
        <v>35</v>
      </c>
      <c r="AV51" s="265">
        <f>AU51+1</f>
        <v>36</v>
      </c>
      <c r="AX51" s="265">
        <v>37</v>
      </c>
      <c r="AY51" s="265">
        <f>AX51+1</f>
        <v>38</v>
      </c>
      <c r="AZ51" s="265">
        <f>AY51+1</f>
        <v>39</v>
      </c>
      <c r="BA51" s="265">
        <f>AZ51+1</f>
        <v>40</v>
      </c>
    </row>
    <row r="52" spans="2:81" hidden="1" x14ac:dyDescent="0.15">
      <c r="E52" s="265">
        <f>E53*1.13</f>
        <v>2785.334175</v>
      </c>
      <c r="F52" s="265">
        <f>F53*1.13</f>
        <v>2878.6428698625004</v>
      </c>
      <c r="G52" s="265">
        <f>G53*1.13</f>
        <v>2975.0774060028948</v>
      </c>
      <c r="H52" s="265">
        <f>H53*1.13</f>
        <v>3074.742499103992</v>
      </c>
      <c r="I52" s="96">
        <f>SUM(E52:H52)</f>
        <v>11713.796949969386</v>
      </c>
      <c r="J52" s="265">
        <f>J53*1.13</f>
        <v>3177.7463728239763</v>
      </c>
      <c r="K52" s="265">
        <f>K53*1.13</f>
        <v>3284.20087631358</v>
      </c>
      <c r="L52" s="265">
        <f>L53*1.13</f>
        <v>3394.221605670085</v>
      </c>
      <c r="M52" s="265">
        <f>M53*1.13</f>
        <v>3507.9280294600339</v>
      </c>
      <c r="N52" s="96">
        <f>SUM(J52:M52)</f>
        <v>13364.096884267676</v>
      </c>
      <c r="O52" s="265">
        <f>O53*1.13</f>
        <v>3625.443618446945</v>
      </c>
      <c r="P52" s="265">
        <f>P53*1.13</f>
        <v>3746.8959796649183</v>
      </c>
      <c r="Q52" s="265">
        <f>Q53*1.13</f>
        <v>3872.4169949836933</v>
      </c>
      <c r="R52" s="265">
        <f>R53*1.13</f>
        <v>4002.142964315648</v>
      </c>
      <c r="S52" s="96">
        <f>SUM(O52:R52)</f>
        <v>15246.899557411205</v>
      </c>
      <c r="T52" s="265">
        <f>T53*1.13</f>
        <v>4136.2147536202228</v>
      </c>
      <c r="U52" s="265">
        <f>U53*1.13</f>
        <v>4274.7779478665007</v>
      </c>
      <c r="V52" s="265">
        <f>V53*1.13</f>
        <v>4417.9830091200292</v>
      </c>
      <c r="W52" s="265">
        <f>W53*1.13</f>
        <v>4565.985439925551</v>
      </c>
      <c r="X52" s="96">
        <f>SUM(T52:W52)</f>
        <v>17394.961150532305</v>
      </c>
      <c r="Y52" s="265">
        <f>Y53*1.13</f>
        <v>4718.9459521630579</v>
      </c>
      <c r="Z52" s="265">
        <f>Z53*1.13</f>
        <v>4877.030641560521</v>
      </c>
      <c r="AA52" s="265">
        <f>AA53*1.13</f>
        <v>5040.4111680527985</v>
      </c>
      <c r="AB52" s="143">
        <f>AB53*1.13</f>
        <v>5209.2649421825681</v>
      </c>
      <c r="AC52" s="96">
        <f>SUM(Y52:AB52)</f>
        <v>19845.652703958945</v>
      </c>
      <c r="AD52" s="265">
        <f>AD53*1.13</f>
        <v>5383.7753177456852</v>
      </c>
      <c r="AE52" s="265">
        <f>AE53*1.13</f>
        <v>5564.1317908901665</v>
      </c>
      <c r="AF52" s="265">
        <f>AF53*1.13</f>
        <v>5750.5302058849875</v>
      </c>
      <c r="AG52" s="143">
        <f>AG53*1.13</f>
        <v>5943.1729677821359</v>
      </c>
      <c r="AH52" s="96">
        <f>SUM(AD52:AG52)</f>
        <v>22641.610282302976</v>
      </c>
      <c r="AI52" s="265">
        <f>AI53*1.13</f>
        <v>6142.2692622028371</v>
      </c>
      <c r="AJ52" s="265">
        <f>AJ53*1.13</f>
        <v>6348.0352824866332</v>
      </c>
      <c r="AK52" s="265">
        <f>AK53*1.13</f>
        <v>6560.6944644499372</v>
      </c>
      <c r="AL52" s="143">
        <f>AL53*1.13</f>
        <v>6780.4777290090105</v>
      </c>
      <c r="AM52" s="96">
        <f>SUM(AI52:AL52)</f>
        <v>25831.476738148416</v>
      </c>
      <c r="AN52" s="265">
        <f>AN53*1.13</f>
        <v>7007.6237329308151</v>
      </c>
      <c r="AO52" s="265">
        <f>AO53*1.13</f>
        <v>7242.379127983997</v>
      </c>
      <c r="AP52" s="265">
        <f>AP53*1.13</f>
        <v>7484.9988287714614</v>
      </c>
      <c r="AQ52" s="143">
        <f>AQ53*1.13</f>
        <v>7735.7462895353083</v>
      </c>
      <c r="AR52" s="96">
        <f>SUM(AN52:AQ52)</f>
        <v>29470.747979221582</v>
      </c>
      <c r="AS52" s="265">
        <f>AS53*1.13</f>
        <v>7994.8937902347416</v>
      </c>
      <c r="AT52" s="265">
        <f>AT53*1.13</f>
        <v>8262.7227322076069</v>
      </c>
      <c r="AU52" s="265">
        <f>AU53*1.13</f>
        <v>8539.5239437365635</v>
      </c>
      <c r="AV52" s="143">
        <f>AV53*1.13</f>
        <v>8825.5979958517401</v>
      </c>
      <c r="AW52" s="96">
        <f>SUM(AS52:AV52)</f>
        <v>33622.738462030655</v>
      </c>
      <c r="AX52" s="265">
        <f>AX53*1.13</f>
        <v>9121.2555287127725</v>
      </c>
      <c r="AY52" s="265">
        <f>AY53*1.13</f>
        <v>9426.8175889246522</v>
      </c>
      <c r="AZ52" s="265">
        <f>AZ53*1.13</f>
        <v>9742.6159781536298</v>
      </c>
      <c r="BA52" s="143">
        <f>BA53*1.13</f>
        <v>10068.993613421779</v>
      </c>
      <c r="BB52" s="96">
        <f>SUM(AX52:BA52)</f>
        <v>38359.682709212837</v>
      </c>
    </row>
    <row r="53" spans="2:81" hidden="1" x14ac:dyDescent="0.15">
      <c r="E53" s="265">
        <f>2385*(1.0335^E51)</f>
        <v>2464.8975</v>
      </c>
      <c r="F53" s="265">
        <f>2385*(1.0335^F51)</f>
        <v>2547.4715662500007</v>
      </c>
      <c r="G53" s="265">
        <f>2385*(1.0335^G51)</f>
        <v>2632.8118637193761</v>
      </c>
      <c r="H53" s="265">
        <f>2385*(1.0335^H51)</f>
        <v>2721.0110611539753</v>
      </c>
      <c r="I53" s="96">
        <f>SUM(E53:H53)</f>
        <v>10366.191991123353</v>
      </c>
      <c r="J53" s="265">
        <f>2385*(1.0335^J51)</f>
        <v>2812.164931702634</v>
      </c>
      <c r="K53" s="265">
        <f>2385*(1.0335^K51)</f>
        <v>2906.372456914673</v>
      </c>
      <c r="L53" s="265">
        <f>2385*(1.0335^L51)</f>
        <v>3003.7359342213144</v>
      </c>
      <c r="M53" s="265">
        <f>2385*(1.0335^M51)</f>
        <v>3104.3610880177293</v>
      </c>
      <c r="N53" s="96">
        <f>SUM(J53:M53)</f>
        <v>11826.634410856352</v>
      </c>
      <c r="O53" s="265">
        <f>2385*(1.0335^O51)</f>
        <v>3208.3571844663234</v>
      </c>
      <c r="P53" s="265">
        <f>2385*(1.0335^P51)</f>
        <v>3315.8371501459455</v>
      </c>
      <c r="Q53" s="265">
        <f>2385*(1.0335^Q51)</f>
        <v>3426.9176946758353</v>
      </c>
      <c r="R53" s="265">
        <f>2385*(1.0335^R51)</f>
        <v>3541.7194374474766</v>
      </c>
      <c r="S53" s="96">
        <f>SUM(O53:R53)</f>
        <v>13492.831466735581</v>
      </c>
      <c r="T53" s="265">
        <f>2385*(1.0335^T51)</f>
        <v>3660.3670386019676</v>
      </c>
      <c r="U53" s="265">
        <f>2385*(1.0335^U51)</f>
        <v>3782.9893343951339</v>
      </c>
      <c r="V53" s="265">
        <f>2385*(1.0335^V51)</f>
        <v>3909.7194770973711</v>
      </c>
      <c r="W53" s="265">
        <f>2385*(1.0335^W51)</f>
        <v>4040.695079580134</v>
      </c>
      <c r="X53" s="96">
        <f>SUM(T53:W53)</f>
        <v>15393.770929674607</v>
      </c>
      <c r="Y53" s="265">
        <f>2385*(1.0335^Y51)</f>
        <v>4176.0583647460689</v>
      </c>
      <c r="Z53" s="265">
        <f>2385*(1.0335^Z51)</f>
        <v>4315.9563199650629</v>
      </c>
      <c r="AA53" s="265">
        <f>2385*(1.0335^AA51)</f>
        <v>4460.5408566838933</v>
      </c>
      <c r="AB53" s="265">
        <f>2385*(1.0335^AB51)</f>
        <v>4609.9689753828043</v>
      </c>
      <c r="AC53" s="96">
        <f>SUM(Y53:AB53)</f>
        <v>17562.524516777827</v>
      </c>
      <c r="AD53" s="265">
        <f>2385*(1.0335^AD51)</f>
        <v>4764.4029360581289</v>
      </c>
      <c r="AE53" s="265">
        <f>2385*(1.0335^AE51)</f>
        <v>4924.0104344160773</v>
      </c>
      <c r="AF53" s="265">
        <f>2385*(1.0335^AF51)</f>
        <v>5088.964783969016</v>
      </c>
      <c r="AG53" s="265">
        <f>2385*(1.0335^AG51)</f>
        <v>5259.4451042319788</v>
      </c>
      <c r="AH53" s="96">
        <f>SUM(AD53:AG53)</f>
        <v>20036.823258675198</v>
      </c>
      <c r="AI53" s="265">
        <f>2385*(1.0335^AI51)</f>
        <v>5435.6365152237504</v>
      </c>
      <c r="AJ53" s="265">
        <f>2385*(1.0335^AJ51)</f>
        <v>5617.7303384837469</v>
      </c>
      <c r="AK53" s="265">
        <f>2385*(1.0335^AK51)</f>
        <v>5805.9243048229537</v>
      </c>
      <c r="AL53" s="265">
        <f>2385*(1.0335^AL51)</f>
        <v>6000.4227690345233</v>
      </c>
      <c r="AM53" s="96">
        <f>SUM(AI53:AL53)</f>
        <v>22859.713927564975</v>
      </c>
      <c r="AN53" s="265">
        <f>2385*(1.0335^AN51)</f>
        <v>6201.4369317971823</v>
      </c>
      <c r="AO53" s="265">
        <f>2385*(1.0335^AO51)</f>
        <v>6409.1850690123874</v>
      </c>
      <c r="AP53" s="265">
        <f>2385*(1.0335^AP51)</f>
        <v>6623.8927688243029</v>
      </c>
      <c r="AQ53" s="265">
        <f>2385*(1.0335^AQ51)</f>
        <v>6845.7931765799194</v>
      </c>
      <c r="AR53" s="96">
        <f>SUM(AN53:AQ53)</f>
        <v>26080.30794621379</v>
      </c>
      <c r="AS53" s="265">
        <f>2385*(1.0335^AS51)</f>
        <v>7075.1272479953468</v>
      </c>
      <c r="AT53" s="265">
        <f>2385*(1.0335^AT51)</f>
        <v>7312.1440108031929</v>
      </c>
      <c r="AU53" s="265">
        <f>2385*(1.0335^AU51)</f>
        <v>7557.1008351651008</v>
      </c>
      <c r="AV53" s="265">
        <f>2385*(1.0335^AV51)</f>
        <v>7810.2637131431329</v>
      </c>
      <c r="AW53" s="96">
        <f>SUM(AS53:AV53)</f>
        <v>29754.635807106773</v>
      </c>
      <c r="AX53" s="265">
        <f>2385*(1.0335^AX51)</f>
        <v>8071.9075475334284</v>
      </c>
      <c r="AY53" s="265">
        <f>2385*(1.0335^AY51)</f>
        <v>8342.3164503757998</v>
      </c>
      <c r="AZ53" s="265">
        <f>2385*(1.0335^AZ51)</f>
        <v>8621.7840514633899</v>
      </c>
      <c r="BA53" s="265">
        <f>2385*(1.0335^BA51)</f>
        <v>8910.6138171874154</v>
      </c>
      <c r="BB53" s="96">
        <f>SUM(AX53:BA53)</f>
        <v>33946.621866560032</v>
      </c>
    </row>
    <row r="54" spans="2:81" hidden="1" x14ac:dyDescent="0.15">
      <c r="E54" s="265">
        <f>(0.87*E53)</f>
        <v>2144.4608250000001</v>
      </c>
      <c r="F54" s="265">
        <f>(0.87*F53)</f>
        <v>2216.3002626375005</v>
      </c>
      <c r="G54" s="265">
        <f>(0.87*G53)</f>
        <v>2290.5463214358574</v>
      </c>
      <c r="H54" s="265">
        <f>(0.87*H53)</f>
        <v>2367.2796232039586</v>
      </c>
      <c r="I54" s="96">
        <f>SUM(E54:H54)</f>
        <v>9018.5870322773153</v>
      </c>
      <c r="J54" s="265">
        <f>(0.87*J53)</f>
        <v>2446.5834905812917</v>
      </c>
      <c r="K54" s="265">
        <f>(0.87*K53)</f>
        <v>2528.5440375157655</v>
      </c>
      <c r="L54" s="265">
        <f>(0.87*L53)</f>
        <v>2613.2502627725435</v>
      </c>
      <c r="M54" s="265">
        <f>(0.87*M53)</f>
        <v>2700.7941465754243</v>
      </c>
      <c r="N54" s="96">
        <f>SUM(J54:M54)</f>
        <v>10289.171937445024</v>
      </c>
      <c r="O54" s="265">
        <f>(0.87*O53)</f>
        <v>2791.2707504857012</v>
      </c>
      <c r="P54" s="265">
        <f>(0.87*P53)</f>
        <v>2884.7783206269728</v>
      </c>
      <c r="Q54" s="265">
        <f>(0.87*Q53)</f>
        <v>2981.4183943679768</v>
      </c>
      <c r="R54" s="265">
        <f>(0.87*R53)</f>
        <v>3081.2959105793047</v>
      </c>
      <c r="S54" s="96">
        <f>SUM(O54:R54)</f>
        <v>11738.763376059956</v>
      </c>
      <c r="T54" s="265">
        <f>(0.87*T53)</f>
        <v>3184.5193235837119</v>
      </c>
      <c r="U54" s="265">
        <f>(0.87*U53)</f>
        <v>3291.2007209237663</v>
      </c>
      <c r="V54" s="265">
        <f>(0.87*V53)</f>
        <v>3401.4559450747129</v>
      </c>
      <c r="W54" s="265">
        <f>(0.87*W53)</f>
        <v>3515.4047192347166</v>
      </c>
      <c r="X54" s="96">
        <f>SUM(T54:W54)</f>
        <v>13392.580708816908</v>
      </c>
      <c r="Y54" s="265">
        <f>(0.87*Y53)</f>
        <v>3633.17077732908</v>
      </c>
      <c r="Z54" s="265">
        <f>(0.87*Z53)</f>
        <v>3754.8819983696048</v>
      </c>
      <c r="AA54" s="265">
        <f>(0.87*AA53)</f>
        <v>3880.6705453149871</v>
      </c>
      <c r="AB54" s="265">
        <f>(0.87*AB53)</f>
        <v>4010.6730085830395</v>
      </c>
      <c r="AC54" s="96">
        <f>SUM(Y54:AB54)</f>
        <v>15279.396329596711</v>
      </c>
      <c r="AD54" s="265">
        <f>(0.87*AD53)</f>
        <v>4145.0305543705717</v>
      </c>
      <c r="AE54" s="265">
        <f>(0.87*AE53)</f>
        <v>4283.8890779419871</v>
      </c>
      <c r="AF54" s="265">
        <f>(0.87*AF53)</f>
        <v>4427.3993620530437</v>
      </c>
      <c r="AG54" s="265">
        <f>(0.87*AG53)</f>
        <v>4575.7172406818217</v>
      </c>
      <c r="AH54" s="96">
        <f>SUM(AD54:AG54)</f>
        <v>17432.036235047424</v>
      </c>
      <c r="AI54" s="265">
        <f>(0.87*AI53)</f>
        <v>4729.0037682446628</v>
      </c>
      <c r="AJ54" s="265">
        <f>(0.87*AJ53)</f>
        <v>4887.4253944808597</v>
      </c>
      <c r="AK54" s="265">
        <f>(0.87*AK53)</f>
        <v>5051.1541451959692</v>
      </c>
      <c r="AL54" s="265">
        <f>(0.87*AL53)</f>
        <v>5220.3678090600351</v>
      </c>
      <c r="AM54" s="96">
        <f>SUM(AI54:AL54)</f>
        <v>19887.951116981527</v>
      </c>
      <c r="AN54" s="265">
        <f>(0.87*AN53)</f>
        <v>5395.2501306635486</v>
      </c>
      <c r="AO54" s="265">
        <f>(0.87*AO53)</f>
        <v>5575.9910100407769</v>
      </c>
      <c r="AP54" s="265">
        <f>(0.87*AP53)</f>
        <v>5762.7867088771436</v>
      </c>
      <c r="AQ54" s="265">
        <f>(0.87*AQ53)</f>
        <v>5955.8400636245296</v>
      </c>
      <c r="AR54" s="96">
        <f>SUM(AN54:AQ54)</f>
        <v>22689.867913205999</v>
      </c>
      <c r="AS54" s="265">
        <f>(0.87*AS53)</f>
        <v>6155.360705755952</v>
      </c>
      <c r="AT54" s="265">
        <f>(0.87*AT53)</f>
        <v>6361.5652893987781</v>
      </c>
      <c r="AU54" s="265">
        <f>(0.87*AU53)</f>
        <v>6574.677726593638</v>
      </c>
      <c r="AV54" s="265">
        <f>(0.87*AV53)</f>
        <v>6794.9294304345258</v>
      </c>
      <c r="AW54" s="96">
        <f>SUM(AS54:AV54)</f>
        <v>25886.533152182892</v>
      </c>
      <c r="AX54" s="265">
        <f>(0.87*AX53)</f>
        <v>7022.5595663540826</v>
      </c>
      <c r="AY54" s="265">
        <f>(0.87*AY53)</f>
        <v>7257.8153118269456</v>
      </c>
      <c r="AZ54" s="265">
        <f>(0.87*AZ53)</f>
        <v>7500.9521247731491</v>
      </c>
      <c r="BA54" s="265">
        <f>(0.87*BA53)</f>
        <v>7752.2340209530512</v>
      </c>
      <c r="BB54" s="96">
        <f>SUM(AX54:BA54)</f>
        <v>29533.56102390723</v>
      </c>
    </row>
    <row r="55" spans="2:81" hidden="1" x14ac:dyDescent="0.15">
      <c r="E55" s="240">
        <f t="shared" ref="E55:AA55" si="54">ABS(E52-E$9)/E$9</f>
        <v>0.34501567126076227</v>
      </c>
      <c r="F55" s="240">
        <f t="shared" si="54"/>
        <v>0.24416139790706406</v>
      </c>
      <c r="G55" s="276">
        <f t="shared" si="54"/>
        <v>3.4625614422936352E-2</v>
      </c>
      <c r="H55" s="276">
        <f t="shared" si="54"/>
        <v>1.9652897657575809E-2</v>
      </c>
      <c r="I55" s="270">
        <f t="shared" si="54"/>
        <v>0.13996584213996649</v>
      </c>
      <c r="J55" s="240">
        <f t="shared" si="54"/>
        <v>0.13118341589518315</v>
      </c>
      <c r="K55" s="276">
        <f t="shared" si="54"/>
        <v>5.2411332558031003E-3</v>
      </c>
      <c r="L55" s="276">
        <f t="shared" si="54"/>
        <v>5.1414052510119712E-2</v>
      </c>
      <c r="M55" s="276">
        <f t="shared" si="54"/>
        <v>2.1735273988545568E-2</v>
      </c>
      <c r="N55" s="270">
        <f t="shared" si="54"/>
        <v>3.6746996465676023E-2</v>
      </c>
      <c r="O55" s="240">
        <f t="shared" si="54"/>
        <v>0.43219078622404045</v>
      </c>
      <c r="P55" s="240">
        <f t="shared" si="54"/>
        <v>0.29864625405386763</v>
      </c>
      <c r="Q55" s="240">
        <f t="shared" si="54"/>
        <v>0.16601707796033366</v>
      </c>
      <c r="R55" s="276">
        <f t="shared" si="54"/>
        <v>0.10453789417346054</v>
      </c>
      <c r="S55" s="270">
        <f t="shared" si="54"/>
        <v>0.15445125969913728</v>
      </c>
      <c r="T55" s="240">
        <f t="shared" si="54"/>
        <v>0.53622485433755029</v>
      </c>
      <c r="U55" s="240">
        <f t="shared" si="54"/>
        <v>0.16814938642124336</v>
      </c>
      <c r="V55" s="276">
        <f t="shared" si="54"/>
        <v>4.4096635640929679E-2</v>
      </c>
      <c r="W55" s="276">
        <f t="shared" si="54"/>
        <v>0.10028534231545763</v>
      </c>
      <c r="X55" s="270">
        <f t="shared" si="54"/>
        <v>8.3891865881719346E-2</v>
      </c>
      <c r="Y55" s="276">
        <f t="shared" si="54"/>
        <v>0.10151499260112697</v>
      </c>
      <c r="Z55" s="281">
        <f t="shared" si="54"/>
        <v>6.3649126644257916E-3</v>
      </c>
      <c r="AA55" s="276">
        <f t="shared" si="54"/>
        <v>0.17727905861215365</v>
      </c>
      <c r="AB55" s="270">
        <f>AVERAGE(E55:AA55)</f>
        <v>0.147973592003873</v>
      </c>
    </row>
    <row r="56" spans="2:81" hidden="1" x14ac:dyDescent="0.15">
      <c r="E56" s="240">
        <f t="shared" ref="E56:AA56" si="55">ABS(E53-E$9)/E$9</f>
        <v>0.19027935509801974</v>
      </c>
      <c r="F56" s="240">
        <f t="shared" si="55"/>
        <v>0.10102778575846391</v>
      </c>
      <c r="G56" s="240">
        <f t="shared" si="55"/>
        <v>8.4402111130144758E-2</v>
      </c>
      <c r="H56" s="240">
        <f t="shared" si="55"/>
        <v>9.765230295789748E-2</v>
      </c>
      <c r="I56" s="270">
        <f t="shared" si="55"/>
        <v>8.8193293274041566E-3</v>
      </c>
      <c r="J56" s="276">
        <f t="shared" si="55"/>
        <v>1.0472707037019356E-3</v>
      </c>
      <c r="K56" s="240">
        <f t="shared" si="55"/>
        <v>0.1104060767647759</v>
      </c>
      <c r="L56" s="240">
        <f t="shared" si="55"/>
        <v>6.9545086274230242E-2</v>
      </c>
      <c r="M56" s="240">
        <f t="shared" si="55"/>
        <v>0.13427900352968627</v>
      </c>
      <c r="N56" s="270">
        <f t="shared" si="55"/>
        <v>8.2524781888782164E-2</v>
      </c>
      <c r="O56" s="240">
        <f t="shared" si="55"/>
        <v>0.26742547453454918</v>
      </c>
      <c r="P56" s="240">
        <f t="shared" si="55"/>
        <v>0.1492444726140422</v>
      </c>
      <c r="Q56" s="276">
        <f t="shared" si="55"/>
        <v>3.1873520318879509E-2</v>
      </c>
      <c r="R56" s="240">
        <f t="shared" si="55"/>
        <v>0.20755565856058444</v>
      </c>
      <c r="S56" s="270">
        <f t="shared" si="55"/>
        <v>2.1638282919590603E-2</v>
      </c>
      <c r="T56" s="240">
        <f t="shared" si="55"/>
        <v>0.35949102153765528</v>
      </c>
      <c r="U56" s="276">
        <f t="shared" si="55"/>
        <v>3.3760518956852691E-2</v>
      </c>
      <c r="V56" s="240">
        <f t="shared" si="55"/>
        <v>0.15406781915126519</v>
      </c>
      <c r="W56" s="240">
        <f t="shared" si="55"/>
        <v>0.20379233833226332</v>
      </c>
      <c r="X56" s="270">
        <f t="shared" si="55"/>
        <v>4.0803658511752716E-2</v>
      </c>
      <c r="Y56" s="240">
        <f t="shared" si="55"/>
        <v>0.20488052442577609</v>
      </c>
      <c r="Z56" s="270">
        <f t="shared" si="55"/>
        <v>0.10941158171289751</v>
      </c>
      <c r="AA56" s="240">
        <f t="shared" si="55"/>
        <v>0.2719283704532332</v>
      </c>
      <c r="AB56" s="270">
        <f>AVERAGE(E56:AA56)</f>
        <v>0.12764592806358471</v>
      </c>
      <c r="AC56" s="240"/>
      <c r="AD56" s="240"/>
      <c r="AE56" s="240"/>
      <c r="AF56" s="240"/>
      <c r="AG56" s="240"/>
      <c r="AH56" s="240"/>
      <c r="AI56" s="240"/>
      <c r="AJ56" s="240"/>
      <c r="AK56" s="240"/>
      <c r="AL56" s="240"/>
      <c r="AM56" s="240"/>
      <c r="AN56" s="240"/>
      <c r="AO56" s="240"/>
      <c r="AP56" s="240"/>
      <c r="AQ56" s="240"/>
      <c r="AR56" s="240"/>
      <c r="AS56" s="240"/>
      <c r="AT56" s="240"/>
      <c r="AU56" s="240"/>
      <c r="AV56" s="240"/>
      <c r="AW56" s="240"/>
      <c r="AX56" s="240"/>
      <c r="AY56" s="240"/>
      <c r="AZ56" s="240"/>
      <c r="BA56" s="240"/>
      <c r="BB56" s="240"/>
    </row>
    <row r="57" spans="2:81" hidden="1" x14ac:dyDescent="0.15">
      <c r="E57" s="276">
        <f t="shared" ref="E57:AA57" si="56">ABS(E54-E$9)/E$9</f>
        <v>3.5543038935277209E-2</v>
      </c>
      <c r="F57" s="276">
        <f t="shared" si="56"/>
        <v>4.2105826390136436E-2</v>
      </c>
      <c r="G57" s="240">
        <f t="shared" si="56"/>
        <v>0.20342983668322587</v>
      </c>
      <c r="H57" s="240">
        <f t="shared" si="56"/>
        <v>0.21495750357337079</v>
      </c>
      <c r="I57" s="270">
        <f t="shared" si="56"/>
        <v>0.12232718348515853</v>
      </c>
      <c r="J57" s="240">
        <f t="shared" si="56"/>
        <v>0.12908887448777928</v>
      </c>
      <c r="K57" s="240">
        <f t="shared" si="56"/>
        <v>0.22605328678535502</v>
      </c>
      <c r="L57" s="240">
        <f t="shared" si="56"/>
        <v>0.19050422505858033</v>
      </c>
      <c r="M57" s="240">
        <f t="shared" si="56"/>
        <v>0.24682273307082714</v>
      </c>
      <c r="N57" s="270">
        <f t="shared" si="56"/>
        <v>0.20179656024324064</v>
      </c>
      <c r="O57" s="276">
        <f t="shared" si="56"/>
        <v>0.10266016284505776</v>
      </c>
      <c r="P57" s="276">
        <f t="shared" si="56"/>
        <v>1.5730882578323874E-4</v>
      </c>
      <c r="Q57" s="240">
        <f t="shared" si="56"/>
        <v>0.10227003732257479</v>
      </c>
      <c r="R57" s="240">
        <f t="shared" si="56"/>
        <v>0.31057342294770846</v>
      </c>
      <c r="S57" s="270">
        <f t="shared" si="56"/>
        <v>0.11117469385995608</v>
      </c>
      <c r="T57" s="276">
        <f t="shared" si="56"/>
        <v>0.18275718873776012</v>
      </c>
      <c r="U57" s="240">
        <f t="shared" si="56"/>
        <v>0.10062834850753821</v>
      </c>
      <c r="V57" s="240">
        <f t="shared" si="56"/>
        <v>0.26403900266160069</v>
      </c>
      <c r="W57" s="240">
        <f t="shared" si="56"/>
        <v>0.30729933434906909</v>
      </c>
      <c r="X57" s="270">
        <f t="shared" si="56"/>
        <v>0.16549918290522489</v>
      </c>
      <c r="Y57" s="240">
        <f t="shared" si="56"/>
        <v>0.30824605625042517</v>
      </c>
      <c r="Z57" s="270">
        <f t="shared" si="56"/>
        <v>0.22518807609022082</v>
      </c>
      <c r="AA57" s="240">
        <f t="shared" si="56"/>
        <v>0.36657768229431287</v>
      </c>
      <c r="AB57" s="270">
        <f>AVERAGE(E57:AA57)</f>
        <v>0.18085650288305147</v>
      </c>
    </row>
    <row r="58" spans="2:81" hidden="1" x14ac:dyDescent="0.15"/>
    <row r="59" spans="2:81" hidden="1" x14ac:dyDescent="0.15">
      <c r="D59" s="265" t="s">
        <v>248</v>
      </c>
      <c r="E59" s="265">
        <f>E54</f>
        <v>2144.4608250000001</v>
      </c>
      <c r="F59" s="265">
        <f>F53</f>
        <v>2547.4715662500007</v>
      </c>
      <c r="G59" s="265">
        <f>G52</f>
        <v>2975.0774060028948</v>
      </c>
      <c r="H59" s="265">
        <f>H52</f>
        <v>3074.742499103992</v>
      </c>
      <c r="J59" s="265">
        <f>J54</f>
        <v>2446.5834905812917</v>
      </c>
      <c r="K59" s="265">
        <f>K53</f>
        <v>2906.372456914673</v>
      </c>
      <c r="L59" s="265">
        <f>L52</f>
        <v>3394.221605670085</v>
      </c>
      <c r="M59" s="265">
        <f>M52</f>
        <v>3507.9280294600339</v>
      </c>
      <c r="N59" s="265"/>
      <c r="O59" s="265">
        <f>O54</f>
        <v>2791.2707504857012</v>
      </c>
      <c r="P59" s="265">
        <f>P53</f>
        <v>3315.8371501459455</v>
      </c>
      <c r="Q59" s="265">
        <f>Q52</f>
        <v>3872.4169949836933</v>
      </c>
      <c r="R59" s="265">
        <f>R52</f>
        <v>4002.142964315648</v>
      </c>
      <c r="S59" s="265"/>
      <c r="T59" s="265">
        <f>T54</f>
        <v>3184.5193235837119</v>
      </c>
      <c r="U59" s="265">
        <f>U53</f>
        <v>3782.9893343951339</v>
      </c>
      <c r="V59" s="265">
        <f>V52</f>
        <v>4417.9830091200292</v>
      </c>
      <c r="W59" s="265">
        <f>W52</f>
        <v>4565.985439925551</v>
      </c>
      <c r="X59" s="265"/>
      <c r="Y59" s="265">
        <f>Y54</f>
        <v>3633.17077732908</v>
      </c>
      <c r="Z59" s="265">
        <f>Z53</f>
        <v>4315.9563199650629</v>
      </c>
      <c r="AA59" s="265">
        <f>AA52</f>
        <v>5040.4111680527985</v>
      </c>
      <c r="AB59" s="265">
        <f>AB52</f>
        <v>5209.2649421825681</v>
      </c>
      <c r="AC59" s="265"/>
      <c r="AD59" s="265">
        <f>AD54</f>
        <v>4145.0305543705717</v>
      </c>
      <c r="AE59" s="265">
        <f>AE53</f>
        <v>4924.0104344160773</v>
      </c>
      <c r="AF59" s="265">
        <f>AF52</f>
        <v>5750.5302058849875</v>
      </c>
      <c r="AG59" s="265">
        <f>AG52</f>
        <v>5943.1729677821359</v>
      </c>
      <c r="AH59" s="265"/>
      <c r="AI59" s="265">
        <f>AI54</f>
        <v>4729.0037682446628</v>
      </c>
      <c r="AJ59" s="265">
        <f>AJ53</f>
        <v>5617.7303384837469</v>
      </c>
      <c r="AK59" s="265">
        <f>AK52</f>
        <v>6560.6944644499372</v>
      </c>
      <c r="AL59" s="265">
        <f>AL52</f>
        <v>6780.4777290090105</v>
      </c>
      <c r="AM59" s="265"/>
      <c r="AN59" s="265">
        <f>AN54</f>
        <v>5395.2501306635486</v>
      </c>
      <c r="AO59" s="265">
        <f>AO53</f>
        <v>6409.1850690123874</v>
      </c>
      <c r="AP59" s="265">
        <f>AP52</f>
        <v>7484.9988287714614</v>
      </c>
      <c r="AQ59" s="265">
        <f>AQ52</f>
        <v>7735.7462895353083</v>
      </c>
      <c r="AR59" s="265">
        <f>SUM(AN59:AQ59)</f>
        <v>27025.180317982707</v>
      </c>
      <c r="AS59" s="265">
        <f>AS54</f>
        <v>6155.360705755952</v>
      </c>
      <c r="AT59" s="265">
        <f>AT53</f>
        <v>7312.1440108031929</v>
      </c>
      <c r="AU59" s="265">
        <f>AU52</f>
        <v>8539.5239437365635</v>
      </c>
      <c r="AV59" s="265">
        <f>AV52</f>
        <v>8825.5979958517401</v>
      </c>
      <c r="AW59" s="265">
        <f>SUM(AS59:AV59)</f>
        <v>30832.626656147448</v>
      </c>
      <c r="AX59" s="265">
        <f>AX54</f>
        <v>7022.5595663540826</v>
      </c>
      <c r="AY59" s="265">
        <f>AY53</f>
        <v>8342.3164503757998</v>
      </c>
      <c r="AZ59" s="265">
        <f>AZ52</f>
        <v>9742.6159781536298</v>
      </c>
      <c r="BA59" s="265">
        <f>BA52</f>
        <v>10068.993613421779</v>
      </c>
      <c r="BB59" s="96">
        <f>SUM(AX59:BA59)</f>
        <v>35176.485608305287</v>
      </c>
    </row>
    <row r="60" spans="2:81" hidden="1" x14ac:dyDescent="0.15">
      <c r="I60" s="270"/>
      <c r="AB60" s="265"/>
      <c r="AR60" s="265"/>
      <c r="AW60" s="265"/>
      <c r="BB60" s="265"/>
    </row>
    <row r="61" spans="2:81" hidden="1" x14ac:dyDescent="0.15">
      <c r="E61" s="240"/>
      <c r="F61" s="240"/>
      <c r="G61" s="240"/>
      <c r="H61" s="240"/>
      <c r="I61" s="240"/>
      <c r="J61" s="240"/>
      <c r="K61" s="240"/>
      <c r="L61" s="240"/>
      <c r="M61" s="240"/>
      <c r="N61" s="240"/>
      <c r="O61" s="240"/>
      <c r="P61" s="240"/>
      <c r="Q61" s="240"/>
      <c r="R61" s="240"/>
      <c r="S61" s="240"/>
      <c r="T61" s="240"/>
      <c r="U61" s="240"/>
      <c r="V61" s="240"/>
      <c r="W61" s="240"/>
      <c r="X61" s="240"/>
      <c r="Y61" s="240"/>
      <c r="Z61" s="240"/>
      <c r="AA61" s="240"/>
      <c r="AB61" s="240"/>
      <c r="AC61" s="240"/>
      <c r="AD61" s="240"/>
      <c r="AE61" s="240"/>
      <c r="AF61" s="240"/>
      <c r="AG61" s="240"/>
      <c r="AH61" s="240"/>
      <c r="AI61" s="240"/>
      <c r="AJ61" s="240"/>
      <c r="AK61" s="240"/>
      <c r="AL61" s="240"/>
      <c r="AM61" s="240"/>
      <c r="AN61" s="240"/>
      <c r="AO61" s="240"/>
      <c r="AP61" s="240"/>
      <c r="AQ61" s="240"/>
      <c r="AR61" s="240"/>
      <c r="AS61" s="240"/>
      <c r="AT61" s="240"/>
      <c r="AU61" s="240"/>
      <c r="AV61" s="240"/>
      <c r="AW61" s="240"/>
      <c r="AX61" s="240"/>
      <c r="AY61" s="240"/>
      <c r="AZ61" s="240"/>
      <c r="BA61" s="240"/>
    </row>
    <row r="62" spans="2:81" hidden="1" x14ac:dyDescent="0.15">
      <c r="D62" s="265" t="s">
        <v>247</v>
      </c>
      <c r="E62" s="265">
        <f>E59</f>
        <v>2144.4608250000001</v>
      </c>
      <c r="F62" s="265">
        <f>F59</f>
        <v>2547.4715662500007</v>
      </c>
      <c r="G62" s="265">
        <f>G59</f>
        <v>2975.0774060028948</v>
      </c>
      <c r="H62" s="265">
        <f>H59</f>
        <v>3074.742499103992</v>
      </c>
      <c r="I62" s="275">
        <f>SUM(E62:H62)</f>
        <v>10741.752296356886</v>
      </c>
      <c r="J62" s="265">
        <f>J59</f>
        <v>2446.5834905812917</v>
      </c>
      <c r="K62" s="265">
        <f>K59</f>
        <v>2906.372456914673</v>
      </c>
      <c r="L62" s="265">
        <f>L59</f>
        <v>3394.221605670085</v>
      </c>
      <c r="M62" s="265">
        <f>M59</f>
        <v>3507.9280294600339</v>
      </c>
      <c r="N62" s="275">
        <f>SUM(J62:M62)</f>
        <v>12255.105582626084</v>
      </c>
      <c r="O62" s="265">
        <f>O59</f>
        <v>2791.2707504857012</v>
      </c>
      <c r="P62" s="265">
        <f>P59</f>
        <v>3315.8371501459455</v>
      </c>
      <c r="Q62" s="265">
        <f>Q59</f>
        <v>3872.4169949836933</v>
      </c>
      <c r="R62" s="265">
        <f>R59</f>
        <v>4002.142964315648</v>
      </c>
      <c r="S62" s="275">
        <f>SUM(O62:R62)</f>
        <v>13981.667859930989</v>
      </c>
      <c r="T62" s="265">
        <f>T59</f>
        <v>3184.5193235837119</v>
      </c>
      <c r="U62" s="265">
        <f>U59</f>
        <v>3782.9893343951339</v>
      </c>
      <c r="V62" s="265">
        <f>V59</f>
        <v>4417.9830091200292</v>
      </c>
      <c r="W62" s="265">
        <f>W59</f>
        <v>4565.985439925551</v>
      </c>
      <c r="X62" s="275">
        <f>SUM(T62:W62)</f>
        <v>15951.477107024426</v>
      </c>
      <c r="Y62" s="265">
        <f>Y59</f>
        <v>3633.17077732908</v>
      </c>
      <c r="Z62" s="265">
        <f>Z59</f>
        <v>4315.9563199650629</v>
      </c>
      <c r="AA62" s="265">
        <f>AA59</f>
        <v>5040.4111680527985</v>
      </c>
      <c r="AB62" s="265">
        <f>AB59</f>
        <v>5209.2649421825681</v>
      </c>
      <c r="AC62" s="96">
        <f>SUM(Y62:AB62)</f>
        <v>18198.803207529512</v>
      </c>
      <c r="AD62" s="265">
        <f>AD59</f>
        <v>4145.0305543705717</v>
      </c>
      <c r="AE62" s="265">
        <f>AE59</f>
        <v>4924.0104344160773</v>
      </c>
      <c r="AF62" s="265">
        <f>AF59</f>
        <v>5750.5302058849875</v>
      </c>
      <c r="AG62" s="265">
        <f>AG59</f>
        <v>5943.1729677821359</v>
      </c>
      <c r="AH62" s="96">
        <f>SUM(AD62:AG62)</f>
        <v>20762.744162453771</v>
      </c>
      <c r="AI62" s="265">
        <f>AI59</f>
        <v>4729.0037682446628</v>
      </c>
      <c r="AJ62" s="265">
        <f>AJ59</f>
        <v>5617.7303384837469</v>
      </c>
      <c r="AK62" s="265">
        <f>AK59</f>
        <v>6560.6944644499372</v>
      </c>
      <c r="AL62" s="265">
        <f>AL59</f>
        <v>6780.4777290090105</v>
      </c>
      <c r="AM62" s="96">
        <f>SUM(AI62:AL62)</f>
        <v>23687.906300187358</v>
      </c>
      <c r="AN62" s="265">
        <f>AN59</f>
        <v>5395.2501306635486</v>
      </c>
      <c r="AO62" s="265">
        <f>AO59</f>
        <v>6409.1850690123874</v>
      </c>
      <c r="AP62" s="265">
        <f>AP59</f>
        <v>7484.9988287714614</v>
      </c>
      <c r="AQ62" s="265">
        <f>AQ59</f>
        <v>7735.7462895353083</v>
      </c>
      <c r="AR62" s="96">
        <f>SUM(AN62:AQ62)</f>
        <v>27025.180317982707</v>
      </c>
      <c r="AS62" s="265">
        <f>AS59</f>
        <v>6155.360705755952</v>
      </c>
      <c r="AT62" s="265">
        <f>AT59</f>
        <v>7312.1440108031929</v>
      </c>
      <c r="AU62" s="265">
        <f>AU59</f>
        <v>8539.5239437365635</v>
      </c>
      <c r="AV62" s="265">
        <f>AV59</f>
        <v>8825.5979958517401</v>
      </c>
      <c r="AW62" s="96">
        <f>SUM(AS62:AV62)</f>
        <v>30832.626656147448</v>
      </c>
      <c r="AX62" s="265">
        <f>AX59</f>
        <v>7022.5595663540826</v>
      </c>
      <c r="AY62" s="265">
        <f>AY59</f>
        <v>8342.3164503757998</v>
      </c>
      <c r="AZ62" s="265">
        <f>AZ59</f>
        <v>9742.6159781536298</v>
      </c>
      <c r="BA62" s="265">
        <f>BA59</f>
        <v>10068.993613421779</v>
      </c>
      <c r="BB62" s="96">
        <f>SUM(AX62:BA62)</f>
        <v>35176.485608305287</v>
      </c>
      <c r="BD62" s="96"/>
      <c r="BI62" s="96"/>
      <c r="BN62" s="96"/>
      <c r="BS62" s="96"/>
      <c r="BX62" s="96"/>
      <c r="CC62" s="96"/>
    </row>
    <row r="63" spans="2:81" hidden="1" x14ac:dyDescent="0.15">
      <c r="D63" s="265" t="s">
        <v>246</v>
      </c>
      <c r="E63" s="240">
        <f t="shared" ref="E63:AA63" si="57">ABS((E62-E9)/E9)</f>
        <v>3.5543038935277209E-2</v>
      </c>
      <c r="F63" s="240">
        <f t="shared" si="57"/>
        <v>0.10102778575846391</v>
      </c>
      <c r="G63" s="240">
        <f t="shared" si="57"/>
        <v>3.4625614422936352E-2</v>
      </c>
      <c r="H63" s="240">
        <f t="shared" si="57"/>
        <v>1.9652897657575809E-2</v>
      </c>
      <c r="I63" s="270">
        <f t="shared" si="57"/>
        <v>4.5368188886644421E-2</v>
      </c>
      <c r="J63" s="240">
        <f t="shared" si="57"/>
        <v>0.12908887448777928</v>
      </c>
      <c r="K63" s="240">
        <f t="shared" si="57"/>
        <v>0.1104060767647759</v>
      </c>
      <c r="L63" s="240">
        <f t="shared" si="57"/>
        <v>5.1414052510119712E-2</v>
      </c>
      <c r="M63" s="240">
        <f t="shared" si="57"/>
        <v>2.1735273988545568E-2</v>
      </c>
      <c r="N63" s="240">
        <f t="shared" si="57"/>
        <v>4.928525928944115E-2</v>
      </c>
      <c r="O63" s="240">
        <f t="shared" si="57"/>
        <v>0.10266016284505776</v>
      </c>
      <c r="P63" s="240">
        <f t="shared" si="57"/>
        <v>0.1492444726140422</v>
      </c>
      <c r="Q63" s="240">
        <f t="shared" si="57"/>
        <v>0.16601707796033366</v>
      </c>
      <c r="R63" s="240">
        <f t="shared" si="57"/>
        <v>0.10453789417346054</v>
      </c>
      <c r="S63" s="240">
        <f t="shared" si="57"/>
        <v>5.8651564720670527E-2</v>
      </c>
      <c r="T63" s="240">
        <f t="shared" si="57"/>
        <v>0.18275718873776012</v>
      </c>
      <c r="U63" s="240">
        <f t="shared" si="57"/>
        <v>3.3760518956852691E-2</v>
      </c>
      <c r="V63" s="240">
        <f t="shared" si="57"/>
        <v>4.4096635640929679E-2</v>
      </c>
      <c r="W63" s="240">
        <f t="shared" si="57"/>
        <v>0.10028534231545763</v>
      </c>
      <c r="X63" s="270">
        <f t="shared" si="57"/>
        <v>6.0526071038018471E-3</v>
      </c>
      <c r="Y63" s="240">
        <f t="shared" si="57"/>
        <v>0.30824605625042517</v>
      </c>
      <c r="Z63" s="240">
        <f t="shared" si="57"/>
        <v>0.10941158171289751</v>
      </c>
      <c r="AA63" s="240">
        <f t="shared" si="57"/>
        <v>0.17727905861215365</v>
      </c>
      <c r="AB63" s="270"/>
    </row>
    <row r="64" spans="2:81" hidden="1" x14ac:dyDescent="0.15">
      <c r="E64" s="240"/>
      <c r="F64" s="240"/>
      <c r="G64" s="240"/>
      <c r="H64" s="240"/>
      <c r="I64" s="270">
        <f>AVERAGE(E63:I63,J63:N63,O63:S63,U63:X63,Y63:AA63)</f>
        <v>8.9017728891256448E-2</v>
      </c>
      <c r="J64" s="240"/>
      <c r="K64" s="240"/>
      <c r="L64" s="240"/>
      <c r="M64" s="240"/>
      <c r="P64" s="240"/>
      <c r="Q64" s="240"/>
      <c r="R64" s="240"/>
      <c r="S64" s="240"/>
      <c r="T64" s="240"/>
      <c r="U64" s="240"/>
      <c r="V64" s="240"/>
      <c r="W64" s="240"/>
      <c r="Y64" s="240"/>
      <c r="Z64" s="240"/>
      <c r="AA64" s="240"/>
      <c r="AB64" s="240"/>
      <c r="AD64" s="240"/>
      <c r="AE64" s="240"/>
      <c r="AF64" s="240"/>
      <c r="AG64" s="240"/>
      <c r="AI64" s="240"/>
      <c r="AJ64" s="240"/>
      <c r="AK64" s="240"/>
      <c r="AL64" s="240"/>
      <c r="AN64" s="240"/>
      <c r="AO64" s="240"/>
      <c r="AP64" s="240"/>
      <c r="AQ64" s="240"/>
      <c r="AS64" s="240"/>
      <c r="AT64" s="240"/>
      <c r="AU64" s="240"/>
      <c r="AV64" s="240"/>
      <c r="AX64" s="240"/>
      <c r="AY64" s="240"/>
      <c r="AZ64" s="240"/>
      <c r="BA64" s="240"/>
    </row>
    <row r="65" spans="5:54" hidden="1" x14ac:dyDescent="0.15"/>
    <row r="66" spans="5:54" hidden="1" x14ac:dyDescent="0.15"/>
    <row r="67" spans="5:54" hidden="1" x14ac:dyDescent="0.15"/>
    <row r="68" spans="5:54" hidden="1" x14ac:dyDescent="0.15">
      <c r="E68" s="270"/>
      <c r="F68" s="240"/>
      <c r="G68" s="240"/>
      <c r="H68" s="240"/>
    </row>
    <row r="69" spans="5:54" hidden="1" x14ac:dyDescent="0.15">
      <c r="F69" s="96" t="s">
        <v>245</v>
      </c>
      <c r="G69" s="96" t="s">
        <v>244</v>
      </c>
      <c r="H69" s="96" t="s">
        <v>243</v>
      </c>
      <c r="I69" s="96" t="s">
        <v>205</v>
      </c>
      <c r="L69" s="265" t="s">
        <v>245</v>
      </c>
      <c r="M69" s="265" t="s">
        <v>244</v>
      </c>
      <c r="N69" s="265" t="s">
        <v>243</v>
      </c>
      <c r="O69" s="265" t="s">
        <v>205</v>
      </c>
    </row>
    <row r="70" spans="5:54" hidden="1" x14ac:dyDescent="0.15">
      <c r="E70" s="265">
        <v>2017</v>
      </c>
      <c r="F70" s="280" t="s">
        <v>240</v>
      </c>
      <c r="G70" s="280" t="s">
        <v>240</v>
      </c>
      <c r="H70" s="278" t="s">
        <v>238</v>
      </c>
      <c r="I70" s="278" t="s">
        <v>238</v>
      </c>
      <c r="K70" s="265" t="s">
        <v>242</v>
      </c>
      <c r="L70" s="240">
        <f t="shared" ref="L70:O72" si="58">AVERAGE(E55,J55,Y55,O55,T55)</f>
        <v>0.30922594406373261</v>
      </c>
      <c r="M70" s="240">
        <f t="shared" si="58"/>
        <v>0.14451261686048078</v>
      </c>
      <c r="N70" s="270">
        <f t="shared" si="58"/>
        <v>9.4686487829294619E-2</v>
      </c>
      <c r="O70" s="270">
        <f t="shared" si="58"/>
        <v>7.8837000027782517E-2</v>
      </c>
    </row>
    <row r="71" spans="5:54" hidden="1" x14ac:dyDescent="0.15">
      <c r="E71" s="265">
        <v>2018</v>
      </c>
      <c r="F71" s="279" t="s">
        <v>239</v>
      </c>
      <c r="G71" s="278" t="s">
        <v>238</v>
      </c>
      <c r="H71" s="278" t="s">
        <v>238</v>
      </c>
      <c r="I71" s="278" t="s">
        <v>238</v>
      </c>
      <c r="K71" s="265" t="s">
        <v>241</v>
      </c>
      <c r="L71" s="240">
        <f t="shared" si="58"/>
        <v>0.20462472925994044</v>
      </c>
      <c r="M71" s="270">
        <f t="shared" si="58"/>
        <v>0.10077008716140645</v>
      </c>
      <c r="N71" s="240">
        <f t="shared" si="58"/>
        <v>0.12236338146555059</v>
      </c>
      <c r="O71" s="240">
        <f t="shared" si="58"/>
        <v>0.15418504628880325</v>
      </c>
    </row>
    <row r="72" spans="5:54" hidden="1" x14ac:dyDescent="0.15">
      <c r="E72" s="265">
        <v>2019</v>
      </c>
      <c r="F72" s="280" t="s">
        <v>240</v>
      </c>
      <c r="G72" s="280" t="s">
        <v>240</v>
      </c>
      <c r="H72" s="279" t="s">
        <v>239</v>
      </c>
      <c r="I72" s="278" t="s">
        <v>238</v>
      </c>
      <c r="K72" s="265" t="s">
        <v>240</v>
      </c>
      <c r="L72" s="270">
        <f t="shared" si="58"/>
        <v>0.15165906425125991</v>
      </c>
      <c r="M72" s="240">
        <f t="shared" si="58"/>
        <v>0.11882656931980676</v>
      </c>
      <c r="N72" s="240">
        <f t="shared" si="58"/>
        <v>0.22536415680405891</v>
      </c>
      <c r="O72" s="240">
        <f t="shared" si="58"/>
        <v>0.25210189936480537</v>
      </c>
    </row>
    <row r="73" spans="5:54" hidden="1" x14ac:dyDescent="0.15">
      <c r="E73" s="265">
        <v>2020</v>
      </c>
      <c r="F73" s="280" t="s">
        <v>240</v>
      </c>
      <c r="G73" s="279" t="s">
        <v>239</v>
      </c>
      <c r="H73" s="278" t="s">
        <v>238</v>
      </c>
      <c r="I73" s="278" t="s">
        <v>238</v>
      </c>
    </row>
    <row r="74" spans="5:54" hidden="1" x14ac:dyDescent="0.15">
      <c r="E74" s="265">
        <v>2021</v>
      </c>
      <c r="F74" s="278" t="s">
        <v>238</v>
      </c>
      <c r="G74" s="278" t="s">
        <v>238</v>
      </c>
      <c r="H74" s="278" t="s">
        <v>238</v>
      </c>
      <c r="I74" s="265"/>
    </row>
    <row r="75" spans="5:54" hidden="1" x14ac:dyDescent="0.15">
      <c r="F75" s="265" t="s">
        <v>240</v>
      </c>
      <c r="G75" s="265" t="s">
        <v>239</v>
      </c>
      <c r="H75" s="265" t="s">
        <v>238</v>
      </c>
      <c r="I75" s="265" t="s">
        <v>238</v>
      </c>
    </row>
    <row r="76" spans="5:54" hidden="1" x14ac:dyDescent="0.15"/>
    <row r="77" spans="5:54" hidden="1" x14ac:dyDescent="0.15">
      <c r="E77" s="265">
        <v>1</v>
      </c>
      <c r="F77" s="265">
        <f>E77+1</f>
        <v>2</v>
      </c>
      <c r="G77" s="265">
        <f>F77+1</f>
        <v>3</v>
      </c>
      <c r="H77" s="265">
        <f>G77+1</f>
        <v>4</v>
      </c>
      <c r="I77" s="265"/>
      <c r="J77" s="265">
        <v>5</v>
      </c>
      <c r="K77" s="265">
        <f>J77+1</f>
        <v>6</v>
      </c>
      <c r="L77" s="265">
        <f>K77+1</f>
        <v>7</v>
      </c>
      <c r="M77" s="265">
        <f>L77+1</f>
        <v>8</v>
      </c>
      <c r="N77" s="265"/>
      <c r="O77" s="265">
        <v>9</v>
      </c>
      <c r="P77" s="277">
        <f>O77+1</f>
        <v>10</v>
      </c>
      <c r="Q77" s="277">
        <f>P77+1</f>
        <v>11</v>
      </c>
      <c r="R77" s="277">
        <f>Q77+1</f>
        <v>12</v>
      </c>
      <c r="S77" s="265"/>
      <c r="T77" s="265">
        <v>13</v>
      </c>
      <c r="U77" s="277">
        <f>T77+1</f>
        <v>14</v>
      </c>
      <c r="V77" s="277">
        <f>U77+1</f>
        <v>15</v>
      </c>
      <c r="W77" s="277">
        <f>V77+1</f>
        <v>16</v>
      </c>
      <c r="X77" s="265"/>
      <c r="Y77" s="265">
        <v>17</v>
      </c>
      <c r="Z77" s="265">
        <f>Y77+1</f>
        <v>18</v>
      </c>
      <c r="AA77" s="265">
        <f>Z77+1</f>
        <v>19</v>
      </c>
      <c r="AB77" s="265">
        <f>AA77+1</f>
        <v>20</v>
      </c>
      <c r="AD77" s="265">
        <v>21</v>
      </c>
      <c r="AE77" s="265">
        <f>AD77+1</f>
        <v>22</v>
      </c>
      <c r="AF77" s="265">
        <f>AE77+1</f>
        <v>23</v>
      </c>
      <c r="AG77" s="265">
        <f>AF77+1</f>
        <v>24</v>
      </c>
      <c r="AI77" s="265">
        <v>25</v>
      </c>
      <c r="AJ77" s="265">
        <f>AI77+1</f>
        <v>26</v>
      </c>
      <c r="AK77" s="265">
        <f>AJ77+1</f>
        <v>27</v>
      </c>
      <c r="AL77" s="265">
        <f>AK77+1</f>
        <v>28</v>
      </c>
      <c r="AN77" s="265">
        <v>29</v>
      </c>
      <c r="AO77" s="265">
        <f>AN77+1</f>
        <v>30</v>
      </c>
      <c r="AP77" s="265">
        <f>AO77+1</f>
        <v>31</v>
      </c>
      <c r="AQ77" s="265">
        <f>AP77+1</f>
        <v>32</v>
      </c>
      <c r="AS77" s="265">
        <v>33</v>
      </c>
      <c r="AT77" s="265">
        <f>AS77+1</f>
        <v>34</v>
      </c>
      <c r="AU77" s="265">
        <f>AT77+1</f>
        <v>35</v>
      </c>
      <c r="AV77" s="265">
        <f>AU77+1</f>
        <v>36</v>
      </c>
      <c r="AX77" s="265">
        <v>37</v>
      </c>
      <c r="AY77" s="265">
        <f>AX77+1</f>
        <v>38</v>
      </c>
      <c r="AZ77" s="265">
        <f>AY77+1</f>
        <v>39</v>
      </c>
      <c r="BA77" s="265">
        <f>AZ77+1</f>
        <v>40</v>
      </c>
    </row>
    <row r="78" spans="5:54" hidden="1" x14ac:dyDescent="0.15">
      <c r="E78" s="265">
        <f>E79*1.1</f>
        <v>2517.3757400000004</v>
      </c>
      <c r="F78" s="265">
        <f t="shared" ref="F78:H78" si="59">F79*1.1</f>
        <v>2635.4406622059996</v>
      </c>
      <c r="G78" s="265">
        <f t="shared" si="59"/>
        <v>2759.042829263461</v>
      </c>
      <c r="H78" s="265">
        <f t="shared" si="59"/>
        <v>2888.4419379559167</v>
      </c>
      <c r="I78" s="96">
        <f>SUM(E78:H78)</f>
        <v>10800.301169425378</v>
      </c>
      <c r="J78" s="265">
        <f t="shared" ref="J78:M78" si="60">J79*1.1</f>
        <v>3023.9098648460495</v>
      </c>
      <c r="K78" s="265">
        <f t="shared" si="60"/>
        <v>3165.7312375073284</v>
      </c>
      <c r="L78" s="265">
        <f t="shared" si="60"/>
        <v>3314.2040325464218</v>
      </c>
      <c r="M78" s="265">
        <f t="shared" si="60"/>
        <v>3469.6402016728484</v>
      </c>
      <c r="N78" s="96">
        <f>SUM(J78:M78)</f>
        <v>12973.485336572649</v>
      </c>
      <c r="O78" s="265">
        <f t="shared" ref="O78:R78" si="61">O79*1.1</f>
        <v>3632.3663271313048</v>
      </c>
      <c r="P78" s="265">
        <f t="shared" si="61"/>
        <v>3802.7243078737624</v>
      </c>
      <c r="Q78" s="265">
        <f t="shared" si="61"/>
        <v>3981.0720779130415</v>
      </c>
      <c r="R78" s="265">
        <f t="shared" si="61"/>
        <v>4167.784358367162</v>
      </c>
      <c r="S78" s="96">
        <f>SUM(O78:R78)</f>
        <v>15583.947071285271</v>
      </c>
      <c r="T78" s="265">
        <f t="shared" ref="T78:W78" si="62">T79*1.1</f>
        <v>4363.253444774582</v>
      </c>
      <c r="U78" s="265">
        <f t="shared" si="62"/>
        <v>4567.8900313345093</v>
      </c>
      <c r="V78" s="265">
        <f t="shared" si="62"/>
        <v>4782.1240738040979</v>
      </c>
      <c r="W78" s="265">
        <f t="shared" si="62"/>
        <v>5006.4056928655091</v>
      </c>
      <c r="X78" s="96">
        <f>SUM(T78:W78)</f>
        <v>18719.673242778699</v>
      </c>
      <c r="Y78" s="265">
        <f t="shared" ref="Y78:AA78" si="63">Y79*1.1</f>
        <v>5241.2061198609017</v>
      </c>
      <c r="Z78" s="265">
        <f t="shared" si="63"/>
        <v>5487.0186868823757</v>
      </c>
      <c r="AA78" s="265">
        <f t="shared" si="63"/>
        <v>5744.3598632971598</v>
      </c>
      <c r="AB78" s="143">
        <f>AB79*1.13</f>
        <v>6177.7822592735893</v>
      </c>
      <c r="AC78" s="96">
        <f>SUM(Y78:AB78)</f>
        <v>22650.366929314026</v>
      </c>
      <c r="AD78" s="265">
        <f>AD79*1.13</f>
        <v>6467.5202472335195</v>
      </c>
      <c r="AE78" s="265">
        <f>AE79*1.13</f>
        <v>6770.8469468287703</v>
      </c>
      <c r="AF78" s="265">
        <f>AF79*1.13</f>
        <v>7088.3996686350401</v>
      </c>
      <c r="AG78" s="143">
        <f>AG79*1.13</f>
        <v>7420.8456130940222</v>
      </c>
      <c r="AH78" s="96">
        <f>SUM(AD78:AG78)</f>
        <v>27747.612475791353</v>
      </c>
      <c r="AI78" s="265">
        <f>AI79*1.13</f>
        <v>7768.883272348131</v>
      </c>
      <c r="AJ78" s="265">
        <f>AJ79*1.13</f>
        <v>8133.2438978212567</v>
      </c>
      <c r="AK78" s="265">
        <f>AK79*1.13</f>
        <v>8514.6930366290726</v>
      </c>
      <c r="AL78" s="143">
        <f>AL79*1.13</f>
        <v>8914.0321400469747</v>
      </c>
      <c r="AM78" s="96">
        <f>SUM(AI78:AL78)</f>
        <v>33330.852346845437</v>
      </c>
      <c r="AN78" s="265">
        <f>AN79*1.13</f>
        <v>9332.1002474151774</v>
      </c>
      <c r="AO78" s="265">
        <f>AO79*1.13</f>
        <v>9769.775749018947</v>
      </c>
      <c r="AP78" s="265">
        <f>AP79*1.13</f>
        <v>10227.978231647936</v>
      </c>
      <c r="AQ78" s="143">
        <f>AQ79*1.13</f>
        <v>10707.670410712224</v>
      </c>
      <c r="AR78" s="96">
        <f>SUM(AN78:AQ78)</f>
        <v>40037.524638794283</v>
      </c>
      <c r="AS78" s="265">
        <f>AS79*1.13</f>
        <v>11209.860152974625</v>
      </c>
      <c r="AT78" s="265">
        <f>AT79*1.13</f>
        <v>11735.602594149135</v>
      </c>
      <c r="AU78" s="265">
        <f>AU79*1.13</f>
        <v>12286.002355814728</v>
      </c>
      <c r="AV78" s="143">
        <f>AV79*1.13</f>
        <v>12862.215866302437</v>
      </c>
      <c r="AW78" s="96">
        <f>SUM(AS78:AV78)</f>
        <v>48093.68096924093</v>
      </c>
      <c r="AX78" s="265">
        <f>AX79*1.13</f>
        <v>13465.453790432019</v>
      </c>
      <c r="AY78" s="265">
        <f>AY79*1.13</f>
        <v>14096.983573203277</v>
      </c>
      <c r="AZ78" s="265">
        <f>AZ79*1.13</f>
        <v>14758.132102786512</v>
      </c>
      <c r="BA78" s="143">
        <f>BA79*1.13</f>
        <v>15450.288498407197</v>
      </c>
      <c r="BB78" s="96">
        <f>SUM(AX78:BA78)</f>
        <v>57770.857964829003</v>
      </c>
    </row>
    <row r="79" spans="5:54" hidden="1" x14ac:dyDescent="0.15">
      <c r="E79" s="265">
        <f>2186*(1.0469^E77)</f>
        <v>2288.5234</v>
      </c>
      <c r="F79" s="265">
        <f t="shared" ref="F79:H79" si="64">2186*(1.0469^F77)</f>
        <v>2395.8551474599994</v>
      </c>
      <c r="G79" s="265">
        <f t="shared" si="64"/>
        <v>2508.2207538758735</v>
      </c>
      <c r="H79" s="265">
        <f t="shared" si="64"/>
        <v>2625.8563072326515</v>
      </c>
      <c r="I79" s="96">
        <f>SUM(E79:H79)</f>
        <v>9818.4556085685253</v>
      </c>
      <c r="J79" s="265">
        <f>2186*(1.0469^J77)</f>
        <v>2749.0089680418628</v>
      </c>
      <c r="K79" s="265">
        <f t="shared" ref="K79:M79" si="65">2186*(1.0469^K77)</f>
        <v>2877.9374886430255</v>
      </c>
      <c r="L79" s="265">
        <f t="shared" si="65"/>
        <v>3012.9127568603831</v>
      </c>
      <c r="M79" s="265">
        <f t="shared" si="65"/>
        <v>3154.2183651571345</v>
      </c>
      <c r="N79" s="96">
        <f>SUM(J79:M79)</f>
        <v>11794.077578702405</v>
      </c>
      <c r="O79" s="265">
        <f>2186*(1.0469^O77)</f>
        <v>3302.151206483004</v>
      </c>
      <c r="P79" s="265">
        <f t="shared" ref="P79:R79" si="66">2186*(1.0469^P77)</f>
        <v>3457.0220980670565</v>
      </c>
      <c r="Q79" s="265">
        <f t="shared" si="66"/>
        <v>3619.1564344664012</v>
      </c>
      <c r="R79" s="265">
        <f t="shared" si="66"/>
        <v>3788.8948712428746</v>
      </c>
      <c r="S79" s="96">
        <f>SUM(O79:R79)</f>
        <v>14167.224610259338</v>
      </c>
      <c r="T79" s="265">
        <f>2186*(1.0469^T77)</f>
        <v>3966.5940407041653</v>
      </c>
      <c r="U79" s="265">
        <f t="shared" ref="U79:W79" si="67">2186*(1.0469^U77)</f>
        <v>4152.6273012131896</v>
      </c>
      <c r="V79" s="265">
        <f t="shared" si="67"/>
        <v>4347.3855216400889</v>
      </c>
      <c r="W79" s="265">
        <f t="shared" si="67"/>
        <v>4551.2779026050075</v>
      </c>
      <c r="X79" s="96">
        <f>SUM(T79:W79)</f>
        <v>17017.884766162453</v>
      </c>
      <c r="Y79" s="265">
        <f>2186*(1.0469^Y77)</f>
        <v>4764.7328362371827</v>
      </c>
      <c r="Z79" s="265">
        <f t="shared" ref="Z79:AB79" si="68">2186*(1.0469^Z77)</f>
        <v>4988.1988062567052</v>
      </c>
      <c r="AA79" s="265">
        <f t="shared" si="68"/>
        <v>5222.1453302701448</v>
      </c>
      <c r="AB79" s="265">
        <f t="shared" si="68"/>
        <v>5467.0639462598137</v>
      </c>
      <c r="AC79" s="96">
        <f>SUM(Y79:AB79)</f>
        <v>20442.140919023848</v>
      </c>
      <c r="AD79" s="265">
        <f>2186*(1.0469^AD77)</f>
        <v>5723.4692453393982</v>
      </c>
      <c r="AE79" s="265">
        <f t="shared" ref="AE79:AG79" si="69">2186*(1.0469^AE77)</f>
        <v>5991.8999529458151</v>
      </c>
      <c r="AF79" s="265">
        <f t="shared" si="69"/>
        <v>6272.9200607389739</v>
      </c>
      <c r="AG79" s="265">
        <f t="shared" si="69"/>
        <v>6567.1200115876309</v>
      </c>
      <c r="AH79" s="96">
        <f>SUM(AD79:AG79)</f>
        <v>24555.409270611821</v>
      </c>
      <c r="AI79" s="265">
        <f>2186*(1.0469^AI77)</f>
        <v>6875.1179401310901</v>
      </c>
      <c r="AJ79" s="265">
        <f t="shared" ref="AJ79:AL79" si="70">2186*(1.0469^AJ77)</f>
        <v>7197.5609715232367</v>
      </c>
      <c r="AK79" s="265">
        <f t="shared" si="70"/>
        <v>7535.1265810876757</v>
      </c>
      <c r="AL79" s="265">
        <f t="shared" si="70"/>
        <v>7888.5240177406868</v>
      </c>
      <c r="AM79" s="96">
        <f>SUM(AI79:AL79)</f>
        <v>29496.32951048269</v>
      </c>
      <c r="AN79" s="265">
        <f>2186*(1.0469^AN77)</f>
        <v>8258.4957941727243</v>
      </c>
      <c r="AO79" s="265">
        <f t="shared" ref="AO79:AQ79" si="71">2186*(1.0469^AO77)</f>
        <v>8645.8192469194237</v>
      </c>
      <c r="AP79" s="265">
        <f t="shared" si="71"/>
        <v>9051.3081695999444</v>
      </c>
      <c r="AQ79" s="265">
        <f t="shared" si="71"/>
        <v>9475.8145227541809</v>
      </c>
      <c r="AR79" s="96">
        <f>SUM(AN79:AQ79)</f>
        <v>35431.437733446277</v>
      </c>
      <c r="AS79" s="265">
        <f>2186*(1.0469^AS77)</f>
        <v>9920.230223871351</v>
      </c>
      <c r="AT79" s="265">
        <f t="shared" ref="AT79:AV79" si="72">2186*(1.0469^AT77)</f>
        <v>10385.489021370917</v>
      </c>
      <c r="AU79" s="265">
        <f t="shared" si="72"/>
        <v>10872.568456473211</v>
      </c>
      <c r="AV79" s="265">
        <f t="shared" si="72"/>
        <v>11382.491917081803</v>
      </c>
      <c r="AW79" s="96">
        <f>SUM(AS79:AV79)</f>
        <v>42560.779618797285</v>
      </c>
      <c r="AX79" s="265">
        <f>2186*(1.0469^AX77)</f>
        <v>11916.330787992938</v>
      </c>
      <c r="AY79" s="265">
        <f t="shared" ref="AY79:BA79" si="73">2186*(1.0469^AY77)</f>
        <v>12475.206701949804</v>
      </c>
      <c r="AZ79" s="265">
        <f t="shared" si="73"/>
        <v>13060.293896271251</v>
      </c>
      <c r="BA79" s="265">
        <f t="shared" si="73"/>
        <v>13672.821680006371</v>
      </c>
      <c r="BB79" s="96">
        <f>SUM(AX79:BA79)</f>
        <v>51124.653066220359</v>
      </c>
    </row>
    <row r="80" spans="5:54" hidden="1" x14ac:dyDescent="0.15">
      <c r="E80" s="265">
        <f>(0.87*E79)</f>
        <v>1991.0153580000001</v>
      </c>
      <c r="F80" s="265">
        <f>(0.87*F79)</f>
        <v>2084.3939782901994</v>
      </c>
      <c r="G80" s="265">
        <f>(0.87*G79)</f>
        <v>2182.1520558720099</v>
      </c>
      <c r="H80" s="265">
        <f>(0.87*H79)</f>
        <v>2284.4949872924067</v>
      </c>
      <c r="I80" s="96">
        <f>SUM(E80:H80)</f>
        <v>8542.056379454616</v>
      </c>
      <c r="J80" s="265">
        <f>(0.87*J79)</f>
        <v>2391.6378021964206</v>
      </c>
      <c r="K80" s="265">
        <f>(0.87*K79)</f>
        <v>2503.8056151194323</v>
      </c>
      <c r="L80" s="265">
        <f>(0.87*L79)</f>
        <v>2621.2340984685334</v>
      </c>
      <c r="M80" s="265">
        <f>(0.87*M79)</f>
        <v>2744.1699776867072</v>
      </c>
      <c r="N80" s="96">
        <f>SUM(J80:M80)</f>
        <v>10260.847493471094</v>
      </c>
      <c r="O80" s="265">
        <f>(0.87*O79)</f>
        <v>2872.8715496402133</v>
      </c>
      <c r="P80" s="265">
        <f>(0.87*P79)</f>
        <v>3007.6092253183392</v>
      </c>
      <c r="Q80" s="265">
        <f>(0.87*Q79)</f>
        <v>3148.6660979857688</v>
      </c>
      <c r="R80" s="265">
        <f>(0.87*R79)</f>
        <v>3296.3385379813008</v>
      </c>
      <c r="S80" s="96">
        <f>SUM(O80:R80)</f>
        <v>12325.485410925623</v>
      </c>
      <c r="T80" s="265">
        <f>(0.87*T79)</f>
        <v>3450.9368154126237</v>
      </c>
      <c r="U80" s="265">
        <f>(0.87*U79)</f>
        <v>3612.7857520554749</v>
      </c>
      <c r="V80" s="265">
        <f>(0.87*V79)</f>
        <v>3782.2254038268775</v>
      </c>
      <c r="W80" s="265">
        <f>(0.87*W79)</f>
        <v>3959.6117752663563</v>
      </c>
      <c r="X80" s="96">
        <f>SUM(T80:W80)</f>
        <v>14805.559746561332</v>
      </c>
      <c r="Y80" s="265">
        <f>(0.87*Y79)</f>
        <v>4145.3175675263492</v>
      </c>
      <c r="Z80" s="265">
        <f>(0.87*Z79)</f>
        <v>4339.7329614433338</v>
      </c>
      <c r="AA80" s="265">
        <f>(0.87*AA79)</f>
        <v>4543.2664373350262</v>
      </c>
      <c r="AB80" s="265">
        <f>(0.87*AB79)</f>
        <v>4756.3456332460382</v>
      </c>
      <c r="AC80" s="96">
        <f>SUM(Y80:AB80)</f>
        <v>17784.662599550746</v>
      </c>
      <c r="AD80" s="265">
        <f>(0.87*AD79)</f>
        <v>4979.4182434452759</v>
      </c>
      <c r="AE80" s="265">
        <f>(0.87*AE79)</f>
        <v>5212.952959062859</v>
      </c>
      <c r="AF80" s="265">
        <f>(0.87*AF79)</f>
        <v>5457.4404528429077</v>
      </c>
      <c r="AG80" s="265">
        <f>(0.87*AG79)</f>
        <v>5713.3944100812387</v>
      </c>
      <c r="AH80" s="96">
        <f>SUM(AD80:AG80)</f>
        <v>21363.206065432281</v>
      </c>
      <c r="AI80" s="265">
        <f>(0.87*AI79)</f>
        <v>5981.3526079140483</v>
      </c>
      <c r="AJ80" s="265">
        <f>(0.87*AJ79)</f>
        <v>6261.8780452252158</v>
      </c>
      <c r="AK80" s="265">
        <f>(0.87*AK79)</f>
        <v>6555.560125546278</v>
      </c>
      <c r="AL80" s="265">
        <f>(0.87*AL79)</f>
        <v>6863.0158954343979</v>
      </c>
      <c r="AM80" s="96">
        <f>SUM(AI80:AL80)</f>
        <v>25661.80667411994</v>
      </c>
      <c r="AN80" s="265">
        <f>(0.87*AN79)</f>
        <v>7184.8913409302704</v>
      </c>
      <c r="AO80" s="265">
        <f>(0.87*AO79)</f>
        <v>7521.8627448198986</v>
      </c>
      <c r="AP80" s="265">
        <f>(0.87*AP79)</f>
        <v>7874.6381075519512</v>
      </c>
      <c r="AQ80" s="265">
        <f>(0.87*AQ79)</f>
        <v>8243.9586347961376</v>
      </c>
      <c r="AR80" s="96">
        <f>SUM(AN80:AQ80)</f>
        <v>30825.350828098257</v>
      </c>
      <c r="AS80" s="265">
        <f>(0.87*AS79)</f>
        <v>8630.6002947680754</v>
      </c>
      <c r="AT80" s="265">
        <f>(0.87*AT79)</f>
        <v>9035.3754485926984</v>
      </c>
      <c r="AU80" s="265">
        <f>(0.87*AU79)</f>
        <v>9459.1345571316942</v>
      </c>
      <c r="AV80" s="265">
        <f>(0.87*AV79)</f>
        <v>9902.7679678611694</v>
      </c>
      <c r="AW80" s="96">
        <f>SUM(AS80:AV80)</f>
        <v>37027.878268353634</v>
      </c>
      <c r="AX80" s="265">
        <f>(0.87*AX79)</f>
        <v>10367.207785553856</v>
      </c>
      <c r="AY80" s="265">
        <f>(0.87*AY79)</f>
        <v>10853.42983069633</v>
      </c>
      <c r="AZ80" s="265">
        <f>(0.87*AZ79)</f>
        <v>11362.455689755989</v>
      </c>
      <c r="BA80" s="265">
        <f>(0.87*BA79)</f>
        <v>11895.354861605543</v>
      </c>
      <c r="BB80" s="96">
        <f>SUM(AX80:BA80)</f>
        <v>44478.448167611714</v>
      </c>
    </row>
    <row r="81" spans="4:54" hidden="1" x14ac:dyDescent="0.15">
      <c r="E81" s="240">
        <f t="shared" ref="E81:AA81" si="74">ABS(E78-E$9)/E$9</f>
        <v>0.21562067889094808</v>
      </c>
      <c r="F81" s="240">
        <f t="shared" si="74"/>
        <v>0.13904839419971321</v>
      </c>
      <c r="G81" s="276">
        <f t="shared" si="74"/>
        <v>4.0503491880194961E-2</v>
      </c>
      <c r="H81" s="276">
        <f t="shared" si="74"/>
        <v>4.2128505847018154E-2</v>
      </c>
      <c r="I81" s="240">
        <f t="shared" si="74"/>
        <v>5.1066060864359032E-2</v>
      </c>
      <c r="J81" s="240">
        <f t="shared" si="74"/>
        <v>7.6422183824540107E-2</v>
      </c>
      <c r="K81" s="276">
        <f t="shared" si="74"/>
        <v>3.1020520173775705E-2</v>
      </c>
      <c r="L81" s="276">
        <f t="shared" si="74"/>
        <v>2.6627338322267994E-2</v>
      </c>
      <c r="M81" s="276">
        <f t="shared" si="74"/>
        <v>3.2412696970216669E-2</v>
      </c>
      <c r="N81" s="240">
        <f t="shared" si="74"/>
        <v>6.444511205010401E-3</v>
      </c>
      <c r="O81" s="240">
        <f t="shared" si="74"/>
        <v>0.43492552454489192</v>
      </c>
      <c r="P81" s="240">
        <f t="shared" si="74"/>
        <v>0.31799593701597351</v>
      </c>
      <c r="Q81" s="240">
        <f t="shared" si="74"/>
        <v>0.19873403030997336</v>
      </c>
      <c r="R81" s="276">
        <f t="shared" si="74"/>
        <v>6.7476351681868038E-2</v>
      </c>
      <c r="S81" s="240">
        <f t="shared" si="74"/>
        <v>0.17997152534430852</v>
      </c>
      <c r="T81" s="240">
        <f t="shared" si="74"/>
        <v>0.62054892864784128</v>
      </c>
      <c r="U81" s="240">
        <f t="shared" si="74"/>
        <v>0.24824681010770511</v>
      </c>
      <c r="V81" s="276">
        <f t="shared" si="74"/>
        <v>3.4691279141505417E-2</v>
      </c>
      <c r="W81" s="276">
        <f t="shared" si="74"/>
        <v>1.3501763540472547E-2</v>
      </c>
      <c r="X81" s="240">
        <f t="shared" si="74"/>
        <v>0.16643557776446088</v>
      </c>
      <c r="Y81" s="276">
        <f t="shared" si="74"/>
        <v>2.0769114289864964E-3</v>
      </c>
      <c r="Z81" s="276">
        <f t="shared" si="74"/>
        <v>0.13223465002581539</v>
      </c>
      <c r="AA81" s="276">
        <f t="shared" si="74"/>
        <v>6.2377056785202611E-2</v>
      </c>
      <c r="AB81" s="270">
        <f>AVERAGE(E81:AA81)</f>
        <v>0.13654394471813258</v>
      </c>
    </row>
    <row r="82" spans="4:54" hidden="1" x14ac:dyDescent="0.15">
      <c r="E82" s="240">
        <f t="shared" ref="E82:AA82" si="75">ABS(E79-E$9)/E$9</f>
        <v>0.1051097080826799</v>
      </c>
      <c r="F82" s="276">
        <f t="shared" si="75"/>
        <v>3.5498540181557368E-2</v>
      </c>
      <c r="G82" s="240">
        <f t="shared" si="75"/>
        <v>0.12773044716381368</v>
      </c>
      <c r="H82" s="240">
        <f t="shared" si="75"/>
        <v>0.12920773258819834</v>
      </c>
      <c r="I82" s="240">
        <f t="shared" si="75"/>
        <v>4.4485399214219096E-2</v>
      </c>
      <c r="J82" s="276">
        <f t="shared" si="75"/>
        <v>2.1434378341327304E-2</v>
      </c>
      <c r="K82" s="240">
        <f t="shared" si="75"/>
        <v>0.11910956379434164</v>
      </c>
      <c r="L82" s="240">
        <f t="shared" si="75"/>
        <v>6.6702419707029212E-2</v>
      </c>
      <c r="M82" s="240">
        <f t="shared" si="75"/>
        <v>0.12037517906383347</v>
      </c>
      <c r="N82" s="240">
        <f t="shared" si="75"/>
        <v>8.505044435908167E-2</v>
      </c>
      <c r="O82" s="240">
        <f t="shared" si="75"/>
        <v>0.30447774958626522</v>
      </c>
      <c r="P82" s="240">
        <f t="shared" si="75"/>
        <v>0.19817812455997583</v>
      </c>
      <c r="Q82" s="276">
        <f t="shared" si="75"/>
        <v>8.9758209372702971E-2</v>
      </c>
      <c r="R82" s="240">
        <f t="shared" si="75"/>
        <v>0.1522512288016982</v>
      </c>
      <c r="S82" s="240">
        <f t="shared" si="75"/>
        <v>7.2701386676644192E-2</v>
      </c>
      <c r="T82" s="240">
        <f t="shared" si="75"/>
        <v>0.47322629877076472</v>
      </c>
      <c r="U82" s="276">
        <f t="shared" si="75"/>
        <v>0.1347698273706408</v>
      </c>
      <c r="V82" s="240">
        <f t="shared" si="75"/>
        <v>5.937156441681328E-2</v>
      </c>
      <c r="W82" s="240">
        <f t="shared" si="75"/>
        <v>0.10318342140042973</v>
      </c>
      <c r="X82" s="240">
        <f t="shared" si="75"/>
        <v>6.0395979785873494E-2</v>
      </c>
      <c r="Y82" s="240">
        <f t="shared" si="75"/>
        <v>9.2797192208169663E-2</v>
      </c>
      <c r="Z82" s="240">
        <f t="shared" si="75"/>
        <v>2.9304227296195806E-2</v>
      </c>
      <c r="AA82" s="240">
        <f t="shared" si="75"/>
        <v>0.14761550616836608</v>
      </c>
      <c r="AB82" s="270">
        <f>AVERAGE(E82:AA82)</f>
        <v>0.12055367517002703</v>
      </c>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row>
    <row r="83" spans="4:54" hidden="1" x14ac:dyDescent="0.15">
      <c r="E83" s="276">
        <f t="shared" ref="E83:AA83" si="76">ABS(E80-E$9)/E$9</f>
        <v>3.8554553968068457E-2</v>
      </c>
      <c r="F83" s="240">
        <f t="shared" si="76"/>
        <v>9.9116270042045151E-2</v>
      </c>
      <c r="G83" s="240">
        <f t="shared" si="76"/>
        <v>0.2411254890325179</v>
      </c>
      <c r="H83" s="240">
        <f t="shared" si="76"/>
        <v>0.24241072735173261</v>
      </c>
      <c r="I83" s="240">
        <f t="shared" si="76"/>
        <v>0.16870229731637071</v>
      </c>
      <c r="J83" s="240">
        <f t="shared" si="76"/>
        <v>0.14864790915695478</v>
      </c>
      <c r="K83" s="240">
        <f t="shared" si="76"/>
        <v>0.23362532050107718</v>
      </c>
      <c r="L83" s="240">
        <f t="shared" si="76"/>
        <v>0.1880311051451154</v>
      </c>
      <c r="M83" s="240">
        <f t="shared" si="76"/>
        <v>0.23472640578553505</v>
      </c>
      <c r="N83" s="240">
        <f t="shared" si="76"/>
        <v>0.20399388659240092</v>
      </c>
      <c r="O83" s="276">
        <f t="shared" si="76"/>
        <v>0.13489564214005068</v>
      </c>
      <c r="P83" s="276">
        <f t="shared" si="76"/>
        <v>4.2414968367178979E-2</v>
      </c>
      <c r="Q83" s="240">
        <f t="shared" si="76"/>
        <v>5.1910357845748462E-2</v>
      </c>
      <c r="R83" s="240">
        <f t="shared" si="76"/>
        <v>0.26245856905747744</v>
      </c>
      <c r="S83" s="240">
        <f t="shared" si="76"/>
        <v>6.6749793591319648E-2</v>
      </c>
      <c r="T83" s="276">
        <f t="shared" si="76"/>
        <v>0.28170687993056526</v>
      </c>
      <c r="U83" s="240">
        <f t="shared" si="76"/>
        <v>1.2750250187542523E-2</v>
      </c>
      <c r="V83" s="240">
        <f t="shared" si="76"/>
        <v>0.18165326104262752</v>
      </c>
      <c r="W83" s="240">
        <f t="shared" si="76"/>
        <v>0.21976957661837393</v>
      </c>
      <c r="X83" s="240">
        <f t="shared" si="76"/>
        <v>7.7455497586290209E-2</v>
      </c>
      <c r="Y83" s="240">
        <f t="shared" si="76"/>
        <v>0.21073355722110756</v>
      </c>
      <c r="Z83" s="240">
        <f t="shared" si="76"/>
        <v>0.10450532225230959</v>
      </c>
      <c r="AA83" s="240">
        <f t="shared" si="76"/>
        <v>0.25842549036647844</v>
      </c>
      <c r="AB83" s="270">
        <f>AVERAGE(E83:AA83)</f>
        <v>0.16105926656951688</v>
      </c>
    </row>
    <row r="84" spans="4:54" hidden="1" x14ac:dyDescent="0.15">
      <c r="M84" s="240"/>
    </row>
    <row r="85" spans="4:54" hidden="1" x14ac:dyDescent="0.15">
      <c r="D85" s="265" t="s">
        <v>237</v>
      </c>
      <c r="E85" s="265">
        <f>E80</f>
        <v>1991.0153580000001</v>
      </c>
      <c r="F85" s="265">
        <f>F79</f>
        <v>2395.8551474599994</v>
      </c>
      <c r="G85" s="265">
        <f>G78</f>
        <v>2759.042829263461</v>
      </c>
      <c r="H85" s="265">
        <f>H78</f>
        <v>2888.4419379559167</v>
      </c>
      <c r="J85" s="265">
        <f>J80</f>
        <v>2391.6378021964206</v>
      </c>
      <c r="K85" s="265">
        <f>K80</f>
        <v>2503.8056151194323</v>
      </c>
      <c r="L85" s="265">
        <f>L79</f>
        <v>3012.9127568603831</v>
      </c>
      <c r="M85" s="265">
        <f>M78</f>
        <v>3469.6402016728484</v>
      </c>
      <c r="N85" s="265"/>
      <c r="O85" s="265">
        <f>O79</f>
        <v>3302.151206483004</v>
      </c>
      <c r="P85" s="265">
        <f>P80</f>
        <v>3007.6092253183392</v>
      </c>
      <c r="Q85" s="265">
        <f>Q79</f>
        <v>3619.1564344664012</v>
      </c>
      <c r="R85" s="265">
        <f>R78</f>
        <v>4167.784358367162</v>
      </c>
      <c r="S85" s="265"/>
      <c r="T85" s="96">
        <f>T79</f>
        <v>3966.5940407041653</v>
      </c>
      <c r="U85" s="265">
        <f>U80</f>
        <v>3612.7857520554749</v>
      </c>
      <c r="V85" s="265">
        <f>V79</f>
        <v>4347.3855216400889</v>
      </c>
      <c r="W85" s="265">
        <f>W78</f>
        <v>5006.4056928655091</v>
      </c>
      <c r="X85" s="265"/>
      <c r="Y85" s="96">
        <f>Y79</f>
        <v>4764.7328362371827</v>
      </c>
      <c r="Z85" s="265">
        <f>Z80</f>
        <v>4339.7329614433338</v>
      </c>
      <c r="AA85" s="265">
        <f>AA79</f>
        <v>5222.1453302701448</v>
      </c>
      <c r="AB85" s="265">
        <f>AB78</f>
        <v>6177.7822592735893</v>
      </c>
      <c r="AC85" s="265"/>
      <c r="AD85" s="96">
        <f>AD79</f>
        <v>5723.4692453393982</v>
      </c>
      <c r="AE85" s="265">
        <f>AE80</f>
        <v>5212.952959062859</v>
      </c>
      <c r="AF85" s="265">
        <f>AF79</f>
        <v>6272.9200607389739</v>
      </c>
      <c r="AG85" s="265">
        <f>AG78</f>
        <v>7420.8456130940222</v>
      </c>
      <c r="AH85" s="265"/>
      <c r="AI85" s="96">
        <f>AI79</f>
        <v>6875.1179401310901</v>
      </c>
      <c r="AJ85" s="265">
        <f>AJ80</f>
        <v>6261.8780452252158</v>
      </c>
      <c r="AK85" s="265">
        <f>AK79</f>
        <v>7535.1265810876757</v>
      </c>
      <c r="AL85" s="265">
        <f>AL78</f>
        <v>8914.0321400469747</v>
      </c>
      <c r="AM85" s="265"/>
      <c r="AN85" s="96">
        <f>AN79</f>
        <v>8258.4957941727243</v>
      </c>
      <c r="AO85" s="265">
        <f>AO80</f>
        <v>7521.8627448198986</v>
      </c>
      <c r="AP85" s="265">
        <f>AP79</f>
        <v>9051.3081695999444</v>
      </c>
      <c r="AQ85" s="265">
        <f>AQ78</f>
        <v>10707.670410712224</v>
      </c>
      <c r="AR85" s="265"/>
      <c r="AS85" s="96">
        <f>AS79</f>
        <v>9920.230223871351</v>
      </c>
      <c r="AT85" s="265">
        <f>AT80</f>
        <v>9035.3754485926984</v>
      </c>
      <c r="AU85" s="265">
        <f>AU79</f>
        <v>10872.568456473211</v>
      </c>
      <c r="AV85" s="265">
        <f>AV78</f>
        <v>12862.215866302437</v>
      </c>
      <c r="AW85" s="265"/>
      <c r="AX85" s="96">
        <f>AX79</f>
        <v>11916.330787992938</v>
      </c>
      <c r="AY85" s="265">
        <f>AY80</f>
        <v>10853.42983069633</v>
      </c>
      <c r="AZ85" s="265">
        <f>AZ79</f>
        <v>13060.293896271251</v>
      </c>
      <c r="BA85" s="265">
        <f>BA78</f>
        <v>15450.288498407197</v>
      </c>
      <c r="BB85" s="265"/>
    </row>
    <row r="86" spans="4:54" hidden="1" x14ac:dyDescent="0.15">
      <c r="I86" s="270"/>
    </row>
    <row r="87" spans="4:54" hidden="1" x14ac:dyDescent="0.15">
      <c r="E87" s="240"/>
      <c r="F87" s="240"/>
      <c r="G87" s="240"/>
      <c r="H87" s="240"/>
      <c r="I87" s="240"/>
      <c r="J87" s="240"/>
      <c r="K87" s="240"/>
      <c r="L87" s="240"/>
      <c r="M87" s="240"/>
      <c r="N87" s="240"/>
      <c r="O87" s="240"/>
      <c r="P87" s="240"/>
      <c r="Q87" s="240"/>
      <c r="R87" s="240"/>
      <c r="S87" s="240"/>
      <c r="T87" s="240"/>
      <c r="U87" s="240"/>
      <c r="V87" s="240"/>
      <c r="W87" s="240"/>
      <c r="X87" s="240"/>
      <c r="Y87" s="240"/>
      <c r="Z87" s="240"/>
      <c r="AA87" s="240"/>
      <c r="AB87" s="240"/>
      <c r="AC87" s="240"/>
      <c r="AD87" s="240"/>
      <c r="AE87" s="240"/>
      <c r="AF87" s="240"/>
      <c r="AG87" s="240"/>
      <c r="AH87" s="240"/>
      <c r="AI87" s="240"/>
      <c r="AJ87" s="240"/>
      <c r="AK87" s="240"/>
      <c r="AL87" s="240"/>
      <c r="AM87" s="240"/>
      <c r="AN87" s="240"/>
      <c r="AO87" s="240"/>
      <c r="AP87" s="240"/>
      <c r="AQ87" s="240"/>
      <c r="AR87" s="240"/>
      <c r="AS87" s="240"/>
      <c r="AT87" s="240"/>
      <c r="AU87" s="240"/>
      <c r="AV87" s="240"/>
      <c r="AW87" s="240"/>
      <c r="AX87" s="240"/>
      <c r="AY87" s="240"/>
      <c r="AZ87" s="240"/>
      <c r="BA87" s="240"/>
    </row>
    <row r="88" spans="4:54" hidden="1" x14ac:dyDescent="0.15">
      <c r="D88" s="265" t="s">
        <v>236</v>
      </c>
      <c r="E88" s="265">
        <f>E$80</f>
        <v>1991.0153580000001</v>
      </c>
      <c r="F88" s="265">
        <f>F$79</f>
        <v>2395.8551474599994</v>
      </c>
      <c r="G88" s="265">
        <f>G$78</f>
        <v>2759.042829263461</v>
      </c>
      <c r="H88" s="265">
        <f>H$78</f>
        <v>2888.4419379559167</v>
      </c>
      <c r="I88" s="275">
        <f>SUM(E88:H88)</f>
        <v>10034.355272679377</v>
      </c>
      <c r="J88" s="265">
        <f>J$80</f>
        <v>2391.6378021964206</v>
      </c>
      <c r="K88" s="265">
        <f>K$79</f>
        <v>2877.9374886430255</v>
      </c>
      <c r="L88" s="265">
        <f>L$78</f>
        <v>3314.2040325464218</v>
      </c>
      <c r="M88" s="265">
        <f>M$78</f>
        <v>3469.6402016728484</v>
      </c>
      <c r="N88" s="275">
        <f>SUM(J88:M88)</f>
        <v>12053.419525058716</v>
      </c>
      <c r="O88" s="265">
        <f>O$80</f>
        <v>2872.8715496402133</v>
      </c>
      <c r="P88" s="265">
        <f>P$79</f>
        <v>3457.0220980670565</v>
      </c>
      <c r="Q88" s="265">
        <f>Q$78</f>
        <v>3981.0720779130415</v>
      </c>
      <c r="R88" s="265">
        <f>R$78</f>
        <v>4167.784358367162</v>
      </c>
      <c r="S88" s="275">
        <f>SUM(O88:R88)</f>
        <v>14478.750083987472</v>
      </c>
      <c r="T88" s="265">
        <f>T$80</f>
        <v>3450.9368154126237</v>
      </c>
      <c r="U88" s="265">
        <f>U$79</f>
        <v>4152.6273012131896</v>
      </c>
      <c r="V88" s="265">
        <f>V$78</f>
        <v>4782.1240738040979</v>
      </c>
      <c r="W88" s="265">
        <f>W$78</f>
        <v>5006.4056928655091</v>
      </c>
      <c r="X88" s="275">
        <f>SUM(T88:W88)</f>
        <v>17392.09388329542</v>
      </c>
      <c r="Y88" s="265">
        <f>Y$80</f>
        <v>4145.3175675263492</v>
      </c>
      <c r="Z88" s="265">
        <f>Z$79</f>
        <v>4988.1988062567052</v>
      </c>
      <c r="AA88" s="265">
        <f>AA$78</f>
        <v>5744.3598632971598</v>
      </c>
      <c r="AB88" s="143">
        <f>AB78</f>
        <v>6177.7822592735893</v>
      </c>
      <c r="AC88" s="96">
        <f>SUM(Y88:AB88)</f>
        <v>21055.658496353804</v>
      </c>
      <c r="AD88" s="265">
        <f>AD$80</f>
        <v>4979.4182434452759</v>
      </c>
      <c r="AE88" s="265">
        <f>AE$79</f>
        <v>5991.8999529458151</v>
      </c>
      <c r="AF88" s="265">
        <f>AF$78</f>
        <v>7088.3996686350401</v>
      </c>
      <c r="AG88" s="143">
        <f>AG78</f>
        <v>7420.8456130940222</v>
      </c>
      <c r="AH88" s="96">
        <f>SUM(AD88:AG88)</f>
        <v>25480.563478120152</v>
      </c>
      <c r="AI88" s="265">
        <f>AI$80</f>
        <v>5981.3526079140483</v>
      </c>
      <c r="AJ88" s="265">
        <f>AJ$79</f>
        <v>7197.5609715232367</v>
      </c>
      <c r="AK88" s="265">
        <f>AK$78</f>
        <v>8514.6930366290726</v>
      </c>
      <c r="AL88" s="143">
        <f>AL78</f>
        <v>8914.0321400469747</v>
      </c>
      <c r="AM88" s="96">
        <f>SUM(AI88:AL88)</f>
        <v>30607.638756113331</v>
      </c>
      <c r="AN88" s="265">
        <f>AN$80</f>
        <v>7184.8913409302704</v>
      </c>
      <c r="AO88" s="265">
        <f>AO$79</f>
        <v>8645.8192469194237</v>
      </c>
      <c r="AP88" s="265">
        <f>AP$78</f>
        <v>10227.978231647936</v>
      </c>
      <c r="AQ88" s="143">
        <f>AQ78</f>
        <v>10707.670410712224</v>
      </c>
      <c r="AR88" s="96">
        <f>SUM(AN88:AQ88)</f>
        <v>36766.359230209855</v>
      </c>
      <c r="AS88" s="265">
        <f>AS$80</f>
        <v>8630.6002947680754</v>
      </c>
      <c r="AT88" s="265">
        <f>AT$79</f>
        <v>10385.489021370917</v>
      </c>
      <c r="AU88" s="265">
        <f>AU$78</f>
        <v>12286.002355814728</v>
      </c>
      <c r="AV88" s="143">
        <f>AV78</f>
        <v>12862.215866302437</v>
      </c>
      <c r="AW88" s="96">
        <f>SUM(AS88:AV88)</f>
        <v>44164.307538256158</v>
      </c>
      <c r="AX88" s="265">
        <f>AX$80</f>
        <v>10367.207785553856</v>
      </c>
      <c r="AY88" s="265">
        <f>AY$79</f>
        <v>12475.206701949804</v>
      </c>
      <c r="AZ88" s="265">
        <f>AZ$78</f>
        <v>14758.132102786512</v>
      </c>
      <c r="BA88" s="143">
        <f>BA78</f>
        <v>15450.288498407197</v>
      </c>
      <c r="BB88" s="96">
        <f>SUM(AX88:BA88)</f>
        <v>53050.835088697364</v>
      </c>
    </row>
    <row r="89" spans="4:54" hidden="1" x14ac:dyDescent="0.15">
      <c r="D89" s="265" t="s">
        <v>235</v>
      </c>
      <c r="E89" s="240">
        <f t="shared" ref="E89:AA89" si="77">ABS((E88-E9)/E9)</f>
        <v>3.8554553968068457E-2</v>
      </c>
      <c r="F89" s="240">
        <f t="shared" si="77"/>
        <v>3.5498540181557368E-2</v>
      </c>
      <c r="G89" s="240">
        <f t="shared" si="77"/>
        <v>4.0503491880194961E-2</v>
      </c>
      <c r="H89" s="240">
        <f t="shared" si="77"/>
        <v>4.2128505847018154E-2</v>
      </c>
      <c r="I89" s="240">
        <f t="shared" si="77"/>
        <v>2.3474428692273522E-2</v>
      </c>
      <c r="J89" s="240">
        <f t="shared" si="77"/>
        <v>0.14864790915695478</v>
      </c>
      <c r="K89" s="240">
        <f t="shared" si="77"/>
        <v>0.11910956379434164</v>
      </c>
      <c r="L89" s="240">
        <f t="shared" si="77"/>
        <v>2.6627338322267994E-2</v>
      </c>
      <c r="M89" s="240">
        <f t="shared" si="77"/>
        <v>3.2412696970216669E-2</v>
      </c>
      <c r="N89" s="240">
        <f t="shared" si="77"/>
        <v>6.4931465405929464E-2</v>
      </c>
      <c r="O89" s="240">
        <f t="shared" si="77"/>
        <v>0.13489564214005068</v>
      </c>
      <c r="P89" s="240">
        <f t="shared" si="77"/>
        <v>0.19817812455997583</v>
      </c>
      <c r="Q89" s="240">
        <f t="shared" si="77"/>
        <v>0.19873403030997336</v>
      </c>
      <c r="R89" s="240">
        <f t="shared" si="77"/>
        <v>6.7476351681868038E-2</v>
      </c>
      <c r="S89" s="240">
        <f t="shared" si="77"/>
        <v>9.6289197052098555E-2</v>
      </c>
      <c r="T89" s="240">
        <f t="shared" si="77"/>
        <v>0.28170687993056526</v>
      </c>
      <c r="U89" s="240">
        <f t="shared" si="77"/>
        <v>0.1347698273706408</v>
      </c>
      <c r="V89" s="240">
        <f t="shared" si="77"/>
        <v>3.4691279141505417E-2</v>
      </c>
      <c r="W89" s="240">
        <f t="shared" si="77"/>
        <v>1.3501763540472547E-2</v>
      </c>
      <c r="X89" s="240">
        <f t="shared" si="77"/>
        <v>8.3713204509125616E-2</v>
      </c>
      <c r="Y89" s="240">
        <f t="shared" si="77"/>
        <v>0.21073355722110756</v>
      </c>
      <c r="Z89" s="240">
        <f t="shared" si="77"/>
        <v>2.9304227296195806E-2</v>
      </c>
      <c r="AA89" s="240">
        <f t="shared" si="77"/>
        <v>6.2377056785202611E-2</v>
      </c>
      <c r="AB89" s="240"/>
    </row>
    <row r="90" spans="4:54" hidden="1" x14ac:dyDescent="0.15">
      <c r="E90" s="240"/>
      <c r="F90" s="240"/>
      <c r="G90" s="240"/>
      <c r="H90" s="240"/>
      <c r="I90" s="270">
        <f>AVERAGE(E89:H89,J89:M89,O89:R89,U89:W89,Y89:AA89)</f>
        <v>8.7119136675978481E-2</v>
      </c>
      <c r="J90" s="270"/>
      <c r="K90" s="270"/>
      <c r="L90" s="270"/>
      <c r="M90" s="270"/>
    </row>
    <row r="91" spans="4:54" hidden="1" x14ac:dyDescent="0.15">
      <c r="E91" s="240">
        <f t="shared" ref="E91:H93" si="78">AVERAGE(E81,J81,Y81,O81,T81)</f>
        <v>0.2699188454674416</v>
      </c>
      <c r="F91" s="240">
        <f t="shared" si="78"/>
        <v>0.17370926230459657</v>
      </c>
      <c r="G91" s="270">
        <f t="shared" si="78"/>
        <v>7.258663928782888E-2</v>
      </c>
      <c r="H91" s="270">
        <f t="shared" si="78"/>
        <v>5.84126525515416E-2</v>
      </c>
    </row>
    <row r="92" spans="4:54" hidden="1" x14ac:dyDescent="0.15">
      <c r="E92" s="240">
        <f t="shared" si="78"/>
        <v>0.19940906539784137</v>
      </c>
      <c r="F92" s="270">
        <f t="shared" si="78"/>
        <v>0.10337205664054228</v>
      </c>
      <c r="G92" s="240">
        <f t="shared" si="78"/>
        <v>9.823562936574505E-2</v>
      </c>
      <c r="H92" s="240">
        <f t="shared" si="78"/>
        <v>0.12511424740483734</v>
      </c>
    </row>
    <row r="93" spans="4:54" hidden="1" x14ac:dyDescent="0.15">
      <c r="E93" s="270">
        <f t="shared" si="78"/>
        <v>0.16290770848334937</v>
      </c>
      <c r="F93" s="240">
        <f t="shared" si="78"/>
        <v>9.8482426270030676E-2</v>
      </c>
      <c r="G93" s="240">
        <f t="shared" si="78"/>
        <v>0.18422914068649754</v>
      </c>
      <c r="H93" s="240">
        <f t="shared" si="78"/>
        <v>0.22408490907652717</v>
      </c>
    </row>
  </sheetData>
  <mergeCells count="17">
    <mergeCell ref="E4:AA6"/>
    <mergeCell ref="B1:D2"/>
    <mergeCell ref="AB4:BB6"/>
    <mergeCell ref="B3:D3"/>
    <mergeCell ref="B4:D4"/>
    <mergeCell ref="B5:D5"/>
    <mergeCell ref="C7:D7"/>
    <mergeCell ref="Y7:AB7"/>
    <mergeCell ref="AX7:BA7"/>
    <mergeCell ref="AI7:AL7"/>
    <mergeCell ref="AN7:AQ7"/>
    <mergeCell ref="AS7:AV7"/>
    <mergeCell ref="AD7:AG7"/>
    <mergeCell ref="T7:W7"/>
    <mergeCell ref="E7:H7"/>
    <mergeCell ref="J7:M7"/>
    <mergeCell ref="O7:R7"/>
  </mergeCells>
  <conditionalFormatting sqref="E81:E83">
    <cfRule type="top10" priority="2" rank="2"/>
  </conditionalFormatting>
  <conditionalFormatting sqref="E55:E57">
    <cfRule type="top10" priority="1" rank="2"/>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8A12B-DDFD-40E5-9249-7FCBCED1643A}">
  <sheetPr>
    <tabColor theme="5"/>
  </sheetPr>
  <dimension ref="A2:AC29"/>
  <sheetViews>
    <sheetView showGridLines="0" zoomScale="70" zoomScaleNormal="70" workbookViewId="0"/>
  </sheetViews>
  <sheetFormatPr baseColWidth="10" defaultColWidth="9.1640625" defaultRowHeight="12" x14ac:dyDescent="0.15"/>
  <cols>
    <col min="1" max="1" width="1.5" style="397" customWidth="1"/>
    <col min="2" max="2" width="28.83203125" style="397" bestFit="1" customWidth="1"/>
    <col min="3" max="3" width="9.1640625" style="397"/>
    <col min="4" max="4" width="11.83203125" style="397" bestFit="1" customWidth="1"/>
    <col min="5" max="5" width="11.5" style="397" bestFit="1" customWidth="1"/>
    <col min="6" max="6" width="12.33203125" style="397" bestFit="1" customWidth="1"/>
    <col min="7" max="7" width="13.1640625" style="397" bestFit="1" customWidth="1"/>
    <col min="8" max="8" width="12.83203125" style="397" customWidth="1"/>
    <col min="9" max="9" width="12.5" style="397" bestFit="1" customWidth="1"/>
    <col min="10" max="13" width="12.83203125" style="397" bestFit="1" customWidth="1"/>
    <col min="14" max="14" width="9.1640625" style="397"/>
    <col min="15" max="15" width="28.1640625" style="397" bestFit="1" customWidth="1"/>
    <col min="16" max="16" width="9.1640625" style="397"/>
    <col min="17" max="17" width="13.1640625" style="397" bestFit="1" customWidth="1"/>
    <col min="18" max="18" width="12.83203125" style="397" bestFit="1" customWidth="1"/>
    <col min="19" max="19" width="13.1640625" style="397" bestFit="1" customWidth="1"/>
    <col min="20" max="20" width="13.5" style="397" bestFit="1" customWidth="1"/>
    <col min="21" max="21" width="14.33203125" style="397" bestFit="1" customWidth="1"/>
    <col min="22" max="22" width="14" style="397" bestFit="1" customWidth="1"/>
    <col min="23" max="26" width="14.33203125" style="436" bestFit="1" customWidth="1"/>
    <col min="27" max="29" width="9.1640625" style="436"/>
    <col min="30" max="16384" width="9.1640625" style="397"/>
  </cols>
  <sheetData>
    <row r="2" spans="2:22" ht="13" thickBot="1" x14ac:dyDescent="0.2">
      <c r="B2" s="366" t="s">
        <v>311</v>
      </c>
      <c r="C2" s="398"/>
      <c r="D2" s="398"/>
      <c r="E2" s="398"/>
      <c r="F2" s="398"/>
      <c r="G2" s="398"/>
      <c r="H2" s="398"/>
      <c r="I2" s="398"/>
      <c r="J2" s="398"/>
      <c r="K2" s="398"/>
      <c r="L2" s="398"/>
      <c r="M2" s="398"/>
      <c r="O2" s="366" t="s">
        <v>313</v>
      </c>
      <c r="P2" s="398"/>
      <c r="Q2" s="398"/>
      <c r="R2" s="398"/>
      <c r="S2" s="398"/>
      <c r="T2" s="398"/>
      <c r="U2" s="398"/>
      <c r="V2" s="398"/>
    </row>
    <row r="4" spans="2:22" x14ac:dyDescent="0.15">
      <c r="D4" s="539" t="s">
        <v>310</v>
      </c>
      <c r="E4" s="540"/>
      <c r="F4" s="540"/>
      <c r="G4" s="540"/>
      <c r="H4" s="541"/>
      <c r="I4" s="542" t="s">
        <v>309</v>
      </c>
      <c r="J4" s="543"/>
      <c r="K4" s="543"/>
      <c r="L4" s="543"/>
      <c r="M4" s="543"/>
    </row>
    <row r="5" spans="2:22" x14ac:dyDescent="0.15">
      <c r="B5" s="397" t="s">
        <v>360</v>
      </c>
      <c r="D5" s="399">
        <v>2017</v>
      </c>
      <c r="E5" s="399">
        <f t="shared" ref="E5:M5" si="0">D5+1</f>
        <v>2018</v>
      </c>
      <c r="F5" s="399">
        <f t="shared" si="0"/>
        <v>2019</v>
      </c>
      <c r="G5" s="399">
        <f t="shared" si="0"/>
        <v>2020</v>
      </c>
      <c r="H5" s="399">
        <f t="shared" si="0"/>
        <v>2021</v>
      </c>
      <c r="I5" s="399">
        <f t="shared" si="0"/>
        <v>2022</v>
      </c>
      <c r="J5" s="399">
        <f t="shared" si="0"/>
        <v>2023</v>
      </c>
      <c r="K5" s="399">
        <f t="shared" si="0"/>
        <v>2024</v>
      </c>
      <c r="L5" s="399">
        <f t="shared" si="0"/>
        <v>2025</v>
      </c>
      <c r="M5" s="399">
        <f t="shared" si="0"/>
        <v>2026</v>
      </c>
    </row>
    <row r="6" spans="2:22" x14ac:dyDescent="0.15">
      <c r="B6" s="365" t="s">
        <v>308</v>
      </c>
      <c r="C6" s="365"/>
      <c r="D6" s="404">
        <v>173.82</v>
      </c>
      <c r="E6" s="404">
        <v>155.62</v>
      </c>
      <c r="F6" s="404">
        <v>295.94</v>
      </c>
      <c r="G6" s="404">
        <v>487.72</v>
      </c>
      <c r="H6" s="404">
        <f>DCF!K18</f>
        <v>879.12</v>
      </c>
      <c r="I6" s="440">
        <f>H6*1.15</f>
        <v>1010.9879999999999</v>
      </c>
      <c r="J6" s="440">
        <f t="shared" ref="J6:M6" si="1">I6*1.15</f>
        <v>1162.6361999999999</v>
      </c>
      <c r="K6" s="440">
        <f t="shared" si="1"/>
        <v>1337.0316299999997</v>
      </c>
      <c r="L6" s="440">
        <f t="shared" si="1"/>
        <v>1537.5863744999995</v>
      </c>
      <c r="M6" s="440">
        <f t="shared" si="1"/>
        <v>1768.2243306749992</v>
      </c>
    </row>
    <row r="7" spans="2:22" x14ac:dyDescent="0.15">
      <c r="B7" s="397" t="s">
        <v>307</v>
      </c>
      <c r="D7" s="394">
        <f>'Operating Model'!J10</f>
        <v>10275.568369645194</v>
      </c>
      <c r="E7" s="394">
        <f>'Operating Model'!O10</f>
        <v>12890.412926033614</v>
      </c>
      <c r="F7" s="394">
        <f>'Operating Model'!T10</f>
        <v>13207.053506429293</v>
      </c>
      <c r="G7" s="394">
        <f>'Operating Model'!Y10</f>
        <v>16048.613056415856</v>
      </c>
      <c r="H7" s="394">
        <f>'Operating Model'!AD10</f>
        <v>21434.078094915931</v>
      </c>
      <c r="I7" s="394">
        <f>'Operating Model'!AI10</f>
        <v>26079.131603773018</v>
      </c>
      <c r="J7" s="394">
        <f>'Operating Model'!AN10</f>
        <v>28929.405069289798</v>
      </c>
      <c r="K7" s="394">
        <f>'Operating Model'!AS10</f>
        <v>33388.4593370578</v>
      </c>
      <c r="L7" s="394">
        <f>'Operating Model'!AX10</f>
        <v>38538.343964743588</v>
      </c>
      <c r="M7" s="394">
        <f>'Operating Model'!BC10</f>
        <v>44486.615514733829</v>
      </c>
    </row>
    <row r="8" spans="2:22" x14ac:dyDescent="0.15">
      <c r="B8" s="397" t="s">
        <v>306</v>
      </c>
      <c r="D8" s="394">
        <f>'Operating Model'!J49</f>
        <v>4.4855403125694</v>
      </c>
      <c r="E8" s="394">
        <f>'Operating Model'!O49</f>
        <v>5.98457243231364</v>
      </c>
      <c r="F8" s="394">
        <f>'Operating Model'!T49</f>
        <v>5.6722785535201741</v>
      </c>
      <c r="G8" s="394">
        <f>'Operating Model'!Y49</f>
        <v>8.4686780938376973</v>
      </c>
      <c r="H8" s="394">
        <f>'Operating Model'!AD49</f>
        <v>14.187023315354063</v>
      </c>
      <c r="I8" s="394">
        <f>'Operating Model'!AI49</f>
        <v>20.137702683409785</v>
      </c>
      <c r="J8" s="394">
        <f>'Operating Model'!AN49</f>
        <v>24.95254680305192</v>
      </c>
      <c r="K8" s="394">
        <f>'Operating Model'!AS49</f>
        <v>29.620648356603361</v>
      </c>
      <c r="L8" s="394">
        <f>'Operating Model'!AX49</f>
        <v>34.214474899899045</v>
      </c>
      <c r="M8" s="394">
        <f>'Operating Model'!BC49</f>
        <v>39.520475358316091</v>
      </c>
    </row>
    <row r="9" spans="2:22" x14ac:dyDescent="0.15">
      <c r="B9" s="397" t="s">
        <v>198</v>
      </c>
      <c r="D9" s="403">
        <f>'Operating Model'!J48</f>
        <v>430.3</v>
      </c>
      <c r="E9" s="403">
        <f>'Operating Model'!O48</f>
        <v>423.6</v>
      </c>
      <c r="F9" s="403">
        <f>'Operating Model'!T48</f>
        <v>420.4</v>
      </c>
      <c r="G9" s="403">
        <f>'Operating Model'!Y48</f>
        <v>418.5</v>
      </c>
      <c r="H9" s="403">
        <f>'Operating Model'!AD48</f>
        <v>394.60761000000002</v>
      </c>
      <c r="I9" s="403">
        <f>'Operating Model'!AI48</f>
        <v>374.5307094401511</v>
      </c>
      <c r="J9" s="403">
        <f>'Operating Model'!AN48</f>
        <v>334.37690832045325</v>
      </c>
      <c r="K9" s="403">
        <f>'Operating Model'!AS48</f>
        <v>334.37690832045325</v>
      </c>
      <c r="L9" s="403">
        <f>'Operating Model'!AX48</f>
        <v>334.37690832045325</v>
      </c>
      <c r="M9" s="403">
        <f>'Operating Model'!BC48</f>
        <v>334.37690832045325</v>
      </c>
    </row>
    <row r="10" spans="2:22" x14ac:dyDescent="0.15">
      <c r="B10" s="365" t="s">
        <v>305</v>
      </c>
      <c r="C10" s="365"/>
      <c r="D10" s="395">
        <f t="shared" ref="D10:M10" si="2">D6*D9</f>
        <v>74794.745999999999</v>
      </c>
      <c r="E10" s="395">
        <f t="shared" si="2"/>
        <v>65920.632000000012</v>
      </c>
      <c r="F10" s="395">
        <f t="shared" si="2"/>
        <v>124413.17599999999</v>
      </c>
      <c r="G10" s="395">
        <f t="shared" si="2"/>
        <v>204110.82</v>
      </c>
      <c r="H10" s="395">
        <f t="shared" si="2"/>
        <v>346907.44210320001</v>
      </c>
      <c r="I10" s="395">
        <f t="shared" si="2"/>
        <v>378646.05287547945</v>
      </c>
      <c r="J10" s="395">
        <f t="shared" si="2"/>
        <v>388758.69805744011</v>
      </c>
      <c r="K10" s="395">
        <f t="shared" si="2"/>
        <v>447072.5027660561</v>
      </c>
      <c r="L10" s="395">
        <f t="shared" si="2"/>
        <v>514133.37818096444</v>
      </c>
      <c r="M10" s="395">
        <f t="shared" si="2"/>
        <v>591253.38490810909</v>
      </c>
    </row>
    <row r="11" spans="2:22" x14ac:dyDescent="0.15">
      <c r="B11" s="397" t="s">
        <v>304</v>
      </c>
      <c r="D11" s="394">
        <f>'Operating Model'!J76</f>
        <v>3606.7202000000002</v>
      </c>
      <c r="E11" s="394">
        <f>'Operating Model'!O76</f>
        <v>3465.9477999999999</v>
      </c>
      <c r="F11" s="394">
        <f>'Operating Model'!T76</f>
        <v>3663.0120999999999</v>
      </c>
      <c r="G11" s="394">
        <f>'Operating Model'!Y76</f>
        <v>5858.9534999999996</v>
      </c>
      <c r="H11" s="394">
        <f>'Operating Model'!AD76</f>
        <v>4724.0489731377811</v>
      </c>
      <c r="I11" s="394">
        <f>'Operating Model'!AI76</f>
        <v>4512.6152855268865</v>
      </c>
      <c r="J11" s="394">
        <f>'Operating Model'!AN76</f>
        <v>4272.2705457533602</v>
      </c>
      <c r="K11" s="394">
        <f>'Operating Model'!AS76</f>
        <v>3998.4851791894857</v>
      </c>
      <c r="L11" s="394">
        <f>'Operating Model'!AX76</f>
        <v>3682.4707586785885</v>
      </c>
      <c r="M11" s="394">
        <f>'Operating Model'!BC76</f>
        <v>3317.680511457771</v>
      </c>
    </row>
    <row r="12" spans="2:22" x14ac:dyDescent="0.15">
      <c r="B12" s="397" t="s">
        <v>303</v>
      </c>
      <c r="D12" s="394">
        <f>'Operating Model'!J56</f>
        <v>2715.7698</v>
      </c>
      <c r="E12" s="394">
        <f>'Operating Model'!O56</f>
        <v>3574.2837</v>
      </c>
      <c r="F12" s="394">
        <f>'Operating Model'!T56</f>
        <v>3966.4196999999999</v>
      </c>
      <c r="G12" s="394">
        <f>'Operating Model'!Y56</f>
        <v>7395.3914999999997</v>
      </c>
      <c r="H12" s="394">
        <f>'Operating Model'!AD56</f>
        <v>7214.8811015238134</v>
      </c>
      <c r="I12" s="394">
        <f>'Operating Model'!AI56</f>
        <v>5091.3134996993213</v>
      </c>
      <c r="J12" s="394">
        <f>'Operating Model'!AN56</f>
        <v>4809.7125508351364</v>
      </c>
      <c r="K12" s="394">
        <f>'Operating Model'!AS56</f>
        <v>4968.2239099317867</v>
      </c>
      <c r="L12" s="394">
        <f>'Operating Model'!AX56</f>
        <v>7868.6244483427909</v>
      </c>
      <c r="M12" s="394">
        <f>'Operating Model'!BC56</f>
        <v>11625.105978829646</v>
      </c>
    </row>
    <row r="13" spans="2:22" x14ac:dyDescent="0.15">
      <c r="B13" s="365" t="s">
        <v>302</v>
      </c>
      <c r="C13" s="365"/>
      <c r="D13" s="395">
        <f t="shared" ref="D13:M13" si="3">D10+D11-D12</f>
        <v>75685.696400000001</v>
      </c>
      <c r="E13" s="395">
        <f t="shared" si="3"/>
        <v>65812.296100000007</v>
      </c>
      <c r="F13" s="395">
        <f t="shared" si="3"/>
        <v>124109.7684</v>
      </c>
      <c r="G13" s="395">
        <f t="shared" si="3"/>
        <v>202574.38200000001</v>
      </c>
      <c r="H13" s="395">
        <f t="shared" si="3"/>
        <v>344416.609974814</v>
      </c>
      <c r="I13" s="395">
        <f t="shared" si="3"/>
        <v>378067.35466130701</v>
      </c>
      <c r="J13" s="395">
        <f t="shared" si="3"/>
        <v>388221.25605235831</v>
      </c>
      <c r="K13" s="395">
        <f t="shared" si="3"/>
        <v>446102.7640353138</v>
      </c>
      <c r="L13" s="395">
        <f t="shared" si="3"/>
        <v>509947.22449130024</v>
      </c>
      <c r="M13" s="395">
        <f t="shared" si="3"/>
        <v>582945.95944073715</v>
      </c>
    </row>
    <row r="14" spans="2:22" x14ac:dyDescent="0.15">
      <c r="B14" s="397" t="s">
        <v>171</v>
      </c>
      <c r="D14" s="394">
        <f>'Operating Model'!J27</f>
        <v>2256.029169645195</v>
      </c>
      <c r="E14" s="394">
        <f>'Operating Model'!O27</f>
        <v>2994.5461260336137</v>
      </c>
      <c r="F14" s="394">
        <f>'Operating Model'!T27</f>
        <v>2608.9414064292932</v>
      </c>
      <c r="G14" s="394">
        <f>'Operating Model'!Y27</f>
        <v>4120.0981564158537</v>
      </c>
      <c r="H14" s="394">
        <f>'Operating Model'!AD27</f>
        <v>6974.4066515959184</v>
      </c>
      <c r="I14" s="394">
        <f>'Operating Model'!AI27</f>
        <v>10232.655669695709</v>
      </c>
      <c r="J14" s="394">
        <f>'Operating Model'!AN27</f>
        <v>11641.154722775547</v>
      </c>
      <c r="K14" s="394">
        <f>'Operating Model'!AS27</f>
        <v>13255.218356811945</v>
      </c>
      <c r="L14" s="394">
        <f>'Operating Model'!AX27</f>
        <v>15299.72255400321</v>
      </c>
      <c r="M14" s="394">
        <f>'Operating Model'!BC27</f>
        <v>17661.186359349333</v>
      </c>
    </row>
    <row r="15" spans="2:22" x14ac:dyDescent="0.15">
      <c r="B15" s="397" t="s">
        <v>255</v>
      </c>
      <c r="D15" s="394">
        <f>'Operating Model'!J33</f>
        <v>2727.1207696451952</v>
      </c>
      <c r="E15" s="394">
        <f>'Operating Model'!O33</f>
        <v>3493.4377260336137</v>
      </c>
      <c r="F15" s="394">
        <f>'Operating Model'!T33</f>
        <v>3110.8258064292932</v>
      </c>
      <c r="G15" s="394">
        <f>'Operating Model'!Y33</f>
        <v>4680.3164564158542</v>
      </c>
      <c r="H15" s="394">
        <f>'Operating Model'!AD33</f>
        <v>7456.7832958442923</v>
      </c>
      <c r="I15" s="394">
        <f>'Operating Model'!AI33</f>
        <v>10571.684380544757</v>
      </c>
      <c r="J15" s="394">
        <f>'Operating Model'!AN33</f>
        <v>12017.236988676315</v>
      </c>
      <c r="K15" s="394">
        <f>'Operating Model'!AS33</f>
        <v>13689.268328193697</v>
      </c>
      <c r="L15" s="394">
        <f>'Operating Model'!AX33</f>
        <v>15800.721025544877</v>
      </c>
      <c r="M15" s="394">
        <f>'Operating Model'!BC33</f>
        <v>18239.512361040874</v>
      </c>
    </row>
    <row r="16" spans="2:22" x14ac:dyDescent="0.15">
      <c r="D16" s="400"/>
      <c r="E16" s="400"/>
      <c r="F16" s="400"/>
      <c r="G16" s="400"/>
      <c r="H16" s="400"/>
      <c r="I16" s="401"/>
      <c r="J16" s="401"/>
      <c r="K16" s="401"/>
      <c r="L16" s="401"/>
      <c r="M16" s="401"/>
    </row>
    <row r="17" spans="1:22" x14ac:dyDescent="0.15">
      <c r="B17" s="397" t="s">
        <v>301</v>
      </c>
      <c r="D17" s="396">
        <f t="shared" ref="D17:M17" si="4">D6/D8</f>
        <v>38.751184447706521</v>
      </c>
      <c r="E17" s="396">
        <f t="shared" si="4"/>
        <v>26.003528532753876</v>
      </c>
      <c r="F17" s="396">
        <f t="shared" si="4"/>
        <v>52.173037203249095</v>
      </c>
      <c r="G17" s="396">
        <f t="shared" si="4"/>
        <v>57.591042497517229</v>
      </c>
      <c r="H17" s="396">
        <f t="shared" si="4"/>
        <v>61.966487293255007</v>
      </c>
      <c r="I17" s="402">
        <f t="shared" si="4"/>
        <v>50.203740510723243</v>
      </c>
      <c r="J17" s="402">
        <f t="shared" si="4"/>
        <v>46.593889159955374</v>
      </c>
      <c r="K17" s="402">
        <f t="shared" si="4"/>
        <v>45.13849980268693</v>
      </c>
      <c r="L17" s="402">
        <f t="shared" si="4"/>
        <v>44.939645544714651</v>
      </c>
      <c r="M17" s="402">
        <f t="shared" si="4"/>
        <v>44.741980318891102</v>
      </c>
    </row>
    <row r="18" spans="1:22" x14ac:dyDescent="0.15">
      <c r="B18" s="397" t="s">
        <v>300</v>
      </c>
      <c r="D18" s="396">
        <f t="shared" ref="D18:M18" si="5">D13/D7</f>
        <v>7.3655970820632435</v>
      </c>
      <c r="E18" s="396">
        <f t="shared" si="5"/>
        <v>5.105522722789182</v>
      </c>
      <c r="F18" s="396">
        <f t="shared" si="5"/>
        <v>9.3972337084560493</v>
      </c>
      <c r="G18" s="396">
        <f t="shared" si="5"/>
        <v>12.62254758637947</v>
      </c>
      <c r="H18" s="396">
        <f t="shared" si="5"/>
        <v>16.06864584749778</v>
      </c>
      <c r="I18" s="402">
        <f t="shared" si="5"/>
        <v>14.496930358164605</v>
      </c>
      <c r="J18" s="402">
        <f t="shared" si="5"/>
        <v>13.419607320735301</v>
      </c>
      <c r="K18" s="402">
        <f t="shared" si="5"/>
        <v>13.3609867868382</v>
      </c>
      <c r="L18" s="402">
        <f t="shared" si="5"/>
        <v>13.232203878760858</v>
      </c>
      <c r="M18" s="402">
        <f t="shared" si="5"/>
        <v>13.103850510895064</v>
      </c>
    </row>
    <row r="19" spans="1:22" x14ac:dyDescent="0.15">
      <c r="B19" s="397" t="s">
        <v>299</v>
      </c>
      <c r="D19" s="396">
        <f t="shared" ref="D19:M19" si="6">D13/D15</f>
        <v>27.752968347583259</v>
      </c>
      <c r="E19" s="396">
        <f t="shared" si="6"/>
        <v>18.838834769990907</v>
      </c>
      <c r="F19" s="396">
        <f t="shared" si="6"/>
        <v>39.896084230591242</v>
      </c>
      <c r="G19" s="396">
        <f t="shared" si="6"/>
        <v>43.282197664712982</v>
      </c>
      <c r="H19" s="396">
        <f t="shared" si="6"/>
        <v>46.188362503005727</v>
      </c>
      <c r="I19" s="402">
        <f t="shared" si="6"/>
        <v>35.762262762693759</v>
      </c>
      <c r="J19" s="402">
        <f t="shared" si="6"/>
        <v>32.305367400024991</v>
      </c>
      <c r="K19" s="402">
        <f t="shared" si="6"/>
        <v>32.587772650824881</v>
      </c>
      <c r="L19" s="402">
        <f t="shared" si="6"/>
        <v>32.273667996977693</v>
      </c>
      <c r="M19" s="402">
        <f t="shared" si="6"/>
        <v>31.960611002183075</v>
      </c>
    </row>
    <row r="20" spans="1:22" x14ac:dyDescent="0.15">
      <c r="A20" s="436"/>
      <c r="B20" s="436"/>
      <c r="C20" s="436"/>
      <c r="D20" s="436"/>
      <c r="E20" s="436"/>
      <c r="F20" s="436"/>
      <c r="G20" s="436"/>
      <c r="H20" s="436"/>
    </row>
    <row r="21" spans="1:22" x14ac:dyDescent="0.15">
      <c r="A21" s="436"/>
      <c r="B21" s="439"/>
      <c r="C21" s="439"/>
      <c r="D21" s="439"/>
      <c r="E21" s="439"/>
      <c r="F21" s="439"/>
      <c r="G21" s="436"/>
      <c r="H21" s="436"/>
    </row>
    <row r="22" spans="1:22" x14ac:dyDescent="0.15">
      <c r="A22" s="436"/>
      <c r="B22" s="436"/>
      <c r="C22" s="436"/>
      <c r="D22" s="437"/>
      <c r="E22" s="437"/>
      <c r="F22" s="437"/>
      <c r="G22" s="436"/>
      <c r="H22" s="436"/>
    </row>
    <row r="23" spans="1:22" x14ac:dyDescent="0.15">
      <c r="A23" s="436"/>
      <c r="B23" s="436"/>
      <c r="C23" s="436"/>
      <c r="D23" s="438"/>
      <c r="E23" s="438"/>
      <c r="F23" s="438"/>
      <c r="G23" s="436"/>
      <c r="H23" s="436"/>
    </row>
    <row r="24" spans="1:22" x14ac:dyDescent="0.15">
      <c r="A24" s="436"/>
      <c r="B24" s="436"/>
      <c r="C24" s="436"/>
      <c r="D24" s="436"/>
      <c r="E24" s="436"/>
      <c r="F24" s="436"/>
      <c r="G24" s="436"/>
      <c r="H24" s="436"/>
    </row>
    <row r="25" spans="1:22" x14ac:dyDescent="0.15">
      <c r="A25" s="436"/>
      <c r="B25" s="439"/>
      <c r="C25" s="439"/>
      <c r="D25" s="439"/>
      <c r="E25" s="439"/>
      <c r="F25" s="439"/>
      <c r="G25" s="436"/>
      <c r="H25" s="436"/>
    </row>
    <row r="26" spans="1:22" x14ac:dyDescent="0.15">
      <c r="L26" s="436"/>
      <c r="M26" s="436"/>
    </row>
    <row r="27" spans="1:22" ht="13" thickBot="1" x14ac:dyDescent="0.2">
      <c r="B27" s="366" t="s">
        <v>312</v>
      </c>
      <c r="C27" s="398"/>
      <c r="D27" s="398"/>
      <c r="E27" s="398"/>
      <c r="F27" s="398"/>
      <c r="G27" s="398"/>
      <c r="H27" s="398"/>
      <c r="I27" s="398"/>
      <c r="J27" s="398"/>
      <c r="K27" s="436"/>
      <c r="L27" s="436"/>
      <c r="M27" s="436"/>
      <c r="O27" s="366" t="s">
        <v>314</v>
      </c>
      <c r="P27" s="398"/>
      <c r="Q27" s="398"/>
      <c r="R27" s="398"/>
      <c r="S27" s="398"/>
      <c r="T27" s="398"/>
      <c r="U27" s="398"/>
      <c r="V27" s="398"/>
    </row>
    <row r="28" spans="1:22" x14ac:dyDescent="0.15">
      <c r="J28" s="436"/>
      <c r="K28" s="436"/>
      <c r="L28" s="436"/>
      <c r="M28" s="436"/>
    </row>
    <row r="29" spans="1:22" x14ac:dyDescent="0.15">
      <c r="L29" s="436"/>
      <c r="M29" s="436"/>
    </row>
  </sheetData>
  <mergeCells count="2">
    <mergeCell ref="D4:H4"/>
    <mergeCell ref="I4:M4"/>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7C1B2-68A0-4A65-B05D-0FF3F0B54B45}">
  <sheetPr>
    <tabColor theme="5"/>
  </sheetPr>
  <dimension ref="A1:AA1265"/>
  <sheetViews>
    <sheetView showGridLines="0" zoomScale="95" zoomScaleNormal="95" workbookViewId="0">
      <pane xSplit="2" ySplit="5" topLeftCell="C6" activePane="bottomRight" state="frozen"/>
      <selection activeCell="D38" sqref="D38"/>
      <selection pane="topRight" activeCell="D38" sqref="D38"/>
      <selection pane="bottomLeft" activeCell="D38" sqref="D38"/>
      <selection pane="bottomRight"/>
    </sheetView>
  </sheetViews>
  <sheetFormatPr baseColWidth="10" defaultColWidth="9.1640625" defaultRowHeight="12" x14ac:dyDescent="0.15"/>
  <cols>
    <col min="1" max="1" width="1.6640625" style="166" customWidth="1"/>
    <col min="2" max="2" width="18.6640625" style="227" customWidth="1"/>
    <col min="3" max="3" width="10.6640625" style="227" customWidth="1"/>
    <col min="4" max="4" width="8.5" style="227" bestFit="1" customWidth="1"/>
    <col min="5" max="5" width="7.83203125" style="227" bestFit="1" customWidth="1"/>
    <col min="6" max="6" width="11" style="227" customWidth="1"/>
    <col min="7" max="7" width="9.33203125" style="227" bestFit="1" customWidth="1"/>
    <col min="8" max="8" width="8.83203125" style="228" bestFit="1" customWidth="1"/>
    <col min="9" max="9" width="15.1640625" style="228" bestFit="1" customWidth="1"/>
    <col min="10" max="10" width="13.5" style="166" customWidth="1"/>
    <col min="11" max="11" width="8.5" style="166" bestFit="1" customWidth="1"/>
    <col min="12" max="12" width="8.83203125" style="166" bestFit="1" customWidth="1"/>
    <col min="13" max="13" width="18.5" style="166" customWidth="1"/>
    <col min="14" max="14" width="9.1640625" style="166"/>
    <col min="15" max="15" width="8.83203125" style="166" bestFit="1" customWidth="1"/>
    <col min="16" max="16" width="8.83203125" style="229" bestFit="1" customWidth="1"/>
    <col min="17" max="17" width="14.5" style="229" bestFit="1" customWidth="1"/>
    <col min="18" max="18" width="9.1640625" style="166"/>
    <col min="19" max="19" width="9.33203125" style="166" bestFit="1" customWidth="1"/>
    <col min="20" max="20" width="8.83203125" style="229" bestFit="1" customWidth="1"/>
    <col min="21" max="23" width="8.5" style="229" customWidth="1"/>
    <col min="24" max="24" width="9.1640625" style="229" bestFit="1" customWidth="1"/>
    <col min="25" max="25" width="8.83203125" style="229" bestFit="1" customWidth="1"/>
    <col min="26" max="26" width="8.5" style="229" customWidth="1"/>
    <col min="27" max="27" width="8.83203125" style="166" customWidth="1"/>
    <col min="28" max="16384" width="9.1640625" style="166"/>
  </cols>
  <sheetData>
    <row r="1" spans="1:27" ht="13" thickBot="1" x14ac:dyDescent="0.2"/>
    <row r="2" spans="1:27" x14ac:dyDescent="0.15">
      <c r="A2" s="98"/>
      <c r="B2" s="230"/>
      <c r="C2" s="231"/>
      <c r="D2" s="548" t="s">
        <v>78</v>
      </c>
      <c r="E2" s="549"/>
      <c r="F2" s="231"/>
      <c r="G2" s="548" t="s">
        <v>232</v>
      </c>
      <c r="H2" s="552"/>
      <c r="I2" s="549"/>
      <c r="J2" s="232"/>
      <c r="K2" s="548" t="s">
        <v>79</v>
      </c>
      <c r="L2" s="552"/>
      <c r="M2" s="552"/>
      <c r="N2" s="552"/>
      <c r="O2" s="552"/>
      <c r="P2" s="552"/>
      <c r="Q2" s="552"/>
      <c r="R2" s="552"/>
      <c r="S2" s="552"/>
      <c r="T2" s="552"/>
      <c r="U2" s="552"/>
      <c r="V2" s="552"/>
      <c r="W2" s="552"/>
      <c r="X2" s="552"/>
      <c r="Y2" s="552"/>
      <c r="Z2" s="552"/>
      <c r="AA2" s="549"/>
    </row>
    <row r="3" spans="1:27" ht="13" thickBot="1" x14ac:dyDescent="0.2">
      <c r="A3" s="98"/>
      <c r="B3" s="116"/>
      <c r="C3" s="82"/>
      <c r="D3" s="550"/>
      <c r="E3" s="551"/>
      <c r="F3" s="82"/>
      <c r="G3" s="550"/>
      <c r="H3" s="553"/>
      <c r="I3" s="551"/>
      <c r="J3" s="233"/>
      <c r="K3" s="550"/>
      <c r="L3" s="553"/>
      <c r="M3" s="553"/>
      <c r="N3" s="553"/>
      <c r="O3" s="553"/>
      <c r="P3" s="553"/>
      <c r="Q3" s="553"/>
      <c r="R3" s="553"/>
      <c r="S3" s="553"/>
      <c r="T3" s="553"/>
      <c r="U3" s="553"/>
      <c r="V3" s="553"/>
      <c r="W3" s="553"/>
      <c r="X3" s="553"/>
      <c r="Y3" s="553"/>
      <c r="Z3" s="553"/>
      <c r="AA3" s="551"/>
    </row>
    <row r="4" spans="1:27" x14ac:dyDescent="0.15">
      <c r="A4" s="98"/>
      <c r="B4" s="116"/>
      <c r="C4" s="82"/>
      <c r="D4" s="234"/>
      <c r="E4" s="234"/>
      <c r="F4" s="82"/>
      <c r="G4" s="95"/>
      <c r="H4" s="95"/>
      <c r="I4" s="95"/>
      <c r="J4" s="233"/>
      <c r="K4" s="95"/>
      <c r="L4" s="95"/>
      <c r="M4" s="234"/>
      <c r="N4" s="234"/>
      <c r="O4" s="234"/>
      <c r="P4" s="234"/>
      <c r="Q4" s="234"/>
      <c r="R4" s="234"/>
      <c r="S4" s="234"/>
      <c r="T4" s="234"/>
      <c r="U4" s="234"/>
      <c r="V4" s="234"/>
      <c r="W4" s="234"/>
      <c r="X4" s="234"/>
      <c r="Y4" s="234"/>
      <c r="Z4" s="234"/>
      <c r="AA4" s="235"/>
    </row>
    <row r="5" spans="1:27" ht="17" thickBot="1" x14ac:dyDescent="0.25">
      <c r="A5" s="98"/>
      <c r="B5" s="236" t="s">
        <v>204</v>
      </c>
      <c r="C5" s="237"/>
      <c r="D5" s="554" t="s">
        <v>32</v>
      </c>
      <c r="E5" s="554"/>
      <c r="F5" s="238"/>
      <c r="G5" s="554" t="s">
        <v>33</v>
      </c>
      <c r="H5" s="554"/>
      <c r="I5" s="554"/>
      <c r="J5" s="239"/>
      <c r="K5" s="554" t="s">
        <v>279</v>
      </c>
      <c r="L5" s="554"/>
      <c r="M5" s="554"/>
      <c r="N5" s="239"/>
      <c r="O5" s="554" t="s">
        <v>278</v>
      </c>
      <c r="P5" s="554"/>
      <c r="Q5" s="554"/>
      <c r="R5" s="239"/>
      <c r="S5" s="554" t="s">
        <v>276</v>
      </c>
      <c r="T5" s="554"/>
      <c r="U5" s="554"/>
      <c r="V5" s="554"/>
      <c r="W5" s="319"/>
      <c r="X5" s="554" t="s">
        <v>277</v>
      </c>
      <c r="Y5" s="554"/>
      <c r="Z5" s="554"/>
      <c r="AA5" s="555"/>
    </row>
    <row r="6" spans="1:27" ht="15" customHeight="1" x14ac:dyDescent="0.15">
      <c r="A6" s="98"/>
      <c r="B6" s="269" t="s">
        <v>30</v>
      </c>
      <c r="C6" s="82"/>
      <c r="D6" s="96" t="s">
        <v>163</v>
      </c>
      <c r="E6" s="96" t="s">
        <v>31</v>
      </c>
      <c r="F6" s="96"/>
      <c r="G6" s="96" t="s">
        <v>163</v>
      </c>
      <c r="H6" s="270" t="s">
        <v>31</v>
      </c>
      <c r="I6" s="246" t="s">
        <v>197</v>
      </c>
      <c r="J6" s="98"/>
      <c r="K6" s="96" t="s">
        <v>163</v>
      </c>
      <c r="L6" s="160" t="s">
        <v>31</v>
      </c>
      <c r="M6" s="246" t="s">
        <v>197</v>
      </c>
      <c r="N6" s="98"/>
      <c r="O6" s="96" t="s">
        <v>163</v>
      </c>
      <c r="P6" s="271" t="s">
        <v>31</v>
      </c>
      <c r="Q6" s="246" t="s">
        <v>197</v>
      </c>
      <c r="R6" s="98"/>
      <c r="S6" s="96" t="s">
        <v>163</v>
      </c>
      <c r="T6" s="272" t="s">
        <v>31</v>
      </c>
      <c r="U6" s="544" t="s">
        <v>197</v>
      </c>
      <c r="V6" s="545"/>
      <c r="W6" s="320"/>
      <c r="X6" s="96" t="s">
        <v>163</v>
      </c>
      <c r="Y6" s="272" t="s">
        <v>31</v>
      </c>
      <c r="Z6" s="544" t="s">
        <v>197</v>
      </c>
      <c r="AA6" s="545"/>
    </row>
    <row r="7" spans="1:27" ht="15.75" customHeight="1" thickBot="1" x14ac:dyDescent="0.2">
      <c r="A7" s="98"/>
      <c r="B7" s="241">
        <v>42674</v>
      </c>
      <c r="C7" s="242"/>
      <c r="D7" s="243">
        <v>44.240313999999998</v>
      </c>
      <c r="E7" s="82"/>
      <c r="F7" s="82"/>
      <c r="G7" s="243">
        <v>100.82047300000001</v>
      </c>
      <c r="H7" s="240"/>
      <c r="I7" s="247">
        <f>SLOPE(H8:H1264,E8:E1264)</f>
        <v>1.2554927042813457</v>
      </c>
      <c r="J7" s="82"/>
      <c r="K7" s="243">
        <v>26.713013</v>
      </c>
      <c r="L7" s="82"/>
      <c r="M7" s="247">
        <f>SLOPE(L8:L1264,$E$8:$E$1264)</f>
        <v>1.0121026082310491</v>
      </c>
      <c r="N7" s="82"/>
      <c r="O7" s="322">
        <v>29.08</v>
      </c>
      <c r="P7" s="240"/>
      <c r="Q7" s="247">
        <f>SLOPE(P8:P1264,$E$8:$E$1264)</f>
        <v>1.575400756421228</v>
      </c>
      <c r="R7" s="82"/>
      <c r="S7" s="322">
        <v>96.860000999999997</v>
      </c>
      <c r="T7" s="240"/>
      <c r="U7" s="546">
        <f>SLOPE(T8:T1264,$E$8:$E$1264)</f>
        <v>1.6155705489135388</v>
      </c>
      <c r="V7" s="547"/>
      <c r="W7" s="321"/>
      <c r="X7" s="322">
        <v>75.110000999999997</v>
      </c>
      <c r="Y7" s="321"/>
      <c r="Z7" s="546">
        <f>SLOPE(Y8:Y1264,$E$8:$E$1264)</f>
        <v>1.5330697427782372</v>
      </c>
      <c r="AA7" s="547"/>
    </row>
    <row r="8" spans="1:27" x14ac:dyDescent="0.15">
      <c r="B8" s="241">
        <v>42675</v>
      </c>
      <c r="C8" s="244"/>
      <c r="D8" s="245">
        <v>43.929527</v>
      </c>
      <c r="E8" s="228">
        <f>D8/D7-1</f>
        <v>-7.024972743186142E-3</v>
      </c>
      <c r="F8" s="228"/>
      <c r="G8" s="245">
        <v>99.169083000000001</v>
      </c>
      <c r="H8" s="228">
        <f>G8/G7-1</f>
        <v>-1.6379510538499509E-2</v>
      </c>
      <c r="J8" s="255"/>
      <c r="K8" s="245">
        <v>26.378029000000002</v>
      </c>
      <c r="L8" s="228">
        <f>K8/K7-1</f>
        <v>-1.2540105453473172E-2</v>
      </c>
      <c r="M8" s="228"/>
      <c r="N8" s="227"/>
      <c r="O8" s="322">
        <v>28.9</v>
      </c>
      <c r="P8" s="228">
        <f>O8/O7-1</f>
        <v>-6.1898211829436445E-3</v>
      </c>
      <c r="Q8" s="228"/>
      <c r="R8" s="227"/>
      <c r="S8" s="322">
        <v>96.050003000000004</v>
      </c>
      <c r="T8" s="228">
        <f>S8/S7-1</f>
        <v>-8.3625644397834487E-3</v>
      </c>
      <c r="U8" s="228"/>
      <c r="V8" s="228"/>
      <c r="W8" s="228"/>
      <c r="X8" s="322">
        <v>73.900002000000001</v>
      </c>
      <c r="Y8" s="228">
        <f>X8/X7-1</f>
        <v>-1.6109692236590423E-2</v>
      </c>
      <c r="Z8" s="228"/>
      <c r="AA8" s="202"/>
    </row>
    <row r="9" spans="1:27" x14ac:dyDescent="0.15">
      <c r="B9" s="241">
        <v>42676</v>
      </c>
      <c r="C9" s="244"/>
      <c r="D9" s="245">
        <v>43.627898999999999</v>
      </c>
      <c r="E9" s="228">
        <f t="shared" ref="E9:E72" si="0">D9/D8-1</f>
        <v>-6.8661790963513436E-3</v>
      </c>
      <c r="F9" s="228"/>
      <c r="G9" s="245">
        <v>99.302718999999996</v>
      </c>
      <c r="H9" s="228">
        <f t="shared" ref="H9:H72" si="1">G9/G8-1</f>
        <v>1.3475570808696435E-3</v>
      </c>
      <c r="J9" s="255"/>
      <c r="K9" s="245">
        <v>26.103168</v>
      </c>
      <c r="L9" s="228">
        <f t="shared" ref="L9:L72" si="2">K9/K8-1</f>
        <v>-1.0420073463411561E-2</v>
      </c>
      <c r="M9" s="228"/>
      <c r="N9" s="227"/>
      <c r="O9" s="322">
        <v>28.59</v>
      </c>
      <c r="P9" s="228">
        <f t="shared" ref="P9:P72" si="3">O9/O8-1</f>
        <v>-1.0726643598615859E-2</v>
      </c>
      <c r="Q9" s="228"/>
      <c r="R9" s="227"/>
      <c r="S9" s="322">
        <v>95.849997999999999</v>
      </c>
      <c r="T9" s="228">
        <f t="shared" ref="T9:T72" si="4">S9/S8-1</f>
        <v>-2.0823008199177817E-3</v>
      </c>
      <c r="U9" s="228"/>
      <c r="V9" s="228"/>
      <c r="W9" s="228"/>
      <c r="X9" s="322">
        <v>74.730002999999996</v>
      </c>
      <c r="Y9" s="228">
        <f t="shared" ref="Y9:Y72" si="5">X9/X8-1</f>
        <v>1.123140700320957E-2</v>
      </c>
      <c r="Z9" s="228"/>
      <c r="AA9" s="202"/>
    </row>
    <row r="10" spans="1:27" x14ac:dyDescent="0.15">
      <c r="B10" s="241">
        <v>42677</v>
      </c>
      <c r="C10" s="244"/>
      <c r="D10" s="245">
        <v>43.417659999999998</v>
      </c>
      <c r="E10" s="228">
        <f t="shared" si="0"/>
        <v>-4.8189118618799931E-3</v>
      </c>
      <c r="F10" s="228"/>
      <c r="G10" s="245">
        <v>97.154961</v>
      </c>
      <c r="H10" s="228">
        <f t="shared" si="1"/>
        <v>-2.1628390658668617E-2</v>
      </c>
      <c r="J10" s="255"/>
      <c r="K10" s="245">
        <v>26.008686000000001</v>
      </c>
      <c r="L10" s="228">
        <f t="shared" si="2"/>
        <v>-3.6195606602232866E-3</v>
      </c>
      <c r="M10" s="228"/>
      <c r="N10" s="227"/>
      <c r="O10" s="322">
        <v>28.27</v>
      </c>
      <c r="P10" s="228">
        <f t="shared" si="3"/>
        <v>-1.1192724728926184E-2</v>
      </c>
      <c r="Q10" s="228"/>
      <c r="R10" s="227"/>
      <c r="S10" s="322">
        <v>95.239998</v>
      </c>
      <c r="T10" s="228">
        <f t="shared" si="4"/>
        <v>-6.3641107222558446E-3</v>
      </c>
      <c r="U10" s="228"/>
      <c r="V10" s="228"/>
      <c r="W10" s="228"/>
      <c r="X10" s="322">
        <v>74.680000000000007</v>
      </c>
      <c r="Y10" s="228">
        <f t="shared" si="5"/>
        <v>-6.6911545554182439E-4</v>
      </c>
      <c r="Z10" s="228"/>
      <c r="AA10" s="202"/>
    </row>
    <row r="11" spans="1:27" x14ac:dyDescent="0.15">
      <c r="B11" s="241">
        <v>42678</v>
      </c>
      <c r="C11" s="244"/>
      <c r="D11" s="245">
        <v>43.381095999999999</v>
      </c>
      <c r="E11" s="228">
        <f t="shared" si="0"/>
        <v>-8.4214579965846692E-4</v>
      </c>
      <c r="F11" s="228"/>
      <c r="G11" s="245">
        <v>97.832695000000001</v>
      </c>
      <c r="H11" s="228">
        <f t="shared" si="1"/>
        <v>6.9758043544476678E-3</v>
      </c>
      <c r="J11" s="255"/>
      <c r="K11" s="245">
        <v>25.974326999999999</v>
      </c>
      <c r="L11" s="228">
        <f t="shared" si="2"/>
        <v>-1.3210586647861566E-3</v>
      </c>
      <c r="M11" s="228"/>
      <c r="N11" s="227"/>
      <c r="O11" s="322">
        <v>28.219999000000001</v>
      </c>
      <c r="P11" s="228">
        <f t="shared" si="3"/>
        <v>-1.7686947293950039E-3</v>
      </c>
      <c r="Q11" s="228"/>
      <c r="R11" s="227"/>
      <c r="S11" s="322">
        <v>95</v>
      </c>
      <c r="T11" s="228">
        <f t="shared" si="4"/>
        <v>-2.5199286543453603E-3</v>
      </c>
      <c r="U11" s="228"/>
      <c r="V11" s="228"/>
      <c r="W11" s="228"/>
      <c r="X11" s="322">
        <v>74.519997000000004</v>
      </c>
      <c r="Y11" s="228">
        <f t="shared" si="5"/>
        <v>-2.1425147295126568E-3</v>
      </c>
      <c r="Z11" s="228"/>
      <c r="AA11" s="202"/>
    </row>
    <row r="12" spans="1:27" x14ac:dyDescent="0.15">
      <c r="B12" s="241">
        <v>42681</v>
      </c>
      <c r="C12" s="244"/>
      <c r="D12" s="245">
        <v>44.368267000000003</v>
      </c>
      <c r="E12" s="228">
        <f t="shared" si="0"/>
        <v>2.2755787451750997E-2</v>
      </c>
      <c r="F12" s="228"/>
      <c r="G12" s="245">
        <v>99.989990000000006</v>
      </c>
      <c r="H12" s="228">
        <f t="shared" si="1"/>
        <v>2.2050859377839016E-2</v>
      </c>
      <c r="J12" s="255"/>
      <c r="K12" s="245">
        <v>26.927752000000002</v>
      </c>
      <c r="L12" s="228">
        <f t="shared" si="2"/>
        <v>3.6706437090747501E-2</v>
      </c>
      <c r="M12" s="228"/>
      <c r="N12" s="227"/>
      <c r="O12" s="322">
        <v>29.33</v>
      </c>
      <c r="P12" s="228">
        <f t="shared" si="3"/>
        <v>3.933384264117068E-2</v>
      </c>
      <c r="Q12" s="228"/>
      <c r="R12" s="227"/>
      <c r="S12" s="322">
        <v>98.510002</v>
      </c>
      <c r="T12" s="228">
        <f t="shared" si="4"/>
        <v>3.6947389473684256E-2</v>
      </c>
      <c r="U12" s="228"/>
      <c r="V12" s="228"/>
      <c r="W12" s="228"/>
      <c r="X12" s="322">
        <v>75.540001000000004</v>
      </c>
      <c r="Y12" s="228">
        <f t="shared" si="5"/>
        <v>1.3687654872020394E-2</v>
      </c>
      <c r="Z12" s="228"/>
      <c r="AA12" s="202"/>
    </row>
    <row r="13" spans="1:27" x14ac:dyDescent="0.15">
      <c r="B13" s="241">
        <v>42682</v>
      </c>
      <c r="C13" s="244"/>
      <c r="D13" s="245">
        <v>44.569366000000002</v>
      </c>
      <c r="E13" s="228">
        <f t="shared" si="0"/>
        <v>4.5324961644321871E-3</v>
      </c>
      <c r="F13" s="228"/>
      <c r="G13" s="245">
        <v>100.047264</v>
      </c>
      <c r="H13" s="228">
        <f t="shared" si="1"/>
        <v>5.7279733701331992E-4</v>
      </c>
      <c r="J13" s="227"/>
      <c r="K13" s="245">
        <v>26.919160999999999</v>
      </c>
      <c r="L13" s="228">
        <f t="shared" si="2"/>
        <v>-3.1903888597917263E-4</v>
      </c>
      <c r="M13" s="228"/>
      <c r="N13" s="227"/>
      <c r="O13" s="322">
        <v>29.51</v>
      </c>
      <c r="P13" s="228">
        <f t="shared" si="3"/>
        <v>6.1370610296624939E-3</v>
      </c>
      <c r="Q13" s="228"/>
      <c r="R13" s="227"/>
      <c r="S13" s="322">
        <v>99.120002999999997</v>
      </c>
      <c r="T13" s="228">
        <f t="shared" si="4"/>
        <v>6.1922747702309877E-3</v>
      </c>
      <c r="U13" s="228"/>
      <c r="V13" s="228"/>
      <c r="W13" s="228"/>
      <c r="X13" s="322">
        <v>75.529999000000004</v>
      </c>
      <c r="Y13" s="228">
        <f t="shared" si="5"/>
        <v>-1.3240667020908425E-4</v>
      </c>
      <c r="Z13" s="228"/>
      <c r="AA13" s="202"/>
    </row>
    <row r="14" spans="1:27" x14ac:dyDescent="0.15">
      <c r="B14" s="241">
        <v>42683</v>
      </c>
      <c r="C14" s="244"/>
      <c r="D14" s="245">
        <v>45.117812999999998</v>
      </c>
      <c r="E14" s="228">
        <f t="shared" si="0"/>
        <v>1.2305470084541748E-2</v>
      </c>
      <c r="F14" s="228"/>
      <c r="G14" s="245">
        <v>98.959068000000002</v>
      </c>
      <c r="H14" s="228">
        <f t="shared" si="1"/>
        <v>-1.0876819180182684E-2</v>
      </c>
      <c r="J14" s="227"/>
      <c r="K14" s="245">
        <v>26.274958000000002</v>
      </c>
      <c r="L14" s="228">
        <f t="shared" si="2"/>
        <v>-2.3931020732778308E-2</v>
      </c>
      <c r="M14" s="228"/>
      <c r="N14" s="227"/>
      <c r="O14" s="322">
        <v>29.129999000000002</v>
      </c>
      <c r="P14" s="228">
        <f t="shared" si="3"/>
        <v>-1.2877024737377174E-2</v>
      </c>
      <c r="Q14" s="228"/>
      <c r="R14" s="227"/>
      <c r="S14" s="322">
        <v>98.010002</v>
      </c>
      <c r="T14" s="228">
        <f t="shared" si="4"/>
        <v>-1.1198556965338224E-2</v>
      </c>
      <c r="U14" s="228"/>
      <c r="V14" s="228"/>
      <c r="W14" s="228"/>
      <c r="X14" s="322">
        <v>75.489998</v>
      </c>
      <c r="Y14" s="228">
        <f t="shared" si="5"/>
        <v>-5.2960413782088267E-4</v>
      </c>
      <c r="Z14" s="228"/>
      <c r="AA14" s="202"/>
    </row>
    <row r="15" spans="1:27" x14ac:dyDescent="0.15">
      <c r="B15" s="241">
        <v>42684</v>
      </c>
      <c r="C15" s="244"/>
      <c r="D15" s="245">
        <v>45.264049999999997</v>
      </c>
      <c r="E15" s="228">
        <f t="shared" si="0"/>
        <v>3.2412253670186519E-3</v>
      </c>
      <c r="F15" s="228"/>
      <c r="G15" s="245">
        <v>96.792229000000006</v>
      </c>
      <c r="H15" s="228">
        <f t="shared" si="1"/>
        <v>-2.1896315757541251E-2</v>
      </c>
      <c r="J15" s="227"/>
      <c r="K15" s="245">
        <v>25.287174</v>
      </c>
      <c r="L15" s="228">
        <f t="shared" si="2"/>
        <v>-3.7594122890700743E-2</v>
      </c>
      <c r="M15" s="228"/>
      <c r="N15" s="227"/>
      <c r="O15" s="322">
        <v>28.18</v>
      </c>
      <c r="P15" s="228">
        <f t="shared" si="3"/>
        <v>-3.2612393841826126E-2</v>
      </c>
      <c r="Q15" s="228"/>
      <c r="R15" s="227"/>
      <c r="S15" s="322">
        <v>95.970000999999996</v>
      </c>
      <c r="T15" s="228">
        <f t="shared" si="4"/>
        <v>-2.0814212410688482E-2</v>
      </c>
      <c r="U15" s="228"/>
      <c r="V15" s="228"/>
      <c r="W15" s="228"/>
      <c r="X15" s="322">
        <v>74.510002</v>
      </c>
      <c r="Y15" s="228">
        <f t="shared" si="5"/>
        <v>-1.2981799257697713E-2</v>
      </c>
      <c r="Z15" s="228"/>
      <c r="AA15" s="202"/>
    </row>
    <row r="16" spans="1:27" x14ac:dyDescent="0.15">
      <c r="B16" s="241">
        <v>42685</v>
      </c>
      <c r="C16" s="244"/>
      <c r="D16" s="245">
        <v>45.309756999999998</v>
      </c>
      <c r="E16" s="228">
        <f t="shared" si="0"/>
        <v>1.0097859117776942E-3</v>
      </c>
      <c r="F16" s="228"/>
      <c r="G16" s="245">
        <v>95.694489000000004</v>
      </c>
      <c r="H16" s="228">
        <f t="shared" si="1"/>
        <v>-1.1341199715526717E-2</v>
      </c>
      <c r="J16" s="227"/>
      <c r="K16" s="245">
        <v>25.708057</v>
      </c>
      <c r="L16" s="228">
        <f t="shared" si="2"/>
        <v>1.6644129549628683E-2</v>
      </c>
      <c r="M16" s="228"/>
      <c r="N16" s="227"/>
      <c r="O16" s="322">
        <v>28.82</v>
      </c>
      <c r="P16" s="228">
        <f t="shared" si="3"/>
        <v>2.2711142654364913E-2</v>
      </c>
      <c r="Q16" s="228"/>
      <c r="R16" s="227"/>
      <c r="S16" s="322">
        <v>97.489998</v>
      </c>
      <c r="T16" s="228">
        <f t="shared" si="4"/>
        <v>1.583825137190531E-2</v>
      </c>
      <c r="U16" s="228"/>
      <c r="V16" s="228"/>
      <c r="W16" s="228"/>
      <c r="X16" s="322">
        <v>75.459998999999996</v>
      </c>
      <c r="Y16" s="228">
        <f t="shared" si="5"/>
        <v>1.2749925842170828E-2</v>
      </c>
      <c r="Z16" s="228"/>
      <c r="AA16" s="202"/>
    </row>
    <row r="17" spans="2:27" x14ac:dyDescent="0.15">
      <c r="B17" s="241">
        <v>42688</v>
      </c>
      <c r="C17" s="244"/>
      <c r="D17" s="245">
        <v>45.419429999999998</v>
      </c>
      <c r="E17" s="228">
        <f t="shared" si="0"/>
        <v>2.4205161815367138E-3</v>
      </c>
      <c r="F17" s="228"/>
      <c r="G17" s="245">
        <v>94.692192000000006</v>
      </c>
      <c r="H17" s="228">
        <f t="shared" si="1"/>
        <v>-1.0473926037684378E-2</v>
      </c>
      <c r="J17" s="227"/>
      <c r="K17" s="245">
        <v>24.780403</v>
      </c>
      <c r="L17" s="228">
        <f t="shared" si="2"/>
        <v>-3.6084173922595553E-2</v>
      </c>
      <c r="M17" s="228"/>
      <c r="N17" s="227"/>
      <c r="O17" s="322">
        <v>28.99</v>
      </c>
      <c r="P17" s="228">
        <f t="shared" si="3"/>
        <v>5.8986814712005398E-3</v>
      </c>
      <c r="Q17" s="228"/>
      <c r="R17" s="227"/>
      <c r="S17" s="322">
        <v>98.510002</v>
      </c>
      <c r="T17" s="228">
        <f t="shared" si="4"/>
        <v>1.0462652794392291E-2</v>
      </c>
      <c r="U17" s="228"/>
      <c r="V17" s="228"/>
      <c r="W17" s="228"/>
      <c r="X17" s="322">
        <v>75.480002999999996</v>
      </c>
      <c r="Y17" s="228">
        <f t="shared" si="5"/>
        <v>2.650940930968293E-4</v>
      </c>
      <c r="Z17" s="228"/>
      <c r="AA17" s="202"/>
    </row>
    <row r="18" spans="2:27" x14ac:dyDescent="0.15">
      <c r="B18" s="241">
        <v>42689</v>
      </c>
      <c r="C18" s="244"/>
      <c r="D18" s="245">
        <v>45.748493000000003</v>
      </c>
      <c r="E18" s="228">
        <f t="shared" si="0"/>
        <v>7.2449830391971837E-3</v>
      </c>
      <c r="F18" s="228"/>
      <c r="G18" s="245">
        <v>95.474922000000007</v>
      </c>
      <c r="H18" s="228">
        <f t="shared" si="1"/>
        <v>8.2660458425125594E-3</v>
      </c>
      <c r="J18" s="227"/>
      <c r="K18" s="245">
        <v>25.081032</v>
      </c>
      <c r="L18" s="228">
        <f t="shared" si="2"/>
        <v>1.2131723604333677E-2</v>
      </c>
      <c r="M18" s="228"/>
      <c r="N18" s="227"/>
      <c r="O18" s="322">
        <v>29.610001</v>
      </c>
      <c r="P18" s="228">
        <f t="shared" si="3"/>
        <v>2.1386719558468492E-2</v>
      </c>
      <c r="Q18" s="228"/>
      <c r="R18" s="227"/>
      <c r="S18" s="322">
        <v>101.120003</v>
      </c>
      <c r="T18" s="228">
        <f t="shared" si="4"/>
        <v>2.6494781717698146E-2</v>
      </c>
      <c r="U18" s="228"/>
      <c r="V18" s="228"/>
      <c r="W18" s="228"/>
      <c r="X18" s="322">
        <v>77.75</v>
      </c>
      <c r="Y18" s="228">
        <f t="shared" si="5"/>
        <v>3.0074150897953844E-2</v>
      </c>
      <c r="Z18" s="228"/>
      <c r="AA18" s="202"/>
    </row>
    <row r="19" spans="2:27" x14ac:dyDescent="0.15">
      <c r="B19" s="241">
        <v>42690</v>
      </c>
      <c r="C19" s="244"/>
      <c r="D19" s="245">
        <v>45.675384999999999</v>
      </c>
      <c r="E19" s="228">
        <f t="shared" si="0"/>
        <v>-1.5980417103576006E-3</v>
      </c>
      <c r="F19" s="228"/>
      <c r="G19" s="245">
        <v>96.124022999999994</v>
      </c>
      <c r="H19" s="228">
        <f t="shared" si="1"/>
        <v>6.7986544152398576E-3</v>
      </c>
      <c r="J19" s="227"/>
      <c r="K19" s="245">
        <v>25.647933999999999</v>
      </c>
      <c r="L19" s="228">
        <f t="shared" si="2"/>
        <v>2.2602817938272901E-2</v>
      </c>
      <c r="M19" s="228"/>
      <c r="N19" s="227"/>
      <c r="O19" s="322">
        <v>30.02</v>
      </c>
      <c r="P19" s="228">
        <f t="shared" si="3"/>
        <v>1.384663918113338E-2</v>
      </c>
      <c r="Q19" s="228"/>
      <c r="R19" s="227"/>
      <c r="S19" s="322">
        <v>101.239998</v>
      </c>
      <c r="T19" s="228">
        <f t="shared" si="4"/>
        <v>1.1866593793514735E-3</v>
      </c>
      <c r="U19" s="228"/>
      <c r="V19" s="228"/>
      <c r="W19" s="228"/>
      <c r="X19" s="322">
        <v>77.699996999999996</v>
      </c>
      <c r="Y19" s="228">
        <f t="shared" si="5"/>
        <v>-6.4312540192934531E-4</v>
      </c>
      <c r="Z19" s="228"/>
      <c r="AA19" s="202"/>
    </row>
    <row r="20" spans="2:27" x14ac:dyDescent="0.15">
      <c r="B20" s="241">
        <v>42691</v>
      </c>
      <c r="C20" s="244"/>
      <c r="D20" s="245">
        <v>45.922173000000001</v>
      </c>
      <c r="E20" s="228">
        <f t="shared" si="0"/>
        <v>5.4030852722970479E-3</v>
      </c>
      <c r="F20" s="228"/>
      <c r="G20" s="245">
        <v>97.899512999999999</v>
      </c>
      <c r="H20" s="228">
        <f t="shared" si="1"/>
        <v>1.8470824925835627E-2</v>
      </c>
      <c r="J20" s="227"/>
      <c r="K20" s="245">
        <v>25.312946</v>
      </c>
      <c r="L20" s="228">
        <f t="shared" si="2"/>
        <v>-1.3061013023505152E-2</v>
      </c>
      <c r="M20" s="228"/>
      <c r="N20" s="227"/>
      <c r="O20" s="322">
        <v>30.73</v>
      </c>
      <c r="P20" s="228">
        <f t="shared" si="3"/>
        <v>2.3650899400399661E-2</v>
      </c>
      <c r="Q20" s="228"/>
      <c r="R20" s="227"/>
      <c r="S20" s="322">
        <v>103.800003</v>
      </c>
      <c r="T20" s="228">
        <f t="shared" si="4"/>
        <v>2.5286497931380936E-2</v>
      </c>
      <c r="U20" s="228"/>
      <c r="V20" s="228"/>
      <c r="W20" s="228"/>
      <c r="X20" s="322">
        <v>79.050003000000004</v>
      </c>
      <c r="Y20" s="228">
        <f t="shared" si="5"/>
        <v>1.7374595265428505E-2</v>
      </c>
      <c r="Z20" s="228"/>
      <c r="AA20" s="202"/>
    </row>
    <row r="21" spans="2:27" x14ac:dyDescent="0.15">
      <c r="B21" s="241">
        <v>42692</v>
      </c>
      <c r="C21" s="244"/>
      <c r="D21" s="245">
        <v>45.849049000000001</v>
      </c>
      <c r="E21" s="228">
        <f t="shared" si="0"/>
        <v>-1.5923462506880481E-3</v>
      </c>
      <c r="F21" s="228"/>
      <c r="G21" s="245">
        <v>99.837265000000002</v>
      </c>
      <c r="H21" s="228">
        <f t="shared" si="1"/>
        <v>1.9793275171859248E-2</v>
      </c>
      <c r="J21" s="227"/>
      <c r="K21" s="245">
        <v>25.312946</v>
      </c>
      <c r="L21" s="228">
        <f t="shared" si="2"/>
        <v>0</v>
      </c>
      <c r="M21" s="228"/>
      <c r="N21" s="227"/>
      <c r="O21" s="322">
        <v>30.74</v>
      </c>
      <c r="P21" s="228">
        <f t="shared" si="3"/>
        <v>3.2541490400261885E-4</v>
      </c>
      <c r="Q21" s="228"/>
      <c r="R21" s="227"/>
      <c r="S21" s="322">
        <v>104.709999</v>
      </c>
      <c r="T21" s="228">
        <f t="shared" si="4"/>
        <v>8.7668205558721901E-3</v>
      </c>
      <c r="U21" s="228"/>
      <c r="V21" s="228"/>
      <c r="W21" s="228"/>
      <c r="X21" s="322">
        <v>80.040001000000004</v>
      </c>
      <c r="Y21" s="228">
        <f t="shared" si="5"/>
        <v>1.2523693389360213E-2</v>
      </c>
      <c r="Z21" s="228"/>
      <c r="AA21" s="202"/>
    </row>
    <row r="22" spans="2:27" x14ac:dyDescent="0.15">
      <c r="B22" s="241">
        <v>42695</v>
      </c>
      <c r="C22" s="244"/>
      <c r="D22" s="245">
        <v>46.168964000000003</v>
      </c>
      <c r="E22" s="228">
        <f t="shared" si="0"/>
        <v>6.9775711160333653E-3</v>
      </c>
      <c r="F22" s="228"/>
      <c r="G22" s="245">
        <v>100.314537</v>
      </c>
      <c r="H22" s="228">
        <f t="shared" si="1"/>
        <v>4.7804995459361788E-3</v>
      </c>
      <c r="J22" s="227"/>
      <c r="K22" s="245">
        <v>25.467554</v>
      </c>
      <c r="L22" s="228">
        <f t="shared" si="2"/>
        <v>6.107862751336901E-3</v>
      </c>
      <c r="M22" s="228"/>
      <c r="N22" s="227"/>
      <c r="O22" s="322">
        <v>31.35</v>
      </c>
      <c r="P22" s="228">
        <f t="shared" si="3"/>
        <v>1.9843851659076206E-2</v>
      </c>
      <c r="Q22" s="228"/>
      <c r="R22" s="227"/>
      <c r="S22" s="322">
        <v>106.239998</v>
      </c>
      <c r="T22" s="228">
        <f t="shared" si="4"/>
        <v>1.4611775519165038E-2</v>
      </c>
      <c r="U22" s="228"/>
      <c r="V22" s="228"/>
      <c r="W22" s="228"/>
      <c r="X22" s="322">
        <v>80.959998999999996</v>
      </c>
      <c r="Y22" s="228">
        <f t="shared" si="5"/>
        <v>1.1494227742450791E-2</v>
      </c>
      <c r="Z22" s="228"/>
      <c r="AA22" s="202"/>
    </row>
    <row r="23" spans="2:27" x14ac:dyDescent="0.15">
      <c r="B23" s="241">
        <v>42696</v>
      </c>
      <c r="C23" s="244"/>
      <c r="D23" s="245">
        <v>46.315215999999999</v>
      </c>
      <c r="E23" s="228">
        <f t="shared" si="0"/>
        <v>3.1677557243865451E-3</v>
      </c>
      <c r="F23" s="228"/>
      <c r="G23" s="245">
        <v>100.534088</v>
      </c>
      <c r="H23" s="228">
        <f t="shared" si="1"/>
        <v>2.1886259615593318E-3</v>
      </c>
      <c r="J23" s="227"/>
      <c r="K23" s="245">
        <v>25.69088</v>
      </c>
      <c r="L23" s="228">
        <f t="shared" si="2"/>
        <v>8.7690400106739119E-3</v>
      </c>
      <c r="M23" s="228"/>
      <c r="N23" s="227"/>
      <c r="O23" s="322">
        <v>31.67</v>
      </c>
      <c r="P23" s="228">
        <f t="shared" si="3"/>
        <v>1.0207336523126109E-2</v>
      </c>
      <c r="Q23" s="228"/>
      <c r="R23" s="227"/>
      <c r="S23" s="322">
        <v>106.709999</v>
      </c>
      <c r="T23" s="228">
        <f t="shared" si="4"/>
        <v>4.4239552790654724E-3</v>
      </c>
      <c r="U23" s="228"/>
      <c r="V23" s="228"/>
      <c r="W23" s="228"/>
      <c r="X23" s="322">
        <v>83.040001000000004</v>
      </c>
      <c r="Y23" s="228">
        <f t="shared" si="5"/>
        <v>2.5691724625638956E-2</v>
      </c>
      <c r="Z23" s="228"/>
      <c r="AA23" s="202"/>
    </row>
    <row r="24" spans="2:27" x14ac:dyDescent="0.15">
      <c r="B24" s="241">
        <v>42697</v>
      </c>
      <c r="C24" s="244"/>
      <c r="D24" s="245">
        <v>46.379199999999997</v>
      </c>
      <c r="E24" s="228">
        <f t="shared" si="0"/>
        <v>1.3814898326285352E-3</v>
      </c>
      <c r="F24" s="228"/>
      <c r="G24" s="245">
        <v>100.32409699999999</v>
      </c>
      <c r="H24" s="228">
        <f t="shared" si="1"/>
        <v>-2.088754214391475E-3</v>
      </c>
      <c r="J24" s="227"/>
      <c r="K24" s="245">
        <v>25.673698000000002</v>
      </c>
      <c r="L24" s="228">
        <f t="shared" si="2"/>
        <v>-6.6879764336602587E-4</v>
      </c>
      <c r="M24" s="228"/>
      <c r="N24" s="227"/>
      <c r="O24" s="322">
        <v>31.879999000000002</v>
      </c>
      <c r="P24" s="228">
        <f t="shared" si="3"/>
        <v>6.6308493842752725E-3</v>
      </c>
      <c r="Q24" s="228"/>
      <c r="R24" s="227"/>
      <c r="S24" s="322">
        <v>106.949997</v>
      </c>
      <c r="T24" s="228">
        <f t="shared" si="4"/>
        <v>2.24906758737764E-3</v>
      </c>
      <c r="U24" s="228"/>
      <c r="V24" s="228"/>
      <c r="W24" s="228"/>
      <c r="X24" s="322">
        <v>81.830001999999993</v>
      </c>
      <c r="Y24" s="228">
        <f t="shared" si="5"/>
        <v>-1.4571278726261183E-2</v>
      </c>
      <c r="Z24" s="228"/>
      <c r="AA24" s="202"/>
    </row>
    <row r="25" spans="2:27" x14ac:dyDescent="0.15">
      <c r="B25" s="241">
        <v>42699</v>
      </c>
      <c r="C25" s="244"/>
      <c r="D25" s="245">
        <v>46.525455000000001</v>
      </c>
      <c r="E25" s="228">
        <f t="shared" si="0"/>
        <v>3.1534610342567326E-3</v>
      </c>
      <c r="F25" s="228"/>
      <c r="G25" s="245">
        <v>99.407714999999996</v>
      </c>
      <c r="H25" s="228">
        <f t="shared" si="1"/>
        <v>-9.1342162790660764E-3</v>
      </c>
      <c r="J25" s="227"/>
      <c r="K25" s="245">
        <v>25.476144999999999</v>
      </c>
      <c r="L25" s="228">
        <f t="shared" si="2"/>
        <v>-7.6947621647649456E-3</v>
      </c>
      <c r="M25" s="228"/>
      <c r="N25" s="227"/>
      <c r="O25" s="322">
        <v>31.879999000000002</v>
      </c>
      <c r="P25" s="228">
        <f t="shared" si="3"/>
        <v>0</v>
      </c>
      <c r="Q25" s="228"/>
      <c r="R25" s="227"/>
      <c r="S25" s="322">
        <v>107.540001</v>
      </c>
      <c r="T25" s="228">
        <f t="shared" si="4"/>
        <v>5.5166340958383575E-3</v>
      </c>
      <c r="U25" s="228"/>
      <c r="V25" s="228"/>
      <c r="W25" s="228"/>
      <c r="X25" s="322">
        <v>82.269997000000004</v>
      </c>
      <c r="Y25" s="228">
        <f t="shared" si="5"/>
        <v>5.3769398661387413E-3</v>
      </c>
      <c r="Z25" s="228"/>
      <c r="AA25" s="202"/>
    </row>
    <row r="26" spans="2:27" x14ac:dyDescent="0.15">
      <c r="B26" s="241">
        <v>42702</v>
      </c>
      <c r="C26" s="244"/>
      <c r="D26" s="245">
        <v>46.306075999999997</v>
      </c>
      <c r="E26" s="228">
        <f t="shared" si="0"/>
        <v>-4.7152467396611719E-3</v>
      </c>
      <c r="F26" s="228"/>
      <c r="G26" s="245">
        <v>98.920890999999997</v>
      </c>
      <c r="H26" s="228">
        <f t="shared" si="1"/>
        <v>-4.8972456514063678E-3</v>
      </c>
      <c r="J26" s="227"/>
      <c r="K26" s="245">
        <v>25.476144999999999</v>
      </c>
      <c r="L26" s="228">
        <f t="shared" si="2"/>
        <v>0</v>
      </c>
      <c r="M26" s="228"/>
      <c r="N26" s="227"/>
      <c r="O26" s="322">
        <v>31.84</v>
      </c>
      <c r="P26" s="228">
        <f t="shared" si="3"/>
        <v>-1.2546738160186255E-3</v>
      </c>
      <c r="Q26" s="228"/>
      <c r="R26" s="227"/>
      <c r="S26" s="322">
        <v>106.769997</v>
      </c>
      <c r="T26" s="228">
        <f t="shared" si="4"/>
        <v>-7.1601635934520624E-3</v>
      </c>
      <c r="U26" s="228"/>
      <c r="V26" s="228"/>
      <c r="W26" s="228"/>
      <c r="X26" s="322">
        <v>82.510002</v>
      </c>
      <c r="Y26" s="228">
        <f t="shared" si="5"/>
        <v>2.9172846572487199E-3</v>
      </c>
      <c r="Z26" s="228"/>
      <c r="AA26" s="202"/>
    </row>
    <row r="27" spans="2:27" x14ac:dyDescent="0.15">
      <c r="B27" s="241">
        <v>42703</v>
      </c>
      <c r="C27" s="244"/>
      <c r="D27" s="245">
        <v>46.360923999999997</v>
      </c>
      <c r="E27" s="228">
        <f t="shared" si="0"/>
        <v>1.1844665913820496E-3</v>
      </c>
      <c r="F27" s="228"/>
      <c r="G27" s="245">
        <v>99.073623999999995</v>
      </c>
      <c r="H27" s="228">
        <f t="shared" si="1"/>
        <v>1.5439913496129165E-3</v>
      </c>
      <c r="J27" s="227"/>
      <c r="K27" s="245">
        <v>25.381658999999999</v>
      </c>
      <c r="L27" s="228">
        <f t="shared" si="2"/>
        <v>-3.7088028820686514E-3</v>
      </c>
      <c r="M27" s="228"/>
      <c r="N27" s="227"/>
      <c r="O27" s="322">
        <v>32.159999999999997</v>
      </c>
      <c r="P27" s="228">
        <f t="shared" si="3"/>
        <v>1.0050251256281229E-2</v>
      </c>
      <c r="Q27" s="228"/>
      <c r="R27" s="227"/>
      <c r="S27" s="322">
        <v>107.57</v>
      </c>
      <c r="T27" s="228">
        <f t="shared" si="4"/>
        <v>7.4927697150726225E-3</v>
      </c>
      <c r="U27" s="228"/>
      <c r="V27" s="228"/>
      <c r="W27" s="228"/>
      <c r="X27" s="322">
        <v>81.680000000000007</v>
      </c>
      <c r="Y27" s="228">
        <f t="shared" si="5"/>
        <v>-1.0059410736652175E-2</v>
      </c>
      <c r="Z27" s="228"/>
      <c r="AA27" s="202"/>
    </row>
    <row r="28" spans="2:27" x14ac:dyDescent="0.15">
      <c r="B28" s="241">
        <v>42704</v>
      </c>
      <c r="C28" s="244"/>
      <c r="D28" s="245">
        <v>46.196392000000003</v>
      </c>
      <c r="E28" s="228">
        <f t="shared" si="0"/>
        <v>-3.5489370315395785E-3</v>
      </c>
      <c r="F28" s="228"/>
      <c r="G28" s="245">
        <v>98.443611000000004</v>
      </c>
      <c r="H28" s="228">
        <f t="shared" si="1"/>
        <v>-6.3590386074904304E-3</v>
      </c>
      <c r="J28" s="227"/>
      <c r="K28" s="245">
        <v>25.501912999999998</v>
      </c>
      <c r="L28" s="228">
        <f t="shared" si="2"/>
        <v>4.7378305728558168E-3</v>
      </c>
      <c r="M28" s="228"/>
      <c r="N28" s="227"/>
      <c r="O28" s="322">
        <v>32.200001</v>
      </c>
      <c r="P28" s="228">
        <f t="shared" si="3"/>
        <v>1.2438121890547826E-3</v>
      </c>
      <c r="Q28" s="228"/>
      <c r="R28" s="227"/>
      <c r="S28" s="322">
        <v>106.019997</v>
      </c>
      <c r="T28" s="228">
        <f t="shared" si="4"/>
        <v>-1.44092497908338E-2</v>
      </c>
      <c r="U28" s="228"/>
      <c r="V28" s="228"/>
      <c r="W28" s="228"/>
      <c r="X28" s="322">
        <v>79.839995999999999</v>
      </c>
      <c r="Y28" s="228">
        <f t="shared" si="5"/>
        <v>-2.2526983349657304E-2</v>
      </c>
      <c r="Z28" s="228"/>
      <c r="AA28" s="202"/>
    </row>
    <row r="29" spans="2:27" x14ac:dyDescent="0.15">
      <c r="B29" s="241">
        <v>42705</v>
      </c>
      <c r="C29" s="244"/>
      <c r="D29" s="245">
        <v>46.059283999999998</v>
      </c>
      <c r="E29" s="228">
        <f t="shared" si="0"/>
        <v>-2.9679374094844224E-3</v>
      </c>
      <c r="F29" s="228"/>
      <c r="G29" s="245">
        <v>95.446297000000001</v>
      </c>
      <c r="H29" s="228">
        <f t="shared" si="1"/>
        <v>-3.0447013976356518E-2</v>
      </c>
      <c r="J29" s="227"/>
      <c r="K29" s="245">
        <v>24.522718000000001</v>
      </c>
      <c r="L29" s="228">
        <f t="shared" si="2"/>
        <v>-3.8396923399432681E-2</v>
      </c>
      <c r="M29" s="228"/>
      <c r="N29" s="227"/>
      <c r="O29" s="322">
        <v>30.1</v>
      </c>
      <c r="P29" s="228">
        <f t="shared" si="3"/>
        <v>-6.5217420334862664E-2</v>
      </c>
      <c r="Q29" s="228"/>
      <c r="R29" s="227"/>
      <c r="S29" s="322">
        <v>98.580001999999993</v>
      </c>
      <c r="T29" s="228">
        <f t="shared" si="4"/>
        <v>-7.0175393421299637E-2</v>
      </c>
      <c r="U29" s="228"/>
      <c r="V29" s="228"/>
      <c r="W29" s="228"/>
      <c r="X29" s="322">
        <v>75.930000000000007</v>
      </c>
      <c r="Y29" s="228">
        <f t="shared" si="5"/>
        <v>-4.8972898245135066E-2</v>
      </c>
      <c r="Z29" s="228"/>
      <c r="AA29" s="202"/>
    </row>
    <row r="30" spans="2:27" x14ac:dyDescent="0.15">
      <c r="B30" s="241">
        <v>42706</v>
      </c>
      <c r="C30" s="244"/>
      <c r="D30" s="245">
        <v>46.077553000000002</v>
      </c>
      <c r="E30" s="228">
        <f t="shared" si="0"/>
        <v>3.9664098990344065E-4</v>
      </c>
      <c r="F30" s="228"/>
      <c r="G30" s="245">
        <v>95.245841999999996</v>
      </c>
      <c r="H30" s="228">
        <f t="shared" si="1"/>
        <v>-2.1001862439986585E-3</v>
      </c>
      <c r="J30" s="227"/>
      <c r="K30" s="245">
        <v>24.788992</v>
      </c>
      <c r="L30" s="228">
        <f t="shared" si="2"/>
        <v>1.0858258044642577E-2</v>
      </c>
      <c r="M30" s="228"/>
      <c r="N30" s="227"/>
      <c r="O30" s="322">
        <v>31.440000999999999</v>
      </c>
      <c r="P30" s="228">
        <f t="shared" si="3"/>
        <v>4.4518305647840428E-2</v>
      </c>
      <c r="Q30" s="228"/>
      <c r="R30" s="227"/>
      <c r="S30" s="322">
        <v>100.489998</v>
      </c>
      <c r="T30" s="228">
        <f t="shared" si="4"/>
        <v>1.9375085831302874E-2</v>
      </c>
      <c r="U30" s="228"/>
      <c r="V30" s="228"/>
      <c r="W30" s="228"/>
      <c r="X30" s="322">
        <v>76.260002</v>
      </c>
      <c r="Y30" s="228">
        <f t="shared" si="5"/>
        <v>4.3461345976556487E-3</v>
      </c>
      <c r="Z30" s="228"/>
      <c r="AA30" s="202"/>
    </row>
    <row r="31" spans="2:27" x14ac:dyDescent="0.15">
      <c r="B31" s="241">
        <v>42709</v>
      </c>
      <c r="C31" s="244"/>
      <c r="D31" s="245">
        <v>46.406624000000001</v>
      </c>
      <c r="E31" s="228">
        <f t="shared" si="0"/>
        <v>7.1416769896612831E-3</v>
      </c>
      <c r="F31" s="228"/>
      <c r="G31" s="245">
        <v>98.243149000000003</v>
      </c>
      <c r="H31" s="228">
        <f t="shared" si="1"/>
        <v>3.146916376675013E-2</v>
      </c>
      <c r="J31" s="227"/>
      <c r="K31" s="245">
        <v>24.926424000000001</v>
      </c>
      <c r="L31" s="228">
        <f t="shared" si="2"/>
        <v>5.54407375660948E-3</v>
      </c>
      <c r="M31" s="228"/>
      <c r="N31" s="227"/>
      <c r="O31" s="322">
        <v>31.530000999999999</v>
      </c>
      <c r="P31" s="228">
        <f t="shared" si="3"/>
        <v>2.8625953287979566E-3</v>
      </c>
      <c r="Q31" s="228"/>
      <c r="R31" s="227"/>
      <c r="S31" s="322">
        <v>102.400002</v>
      </c>
      <c r="T31" s="228">
        <f t="shared" si="4"/>
        <v>1.9006906538101331E-2</v>
      </c>
      <c r="U31" s="228"/>
      <c r="V31" s="228"/>
      <c r="W31" s="228"/>
      <c r="X31" s="322">
        <v>77.029999000000004</v>
      </c>
      <c r="Y31" s="228">
        <f t="shared" si="5"/>
        <v>1.0096996850327944E-2</v>
      </c>
      <c r="Z31" s="228"/>
      <c r="AA31" s="202"/>
    </row>
    <row r="32" spans="2:27" x14ac:dyDescent="0.15">
      <c r="B32" s="241">
        <v>42710</v>
      </c>
      <c r="C32" s="244"/>
      <c r="D32" s="245">
        <v>46.616852000000002</v>
      </c>
      <c r="E32" s="228">
        <f t="shared" si="0"/>
        <v>4.5301291470805083E-3</v>
      </c>
      <c r="F32" s="228"/>
      <c r="G32" s="245">
        <v>98.042686000000003</v>
      </c>
      <c r="H32" s="228">
        <f t="shared" si="1"/>
        <v>-2.040478160975856E-3</v>
      </c>
      <c r="J32" s="227"/>
      <c r="K32" s="245">
        <v>25.347301000000002</v>
      </c>
      <c r="L32" s="228">
        <f t="shared" si="2"/>
        <v>1.6884772561038153E-2</v>
      </c>
      <c r="M32" s="228"/>
      <c r="N32" s="227"/>
      <c r="O32" s="322">
        <v>31.610001</v>
      </c>
      <c r="P32" s="228">
        <f t="shared" si="3"/>
        <v>2.5372660153104576E-3</v>
      </c>
      <c r="Q32" s="228"/>
      <c r="R32" s="227"/>
      <c r="S32" s="322">
        <v>103.050003</v>
      </c>
      <c r="T32" s="228">
        <f t="shared" si="4"/>
        <v>6.3476658916472584E-3</v>
      </c>
      <c r="U32" s="228"/>
      <c r="V32" s="228"/>
      <c r="W32" s="228"/>
      <c r="X32" s="322">
        <v>78.120002999999997</v>
      </c>
      <c r="Y32" s="228">
        <f t="shared" si="5"/>
        <v>1.4150383151374513E-2</v>
      </c>
      <c r="Z32" s="228"/>
      <c r="AA32" s="202"/>
    </row>
    <row r="33" spans="2:27" x14ac:dyDescent="0.15">
      <c r="B33" s="241">
        <v>42711</v>
      </c>
      <c r="C33" s="244"/>
      <c r="D33" s="245">
        <v>47.192715</v>
      </c>
      <c r="E33" s="228">
        <f t="shared" si="0"/>
        <v>1.235310784177357E-2</v>
      </c>
      <c r="F33" s="228"/>
      <c r="G33" s="245">
        <v>98.844527999999997</v>
      </c>
      <c r="H33" s="228">
        <f t="shared" si="1"/>
        <v>8.1784989040385447E-3</v>
      </c>
      <c r="J33" s="227"/>
      <c r="K33" s="245">
        <v>25.708057</v>
      </c>
      <c r="L33" s="228">
        <f t="shared" si="2"/>
        <v>1.4232521245555851E-2</v>
      </c>
      <c r="M33" s="228"/>
      <c r="N33" s="227"/>
      <c r="O33" s="322">
        <v>32.509998000000003</v>
      </c>
      <c r="P33" s="228">
        <f t="shared" si="3"/>
        <v>2.8471906723444906E-2</v>
      </c>
      <c r="Q33" s="228"/>
      <c r="R33" s="227"/>
      <c r="S33" s="322">
        <v>106.550003</v>
      </c>
      <c r="T33" s="228">
        <f t="shared" si="4"/>
        <v>3.3964094110700893E-2</v>
      </c>
      <c r="U33" s="228"/>
      <c r="V33" s="228"/>
      <c r="W33" s="228"/>
      <c r="X33" s="322">
        <v>79.260002</v>
      </c>
      <c r="Y33" s="228">
        <f t="shared" si="5"/>
        <v>1.4592920586549374E-2</v>
      </c>
      <c r="Z33" s="228"/>
      <c r="AA33" s="202"/>
    </row>
    <row r="34" spans="2:27" x14ac:dyDescent="0.15">
      <c r="B34" s="241">
        <v>42712</v>
      </c>
      <c r="C34" s="244"/>
      <c r="D34" s="245">
        <v>47.375518999999997</v>
      </c>
      <c r="E34" s="228">
        <f t="shared" si="0"/>
        <v>3.8735639600306904E-3</v>
      </c>
      <c r="F34" s="228"/>
      <c r="G34" s="245">
        <v>98.424530000000004</v>
      </c>
      <c r="H34" s="228">
        <f t="shared" si="1"/>
        <v>-4.2490768937658574E-3</v>
      </c>
      <c r="J34" s="227"/>
      <c r="K34" s="245">
        <v>25.802541999999999</v>
      </c>
      <c r="L34" s="228">
        <f t="shared" si="2"/>
        <v>3.6753069280963668E-3</v>
      </c>
      <c r="M34" s="228"/>
      <c r="N34" s="227"/>
      <c r="O34" s="322">
        <v>32.709999000000003</v>
      </c>
      <c r="P34" s="228">
        <f t="shared" si="3"/>
        <v>6.1519843833888199E-3</v>
      </c>
      <c r="Q34" s="228"/>
      <c r="R34" s="227"/>
      <c r="S34" s="322">
        <v>107.150002</v>
      </c>
      <c r="T34" s="228">
        <f t="shared" si="4"/>
        <v>5.6311495364294029E-3</v>
      </c>
      <c r="U34" s="228"/>
      <c r="V34" s="228"/>
      <c r="W34" s="228"/>
      <c r="X34" s="322">
        <v>78.849997999999999</v>
      </c>
      <c r="Y34" s="228">
        <f t="shared" si="5"/>
        <v>-5.1728991881681008E-3</v>
      </c>
      <c r="Z34" s="228"/>
      <c r="AA34" s="202"/>
    </row>
    <row r="35" spans="2:27" x14ac:dyDescent="0.15">
      <c r="B35" s="241">
        <v>42713</v>
      </c>
      <c r="C35" s="244"/>
      <c r="D35" s="245">
        <v>47.604033999999999</v>
      </c>
      <c r="E35" s="228">
        <f t="shared" si="0"/>
        <v>4.8234827780990752E-3</v>
      </c>
      <c r="F35" s="228"/>
      <c r="G35" s="245">
        <v>97.994956999999999</v>
      </c>
      <c r="H35" s="228">
        <f t="shared" si="1"/>
        <v>-4.364491250301139E-3</v>
      </c>
      <c r="J35" s="227"/>
      <c r="K35" s="245">
        <v>25.871255999999999</v>
      </c>
      <c r="L35" s="228">
        <f t="shared" si="2"/>
        <v>2.6630709485910842E-3</v>
      </c>
      <c r="M35" s="228"/>
      <c r="N35" s="227"/>
      <c r="O35" s="322">
        <v>32.349997999999999</v>
      </c>
      <c r="P35" s="228">
        <f t="shared" si="3"/>
        <v>-1.1005839529374617E-2</v>
      </c>
      <c r="Q35" s="228"/>
      <c r="R35" s="227"/>
      <c r="S35" s="322">
        <v>104.089996</v>
      </c>
      <c r="T35" s="228">
        <f t="shared" si="4"/>
        <v>-2.8558151590141856E-2</v>
      </c>
      <c r="U35" s="228"/>
      <c r="V35" s="228"/>
      <c r="W35" s="228"/>
      <c r="X35" s="322">
        <v>77.209998999999996</v>
      </c>
      <c r="Y35" s="228">
        <f t="shared" si="5"/>
        <v>-2.0798973260595432E-2</v>
      </c>
      <c r="Z35" s="228"/>
      <c r="AA35" s="202"/>
    </row>
    <row r="36" spans="2:27" x14ac:dyDescent="0.15">
      <c r="B36" s="241">
        <v>42716</v>
      </c>
      <c r="C36" s="244"/>
      <c r="D36" s="245">
        <v>47.503489999999999</v>
      </c>
      <c r="E36" s="228">
        <f t="shared" si="0"/>
        <v>-2.1120899123800996E-3</v>
      </c>
      <c r="F36" s="228"/>
      <c r="G36" s="245">
        <v>98.224074999999999</v>
      </c>
      <c r="H36" s="228">
        <f t="shared" si="1"/>
        <v>2.338059090122302E-3</v>
      </c>
      <c r="J36" s="227"/>
      <c r="K36" s="245">
        <v>25.682286999999999</v>
      </c>
      <c r="L36" s="228">
        <f t="shared" si="2"/>
        <v>-7.3042066453983256E-3</v>
      </c>
      <c r="M36" s="228"/>
      <c r="N36" s="227"/>
      <c r="O36" s="322">
        <v>32</v>
      </c>
      <c r="P36" s="228">
        <f t="shared" si="3"/>
        <v>-1.0819104223746767E-2</v>
      </c>
      <c r="Q36" s="228"/>
      <c r="R36" s="227"/>
      <c r="S36" s="322">
        <v>103.629997</v>
      </c>
      <c r="T36" s="228">
        <f t="shared" si="4"/>
        <v>-4.4192431326445236E-3</v>
      </c>
      <c r="U36" s="228"/>
      <c r="V36" s="228"/>
      <c r="W36" s="228"/>
      <c r="X36" s="322">
        <v>77.319999999999993</v>
      </c>
      <c r="Y36" s="228">
        <f t="shared" si="5"/>
        <v>1.4246988916550851E-3</v>
      </c>
      <c r="Z36" s="228"/>
      <c r="AA36" s="202"/>
    </row>
    <row r="37" spans="2:27" x14ac:dyDescent="0.15">
      <c r="B37" s="241">
        <v>42717</v>
      </c>
      <c r="C37" s="244"/>
      <c r="D37" s="245">
        <v>47.750286000000003</v>
      </c>
      <c r="E37" s="228">
        <f t="shared" si="0"/>
        <v>5.1953235435966416E-3</v>
      </c>
      <c r="F37" s="228"/>
      <c r="G37" s="245">
        <v>99.884995000000004</v>
      </c>
      <c r="H37" s="228">
        <f t="shared" si="1"/>
        <v>1.6909500038559733E-2</v>
      </c>
      <c r="J37" s="227"/>
      <c r="K37" s="245">
        <v>26.077400000000001</v>
      </c>
      <c r="L37" s="228">
        <f t="shared" si="2"/>
        <v>1.5384650128705601E-2</v>
      </c>
      <c r="M37" s="228"/>
      <c r="N37" s="227"/>
      <c r="O37" s="322">
        <v>32.029998999999997</v>
      </c>
      <c r="P37" s="228">
        <f t="shared" si="3"/>
        <v>9.3746874999989238E-4</v>
      </c>
      <c r="Q37" s="228"/>
      <c r="R37" s="227"/>
      <c r="S37" s="322">
        <v>104.05999799999999</v>
      </c>
      <c r="T37" s="228">
        <f t="shared" si="4"/>
        <v>4.1493873631974765E-3</v>
      </c>
      <c r="U37" s="228"/>
      <c r="V37" s="228"/>
      <c r="W37" s="228"/>
      <c r="X37" s="322">
        <v>77.970000999999996</v>
      </c>
      <c r="Y37" s="228">
        <f t="shared" si="5"/>
        <v>8.4066347646145623E-3</v>
      </c>
      <c r="Z37" s="228"/>
      <c r="AA37" s="202"/>
    </row>
    <row r="38" spans="2:27" x14ac:dyDescent="0.15">
      <c r="B38" s="241">
        <v>42718</v>
      </c>
      <c r="C38" s="244"/>
      <c r="D38" s="245">
        <v>47.348103000000002</v>
      </c>
      <c r="E38" s="228">
        <f t="shared" si="0"/>
        <v>-8.4226301806862303E-3</v>
      </c>
      <c r="F38" s="228"/>
      <c r="G38" s="245">
        <v>98.920890999999997</v>
      </c>
      <c r="H38" s="228">
        <f t="shared" si="1"/>
        <v>-9.6521404441177738E-3</v>
      </c>
      <c r="J38" s="227"/>
      <c r="K38" s="245">
        <v>25.656521000000001</v>
      </c>
      <c r="L38" s="228">
        <f t="shared" si="2"/>
        <v>-1.6139607476205464E-2</v>
      </c>
      <c r="M38" s="228"/>
      <c r="N38" s="227"/>
      <c r="O38" s="322">
        <v>32.139999000000003</v>
      </c>
      <c r="P38" s="228">
        <f t="shared" si="3"/>
        <v>3.4342804693814344E-3</v>
      </c>
      <c r="Q38" s="228"/>
      <c r="R38" s="227"/>
      <c r="S38" s="322">
        <v>104.44000200000001</v>
      </c>
      <c r="T38" s="228">
        <f t="shared" si="4"/>
        <v>3.6517778906743903E-3</v>
      </c>
      <c r="U38" s="228"/>
      <c r="V38" s="228"/>
      <c r="W38" s="228"/>
      <c r="X38" s="322">
        <v>77.809997999999993</v>
      </c>
      <c r="Y38" s="228">
        <f t="shared" si="5"/>
        <v>-2.0521097594958793E-3</v>
      </c>
      <c r="Z38" s="228"/>
      <c r="AA38" s="202"/>
    </row>
    <row r="39" spans="2:27" x14ac:dyDescent="0.15">
      <c r="B39" s="241">
        <v>42719</v>
      </c>
      <c r="C39" s="244"/>
      <c r="D39" s="245">
        <v>47.558337999999999</v>
      </c>
      <c r="E39" s="228">
        <f t="shared" si="0"/>
        <v>4.4401990086064824E-3</v>
      </c>
      <c r="F39" s="228"/>
      <c r="G39" s="245">
        <v>100.257271</v>
      </c>
      <c r="H39" s="228">
        <f t="shared" si="1"/>
        <v>1.3509583127390146E-2</v>
      </c>
      <c r="J39" s="227"/>
      <c r="K39" s="245">
        <v>25.905611</v>
      </c>
      <c r="L39" s="228">
        <f t="shared" si="2"/>
        <v>9.7086428826418381E-3</v>
      </c>
      <c r="M39" s="228"/>
      <c r="N39" s="227"/>
      <c r="O39" s="322">
        <v>33.060001</v>
      </c>
      <c r="P39" s="228">
        <f t="shared" si="3"/>
        <v>2.8624829764307025E-2</v>
      </c>
      <c r="Q39" s="228"/>
      <c r="R39" s="227"/>
      <c r="S39" s="322">
        <v>106.120003</v>
      </c>
      <c r="T39" s="228">
        <f t="shared" si="4"/>
        <v>1.6085800151554919E-2</v>
      </c>
      <c r="U39" s="228"/>
      <c r="V39" s="228"/>
      <c r="W39" s="228"/>
      <c r="X39" s="322">
        <v>79.360000999999997</v>
      </c>
      <c r="Y39" s="228">
        <f t="shared" si="5"/>
        <v>1.9920357792580834E-2</v>
      </c>
      <c r="Z39" s="228"/>
      <c r="AA39" s="202"/>
    </row>
    <row r="40" spans="2:27" x14ac:dyDescent="0.15">
      <c r="B40" s="241">
        <v>42720</v>
      </c>
      <c r="C40" s="244"/>
      <c r="D40" s="245">
        <v>47.485207000000003</v>
      </c>
      <c r="E40" s="228">
        <f t="shared" si="0"/>
        <v>-1.5377114313792628E-3</v>
      </c>
      <c r="F40" s="228"/>
      <c r="G40" s="245">
        <v>101.41229199999999</v>
      </c>
      <c r="H40" s="228">
        <f t="shared" si="1"/>
        <v>1.1520570912008976E-2</v>
      </c>
      <c r="J40" s="227"/>
      <c r="K40" s="245">
        <v>25.321535000000001</v>
      </c>
      <c r="L40" s="228">
        <f t="shared" si="2"/>
        <v>-2.2546312457173867E-2</v>
      </c>
      <c r="M40" s="228"/>
      <c r="N40" s="227"/>
      <c r="O40" s="322">
        <v>32.509998000000003</v>
      </c>
      <c r="P40" s="228">
        <f t="shared" si="3"/>
        <v>-1.6636508873668743E-2</v>
      </c>
      <c r="Q40" s="228"/>
      <c r="R40" s="227"/>
      <c r="S40" s="322">
        <v>104.449997</v>
      </c>
      <c r="T40" s="228">
        <f t="shared" si="4"/>
        <v>-1.5736957715690947E-2</v>
      </c>
      <c r="U40" s="228"/>
      <c r="V40" s="228"/>
      <c r="W40" s="228"/>
      <c r="X40" s="322">
        <v>78.190002000000007</v>
      </c>
      <c r="Y40" s="228">
        <f t="shared" si="5"/>
        <v>-1.474293076180766E-2</v>
      </c>
      <c r="Z40" s="228"/>
      <c r="AA40" s="202"/>
    </row>
    <row r="41" spans="2:27" x14ac:dyDescent="0.15">
      <c r="B41" s="241">
        <v>42723</v>
      </c>
      <c r="C41" s="244"/>
      <c r="D41" s="245">
        <v>47.585754000000001</v>
      </c>
      <c r="E41" s="228">
        <f t="shared" si="0"/>
        <v>2.1174383845479205E-3</v>
      </c>
      <c r="F41" s="228"/>
      <c r="G41" s="245">
        <v>105.21144099999999</v>
      </c>
      <c r="H41" s="228">
        <f t="shared" si="1"/>
        <v>3.7462411361336656E-2</v>
      </c>
      <c r="J41" s="227"/>
      <c r="K41" s="245">
        <v>25.141158999999998</v>
      </c>
      <c r="L41" s="228">
        <f t="shared" si="2"/>
        <v>-7.1234228098732144E-3</v>
      </c>
      <c r="M41" s="228"/>
      <c r="N41" s="227"/>
      <c r="O41" s="322">
        <v>32.439999</v>
      </c>
      <c r="P41" s="228">
        <f t="shared" si="3"/>
        <v>-2.1531530084991646E-3</v>
      </c>
      <c r="Q41" s="228"/>
      <c r="R41" s="227"/>
      <c r="S41" s="322">
        <v>106.989998</v>
      </c>
      <c r="T41" s="228">
        <f t="shared" si="4"/>
        <v>2.4317865705635322E-2</v>
      </c>
      <c r="U41" s="228"/>
      <c r="V41" s="228"/>
      <c r="W41" s="228"/>
      <c r="X41" s="322">
        <v>79.370002999999997</v>
      </c>
      <c r="Y41" s="228">
        <f t="shared" si="5"/>
        <v>1.5091456321998598E-2</v>
      </c>
      <c r="Z41" s="228"/>
      <c r="AA41" s="202"/>
    </row>
    <row r="42" spans="2:27" x14ac:dyDescent="0.15">
      <c r="B42" s="241">
        <v>42724</v>
      </c>
      <c r="C42" s="244"/>
      <c r="D42" s="245">
        <v>47.805134000000002</v>
      </c>
      <c r="E42" s="228">
        <f t="shared" si="0"/>
        <v>4.6102032973986962E-3</v>
      </c>
      <c r="F42" s="228"/>
      <c r="G42" s="245">
        <v>104.724609</v>
      </c>
      <c r="H42" s="228">
        <f t="shared" si="1"/>
        <v>-4.6271773808325145E-3</v>
      </c>
      <c r="J42" s="227"/>
      <c r="K42" s="245">
        <v>25.175514</v>
      </c>
      <c r="L42" s="228">
        <f t="shared" si="2"/>
        <v>1.3664843374960878E-3</v>
      </c>
      <c r="M42" s="228"/>
      <c r="N42" s="227"/>
      <c r="O42" s="322">
        <v>32.610000999999997</v>
      </c>
      <c r="P42" s="228">
        <f t="shared" si="3"/>
        <v>5.2405057102498098E-3</v>
      </c>
      <c r="Q42" s="228"/>
      <c r="R42" s="227"/>
      <c r="S42" s="322">
        <v>106.849998</v>
      </c>
      <c r="T42" s="228">
        <f t="shared" si="4"/>
        <v>-1.3085335322653435E-3</v>
      </c>
      <c r="U42" s="228"/>
      <c r="V42" s="228"/>
      <c r="W42" s="228"/>
      <c r="X42" s="322">
        <v>78.879997000000003</v>
      </c>
      <c r="Y42" s="228">
        <f t="shared" si="5"/>
        <v>-6.1736925976932922E-3</v>
      </c>
      <c r="Z42" s="228"/>
      <c r="AA42" s="202"/>
    </row>
    <row r="43" spans="2:27" x14ac:dyDescent="0.15">
      <c r="B43" s="241">
        <v>42725</v>
      </c>
      <c r="C43" s="244"/>
      <c r="D43" s="245">
        <v>47.679245000000002</v>
      </c>
      <c r="E43" s="228">
        <f t="shared" si="0"/>
        <v>-2.6333782476166689E-3</v>
      </c>
      <c r="F43" s="228"/>
      <c r="G43" s="245">
        <v>105.049156</v>
      </c>
      <c r="H43" s="228">
        <f t="shared" si="1"/>
        <v>3.099051914340345E-3</v>
      </c>
      <c r="J43" s="227"/>
      <c r="K43" s="245">
        <v>25.029496999999999</v>
      </c>
      <c r="L43" s="228">
        <f t="shared" si="2"/>
        <v>-5.7999610256219691E-3</v>
      </c>
      <c r="M43" s="228"/>
      <c r="N43" s="227"/>
      <c r="O43" s="322">
        <v>32.580002</v>
      </c>
      <c r="P43" s="228">
        <f t="shared" si="3"/>
        <v>-9.1993250782163027E-4</v>
      </c>
      <c r="Q43" s="228"/>
      <c r="R43" s="227"/>
      <c r="S43" s="322">
        <v>106.480003</v>
      </c>
      <c r="T43" s="228">
        <f t="shared" si="4"/>
        <v>-3.4627515856388014E-3</v>
      </c>
      <c r="U43" s="228"/>
      <c r="V43" s="228"/>
      <c r="W43" s="228"/>
      <c r="X43" s="322">
        <v>78.980002999999996</v>
      </c>
      <c r="Y43" s="228">
        <f t="shared" si="5"/>
        <v>1.2678245918289477E-3</v>
      </c>
      <c r="Z43" s="228"/>
      <c r="AA43" s="202"/>
    </row>
    <row r="44" spans="2:27" x14ac:dyDescent="0.15">
      <c r="B44" s="241">
        <v>42726</v>
      </c>
      <c r="C44" s="244"/>
      <c r="D44" s="245">
        <v>47.532226999999999</v>
      </c>
      <c r="E44" s="228">
        <f t="shared" si="0"/>
        <v>-3.0834800341322799E-3</v>
      </c>
      <c r="F44" s="228"/>
      <c r="G44" s="245">
        <v>104.98234600000001</v>
      </c>
      <c r="H44" s="228">
        <f t="shared" si="1"/>
        <v>-6.3598797500086235E-4</v>
      </c>
      <c r="J44" s="227"/>
      <c r="K44" s="245">
        <v>24.685918999999998</v>
      </c>
      <c r="L44" s="228">
        <f t="shared" si="2"/>
        <v>-1.3726923877055985E-2</v>
      </c>
      <c r="M44" s="228"/>
      <c r="N44" s="227"/>
      <c r="O44" s="322">
        <v>33.009998000000003</v>
      </c>
      <c r="P44" s="228">
        <f t="shared" si="3"/>
        <v>1.3198157569173974E-2</v>
      </c>
      <c r="Q44" s="228"/>
      <c r="R44" s="227"/>
      <c r="S44" s="322">
        <v>107.69000200000001</v>
      </c>
      <c r="T44" s="228">
        <f t="shared" si="4"/>
        <v>1.136362665203916E-2</v>
      </c>
      <c r="U44" s="228"/>
      <c r="V44" s="228"/>
      <c r="W44" s="228"/>
      <c r="X44" s="322">
        <v>79.150002000000001</v>
      </c>
      <c r="Y44" s="228">
        <f t="shared" si="5"/>
        <v>2.1524309134302033E-3</v>
      </c>
      <c r="Z44" s="228"/>
      <c r="AA44" s="202"/>
    </row>
    <row r="45" spans="2:27" x14ac:dyDescent="0.15">
      <c r="B45" s="241">
        <v>42727</v>
      </c>
      <c r="C45" s="244"/>
      <c r="D45" s="245">
        <v>47.605739999999997</v>
      </c>
      <c r="E45" s="228">
        <f t="shared" si="0"/>
        <v>1.5465927990288009E-3</v>
      </c>
      <c r="F45" s="228"/>
      <c r="G45" s="245">
        <v>105.69826500000001</v>
      </c>
      <c r="H45" s="228">
        <f t="shared" si="1"/>
        <v>6.8194227627567106E-3</v>
      </c>
      <c r="J45" s="227"/>
      <c r="K45" s="245">
        <v>24.952188</v>
      </c>
      <c r="L45" s="228">
        <f t="shared" si="2"/>
        <v>1.0786270505060092E-2</v>
      </c>
      <c r="M45" s="228"/>
      <c r="N45" s="227"/>
      <c r="O45" s="322">
        <v>32.900002000000001</v>
      </c>
      <c r="P45" s="228">
        <f t="shared" si="3"/>
        <v>-3.3322025648109266E-3</v>
      </c>
      <c r="Q45" s="228"/>
      <c r="R45" s="227"/>
      <c r="S45" s="322">
        <v>108.05999799999999</v>
      </c>
      <c r="T45" s="228">
        <f t="shared" si="4"/>
        <v>3.4357507022795275E-3</v>
      </c>
      <c r="U45" s="228"/>
      <c r="V45" s="228"/>
      <c r="W45" s="228"/>
      <c r="X45" s="322">
        <v>79.120002999999997</v>
      </c>
      <c r="Y45" s="228">
        <f t="shared" si="5"/>
        <v>-3.7901451979749368E-4</v>
      </c>
      <c r="Z45" s="228"/>
      <c r="AA45" s="202"/>
    </row>
    <row r="46" spans="2:27" x14ac:dyDescent="0.15">
      <c r="B46" s="241">
        <v>42731</v>
      </c>
      <c r="C46" s="244"/>
      <c r="D46" s="245">
        <v>47.725178</v>
      </c>
      <c r="E46" s="228">
        <f t="shared" si="0"/>
        <v>2.5088991369528468E-3</v>
      </c>
      <c r="F46" s="228"/>
      <c r="G46" s="245">
        <v>106.44280999999999</v>
      </c>
      <c r="H46" s="228">
        <f t="shared" si="1"/>
        <v>7.0440607516120135E-3</v>
      </c>
      <c r="J46" s="227"/>
      <c r="K46" s="245">
        <v>24.995134</v>
      </c>
      <c r="L46" s="228">
        <f t="shared" si="2"/>
        <v>1.7211316298193502E-3</v>
      </c>
      <c r="M46" s="228"/>
      <c r="N46" s="227"/>
      <c r="O46" s="322">
        <v>33.330002</v>
      </c>
      <c r="P46" s="228">
        <f t="shared" si="3"/>
        <v>1.3069908020066467E-2</v>
      </c>
      <c r="Q46" s="228"/>
      <c r="R46" s="227"/>
      <c r="S46" s="322">
        <v>109.029999</v>
      </c>
      <c r="T46" s="228">
        <f t="shared" si="4"/>
        <v>8.9765039603277863E-3</v>
      </c>
      <c r="U46" s="228"/>
      <c r="V46" s="228"/>
      <c r="W46" s="228"/>
      <c r="X46" s="322">
        <v>80.019997000000004</v>
      </c>
      <c r="Y46" s="228">
        <f t="shared" si="5"/>
        <v>1.1375050124808661E-2</v>
      </c>
      <c r="Z46" s="228"/>
      <c r="AA46" s="202"/>
    </row>
    <row r="47" spans="2:27" x14ac:dyDescent="0.15">
      <c r="B47" s="241">
        <v>42732</v>
      </c>
      <c r="C47" s="244"/>
      <c r="D47" s="245">
        <v>47.339267999999997</v>
      </c>
      <c r="E47" s="228">
        <f t="shared" si="0"/>
        <v>-8.0860882278951385E-3</v>
      </c>
      <c r="F47" s="228"/>
      <c r="G47" s="245">
        <v>105.74597900000001</v>
      </c>
      <c r="H47" s="228">
        <f t="shared" si="1"/>
        <v>-6.5465295401351264E-3</v>
      </c>
      <c r="J47" s="227"/>
      <c r="K47" s="245">
        <v>25.012318</v>
      </c>
      <c r="L47" s="228">
        <f t="shared" si="2"/>
        <v>6.8749381379595853E-4</v>
      </c>
      <c r="M47" s="228"/>
      <c r="N47" s="227"/>
      <c r="O47" s="322">
        <v>32.900002000000001</v>
      </c>
      <c r="P47" s="228">
        <f t="shared" si="3"/>
        <v>-1.2901289354858125E-2</v>
      </c>
      <c r="Q47" s="228"/>
      <c r="R47" s="227"/>
      <c r="S47" s="322">
        <v>107.57</v>
      </c>
      <c r="T47" s="228">
        <f t="shared" si="4"/>
        <v>-1.3390800819873538E-2</v>
      </c>
      <c r="U47" s="228"/>
      <c r="V47" s="228"/>
      <c r="W47" s="228"/>
      <c r="X47" s="322">
        <v>79.760002</v>
      </c>
      <c r="Y47" s="228">
        <f t="shared" si="5"/>
        <v>-3.2491253405071419E-3</v>
      </c>
      <c r="Z47" s="228"/>
      <c r="AA47" s="202"/>
    </row>
    <row r="48" spans="2:27" x14ac:dyDescent="0.15">
      <c r="B48" s="241">
        <v>42733</v>
      </c>
      <c r="C48" s="244"/>
      <c r="D48" s="245">
        <v>47.320892000000001</v>
      </c>
      <c r="E48" s="228">
        <f t="shared" si="0"/>
        <v>-3.8817668241086789E-4</v>
      </c>
      <c r="F48" s="228"/>
      <c r="G48" s="245">
        <v>106.10871899999999</v>
      </c>
      <c r="H48" s="228">
        <f t="shared" si="1"/>
        <v>3.4302959169727476E-3</v>
      </c>
      <c r="J48" s="227"/>
      <c r="K48" s="245">
        <v>25.020904999999999</v>
      </c>
      <c r="L48" s="228">
        <f t="shared" si="2"/>
        <v>3.4331084388083966E-4</v>
      </c>
      <c r="M48" s="228"/>
      <c r="N48" s="227"/>
      <c r="O48" s="322">
        <v>32.659999999999997</v>
      </c>
      <c r="P48" s="228">
        <f t="shared" si="3"/>
        <v>-7.2948931735627998E-3</v>
      </c>
      <c r="Q48" s="228"/>
      <c r="R48" s="227"/>
      <c r="S48" s="322">
        <v>107.150002</v>
      </c>
      <c r="T48" s="228">
        <f t="shared" si="4"/>
        <v>-3.9044157292924542E-3</v>
      </c>
      <c r="U48" s="228"/>
      <c r="V48" s="228"/>
      <c r="W48" s="228"/>
      <c r="X48" s="322">
        <v>79.290001000000004</v>
      </c>
      <c r="Y48" s="228">
        <f t="shared" si="5"/>
        <v>-5.8926904239545719E-3</v>
      </c>
      <c r="Z48" s="228"/>
      <c r="AA48" s="202"/>
    </row>
    <row r="49" spans="2:27" x14ac:dyDescent="0.15">
      <c r="B49" s="241">
        <v>42734</v>
      </c>
      <c r="C49" s="244"/>
      <c r="D49" s="245">
        <v>47.127929999999999</v>
      </c>
      <c r="E49" s="228">
        <f t="shared" si="0"/>
        <v>-4.0777337840546268E-3</v>
      </c>
      <c r="F49" s="228"/>
      <c r="G49" s="245">
        <v>107.101456</v>
      </c>
      <c r="H49" s="228">
        <f t="shared" si="1"/>
        <v>9.3558475623478632E-3</v>
      </c>
      <c r="J49" s="227"/>
      <c r="K49" s="245">
        <v>24.694510000000001</v>
      </c>
      <c r="L49" s="228">
        <f t="shared" si="2"/>
        <v>-1.3044891861425434E-2</v>
      </c>
      <c r="M49" s="228"/>
      <c r="N49" s="227"/>
      <c r="O49" s="322">
        <v>32.270000000000003</v>
      </c>
      <c r="P49" s="228">
        <f t="shared" si="3"/>
        <v>-1.1941212492345143E-2</v>
      </c>
      <c r="Q49" s="228"/>
      <c r="R49" s="227"/>
      <c r="S49" s="322">
        <v>105.730003</v>
      </c>
      <c r="T49" s="228">
        <f t="shared" si="4"/>
        <v>-1.3252440256603992E-2</v>
      </c>
      <c r="U49" s="228"/>
      <c r="V49" s="228"/>
      <c r="W49" s="228"/>
      <c r="X49" s="322">
        <v>78.680000000000007</v>
      </c>
      <c r="Y49" s="228">
        <f t="shared" si="5"/>
        <v>-7.693290355741067E-3</v>
      </c>
      <c r="Z49" s="228"/>
      <c r="AA49" s="202"/>
    </row>
    <row r="50" spans="2:27" x14ac:dyDescent="0.15">
      <c r="B50" s="241">
        <v>42738</v>
      </c>
      <c r="C50" s="244"/>
      <c r="D50" s="245">
        <v>47.523037000000002</v>
      </c>
      <c r="E50" s="228">
        <f t="shared" si="0"/>
        <v>8.3837121638909995E-3</v>
      </c>
      <c r="F50" s="228"/>
      <c r="G50" s="245">
        <v>105.430977</v>
      </c>
      <c r="H50" s="228">
        <f t="shared" si="1"/>
        <v>-1.5597164243966954E-2</v>
      </c>
      <c r="J50" s="227"/>
      <c r="K50" s="245">
        <v>25.175514</v>
      </c>
      <c r="L50" s="228">
        <f t="shared" si="2"/>
        <v>1.9478175513504725E-2</v>
      </c>
      <c r="M50" s="228"/>
      <c r="N50" s="227"/>
      <c r="O50" s="322">
        <v>31.940000999999999</v>
      </c>
      <c r="P50" s="228">
        <f t="shared" si="3"/>
        <v>-1.0226185311434932E-2</v>
      </c>
      <c r="Q50" s="228"/>
      <c r="R50" s="227"/>
      <c r="S50" s="322">
        <v>107.260002</v>
      </c>
      <c r="T50" s="228">
        <f t="shared" si="4"/>
        <v>1.4470812036201375E-2</v>
      </c>
      <c r="U50" s="228"/>
      <c r="V50" s="228"/>
      <c r="W50" s="228"/>
      <c r="X50" s="322">
        <v>79.410004000000001</v>
      </c>
      <c r="Y50" s="228">
        <f t="shared" si="5"/>
        <v>9.2781392984240263E-3</v>
      </c>
      <c r="Z50" s="228"/>
      <c r="AA50" s="202"/>
    </row>
    <row r="51" spans="2:27" x14ac:dyDescent="0.15">
      <c r="B51" s="241">
        <v>42739</v>
      </c>
      <c r="C51" s="244"/>
      <c r="D51" s="245">
        <v>47.881397</v>
      </c>
      <c r="E51" s="228">
        <f t="shared" si="0"/>
        <v>7.5407638615352379E-3</v>
      </c>
      <c r="F51" s="228"/>
      <c r="G51" s="245">
        <v>104.925056</v>
      </c>
      <c r="H51" s="228">
        <f t="shared" si="1"/>
        <v>-4.7985991820980178E-3</v>
      </c>
      <c r="J51" s="227"/>
      <c r="K51" s="245">
        <v>25.166924999999999</v>
      </c>
      <c r="L51" s="228">
        <f t="shared" si="2"/>
        <v>-3.4116483182833335E-4</v>
      </c>
      <c r="M51" s="228"/>
      <c r="N51" s="227"/>
      <c r="O51" s="322">
        <v>32.240001999999997</v>
      </c>
      <c r="P51" s="228">
        <f t="shared" si="3"/>
        <v>9.3926421605308175E-3</v>
      </c>
      <c r="Q51" s="228"/>
      <c r="R51" s="227"/>
      <c r="S51" s="322">
        <v>107.32</v>
      </c>
      <c r="T51" s="228">
        <f t="shared" si="4"/>
        <v>5.5936974530346184E-4</v>
      </c>
      <c r="U51" s="228"/>
      <c r="V51" s="228"/>
      <c r="W51" s="228"/>
      <c r="X51" s="322">
        <v>79.129997000000003</v>
      </c>
      <c r="Y51" s="228">
        <f t="shared" si="5"/>
        <v>-3.5260922540690798E-3</v>
      </c>
      <c r="Z51" s="228"/>
      <c r="AA51" s="202"/>
    </row>
    <row r="52" spans="2:27" x14ac:dyDescent="0.15">
      <c r="B52" s="241">
        <v>42740</v>
      </c>
      <c r="C52" s="244"/>
      <c r="D52" s="245">
        <v>47.807896</v>
      </c>
      <c r="E52" s="228">
        <f t="shared" si="0"/>
        <v>-1.5350638161204522E-3</v>
      </c>
      <c r="F52" s="228"/>
      <c r="G52" s="245">
        <v>106.185081</v>
      </c>
      <c r="H52" s="228">
        <f t="shared" si="1"/>
        <v>1.2008809411548027E-2</v>
      </c>
      <c r="J52" s="227"/>
      <c r="K52" s="245">
        <v>25.596394</v>
      </c>
      <c r="L52" s="228">
        <f t="shared" si="2"/>
        <v>1.7064818208819776E-2</v>
      </c>
      <c r="M52" s="228"/>
      <c r="N52" s="227"/>
      <c r="O52" s="322">
        <v>32.099997999999999</v>
      </c>
      <c r="P52" s="228">
        <f t="shared" si="3"/>
        <v>-4.3425555618761269E-3</v>
      </c>
      <c r="Q52" s="228"/>
      <c r="R52" s="227"/>
      <c r="S52" s="322">
        <v>107.08000199999999</v>
      </c>
      <c r="T52" s="228">
        <f t="shared" si="4"/>
        <v>-2.2362840104360737E-3</v>
      </c>
      <c r="U52" s="228"/>
      <c r="V52" s="228"/>
      <c r="W52" s="228"/>
      <c r="X52" s="322">
        <v>78.419998000000007</v>
      </c>
      <c r="Y52" s="228">
        <f t="shared" si="5"/>
        <v>-8.9725644751382783E-3</v>
      </c>
      <c r="Z52" s="228"/>
      <c r="AA52" s="202"/>
    </row>
    <row r="53" spans="2:27" x14ac:dyDescent="0.15">
      <c r="B53" s="241">
        <v>42741</v>
      </c>
      <c r="C53" s="244"/>
      <c r="D53" s="245">
        <v>47.973281999999998</v>
      </c>
      <c r="E53" s="228">
        <f t="shared" si="0"/>
        <v>3.4593867088399399E-3</v>
      </c>
      <c r="F53" s="228"/>
      <c r="G53" s="245">
        <v>106.07053399999999</v>
      </c>
      <c r="H53" s="228">
        <f t="shared" si="1"/>
        <v>-1.0787485296546162E-3</v>
      </c>
      <c r="J53" s="227"/>
      <c r="K53" s="245">
        <v>25.450375000000001</v>
      </c>
      <c r="L53" s="228">
        <f t="shared" si="2"/>
        <v>-5.7046707438555E-3</v>
      </c>
      <c r="M53" s="228"/>
      <c r="N53" s="227"/>
      <c r="O53" s="322">
        <v>32.040000999999997</v>
      </c>
      <c r="P53" s="228">
        <f t="shared" si="3"/>
        <v>-1.8690655370134923E-3</v>
      </c>
      <c r="Q53" s="228"/>
      <c r="R53" s="227"/>
      <c r="S53" s="322">
        <v>107.599998</v>
      </c>
      <c r="T53" s="228">
        <f t="shared" si="4"/>
        <v>4.8561448476627245E-3</v>
      </c>
      <c r="U53" s="228"/>
      <c r="V53" s="228"/>
      <c r="W53" s="228"/>
      <c r="X53" s="322">
        <v>79.129997000000003</v>
      </c>
      <c r="Y53" s="228">
        <f t="shared" si="5"/>
        <v>9.0538002819127161E-3</v>
      </c>
      <c r="Z53" s="228"/>
      <c r="AA53" s="202"/>
    </row>
    <row r="54" spans="2:27" x14ac:dyDescent="0.15">
      <c r="B54" s="241">
        <v>42744</v>
      </c>
      <c r="C54" s="244"/>
      <c r="D54" s="245">
        <v>47.798701999999999</v>
      </c>
      <c r="E54" s="228">
        <f t="shared" si="0"/>
        <v>-3.6391089523538644E-3</v>
      </c>
      <c r="F54" s="228"/>
      <c r="G54" s="245">
        <v>107.37827299999999</v>
      </c>
      <c r="H54" s="228">
        <f t="shared" si="1"/>
        <v>1.232895650360355E-2</v>
      </c>
      <c r="J54" s="227"/>
      <c r="K54" s="245">
        <v>25.802541999999999</v>
      </c>
      <c r="L54" s="228">
        <f t="shared" si="2"/>
        <v>1.3837399252466742E-2</v>
      </c>
      <c r="M54" s="228"/>
      <c r="N54" s="227"/>
      <c r="O54" s="322">
        <v>32.779998999999997</v>
      </c>
      <c r="P54" s="228">
        <f t="shared" si="3"/>
        <v>2.3096066694879402E-2</v>
      </c>
      <c r="Q54" s="228"/>
      <c r="R54" s="227"/>
      <c r="S54" s="322">
        <v>108.860001</v>
      </c>
      <c r="T54" s="228">
        <f t="shared" si="4"/>
        <v>1.1710065273421222E-2</v>
      </c>
      <c r="U54" s="228"/>
      <c r="V54" s="228"/>
      <c r="W54" s="228"/>
      <c r="X54" s="322">
        <v>79.589995999999999</v>
      </c>
      <c r="Y54" s="228">
        <f t="shared" si="5"/>
        <v>5.8132063369091824E-3</v>
      </c>
      <c r="Z54" s="228"/>
      <c r="AA54" s="202"/>
    </row>
    <row r="55" spans="2:27" x14ac:dyDescent="0.15">
      <c r="B55" s="241">
        <v>42745</v>
      </c>
      <c r="C55" s="244"/>
      <c r="D55" s="245">
        <v>47.807896</v>
      </c>
      <c r="E55" s="228">
        <f t="shared" si="0"/>
        <v>1.9234831941661312E-4</v>
      </c>
      <c r="F55" s="228"/>
      <c r="G55" s="245">
        <v>107.531021</v>
      </c>
      <c r="H55" s="228">
        <f t="shared" si="1"/>
        <v>1.4225224128907588E-3</v>
      </c>
      <c r="J55" s="227"/>
      <c r="K55" s="245">
        <v>25.828308</v>
      </c>
      <c r="L55" s="228">
        <f t="shared" si="2"/>
        <v>9.985837829467048E-4</v>
      </c>
      <c r="M55" s="228"/>
      <c r="N55" s="227"/>
      <c r="O55" s="322">
        <v>33.130001</v>
      </c>
      <c r="P55" s="228">
        <f t="shared" si="3"/>
        <v>1.0677303559405438E-2</v>
      </c>
      <c r="Q55" s="228"/>
      <c r="R55" s="227"/>
      <c r="S55" s="322">
        <v>108.470001</v>
      </c>
      <c r="T55" s="228">
        <f t="shared" si="4"/>
        <v>-3.5825831013909237E-3</v>
      </c>
      <c r="U55" s="228"/>
      <c r="V55" s="228"/>
      <c r="W55" s="228"/>
      <c r="X55" s="322">
        <v>79.330001999999993</v>
      </c>
      <c r="Y55" s="228">
        <f t="shared" si="5"/>
        <v>-3.2666668308414248E-3</v>
      </c>
      <c r="Z55" s="228"/>
      <c r="AA55" s="202"/>
    </row>
    <row r="56" spans="2:27" x14ac:dyDescent="0.15">
      <c r="B56" s="241">
        <v>42746</v>
      </c>
      <c r="C56" s="244"/>
      <c r="D56" s="245">
        <v>47.964092000000001</v>
      </c>
      <c r="E56" s="228">
        <f t="shared" si="0"/>
        <v>3.267159048371493E-3</v>
      </c>
      <c r="F56" s="228"/>
      <c r="G56" s="245">
        <v>108.32328800000001</v>
      </c>
      <c r="H56" s="228">
        <f t="shared" si="1"/>
        <v>7.3677994743490682E-3</v>
      </c>
      <c r="J56" s="227"/>
      <c r="K56" s="245">
        <v>25.914202</v>
      </c>
      <c r="L56" s="228">
        <f t="shared" si="2"/>
        <v>3.32557595332994E-3</v>
      </c>
      <c r="M56" s="228"/>
      <c r="N56" s="227"/>
      <c r="O56" s="322">
        <v>33.470001000000003</v>
      </c>
      <c r="P56" s="228">
        <f t="shared" si="3"/>
        <v>1.0262601561648044E-2</v>
      </c>
      <c r="Q56" s="228"/>
      <c r="R56" s="227"/>
      <c r="S56" s="322">
        <v>108.989998</v>
      </c>
      <c r="T56" s="228">
        <f t="shared" si="4"/>
        <v>4.7939245432477851E-3</v>
      </c>
      <c r="U56" s="228"/>
      <c r="V56" s="228"/>
      <c r="W56" s="228"/>
      <c r="X56" s="322">
        <v>80.269997000000004</v>
      </c>
      <c r="Y56" s="228">
        <f t="shared" si="5"/>
        <v>1.1849174036324905E-2</v>
      </c>
      <c r="Z56" s="228"/>
      <c r="AA56" s="202"/>
    </row>
    <row r="57" spans="2:27" x14ac:dyDescent="0.15">
      <c r="B57" s="241">
        <v>42747</v>
      </c>
      <c r="C57" s="244"/>
      <c r="D57" s="245">
        <v>47.835453000000001</v>
      </c>
      <c r="E57" s="228">
        <f t="shared" si="0"/>
        <v>-2.6819855153309424E-3</v>
      </c>
      <c r="F57" s="228"/>
      <c r="G57" s="245">
        <v>109.55468</v>
      </c>
      <c r="H57" s="228">
        <f t="shared" si="1"/>
        <v>1.1367749472301902E-2</v>
      </c>
      <c r="J57" s="227"/>
      <c r="K57" s="245">
        <v>25.158332999999999</v>
      </c>
      <c r="L57" s="228">
        <f t="shared" si="2"/>
        <v>-2.9168137224522717E-2</v>
      </c>
      <c r="M57" s="228"/>
      <c r="N57" s="227"/>
      <c r="O57" s="322">
        <v>33.310001</v>
      </c>
      <c r="P57" s="228">
        <f t="shared" si="3"/>
        <v>-4.7804002157036951E-3</v>
      </c>
      <c r="Q57" s="228"/>
      <c r="R57" s="227"/>
      <c r="S57" s="322">
        <v>108.16999800000001</v>
      </c>
      <c r="T57" s="228">
        <f t="shared" si="4"/>
        <v>-7.523626158796648E-3</v>
      </c>
      <c r="U57" s="228"/>
      <c r="V57" s="228"/>
      <c r="W57" s="228"/>
      <c r="X57" s="322">
        <v>80.099997999999999</v>
      </c>
      <c r="Y57" s="228">
        <f t="shared" si="5"/>
        <v>-2.1178398698582512E-3</v>
      </c>
      <c r="Z57" s="228"/>
      <c r="AA57" s="202"/>
    </row>
    <row r="58" spans="2:27" x14ac:dyDescent="0.15">
      <c r="B58" s="241">
        <v>42748</v>
      </c>
      <c r="C58" s="244"/>
      <c r="D58" s="245">
        <v>47.964092000000001</v>
      </c>
      <c r="E58" s="228">
        <f t="shared" si="0"/>
        <v>2.6891979051604231E-3</v>
      </c>
      <c r="F58" s="228"/>
      <c r="G58" s="245">
        <v>110.06059999999999</v>
      </c>
      <c r="H58" s="228">
        <f t="shared" si="1"/>
        <v>4.6179679407578611E-3</v>
      </c>
      <c r="J58" s="227"/>
      <c r="K58" s="245">
        <v>25.287174</v>
      </c>
      <c r="L58" s="228">
        <f t="shared" si="2"/>
        <v>5.1212057651037757E-3</v>
      </c>
      <c r="M58" s="228"/>
      <c r="N58" s="227"/>
      <c r="O58" s="322">
        <v>33.790000999999997</v>
      </c>
      <c r="P58" s="228">
        <f t="shared" si="3"/>
        <v>1.4410086628337204E-2</v>
      </c>
      <c r="Q58" s="228"/>
      <c r="R58" s="227"/>
      <c r="S58" s="322">
        <v>110.540001</v>
      </c>
      <c r="T58" s="228">
        <f t="shared" si="4"/>
        <v>2.1909984689100215E-2</v>
      </c>
      <c r="U58" s="228"/>
      <c r="V58" s="228"/>
      <c r="W58" s="228"/>
      <c r="X58" s="322">
        <v>81.440002000000007</v>
      </c>
      <c r="Y58" s="228">
        <f t="shared" si="5"/>
        <v>1.6729138994485471E-2</v>
      </c>
      <c r="Z58" s="228"/>
      <c r="AA58" s="202"/>
    </row>
    <row r="59" spans="2:27" x14ac:dyDescent="0.15">
      <c r="B59" s="241">
        <v>42752</v>
      </c>
      <c r="C59" s="244"/>
      <c r="D59" s="245">
        <v>47.752758</v>
      </c>
      <c r="E59" s="228">
        <f t="shared" si="0"/>
        <v>-4.4060877875057303E-3</v>
      </c>
      <c r="F59" s="228"/>
      <c r="G59" s="245">
        <v>110.64286800000001</v>
      </c>
      <c r="H59" s="228">
        <f t="shared" si="1"/>
        <v>5.2904309080634704E-3</v>
      </c>
      <c r="J59" s="227"/>
      <c r="K59" s="245">
        <v>25.441783999999998</v>
      </c>
      <c r="L59" s="228">
        <f t="shared" si="2"/>
        <v>6.1141668104154334E-3</v>
      </c>
      <c r="M59" s="228"/>
      <c r="N59" s="227"/>
      <c r="O59" s="322">
        <v>33.299999</v>
      </c>
      <c r="P59" s="228">
        <f t="shared" si="3"/>
        <v>-1.4501390514903956E-2</v>
      </c>
      <c r="Q59" s="228"/>
      <c r="R59" s="227"/>
      <c r="S59" s="322">
        <v>109.099998</v>
      </c>
      <c r="T59" s="228">
        <f t="shared" si="4"/>
        <v>-1.3026985588682982E-2</v>
      </c>
      <c r="U59" s="228"/>
      <c r="V59" s="228"/>
      <c r="W59" s="228"/>
      <c r="X59" s="322">
        <v>80</v>
      </c>
      <c r="Y59" s="228">
        <f t="shared" si="5"/>
        <v>-1.7681753003886302E-2</v>
      </c>
      <c r="Z59" s="228"/>
      <c r="AA59" s="202"/>
    </row>
    <row r="60" spans="2:27" x14ac:dyDescent="0.15">
      <c r="B60" s="241">
        <v>42753</v>
      </c>
      <c r="C60" s="244"/>
      <c r="D60" s="245">
        <v>47.863007000000003</v>
      </c>
      <c r="E60" s="228">
        <f t="shared" si="0"/>
        <v>2.3087462299036243E-3</v>
      </c>
      <c r="F60" s="228"/>
      <c r="G60" s="245">
        <v>117.382057</v>
      </c>
      <c r="H60" s="228">
        <f t="shared" si="1"/>
        <v>6.0909384597658711E-2</v>
      </c>
      <c r="J60" s="227"/>
      <c r="K60" s="245">
        <v>25.330124000000001</v>
      </c>
      <c r="L60" s="228">
        <f t="shared" si="2"/>
        <v>-4.3888431723182464E-3</v>
      </c>
      <c r="M60" s="228"/>
      <c r="N60" s="227"/>
      <c r="O60" s="322">
        <v>33.689999</v>
      </c>
      <c r="P60" s="228">
        <f t="shared" si="3"/>
        <v>1.1711712063414703E-2</v>
      </c>
      <c r="Q60" s="228"/>
      <c r="R60" s="227"/>
      <c r="S60" s="322">
        <v>111.239998</v>
      </c>
      <c r="T60" s="228">
        <f t="shared" si="4"/>
        <v>1.9615032440238878E-2</v>
      </c>
      <c r="U60" s="228"/>
      <c r="V60" s="228"/>
      <c r="W60" s="228"/>
      <c r="X60" s="322">
        <v>81.629997000000003</v>
      </c>
      <c r="Y60" s="228">
        <f t="shared" si="5"/>
        <v>2.0374962500000038E-2</v>
      </c>
      <c r="Z60" s="228"/>
      <c r="AA60" s="202"/>
    </row>
    <row r="61" spans="2:27" x14ac:dyDescent="0.15">
      <c r="B61" s="241">
        <v>42754</v>
      </c>
      <c r="C61" s="244"/>
      <c r="D61" s="245">
        <v>47.679245000000002</v>
      </c>
      <c r="E61" s="228">
        <f t="shared" si="0"/>
        <v>-3.8393325350410956E-3</v>
      </c>
      <c r="F61" s="228"/>
      <c r="G61" s="245">
        <v>116.322502</v>
      </c>
      <c r="H61" s="228">
        <f t="shared" si="1"/>
        <v>-9.0265499436595897E-3</v>
      </c>
      <c r="J61" s="227"/>
      <c r="K61" s="245">
        <v>25.450375000000001</v>
      </c>
      <c r="L61" s="228">
        <f t="shared" si="2"/>
        <v>4.7473514144660278E-3</v>
      </c>
      <c r="M61" s="228"/>
      <c r="N61" s="227"/>
      <c r="O61" s="322">
        <v>33.75</v>
      </c>
      <c r="P61" s="228">
        <f t="shared" si="3"/>
        <v>1.7809736355289818E-3</v>
      </c>
      <c r="Q61" s="228"/>
      <c r="R61" s="227"/>
      <c r="S61" s="322">
        <v>110.839996</v>
      </c>
      <c r="T61" s="228">
        <f t="shared" si="4"/>
        <v>-3.5958468823417133E-3</v>
      </c>
      <c r="U61" s="228"/>
      <c r="V61" s="228"/>
      <c r="W61" s="228"/>
      <c r="X61" s="322">
        <v>81.150002000000001</v>
      </c>
      <c r="Y61" s="228">
        <f t="shared" si="5"/>
        <v>-5.8801300703220649E-3</v>
      </c>
      <c r="Z61" s="228"/>
      <c r="AA61" s="202"/>
    </row>
    <row r="62" spans="2:27" x14ac:dyDescent="0.15">
      <c r="B62" s="241">
        <v>42755</v>
      </c>
      <c r="C62" s="244"/>
      <c r="D62" s="245">
        <v>47.826262999999997</v>
      </c>
      <c r="E62" s="228">
        <f t="shared" si="0"/>
        <v>3.0834800341321689E-3</v>
      </c>
      <c r="F62" s="228"/>
      <c r="G62" s="245">
        <v>116.50386</v>
      </c>
      <c r="H62" s="228">
        <f t="shared" si="1"/>
        <v>1.5590964506593252E-3</v>
      </c>
      <c r="J62" s="227"/>
      <c r="K62" s="245">
        <v>25.828308</v>
      </c>
      <c r="L62" s="228">
        <f t="shared" si="2"/>
        <v>1.4849800837904992E-2</v>
      </c>
      <c r="M62" s="228"/>
      <c r="N62" s="227"/>
      <c r="O62" s="322">
        <v>33.840000000000003</v>
      </c>
      <c r="P62" s="228">
        <f t="shared" si="3"/>
        <v>2.6666666666668171E-3</v>
      </c>
      <c r="Q62" s="228"/>
      <c r="R62" s="227"/>
      <c r="S62" s="322">
        <v>112.349998</v>
      </c>
      <c r="T62" s="228">
        <f t="shared" si="4"/>
        <v>1.3623259242990127E-2</v>
      </c>
      <c r="U62" s="228"/>
      <c r="V62" s="228"/>
      <c r="W62" s="228"/>
      <c r="X62" s="322">
        <v>81.559997999999993</v>
      </c>
      <c r="Y62" s="228">
        <f t="shared" si="5"/>
        <v>5.0523227343850508E-3</v>
      </c>
      <c r="Z62" s="228"/>
      <c r="AA62" s="202"/>
    </row>
    <row r="63" spans="2:27" x14ac:dyDescent="0.15">
      <c r="B63" s="241">
        <v>42758</v>
      </c>
      <c r="C63" s="244"/>
      <c r="D63" s="245">
        <v>47.725178</v>
      </c>
      <c r="E63" s="228">
        <f t="shared" si="0"/>
        <v>-2.1135876746213311E-3</v>
      </c>
      <c r="F63" s="228"/>
      <c r="G63" s="245">
        <v>116.61840100000001</v>
      </c>
      <c r="H63" s="228">
        <f t="shared" si="1"/>
        <v>9.8315197453535674E-4</v>
      </c>
      <c r="J63" s="227"/>
      <c r="K63" s="245">
        <v>26.051629999999999</v>
      </c>
      <c r="L63" s="228">
        <f t="shared" si="2"/>
        <v>8.6464045573562132E-3</v>
      </c>
      <c r="M63" s="228"/>
      <c r="N63" s="227"/>
      <c r="O63" s="322">
        <v>33.75</v>
      </c>
      <c r="P63" s="228">
        <f t="shared" si="3"/>
        <v>-2.6595744680851796E-3</v>
      </c>
      <c r="Q63" s="228"/>
      <c r="R63" s="227"/>
      <c r="S63" s="322">
        <v>112.769997</v>
      </c>
      <c r="T63" s="228">
        <f t="shared" si="4"/>
        <v>3.7383089228004707E-3</v>
      </c>
      <c r="U63" s="228"/>
      <c r="V63" s="228"/>
      <c r="W63" s="228"/>
      <c r="X63" s="322">
        <v>82.099997999999999</v>
      </c>
      <c r="Y63" s="228">
        <f t="shared" si="5"/>
        <v>6.620892756765473E-3</v>
      </c>
      <c r="Z63" s="228"/>
      <c r="AA63" s="202"/>
    </row>
    <row r="64" spans="2:27" x14ac:dyDescent="0.15">
      <c r="B64" s="241">
        <v>42759</v>
      </c>
      <c r="C64" s="244"/>
      <c r="D64" s="245">
        <v>48.092731000000001</v>
      </c>
      <c r="E64" s="228">
        <f t="shared" si="0"/>
        <v>7.7014484890973733E-3</v>
      </c>
      <c r="F64" s="228"/>
      <c r="G64" s="245">
        <v>116.98114</v>
      </c>
      <c r="H64" s="228">
        <f t="shared" si="1"/>
        <v>3.1104782511979234E-3</v>
      </c>
      <c r="J64" s="227"/>
      <c r="K64" s="245">
        <v>26.472512999999999</v>
      </c>
      <c r="L64" s="228">
        <f t="shared" si="2"/>
        <v>1.6155726148421312E-2</v>
      </c>
      <c r="M64" s="228"/>
      <c r="N64" s="227"/>
      <c r="O64" s="322">
        <v>34.029998999999997</v>
      </c>
      <c r="P64" s="228">
        <f t="shared" si="3"/>
        <v>8.2962666666666074E-3</v>
      </c>
      <c r="Q64" s="228"/>
      <c r="R64" s="227"/>
      <c r="S64" s="322">
        <v>114.639999</v>
      </c>
      <c r="T64" s="228">
        <f t="shared" si="4"/>
        <v>1.6582442580006518E-2</v>
      </c>
      <c r="U64" s="228"/>
      <c r="V64" s="228"/>
      <c r="W64" s="228"/>
      <c r="X64" s="322">
        <v>82.800003000000004</v>
      </c>
      <c r="Y64" s="228">
        <f t="shared" si="5"/>
        <v>8.5262486851704899E-3</v>
      </c>
      <c r="Z64" s="228"/>
      <c r="AA64" s="202"/>
    </row>
    <row r="65" spans="2:27" x14ac:dyDescent="0.15">
      <c r="B65" s="241">
        <v>42760</v>
      </c>
      <c r="C65" s="244"/>
      <c r="D65" s="245">
        <v>48.487839000000001</v>
      </c>
      <c r="E65" s="228">
        <f t="shared" si="0"/>
        <v>8.2155450893399706E-3</v>
      </c>
      <c r="F65" s="228"/>
      <c r="G65" s="245">
        <v>117.200684</v>
      </c>
      <c r="H65" s="228">
        <f t="shared" si="1"/>
        <v>1.8767469696396866E-3</v>
      </c>
      <c r="J65" s="227"/>
      <c r="K65" s="245">
        <v>26.893388999999999</v>
      </c>
      <c r="L65" s="228">
        <f t="shared" si="2"/>
        <v>1.5898603959510815E-2</v>
      </c>
      <c r="M65" s="228"/>
      <c r="N65" s="227"/>
      <c r="O65" s="322">
        <v>34.419998</v>
      </c>
      <c r="P65" s="228">
        <f t="shared" si="3"/>
        <v>1.1460447001482521E-2</v>
      </c>
      <c r="Q65" s="228"/>
      <c r="R65" s="227"/>
      <c r="S65" s="322">
        <v>116.91999800000001</v>
      </c>
      <c r="T65" s="228">
        <f t="shared" si="4"/>
        <v>1.9888337577532722E-2</v>
      </c>
      <c r="U65" s="228"/>
      <c r="V65" s="228"/>
      <c r="W65" s="228"/>
      <c r="X65" s="322">
        <v>84.669998000000007</v>
      </c>
      <c r="Y65" s="228">
        <f t="shared" si="5"/>
        <v>2.2584479858050344E-2</v>
      </c>
      <c r="Z65" s="228"/>
      <c r="AA65" s="202"/>
    </row>
    <row r="66" spans="2:27" x14ac:dyDescent="0.15">
      <c r="B66" s="241">
        <v>42761</v>
      </c>
      <c r="C66" s="244"/>
      <c r="D66" s="245">
        <v>48.441887000000001</v>
      </c>
      <c r="E66" s="228">
        <f t="shared" si="0"/>
        <v>-9.4770154636092396E-4</v>
      </c>
      <c r="F66" s="228"/>
      <c r="G66" s="245">
        <v>115.625671</v>
      </c>
      <c r="H66" s="228">
        <f t="shared" si="1"/>
        <v>-1.3438599044353738E-2</v>
      </c>
      <c r="J66" s="227"/>
      <c r="K66" s="245">
        <v>26.721603000000002</v>
      </c>
      <c r="L66" s="228">
        <f t="shared" si="2"/>
        <v>-6.3876665004919397E-3</v>
      </c>
      <c r="M66" s="228"/>
      <c r="N66" s="227"/>
      <c r="O66" s="322">
        <v>33.979999999999997</v>
      </c>
      <c r="P66" s="228">
        <f t="shared" si="3"/>
        <v>-1.2783208180314309E-2</v>
      </c>
      <c r="Q66" s="228"/>
      <c r="R66" s="227"/>
      <c r="S66" s="322">
        <v>114.33000199999999</v>
      </c>
      <c r="T66" s="228">
        <f t="shared" si="4"/>
        <v>-2.2151864901674201E-2</v>
      </c>
      <c r="U66" s="228"/>
      <c r="V66" s="228"/>
      <c r="W66" s="228"/>
      <c r="X66" s="322">
        <v>83.25</v>
      </c>
      <c r="Y66" s="228">
        <f t="shared" si="5"/>
        <v>-1.6770970043013422E-2</v>
      </c>
      <c r="Z66" s="228"/>
      <c r="AA66" s="202"/>
    </row>
    <row r="67" spans="2:27" x14ac:dyDescent="0.15">
      <c r="B67" s="241">
        <v>42762</v>
      </c>
      <c r="C67" s="244"/>
      <c r="D67" s="245">
        <v>48.350006</v>
      </c>
      <c r="E67" s="228">
        <f t="shared" si="0"/>
        <v>-1.8967262774053362E-3</v>
      </c>
      <c r="F67" s="228"/>
      <c r="G67" s="245">
        <v>116.23658</v>
      </c>
      <c r="H67" s="228">
        <f t="shared" si="1"/>
        <v>5.2835066358232208E-3</v>
      </c>
      <c r="J67" s="227"/>
      <c r="K67" s="245">
        <v>26.841857999999998</v>
      </c>
      <c r="L67" s="228">
        <f t="shared" si="2"/>
        <v>4.5002913934466537E-3</v>
      </c>
      <c r="M67" s="228"/>
      <c r="N67" s="227"/>
      <c r="O67" s="322">
        <v>35.040000999999997</v>
      </c>
      <c r="P67" s="228">
        <f t="shared" si="3"/>
        <v>3.119484991171273E-2</v>
      </c>
      <c r="Q67" s="228"/>
      <c r="R67" s="227"/>
      <c r="S67" s="322">
        <v>118.239998</v>
      </c>
      <c r="T67" s="228">
        <f t="shared" si="4"/>
        <v>3.4199212206783791E-2</v>
      </c>
      <c r="U67" s="228"/>
      <c r="V67" s="228"/>
      <c r="W67" s="228"/>
      <c r="X67" s="322">
        <v>86.160004000000001</v>
      </c>
      <c r="Y67" s="228">
        <f t="shared" si="5"/>
        <v>3.4955003003003027E-2</v>
      </c>
      <c r="Z67" s="228"/>
      <c r="AA67" s="202"/>
    </row>
    <row r="68" spans="2:27" x14ac:dyDescent="0.15">
      <c r="B68" s="241">
        <v>42765</v>
      </c>
      <c r="C68" s="244"/>
      <c r="D68" s="245">
        <v>47.991646000000003</v>
      </c>
      <c r="E68" s="228">
        <f t="shared" si="0"/>
        <v>-7.4117881184957435E-3</v>
      </c>
      <c r="F68" s="228"/>
      <c r="G68" s="245">
        <v>116.179298</v>
      </c>
      <c r="H68" s="228">
        <f t="shared" si="1"/>
        <v>-4.9280527696182741E-4</v>
      </c>
      <c r="J68" s="227"/>
      <c r="K68" s="245">
        <v>26.790319</v>
      </c>
      <c r="L68" s="228">
        <f t="shared" si="2"/>
        <v>-1.9200980796485467E-3</v>
      </c>
      <c r="M68" s="228"/>
      <c r="N68" s="227"/>
      <c r="O68" s="322">
        <v>34.340000000000003</v>
      </c>
      <c r="P68" s="228">
        <f t="shared" si="3"/>
        <v>-1.9977196918458784E-2</v>
      </c>
      <c r="Q68" s="228"/>
      <c r="R68" s="227"/>
      <c r="S68" s="322">
        <v>116</v>
      </c>
      <c r="T68" s="228">
        <f t="shared" si="4"/>
        <v>-1.8944503026801507E-2</v>
      </c>
      <c r="U68" s="228"/>
      <c r="V68" s="228"/>
      <c r="W68" s="228"/>
      <c r="X68" s="322">
        <v>86.25</v>
      </c>
      <c r="Y68" s="228">
        <f t="shared" si="5"/>
        <v>1.0445217713777044E-3</v>
      </c>
      <c r="Z68" s="228"/>
      <c r="AA68" s="202"/>
    </row>
    <row r="69" spans="2:27" x14ac:dyDescent="0.15">
      <c r="B69" s="241">
        <v>42766</v>
      </c>
      <c r="C69" s="244"/>
      <c r="D69" s="245">
        <v>48.074348000000001</v>
      </c>
      <c r="E69" s="228">
        <f t="shared" si="0"/>
        <v>1.7232582520716466E-3</v>
      </c>
      <c r="F69" s="228"/>
      <c r="G69" s="245">
        <v>115.883392</v>
      </c>
      <c r="H69" s="228">
        <f t="shared" si="1"/>
        <v>-2.5469770010144721E-3</v>
      </c>
      <c r="J69" s="227"/>
      <c r="K69" s="245">
        <v>26.549816</v>
      </c>
      <c r="L69" s="228">
        <f t="shared" si="2"/>
        <v>-8.9772353961145024E-3</v>
      </c>
      <c r="M69" s="228"/>
      <c r="N69" s="227"/>
      <c r="O69" s="322">
        <v>34.25</v>
      </c>
      <c r="P69" s="228">
        <f t="shared" si="3"/>
        <v>-2.6208503203262179E-3</v>
      </c>
      <c r="Q69" s="228"/>
      <c r="R69" s="227"/>
      <c r="S69" s="322">
        <v>114.860001</v>
      </c>
      <c r="T69" s="228">
        <f t="shared" si="4"/>
        <v>-9.8275775862068926E-3</v>
      </c>
      <c r="U69" s="228"/>
      <c r="V69" s="228"/>
      <c r="W69" s="228"/>
      <c r="X69" s="322">
        <v>85.110000999999997</v>
      </c>
      <c r="Y69" s="228">
        <f t="shared" si="5"/>
        <v>-1.3217379710144916E-2</v>
      </c>
      <c r="Z69" s="228"/>
      <c r="AA69" s="202"/>
    </row>
    <row r="70" spans="2:27" x14ac:dyDescent="0.15">
      <c r="B70" s="241">
        <v>42767</v>
      </c>
      <c r="C70" s="244"/>
      <c r="D70" s="245">
        <v>48.074348000000001</v>
      </c>
      <c r="E70" s="228">
        <f t="shared" si="0"/>
        <v>0</v>
      </c>
      <c r="F70" s="228"/>
      <c r="G70" s="245">
        <v>115.79748499999999</v>
      </c>
      <c r="H70" s="228">
        <f t="shared" si="1"/>
        <v>-7.4132279455541017E-4</v>
      </c>
      <c r="J70" s="227"/>
      <c r="K70" s="245">
        <v>26.695834999999999</v>
      </c>
      <c r="L70" s="228">
        <f t="shared" si="2"/>
        <v>5.4998121267582079E-3</v>
      </c>
      <c r="M70" s="228"/>
      <c r="N70" s="227"/>
      <c r="O70" s="322">
        <v>35.029998999999997</v>
      </c>
      <c r="P70" s="228">
        <f t="shared" si="3"/>
        <v>2.2773693430656827E-2</v>
      </c>
      <c r="Q70" s="228"/>
      <c r="R70" s="227"/>
      <c r="S70" s="322">
        <v>117.739998</v>
      </c>
      <c r="T70" s="228">
        <f t="shared" si="4"/>
        <v>2.5073976797196806E-2</v>
      </c>
      <c r="U70" s="228"/>
      <c r="V70" s="228"/>
      <c r="W70" s="228"/>
      <c r="X70" s="322">
        <v>86.040001000000004</v>
      </c>
      <c r="Y70" s="228">
        <f t="shared" si="5"/>
        <v>1.0927035472599878E-2</v>
      </c>
      <c r="Z70" s="228"/>
      <c r="AA70" s="202"/>
    </row>
    <row r="71" spans="2:27" x14ac:dyDescent="0.15">
      <c r="B71" s="241">
        <v>42768</v>
      </c>
      <c r="C71" s="244"/>
      <c r="D71" s="245">
        <v>48.074348000000001</v>
      </c>
      <c r="E71" s="228">
        <f t="shared" si="0"/>
        <v>0</v>
      </c>
      <c r="F71" s="228"/>
      <c r="G71" s="245">
        <v>117.162498</v>
      </c>
      <c r="H71" s="228">
        <f t="shared" si="1"/>
        <v>1.1787933045350751E-2</v>
      </c>
      <c r="J71" s="227"/>
      <c r="K71" s="245">
        <v>26.438155999999999</v>
      </c>
      <c r="L71" s="228">
        <f t="shared" si="2"/>
        <v>-9.6524045792162338E-3</v>
      </c>
      <c r="M71" s="228"/>
      <c r="N71" s="227"/>
      <c r="O71" s="322">
        <v>34.939999</v>
      </c>
      <c r="P71" s="228">
        <f t="shared" si="3"/>
        <v>-2.5692264507343188E-3</v>
      </c>
      <c r="Q71" s="228"/>
      <c r="R71" s="227"/>
      <c r="S71" s="322">
        <v>117.230003</v>
      </c>
      <c r="T71" s="228">
        <f t="shared" si="4"/>
        <v>-4.3315356604644029E-3</v>
      </c>
      <c r="U71" s="228"/>
      <c r="V71" s="228"/>
      <c r="W71" s="228"/>
      <c r="X71" s="322">
        <v>87.360000999999997</v>
      </c>
      <c r="Y71" s="228">
        <f t="shared" si="5"/>
        <v>1.5341701355861215E-2</v>
      </c>
      <c r="Z71" s="228"/>
      <c r="AA71" s="202"/>
    </row>
    <row r="72" spans="2:27" x14ac:dyDescent="0.15">
      <c r="B72" s="241">
        <v>42769</v>
      </c>
      <c r="C72" s="244"/>
      <c r="D72" s="245">
        <v>48.469462999999998</v>
      </c>
      <c r="E72" s="228">
        <f t="shared" si="0"/>
        <v>8.2188322138034842E-3</v>
      </c>
      <c r="F72" s="228"/>
      <c r="G72" s="245">
        <v>117.42023500000001</v>
      </c>
      <c r="H72" s="228">
        <f t="shared" si="1"/>
        <v>2.1998250668913144E-3</v>
      </c>
      <c r="J72" s="227"/>
      <c r="K72" s="245">
        <v>26.601353</v>
      </c>
      <c r="L72" s="228">
        <f t="shared" si="2"/>
        <v>6.1727830034741249E-3</v>
      </c>
      <c r="M72" s="228"/>
      <c r="N72" s="227"/>
      <c r="O72" s="322">
        <v>35.310001</v>
      </c>
      <c r="P72" s="228">
        <f t="shared" si="3"/>
        <v>1.0589639684878138E-2</v>
      </c>
      <c r="Q72" s="228"/>
      <c r="R72" s="227"/>
      <c r="S72" s="322">
        <v>117.650002</v>
      </c>
      <c r="T72" s="228">
        <f t="shared" si="4"/>
        <v>3.5826920519657079E-3</v>
      </c>
      <c r="U72" s="228"/>
      <c r="V72" s="228"/>
      <c r="W72" s="228"/>
      <c r="X72" s="322">
        <v>87.589995999999999</v>
      </c>
      <c r="Y72" s="228">
        <f t="shared" si="5"/>
        <v>2.6327266182151199E-3</v>
      </c>
      <c r="Z72" s="228"/>
      <c r="AA72" s="202"/>
    </row>
    <row r="73" spans="2:27" x14ac:dyDescent="0.15">
      <c r="B73" s="241">
        <v>42772</v>
      </c>
      <c r="C73" s="244"/>
      <c r="D73" s="245">
        <v>48.350006</v>
      </c>
      <c r="E73" s="228">
        <f t="shared" ref="E73:E136" si="6">D73/D72-1</f>
        <v>-2.4645827002456322E-3</v>
      </c>
      <c r="F73" s="228"/>
      <c r="G73" s="245">
        <v>116.67568199999999</v>
      </c>
      <c r="H73" s="228">
        <f t="shared" ref="H73:H136" si="7">G73/G72-1</f>
        <v>-6.3409258208350083E-3</v>
      </c>
      <c r="J73" s="227"/>
      <c r="K73" s="245">
        <v>26.515460999999998</v>
      </c>
      <c r="L73" s="228">
        <f t="shared" ref="L73:L136" si="8">K73/K72-1</f>
        <v>-3.2288583216049105E-3</v>
      </c>
      <c r="M73" s="228"/>
      <c r="N73" s="227"/>
      <c r="O73" s="322">
        <v>35.18</v>
      </c>
      <c r="P73" s="228">
        <f t="shared" ref="P73:P136" si="9">O73/O72-1</f>
        <v>-3.6817047951938076E-3</v>
      </c>
      <c r="Q73" s="228"/>
      <c r="R73" s="227"/>
      <c r="S73" s="322">
        <v>117.160004</v>
      </c>
      <c r="T73" s="228">
        <f t="shared" ref="T73:T136" si="10">S73/S72-1</f>
        <v>-4.1648788072268239E-3</v>
      </c>
      <c r="U73" s="228"/>
      <c r="V73" s="228"/>
      <c r="W73" s="228"/>
      <c r="X73" s="322">
        <v>87</v>
      </c>
      <c r="Y73" s="228">
        <f t="shared" ref="Y73:Y136" si="11">X73/X72-1</f>
        <v>-6.7358833992867684E-3</v>
      </c>
      <c r="Z73" s="228"/>
      <c r="AA73" s="202"/>
    </row>
    <row r="74" spans="2:27" x14ac:dyDescent="0.15">
      <c r="B74" s="241">
        <v>42773</v>
      </c>
      <c r="C74" s="244"/>
      <c r="D74" s="245">
        <v>48.322453000000003</v>
      </c>
      <c r="E74" s="228">
        <f t="shared" si="6"/>
        <v>-5.6986549288118304E-4</v>
      </c>
      <c r="F74" s="228"/>
      <c r="G74" s="245">
        <v>117.65888200000001</v>
      </c>
      <c r="H74" s="228">
        <f t="shared" si="7"/>
        <v>8.4267773982242833E-3</v>
      </c>
      <c r="J74" s="227"/>
      <c r="K74" s="245">
        <v>26.214829999999999</v>
      </c>
      <c r="L74" s="228">
        <f t="shared" si="8"/>
        <v>-1.1337951092006304E-2</v>
      </c>
      <c r="M74" s="228"/>
      <c r="N74" s="227"/>
      <c r="O74" s="322">
        <v>35.540000999999997</v>
      </c>
      <c r="P74" s="228">
        <f t="shared" si="9"/>
        <v>1.0233115406480975E-2</v>
      </c>
      <c r="Q74" s="228"/>
      <c r="R74" s="227"/>
      <c r="S74" s="322">
        <v>117</v>
      </c>
      <c r="T74" s="228">
        <f t="shared" si="10"/>
        <v>-1.3656879014787293E-3</v>
      </c>
      <c r="U74" s="228"/>
      <c r="V74" s="228"/>
      <c r="W74" s="228"/>
      <c r="X74" s="322">
        <v>87.660004000000001</v>
      </c>
      <c r="Y74" s="228">
        <f t="shared" si="11"/>
        <v>7.5862528735632928E-3</v>
      </c>
      <c r="Z74" s="228"/>
      <c r="AA74" s="202"/>
    </row>
    <row r="75" spans="2:27" x14ac:dyDescent="0.15">
      <c r="B75" s="241">
        <v>42774</v>
      </c>
      <c r="C75" s="244"/>
      <c r="D75" s="245">
        <v>48.386761</v>
      </c>
      <c r="E75" s="228">
        <f t="shared" si="6"/>
        <v>1.3308099239084381E-3</v>
      </c>
      <c r="F75" s="228"/>
      <c r="G75" s="245">
        <v>118.451149</v>
      </c>
      <c r="H75" s="228">
        <f t="shared" si="7"/>
        <v>6.7335927941249984E-3</v>
      </c>
      <c r="J75" s="227"/>
      <c r="K75" s="245">
        <v>26.051629999999999</v>
      </c>
      <c r="L75" s="228">
        <f t="shared" si="8"/>
        <v>-6.2254838196547091E-3</v>
      </c>
      <c r="M75" s="228"/>
      <c r="N75" s="227"/>
      <c r="O75" s="322">
        <v>35.599997999999999</v>
      </c>
      <c r="P75" s="228">
        <f t="shared" si="9"/>
        <v>1.6881541449591531E-3</v>
      </c>
      <c r="Q75" s="228"/>
      <c r="R75" s="227"/>
      <c r="S75" s="322">
        <v>115.870003</v>
      </c>
      <c r="T75" s="228">
        <f t="shared" si="10"/>
        <v>-9.6580940170940544E-3</v>
      </c>
      <c r="U75" s="228"/>
      <c r="V75" s="228"/>
      <c r="W75" s="228"/>
      <c r="X75" s="322">
        <v>86.870002999999997</v>
      </c>
      <c r="Y75" s="228">
        <f t="shared" si="11"/>
        <v>-9.0121031707915966E-3</v>
      </c>
      <c r="Z75" s="228"/>
      <c r="AA75" s="202"/>
    </row>
    <row r="76" spans="2:27" x14ac:dyDescent="0.15">
      <c r="B76" s="241">
        <v>42775</v>
      </c>
      <c r="C76" s="244"/>
      <c r="D76" s="245">
        <v>48.699168999999998</v>
      </c>
      <c r="E76" s="228">
        <f t="shared" si="6"/>
        <v>6.4564768036445841E-3</v>
      </c>
      <c r="F76" s="228"/>
      <c r="G76" s="245">
        <v>118.86161</v>
      </c>
      <c r="H76" s="228">
        <f t="shared" si="7"/>
        <v>3.4652344317909201E-3</v>
      </c>
      <c r="J76" s="227"/>
      <c r="K76" s="245">
        <v>25.948557000000001</v>
      </c>
      <c r="L76" s="228">
        <f t="shared" si="8"/>
        <v>-3.9564894787772475E-3</v>
      </c>
      <c r="M76" s="228"/>
      <c r="N76" s="227"/>
      <c r="O76" s="322">
        <v>35.409999999999997</v>
      </c>
      <c r="P76" s="228">
        <f t="shared" si="9"/>
        <v>-5.3370227717429719E-3</v>
      </c>
      <c r="Q76" s="228"/>
      <c r="R76" s="227"/>
      <c r="S76" s="322">
        <v>116</v>
      </c>
      <c r="T76" s="228">
        <f t="shared" si="10"/>
        <v>1.1219210894470866E-3</v>
      </c>
      <c r="U76" s="228"/>
      <c r="V76" s="228"/>
      <c r="W76" s="228"/>
      <c r="X76" s="322">
        <v>86.739998</v>
      </c>
      <c r="Y76" s="228">
        <f t="shared" si="11"/>
        <v>-1.4965465121486998E-3</v>
      </c>
      <c r="Z76" s="228"/>
      <c r="AA76" s="202"/>
    </row>
    <row r="77" spans="2:27" x14ac:dyDescent="0.15">
      <c r="B77" s="241">
        <v>42776</v>
      </c>
      <c r="C77" s="244"/>
      <c r="D77" s="245">
        <v>48.919701000000003</v>
      </c>
      <c r="E77" s="228">
        <f t="shared" si="6"/>
        <v>4.5284550954043379E-3</v>
      </c>
      <c r="F77" s="228"/>
      <c r="G77" s="245">
        <v>119.17662</v>
      </c>
      <c r="H77" s="228">
        <f t="shared" si="7"/>
        <v>2.6502249128208533E-3</v>
      </c>
      <c r="J77" s="227"/>
      <c r="K77" s="245">
        <v>26.378029000000002</v>
      </c>
      <c r="L77" s="228">
        <f t="shared" si="8"/>
        <v>1.6550901077081015E-2</v>
      </c>
      <c r="M77" s="228"/>
      <c r="N77" s="227"/>
      <c r="O77" s="322">
        <v>35.32</v>
      </c>
      <c r="P77" s="228">
        <f t="shared" si="9"/>
        <v>-2.5416548997457822E-3</v>
      </c>
      <c r="Q77" s="228"/>
      <c r="R77" s="227"/>
      <c r="S77" s="322">
        <v>115.989998</v>
      </c>
      <c r="T77" s="228">
        <f t="shared" si="10"/>
        <v>-8.622413793102357E-5</v>
      </c>
      <c r="U77" s="228"/>
      <c r="V77" s="228"/>
      <c r="W77" s="228"/>
      <c r="X77" s="322">
        <v>86.639999000000003</v>
      </c>
      <c r="Y77" s="228">
        <f t="shared" si="11"/>
        <v>-1.152859145788776E-3</v>
      </c>
      <c r="Z77" s="228"/>
      <c r="AA77" s="202"/>
    </row>
    <row r="78" spans="2:27" x14ac:dyDescent="0.15">
      <c r="B78" s="241">
        <v>42779</v>
      </c>
      <c r="C78" s="244"/>
      <c r="D78" s="245">
        <v>49.149410000000003</v>
      </c>
      <c r="E78" s="228">
        <f t="shared" si="6"/>
        <v>4.6956337693069283E-3</v>
      </c>
      <c r="F78" s="228"/>
      <c r="G78" s="245">
        <v>120.751633</v>
      </c>
      <c r="H78" s="228">
        <f t="shared" si="7"/>
        <v>1.3215788465892109E-2</v>
      </c>
      <c r="J78" s="227"/>
      <c r="K78" s="245">
        <v>27.21979</v>
      </c>
      <c r="L78" s="228">
        <f t="shared" si="8"/>
        <v>3.1911444179548054E-2</v>
      </c>
      <c r="M78" s="228"/>
      <c r="N78" s="227"/>
      <c r="O78" s="322">
        <v>35.459999000000003</v>
      </c>
      <c r="P78" s="228">
        <f t="shared" si="9"/>
        <v>3.9637315968290565E-3</v>
      </c>
      <c r="Q78" s="228"/>
      <c r="R78" s="227"/>
      <c r="S78" s="322">
        <v>116.260002</v>
      </c>
      <c r="T78" s="228">
        <f t="shared" si="10"/>
        <v>2.3278214040489686E-3</v>
      </c>
      <c r="U78" s="228"/>
      <c r="V78" s="228"/>
      <c r="W78" s="228"/>
      <c r="X78" s="322">
        <v>87.220000999999996</v>
      </c>
      <c r="Y78" s="228">
        <f t="shared" si="11"/>
        <v>6.6943906589840285E-3</v>
      </c>
      <c r="Z78" s="228"/>
      <c r="AA78" s="202"/>
    </row>
    <row r="79" spans="2:27" x14ac:dyDescent="0.15">
      <c r="B79" s="241">
        <v>42780</v>
      </c>
      <c r="C79" s="244"/>
      <c r="D79" s="245">
        <v>49.342373000000002</v>
      </c>
      <c r="E79" s="228">
        <f t="shared" si="6"/>
        <v>3.9260491631536443E-3</v>
      </c>
      <c r="F79" s="228"/>
      <c r="G79" s="245">
        <v>120.513008</v>
      </c>
      <c r="H79" s="228">
        <f t="shared" si="7"/>
        <v>-1.9761637509283503E-3</v>
      </c>
      <c r="J79" s="227"/>
      <c r="K79" s="245">
        <v>26.91057</v>
      </c>
      <c r="L79" s="228">
        <f t="shared" si="8"/>
        <v>-1.1360117032497286E-2</v>
      </c>
      <c r="M79" s="228"/>
      <c r="N79" s="227"/>
      <c r="O79" s="322">
        <v>35.229999999999997</v>
      </c>
      <c r="P79" s="228">
        <f t="shared" si="9"/>
        <v>-6.486153595210431E-3</v>
      </c>
      <c r="Q79" s="228"/>
      <c r="R79" s="227"/>
      <c r="S79" s="322">
        <v>115.629997</v>
      </c>
      <c r="T79" s="228">
        <f t="shared" si="10"/>
        <v>-5.4189316115786923E-3</v>
      </c>
      <c r="U79" s="228"/>
      <c r="V79" s="228"/>
      <c r="W79" s="228"/>
      <c r="X79" s="322">
        <v>86.989998</v>
      </c>
      <c r="Y79" s="228">
        <f t="shared" si="11"/>
        <v>-2.6370442256701265E-3</v>
      </c>
      <c r="Z79" s="228"/>
      <c r="AA79" s="202"/>
    </row>
    <row r="80" spans="2:27" x14ac:dyDescent="0.15">
      <c r="B80" s="241">
        <v>42781</v>
      </c>
      <c r="C80" s="244"/>
      <c r="D80" s="245">
        <v>49.599651000000001</v>
      </c>
      <c r="E80" s="228">
        <f t="shared" si="6"/>
        <v>5.2141391740523346E-3</v>
      </c>
      <c r="F80" s="228"/>
      <c r="G80" s="245">
        <v>121.477127</v>
      </c>
      <c r="H80" s="228">
        <f t="shared" si="7"/>
        <v>8.0001239368283628E-3</v>
      </c>
      <c r="J80" s="227"/>
      <c r="K80" s="245">
        <v>27.271328</v>
      </c>
      <c r="L80" s="228">
        <f t="shared" si="8"/>
        <v>1.3405810430622722E-2</v>
      </c>
      <c r="M80" s="228"/>
      <c r="N80" s="227"/>
      <c r="O80" s="322">
        <v>35.490001999999997</v>
      </c>
      <c r="P80" s="228">
        <f t="shared" si="9"/>
        <v>7.3801305705365472E-3</v>
      </c>
      <c r="Q80" s="228"/>
      <c r="R80" s="227"/>
      <c r="S80" s="322">
        <v>116.230003</v>
      </c>
      <c r="T80" s="228">
        <f t="shared" si="10"/>
        <v>5.1890168257981983E-3</v>
      </c>
      <c r="U80" s="228"/>
      <c r="V80" s="228"/>
      <c r="W80" s="228"/>
      <c r="X80" s="322">
        <v>87.68</v>
      </c>
      <c r="Y80" s="228">
        <f t="shared" si="11"/>
        <v>7.9319693742263553E-3</v>
      </c>
      <c r="Z80" s="228"/>
      <c r="AA80" s="202"/>
    </row>
    <row r="81" spans="2:27" x14ac:dyDescent="0.15">
      <c r="B81" s="241">
        <v>42782</v>
      </c>
      <c r="C81" s="244"/>
      <c r="D81" s="245">
        <v>49.553702999999999</v>
      </c>
      <c r="E81" s="228">
        <f t="shared" si="6"/>
        <v>-9.2637748600288283E-4</v>
      </c>
      <c r="F81" s="228"/>
      <c r="G81" s="245">
        <v>121.486656</v>
      </c>
      <c r="H81" s="228">
        <f t="shared" si="7"/>
        <v>7.8442750790497229E-5</v>
      </c>
      <c r="J81" s="227"/>
      <c r="K81" s="245">
        <v>27.760919999999999</v>
      </c>
      <c r="L81" s="228">
        <f t="shared" si="8"/>
        <v>1.7952627756154582E-2</v>
      </c>
      <c r="M81" s="228"/>
      <c r="N81" s="227"/>
      <c r="O81" s="322">
        <v>35.18</v>
      </c>
      <c r="P81" s="228">
        <f t="shared" si="9"/>
        <v>-8.7349107503571499E-3</v>
      </c>
      <c r="Q81" s="228"/>
      <c r="R81" s="227"/>
      <c r="S81" s="322">
        <v>114.57</v>
      </c>
      <c r="T81" s="228">
        <f t="shared" si="10"/>
        <v>-1.4282052457660233E-2</v>
      </c>
      <c r="U81" s="228"/>
      <c r="V81" s="228"/>
      <c r="W81" s="228"/>
      <c r="X81" s="322">
        <v>88.529999000000004</v>
      </c>
      <c r="Y81" s="228">
        <f t="shared" si="11"/>
        <v>9.6943316605839769E-3</v>
      </c>
      <c r="Z81" s="228"/>
      <c r="AA81" s="202"/>
    </row>
    <row r="82" spans="2:27" x14ac:dyDescent="0.15">
      <c r="B82" s="241">
        <v>42783</v>
      </c>
      <c r="C82" s="244"/>
      <c r="D82" s="245">
        <v>49.618034000000002</v>
      </c>
      <c r="E82" s="228">
        <f t="shared" si="6"/>
        <v>1.2982077242542633E-3</v>
      </c>
      <c r="F82" s="228"/>
      <c r="G82" s="245">
        <v>121.114372</v>
      </c>
      <c r="H82" s="228">
        <f t="shared" si="7"/>
        <v>-3.0644023982353552E-3</v>
      </c>
      <c r="J82" s="227"/>
      <c r="K82" s="245">
        <v>27.778103000000002</v>
      </c>
      <c r="L82" s="228">
        <f t="shared" si="8"/>
        <v>6.1896363665181475E-4</v>
      </c>
      <c r="M82" s="228"/>
      <c r="N82" s="227"/>
      <c r="O82" s="322">
        <v>35.669998</v>
      </c>
      <c r="P82" s="228">
        <f t="shared" si="9"/>
        <v>1.3928311540648108E-2</v>
      </c>
      <c r="Q82" s="228"/>
      <c r="R82" s="227"/>
      <c r="S82" s="322">
        <v>114.900002</v>
      </c>
      <c r="T82" s="228">
        <f t="shared" si="10"/>
        <v>2.8803526228506904E-3</v>
      </c>
      <c r="U82" s="228"/>
      <c r="V82" s="228"/>
      <c r="W82" s="228"/>
      <c r="X82" s="322">
        <v>88.459998999999996</v>
      </c>
      <c r="Y82" s="228">
        <f t="shared" si="11"/>
        <v>-7.9069242957985342E-4</v>
      </c>
      <c r="Z82" s="228"/>
      <c r="AA82" s="202"/>
    </row>
    <row r="83" spans="2:27" x14ac:dyDescent="0.15">
      <c r="B83" s="241">
        <v>42787</v>
      </c>
      <c r="C83" s="244"/>
      <c r="D83" s="245">
        <v>49.930435000000003</v>
      </c>
      <c r="E83" s="228">
        <f t="shared" si="6"/>
        <v>6.2961180606229128E-3</v>
      </c>
      <c r="F83" s="228"/>
      <c r="G83" s="245">
        <v>121.79209899999999</v>
      </c>
      <c r="H83" s="228">
        <f t="shared" si="7"/>
        <v>5.5957603446104009E-3</v>
      </c>
      <c r="J83" s="227"/>
      <c r="K83" s="245">
        <v>27.769515999999999</v>
      </c>
      <c r="L83" s="228">
        <f t="shared" si="8"/>
        <v>-3.0912838072494342E-4</v>
      </c>
      <c r="M83" s="228"/>
      <c r="N83" s="227"/>
      <c r="O83" s="322">
        <v>36.580002</v>
      </c>
      <c r="P83" s="228">
        <f t="shared" si="9"/>
        <v>2.5511747996173062E-2</v>
      </c>
      <c r="Q83" s="228"/>
      <c r="R83" s="227"/>
      <c r="S83" s="322">
        <v>117.82</v>
      </c>
      <c r="T83" s="228">
        <f t="shared" si="10"/>
        <v>2.5413385110297781E-2</v>
      </c>
      <c r="U83" s="228"/>
      <c r="V83" s="228"/>
      <c r="W83" s="228"/>
      <c r="X83" s="322">
        <v>90.449996999999996</v>
      </c>
      <c r="Y83" s="228">
        <f t="shared" si="11"/>
        <v>2.2496021054668969E-2</v>
      </c>
      <c r="Z83" s="228"/>
      <c r="AA83" s="202"/>
    </row>
    <row r="84" spans="2:27" x14ac:dyDescent="0.15">
      <c r="B84" s="241">
        <v>42788</v>
      </c>
      <c r="C84" s="244"/>
      <c r="D84" s="245">
        <v>49.856926000000001</v>
      </c>
      <c r="E84" s="228">
        <f t="shared" si="6"/>
        <v>-1.4722283112494905E-3</v>
      </c>
      <c r="F84" s="228"/>
      <c r="G84" s="245">
        <v>118.202972</v>
      </c>
      <c r="H84" s="228">
        <f t="shared" si="7"/>
        <v>-2.9469292585227458E-2</v>
      </c>
      <c r="J84" s="227"/>
      <c r="K84" s="245">
        <v>27.546185999999999</v>
      </c>
      <c r="L84" s="228">
        <f t="shared" si="8"/>
        <v>-8.0422719646968677E-3</v>
      </c>
      <c r="M84" s="228"/>
      <c r="N84" s="227"/>
      <c r="O84" s="322">
        <v>36.509998000000003</v>
      </c>
      <c r="P84" s="228">
        <f t="shared" si="9"/>
        <v>-1.9137232414584426E-3</v>
      </c>
      <c r="Q84" s="228"/>
      <c r="R84" s="227"/>
      <c r="S84" s="322">
        <v>118.58000199999999</v>
      </c>
      <c r="T84" s="228">
        <f t="shared" si="10"/>
        <v>6.4505347139705016E-3</v>
      </c>
      <c r="U84" s="228"/>
      <c r="V84" s="228"/>
      <c r="W84" s="228"/>
      <c r="X84" s="322">
        <v>90.269997000000004</v>
      </c>
      <c r="Y84" s="228">
        <f t="shared" si="11"/>
        <v>-1.9900498172487069E-3</v>
      </c>
      <c r="Z84" s="228"/>
      <c r="AA84" s="202"/>
    </row>
    <row r="85" spans="2:27" x14ac:dyDescent="0.15">
      <c r="B85" s="241">
        <v>42789</v>
      </c>
      <c r="C85" s="244"/>
      <c r="D85" s="245">
        <v>49.838551000000002</v>
      </c>
      <c r="E85" s="228">
        <f t="shared" si="6"/>
        <v>-3.6855461165008485E-4</v>
      </c>
      <c r="F85" s="228"/>
      <c r="G85" s="245">
        <v>118.155235</v>
      </c>
      <c r="H85" s="228">
        <f t="shared" si="7"/>
        <v>-4.0385617376859084E-4</v>
      </c>
      <c r="J85" s="227"/>
      <c r="K85" s="245">
        <v>27.271328</v>
      </c>
      <c r="L85" s="228">
        <f t="shared" si="8"/>
        <v>-9.9780782718884575E-3</v>
      </c>
      <c r="M85" s="228"/>
      <c r="N85" s="227"/>
      <c r="O85" s="322">
        <v>36.159999999999997</v>
      </c>
      <c r="P85" s="228">
        <f t="shared" si="9"/>
        <v>-9.5863604265331581E-3</v>
      </c>
      <c r="Q85" s="228"/>
      <c r="R85" s="227"/>
      <c r="S85" s="322">
        <v>117.730003</v>
      </c>
      <c r="T85" s="228">
        <f t="shared" si="10"/>
        <v>-7.1681479647807134E-3</v>
      </c>
      <c r="U85" s="228"/>
      <c r="V85" s="228"/>
      <c r="W85" s="228"/>
      <c r="X85" s="322">
        <v>89.900002000000001</v>
      </c>
      <c r="Y85" s="228">
        <f t="shared" si="11"/>
        <v>-4.0987594139391126E-3</v>
      </c>
      <c r="Z85" s="228"/>
      <c r="AA85" s="202"/>
    </row>
    <row r="86" spans="2:27" x14ac:dyDescent="0.15">
      <c r="B86" s="241">
        <v>42790</v>
      </c>
      <c r="C86" s="244"/>
      <c r="D86" s="245">
        <v>49.893676999999997</v>
      </c>
      <c r="E86" s="228">
        <f t="shared" si="6"/>
        <v>1.1060915474849775E-3</v>
      </c>
      <c r="F86" s="228"/>
      <c r="G86" s="245">
        <v>116.962051</v>
      </c>
      <c r="H86" s="228">
        <f t="shared" si="7"/>
        <v>-1.0098443797263879E-2</v>
      </c>
      <c r="J86" s="227"/>
      <c r="K86" s="245">
        <v>27.417345000000001</v>
      </c>
      <c r="L86" s="228">
        <f t="shared" si="8"/>
        <v>5.3542313744310288E-3</v>
      </c>
      <c r="M86" s="228"/>
      <c r="N86" s="227"/>
      <c r="O86" s="322">
        <v>36.299999</v>
      </c>
      <c r="P86" s="228">
        <f t="shared" si="9"/>
        <v>3.8716537610621327E-3</v>
      </c>
      <c r="Q86" s="228"/>
      <c r="R86" s="227"/>
      <c r="S86" s="322">
        <v>118.790001</v>
      </c>
      <c r="T86" s="228">
        <f t="shared" si="10"/>
        <v>9.0036352075859583E-3</v>
      </c>
      <c r="U86" s="228"/>
      <c r="V86" s="228"/>
      <c r="W86" s="228"/>
      <c r="X86" s="322">
        <v>90.290001000000004</v>
      </c>
      <c r="Y86" s="228">
        <f t="shared" si="11"/>
        <v>4.3381422839123829E-3</v>
      </c>
      <c r="Z86" s="228"/>
      <c r="AA86" s="202"/>
    </row>
    <row r="87" spans="2:27" x14ac:dyDescent="0.15">
      <c r="B87" s="241">
        <v>42793</v>
      </c>
      <c r="C87" s="244"/>
      <c r="D87" s="245">
        <v>50.003928999999999</v>
      </c>
      <c r="E87" s="228">
        <f t="shared" si="6"/>
        <v>2.2097389214268404E-3</v>
      </c>
      <c r="F87" s="228"/>
      <c r="G87" s="245">
        <v>117.31523900000001</v>
      </c>
      <c r="H87" s="228">
        <f t="shared" si="7"/>
        <v>3.0196802892932251E-3</v>
      </c>
      <c r="J87" s="227"/>
      <c r="K87" s="245">
        <v>27.082363000000001</v>
      </c>
      <c r="L87" s="228">
        <f t="shared" si="8"/>
        <v>-1.2217886159290758E-2</v>
      </c>
      <c r="M87" s="228"/>
      <c r="N87" s="227"/>
      <c r="O87" s="322">
        <v>36.43</v>
      </c>
      <c r="P87" s="228">
        <f t="shared" si="9"/>
        <v>3.5812948644984299E-3</v>
      </c>
      <c r="Q87" s="228"/>
      <c r="R87" s="227"/>
      <c r="S87" s="322">
        <v>119.290001</v>
      </c>
      <c r="T87" s="228">
        <f t="shared" si="10"/>
        <v>4.2091084753841379E-3</v>
      </c>
      <c r="U87" s="228"/>
      <c r="V87" s="228"/>
      <c r="W87" s="228"/>
      <c r="X87" s="322">
        <v>90.220000999999996</v>
      </c>
      <c r="Y87" s="228">
        <f t="shared" si="11"/>
        <v>-7.7527964586032727E-4</v>
      </c>
      <c r="Z87" s="228"/>
      <c r="AA87" s="202"/>
    </row>
    <row r="88" spans="2:27" x14ac:dyDescent="0.15">
      <c r="B88" s="241">
        <v>42794</v>
      </c>
      <c r="C88" s="244"/>
      <c r="D88" s="245">
        <v>49.792603</v>
      </c>
      <c r="E88" s="228">
        <f t="shared" si="6"/>
        <v>-4.2261879061543661E-3</v>
      </c>
      <c r="F88" s="228"/>
      <c r="G88" s="245">
        <v>116.160217</v>
      </c>
      <c r="H88" s="228">
        <f t="shared" si="7"/>
        <v>-9.8454557979462676E-3</v>
      </c>
      <c r="J88" s="227"/>
      <c r="K88" s="245">
        <v>27.030823000000002</v>
      </c>
      <c r="L88" s="228">
        <f t="shared" si="8"/>
        <v>-1.9030835677078528E-3</v>
      </c>
      <c r="M88" s="228"/>
      <c r="N88" s="227"/>
      <c r="O88" s="322">
        <v>36.220001000000003</v>
      </c>
      <c r="P88" s="228">
        <f t="shared" si="9"/>
        <v>-5.7644523744165843E-3</v>
      </c>
      <c r="Q88" s="228"/>
      <c r="R88" s="227"/>
      <c r="S88" s="322">
        <v>118.540001</v>
      </c>
      <c r="T88" s="228">
        <f t="shared" si="10"/>
        <v>-6.2871992095967499E-3</v>
      </c>
      <c r="U88" s="228"/>
      <c r="V88" s="228"/>
      <c r="W88" s="228"/>
      <c r="X88" s="322">
        <v>90.120002999999997</v>
      </c>
      <c r="Y88" s="228">
        <f t="shared" si="11"/>
        <v>-1.1083795044515288E-3</v>
      </c>
      <c r="Z88" s="228"/>
      <c r="AA88" s="202"/>
    </row>
    <row r="89" spans="2:27" x14ac:dyDescent="0.15">
      <c r="B89" s="241">
        <v>42795</v>
      </c>
      <c r="C89" s="244"/>
      <c r="D89" s="245">
        <v>50.509312000000001</v>
      </c>
      <c r="E89" s="228">
        <f t="shared" si="6"/>
        <v>1.4393884971227511E-2</v>
      </c>
      <c r="F89" s="228"/>
      <c r="G89" s="245">
        <v>117.85934399999999</v>
      </c>
      <c r="H89" s="228">
        <f t="shared" si="7"/>
        <v>1.4627443404310991E-2</v>
      </c>
      <c r="J89" s="227"/>
      <c r="K89" s="245">
        <v>27.125309000000001</v>
      </c>
      <c r="L89" s="228">
        <f t="shared" si="8"/>
        <v>3.4954910547857487E-3</v>
      </c>
      <c r="M89" s="228"/>
      <c r="N89" s="227"/>
      <c r="O89" s="322">
        <v>36.849997999999999</v>
      </c>
      <c r="P89" s="228">
        <f t="shared" si="9"/>
        <v>1.7393621827895389E-2</v>
      </c>
      <c r="Q89" s="228"/>
      <c r="R89" s="227"/>
      <c r="S89" s="322">
        <v>119.66999800000001</v>
      </c>
      <c r="T89" s="228">
        <f t="shared" si="10"/>
        <v>9.5326218193638734E-3</v>
      </c>
      <c r="U89" s="228"/>
      <c r="V89" s="228"/>
      <c r="W89" s="228"/>
      <c r="X89" s="322">
        <v>91.440002000000007</v>
      </c>
      <c r="Y89" s="228">
        <f t="shared" si="11"/>
        <v>1.464712556656278E-2</v>
      </c>
      <c r="Z89" s="228"/>
      <c r="AA89" s="202"/>
    </row>
    <row r="90" spans="2:27" x14ac:dyDescent="0.15">
      <c r="B90" s="241">
        <v>42796</v>
      </c>
      <c r="C90" s="244"/>
      <c r="D90" s="245">
        <v>50.178534999999997</v>
      </c>
      <c r="E90" s="228">
        <f t="shared" si="6"/>
        <v>-6.5488320252710119E-3</v>
      </c>
      <c r="F90" s="228"/>
      <c r="G90" s="245">
        <v>116.04567</v>
      </c>
      <c r="H90" s="228">
        <f t="shared" si="7"/>
        <v>-1.5388461690402644E-2</v>
      </c>
      <c r="J90" s="227"/>
      <c r="K90" s="245">
        <v>26.515460999999998</v>
      </c>
      <c r="L90" s="228">
        <f t="shared" si="8"/>
        <v>-2.2482619460666875E-2</v>
      </c>
      <c r="M90" s="228"/>
      <c r="N90" s="227"/>
      <c r="O90" s="322">
        <v>36.490001999999997</v>
      </c>
      <c r="P90" s="228">
        <f t="shared" si="9"/>
        <v>-9.7692271245171103E-3</v>
      </c>
      <c r="Q90" s="228"/>
      <c r="R90" s="227"/>
      <c r="S90" s="322">
        <v>118.480003</v>
      </c>
      <c r="T90" s="228">
        <f t="shared" si="10"/>
        <v>-9.943971086220027E-3</v>
      </c>
      <c r="U90" s="228"/>
      <c r="V90" s="228"/>
      <c r="W90" s="228"/>
      <c r="X90" s="322">
        <v>90.730002999999996</v>
      </c>
      <c r="Y90" s="228">
        <f t="shared" si="11"/>
        <v>-7.764643312234476E-3</v>
      </c>
      <c r="Z90" s="228"/>
      <c r="AA90" s="202"/>
    </row>
    <row r="91" spans="2:27" x14ac:dyDescent="0.15">
      <c r="B91" s="241">
        <v>42797</v>
      </c>
      <c r="C91" s="244"/>
      <c r="D91" s="245">
        <v>50.215274999999998</v>
      </c>
      <c r="E91" s="228">
        <f t="shared" si="6"/>
        <v>7.3218558493182151E-4</v>
      </c>
      <c r="F91" s="228"/>
      <c r="G91" s="245">
        <v>117.391609</v>
      </c>
      <c r="H91" s="228">
        <f t="shared" si="7"/>
        <v>1.1598356061023329E-2</v>
      </c>
      <c r="J91" s="227"/>
      <c r="K91" s="245">
        <v>26.498280000000001</v>
      </c>
      <c r="L91" s="228">
        <f t="shared" si="8"/>
        <v>-6.4796157984947644E-4</v>
      </c>
      <c r="M91" s="228"/>
      <c r="N91" s="227"/>
      <c r="O91" s="322">
        <v>36.869999</v>
      </c>
      <c r="P91" s="228">
        <f t="shared" si="9"/>
        <v>1.0413729218211598E-2</v>
      </c>
      <c r="Q91" s="228"/>
      <c r="R91" s="227"/>
      <c r="S91" s="322">
        <v>118.620003</v>
      </c>
      <c r="T91" s="228">
        <f t="shared" si="10"/>
        <v>1.1816340011403526E-3</v>
      </c>
      <c r="U91" s="228"/>
      <c r="V91" s="228"/>
      <c r="W91" s="228"/>
      <c r="X91" s="322">
        <v>90.419998000000007</v>
      </c>
      <c r="Y91" s="228">
        <f t="shared" si="11"/>
        <v>-3.416785955578483E-3</v>
      </c>
      <c r="Z91" s="228"/>
      <c r="AA91" s="202"/>
    </row>
    <row r="92" spans="2:27" x14ac:dyDescent="0.15">
      <c r="B92" s="241">
        <v>42800</v>
      </c>
      <c r="C92" s="244"/>
      <c r="D92" s="245">
        <v>50.022316000000004</v>
      </c>
      <c r="E92" s="228">
        <f t="shared" si="6"/>
        <v>-3.8426355327138007E-3</v>
      </c>
      <c r="F92" s="228"/>
      <c r="G92" s="245">
        <v>116.07431</v>
      </c>
      <c r="H92" s="228">
        <f t="shared" si="7"/>
        <v>-1.1221406804297285E-2</v>
      </c>
      <c r="J92" s="227"/>
      <c r="K92" s="245">
        <v>26.498280000000001</v>
      </c>
      <c r="L92" s="228">
        <f t="shared" si="8"/>
        <v>0</v>
      </c>
      <c r="M92" s="228"/>
      <c r="N92" s="227"/>
      <c r="O92" s="322">
        <v>36.860000999999997</v>
      </c>
      <c r="P92" s="228">
        <f t="shared" si="9"/>
        <v>-2.7116897941881213E-4</v>
      </c>
      <c r="Q92" s="228"/>
      <c r="R92" s="227"/>
      <c r="S92" s="322">
        <v>118.360001</v>
      </c>
      <c r="T92" s="228">
        <f t="shared" si="10"/>
        <v>-2.1918900136935759E-3</v>
      </c>
      <c r="U92" s="228"/>
      <c r="V92" s="228"/>
      <c r="W92" s="228"/>
      <c r="X92" s="322">
        <v>90.82</v>
      </c>
      <c r="Y92" s="228">
        <f t="shared" si="11"/>
        <v>4.4238222610886169E-3</v>
      </c>
      <c r="Z92" s="228"/>
      <c r="AA92" s="202"/>
    </row>
    <row r="93" spans="2:27" x14ac:dyDescent="0.15">
      <c r="B93" s="241">
        <v>42801</v>
      </c>
      <c r="C93" s="244"/>
      <c r="D93" s="245">
        <v>49.856926000000001</v>
      </c>
      <c r="E93" s="228">
        <f t="shared" si="6"/>
        <v>-3.3063243213289351E-3</v>
      </c>
      <c r="F93" s="228"/>
      <c r="G93" s="245">
        <v>114.527924</v>
      </c>
      <c r="H93" s="228">
        <f t="shared" si="7"/>
        <v>-1.3322379430900755E-2</v>
      </c>
      <c r="J93" s="227"/>
      <c r="K93" s="245">
        <v>26.893388999999999</v>
      </c>
      <c r="L93" s="228">
        <f t="shared" si="8"/>
        <v>1.4910741376421344E-2</v>
      </c>
      <c r="M93" s="228"/>
      <c r="N93" s="227"/>
      <c r="O93" s="322">
        <v>36.970001000000003</v>
      </c>
      <c r="P93" s="228">
        <f t="shared" si="9"/>
        <v>2.9842647047135795E-3</v>
      </c>
      <c r="Q93" s="228"/>
      <c r="R93" s="227"/>
      <c r="S93" s="322">
        <v>117.43</v>
      </c>
      <c r="T93" s="228">
        <f t="shared" si="10"/>
        <v>-7.8573926338509903E-3</v>
      </c>
      <c r="U93" s="228"/>
      <c r="V93" s="228"/>
      <c r="W93" s="228"/>
      <c r="X93" s="322">
        <v>91.040001000000004</v>
      </c>
      <c r="Y93" s="228">
        <f t="shared" si="11"/>
        <v>2.4223849372386752E-3</v>
      </c>
      <c r="Z93" s="228"/>
      <c r="AA93" s="202"/>
    </row>
    <row r="94" spans="2:27" x14ac:dyDescent="0.15">
      <c r="B94" s="241">
        <v>42802</v>
      </c>
      <c r="C94" s="244"/>
      <c r="D94" s="245">
        <v>49.728290999999999</v>
      </c>
      <c r="E94" s="228">
        <f t="shared" si="6"/>
        <v>-2.5800828554893851E-3</v>
      </c>
      <c r="F94" s="228"/>
      <c r="G94" s="245">
        <v>115.262939</v>
      </c>
      <c r="H94" s="228">
        <f t="shared" si="7"/>
        <v>6.4177798245954598E-3</v>
      </c>
      <c r="J94" s="227"/>
      <c r="K94" s="245">
        <v>26.816088000000001</v>
      </c>
      <c r="L94" s="228">
        <f t="shared" si="8"/>
        <v>-2.8743495288005017E-3</v>
      </c>
      <c r="M94" s="228"/>
      <c r="N94" s="227"/>
      <c r="O94" s="322">
        <v>37.189999</v>
      </c>
      <c r="P94" s="228">
        <f t="shared" si="9"/>
        <v>5.9507166364425323E-3</v>
      </c>
      <c r="Q94" s="228"/>
      <c r="R94" s="227"/>
      <c r="S94" s="322">
        <v>117.730003</v>
      </c>
      <c r="T94" s="228">
        <f t="shared" si="10"/>
        <v>2.5547389934428288E-3</v>
      </c>
      <c r="U94" s="228"/>
      <c r="V94" s="228"/>
      <c r="W94" s="228"/>
      <c r="X94" s="322">
        <v>91.550003000000004</v>
      </c>
      <c r="Y94" s="228">
        <f t="shared" si="11"/>
        <v>5.6019551230013231E-3</v>
      </c>
      <c r="Z94" s="228"/>
      <c r="AA94" s="202"/>
    </row>
    <row r="95" spans="2:27" x14ac:dyDescent="0.15">
      <c r="B95" s="241">
        <v>42803</v>
      </c>
      <c r="C95" s="244"/>
      <c r="D95" s="245">
        <v>49.737476000000001</v>
      </c>
      <c r="E95" s="228">
        <f t="shared" si="6"/>
        <v>1.8470371322432122E-4</v>
      </c>
      <c r="F95" s="228"/>
      <c r="G95" s="245">
        <v>115.740211</v>
      </c>
      <c r="H95" s="228">
        <f t="shared" si="7"/>
        <v>4.1407238453290418E-3</v>
      </c>
      <c r="J95" s="227"/>
      <c r="K95" s="245">
        <v>26.609945</v>
      </c>
      <c r="L95" s="228">
        <f t="shared" si="8"/>
        <v>-7.6872883173713102E-3</v>
      </c>
      <c r="M95" s="228"/>
      <c r="N95" s="227"/>
      <c r="O95" s="322">
        <v>37.380001</v>
      </c>
      <c r="P95" s="228">
        <f t="shared" si="9"/>
        <v>5.1089541572721942E-3</v>
      </c>
      <c r="Q95" s="228"/>
      <c r="R95" s="227"/>
      <c r="S95" s="322">
        <v>117.550003</v>
      </c>
      <c r="T95" s="228">
        <f t="shared" si="10"/>
        <v>-1.5289220709524542E-3</v>
      </c>
      <c r="U95" s="228"/>
      <c r="V95" s="228"/>
      <c r="W95" s="228"/>
      <c r="X95" s="322">
        <v>91.790001000000004</v>
      </c>
      <c r="Y95" s="228">
        <f t="shared" si="11"/>
        <v>2.6214963641235656E-3</v>
      </c>
      <c r="Z95" s="228"/>
      <c r="AA95" s="202"/>
    </row>
    <row r="96" spans="2:27" x14ac:dyDescent="0.15">
      <c r="B96" s="241">
        <v>42804</v>
      </c>
      <c r="C96" s="244"/>
      <c r="D96" s="245">
        <v>49.902878000000001</v>
      </c>
      <c r="E96" s="228">
        <f t="shared" si="6"/>
        <v>3.3255004737273719E-3</v>
      </c>
      <c r="F96" s="228"/>
      <c r="G96" s="245">
        <v>119.319801</v>
      </c>
      <c r="H96" s="228">
        <f t="shared" si="7"/>
        <v>3.092779915529964E-2</v>
      </c>
      <c r="J96" s="227"/>
      <c r="K96" s="245">
        <v>26.678659</v>
      </c>
      <c r="L96" s="228">
        <f t="shared" si="8"/>
        <v>2.5822676446718429E-3</v>
      </c>
      <c r="M96" s="228"/>
      <c r="N96" s="227"/>
      <c r="O96" s="322">
        <v>38.119999</v>
      </c>
      <c r="P96" s="228">
        <f t="shared" si="9"/>
        <v>1.9796628683878215E-2</v>
      </c>
      <c r="Q96" s="228"/>
      <c r="R96" s="227"/>
      <c r="S96" s="322">
        <v>120.599998</v>
      </c>
      <c r="T96" s="228">
        <f t="shared" si="10"/>
        <v>2.5946362587502492E-2</v>
      </c>
      <c r="U96" s="228"/>
      <c r="V96" s="228"/>
      <c r="W96" s="228"/>
      <c r="X96" s="322">
        <v>93.199996999999996</v>
      </c>
      <c r="Y96" s="228">
        <f t="shared" si="11"/>
        <v>1.5361106707036498E-2</v>
      </c>
      <c r="Z96" s="228"/>
      <c r="AA96" s="202"/>
    </row>
    <row r="97" spans="2:27" x14ac:dyDescent="0.15">
      <c r="B97" s="241">
        <v>42807</v>
      </c>
      <c r="C97" s="244"/>
      <c r="D97" s="245">
        <v>49.948810999999999</v>
      </c>
      <c r="E97" s="228">
        <f t="shared" si="6"/>
        <v>9.2044791484768851E-4</v>
      </c>
      <c r="F97" s="228"/>
      <c r="G97" s="245">
        <v>118.54660800000001</v>
      </c>
      <c r="H97" s="228">
        <f t="shared" si="7"/>
        <v>-6.4800057787558485E-3</v>
      </c>
      <c r="J97" s="227"/>
      <c r="K97" s="245">
        <v>27.056591000000001</v>
      </c>
      <c r="L97" s="228">
        <f t="shared" si="8"/>
        <v>1.4166079337046167E-2</v>
      </c>
      <c r="M97" s="228"/>
      <c r="N97" s="227"/>
      <c r="O97" s="322">
        <v>38.439999</v>
      </c>
      <c r="P97" s="228">
        <f t="shared" si="9"/>
        <v>8.3945437669081802E-3</v>
      </c>
      <c r="Q97" s="228"/>
      <c r="R97" s="227"/>
      <c r="S97" s="322">
        <v>122.400002</v>
      </c>
      <c r="T97" s="228">
        <f t="shared" si="10"/>
        <v>1.4925406549343379E-2</v>
      </c>
      <c r="U97" s="228"/>
      <c r="V97" s="228"/>
      <c r="W97" s="228"/>
      <c r="X97" s="322">
        <v>92.860000999999997</v>
      </c>
      <c r="Y97" s="228">
        <f t="shared" si="11"/>
        <v>-3.6480258684986611E-3</v>
      </c>
      <c r="Z97" s="228"/>
      <c r="AA97" s="202"/>
    </row>
    <row r="98" spans="2:27" x14ac:dyDescent="0.15">
      <c r="B98" s="241">
        <v>42808</v>
      </c>
      <c r="C98" s="244"/>
      <c r="D98" s="245">
        <v>49.783423999999997</v>
      </c>
      <c r="E98" s="228">
        <f t="shared" si="6"/>
        <v>-3.3111298685368773E-3</v>
      </c>
      <c r="F98" s="228"/>
      <c r="G98" s="245">
        <v>118.355705</v>
      </c>
      <c r="H98" s="228">
        <f t="shared" si="7"/>
        <v>-1.6103623985598281E-3</v>
      </c>
      <c r="J98" s="227"/>
      <c r="K98" s="245">
        <v>26.807500999999998</v>
      </c>
      <c r="L98" s="228">
        <f t="shared" si="8"/>
        <v>-9.206259576455933E-3</v>
      </c>
      <c r="M98" s="228"/>
      <c r="N98" s="227"/>
      <c r="O98" s="322">
        <v>38.270000000000003</v>
      </c>
      <c r="P98" s="228">
        <f t="shared" si="9"/>
        <v>-4.4224506873685732E-3</v>
      </c>
      <c r="Q98" s="228"/>
      <c r="R98" s="227"/>
      <c r="S98" s="322">
        <v>122.349998</v>
      </c>
      <c r="T98" s="228">
        <f t="shared" si="10"/>
        <v>-4.0852940508939728E-4</v>
      </c>
      <c r="U98" s="228"/>
      <c r="V98" s="228"/>
      <c r="W98" s="228"/>
      <c r="X98" s="322">
        <v>92.870002999999997</v>
      </c>
      <c r="Y98" s="228">
        <f t="shared" si="11"/>
        <v>1.0771053082381243E-4</v>
      </c>
      <c r="Z98" s="228"/>
      <c r="AA98" s="202"/>
    </row>
    <row r="99" spans="2:27" x14ac:dyDescent="0.15">
      <c r="B99" s="241">
        <v>42809</v>
      </c>
      <c r="C99" s="244"/>
      <c r="D99" s="245">
        <v>50.215274999999998</v>
      </c>
      <c r="E99" s="228">
        <f t="shared" si="6"/>
        <v>8.6745941781747327E-3</v>
      </c>
      <c r="F99" s="228"/>
      <c r="G99" s="245">
        <v>120.341179</v>
      </c>
      <c r="H99" s="228">
        <f t="shared" si="7"/>
        <v>1.6775482009929288E-2</v>
      </c>
      <c r="J99" s="227"/>
      <c r="K99" s="245">
        <v>27.408756</v>
      </c>
      <c r="L99" s="228">
        <f t="shared" si="8"/>
        <v>2.2428610559410256E-2</v>
      </c>
      <c r="M99" s="228"/>
      <c r="N99" s="227"/>
      <c r="O99" s="322">
        <v>38.919998</v>
      </c>
      <c r="P99" s="228">
        <f t="shared" si="9"/>
        <v>1.6984530964201605E-2</v>
      </c>
      <c r="Q99" s="228"/>
      <c r="R99" s="227"/>
      <c r="S99" s="322">
        <v>124.16999800000001</v>
      </c>
      <c r="T99" s="228">
        <f t="shared" si="10"/>
        <v>1.4875357823871838E-2</v>
      </c>
      <c r="U99" s="228"/>
      <c r="V99" s="228"/>
      <c r="W99" s="228"/>
      <c r="X99" s="322">
        <v>93.610000999999997</v>
      </c>
      <c r="Y99" s="228">
        <f t="shared" si="11"/>
        <v>7.9681056971647735E-3</v>
      </c>
      <c r="Z99" s="228"/>
      <c r="AA99" s="202"/>
    </row>
    <row r="100" spans="2:27" x14ac:dyDescent="0.15">
      <c r="B100" s="241">
        <v>42810</v>
      </c>
      <c r="C100" s="244"/>
      <c r="D100" s="245">
        <v>50.169342</v>
      </c>
      <c r="E100" s="228">
        <f t="shared" si="6"/>
        <v>-9.1472166586759052E-4</v>
      </c>
      <c r="F100" s="228"/>
      <c r="G100" s="245">
        <v>120.45573400000001</v>
      </c>
      <c r="H100" s="228">
        <f t="shared" si="7"/>
        <v>9.5191854485654481E-4</v>
      </c>
      <c r="J100" s="227"/>
      <c r="K100" s="245">
        <v>27.838225999999999</v>
      </c>
      <c r="L100" s="228">
        <f t="shared" si="8"/>
        <v>1.5669080347900488E-2</v>
      </c>
      <c r="M100" s="228"/>
      <c r="N100" s="227"/>
      <c r="O100" s="322">
        <v>39.049999</v>
      </c>
      <c r="P100" s="228">
        <f t="shared" si="9"/>
        <v>3.3402108602369474E-3</v>
      </c>
      <c r="Q100" s="228"/>
      <c r="R100" s="227"/>
      <c r="S100" s="322">
        <v>125.970001</v>
      </c>
      <c r="T100" s="228">
        <f t="shared" si="10"/>
        <v>1.4496279528006362E-2</v>
      </c>
      <c r="U100" s="228"/>
      <c r="V100" s="228"/>
      <c r="W100" s="228"/>
      <c r="X100" s="322">
        <v>94.199996999999996</v>
      </c>
      <c r="Y100" s="228">
        <f t="shared" si="11"/>
        <v>6.3027026353732474E-3</v>
      </c>
      <c r="Z100" s="228"/>
      <c r="AA100" s="202"/>
    </row>
    <row r="101" spans="2:27" x14ac:dyDescent="0.15">
      <c r="B101" s="241">
        <v>42811</v>
      </c>
      <c r="C101" s="244"/>
      <c r="D101" s="245">
        <v>50.150959</v>
      </c>
      <c r="E101" s="228">
        <f t="shared" si="6"/>
        <v>-3.66418997482576E-4</v>
      </c>
      <c r="F101" s="228"/>
      <c r="G101" s="245">
        <v>122.08802</v>
      </c>
      <c r="H101" s="228">
        <f t="shared" si="7"/>
        <v>1.3550919875678025E-2</v>
      </c>
      <c r="J101" s="227"/>
      <c r="K101" s="245">
        <v>27.992836</v>
      </c>
      <c r="L101" s="228">
        <f t="shared" si="8"/>
        <v>5.5538740148168841E-3</v>
      </c>
      <c r="M101" s="228"/>
      <c r="N101" s="227"/>
      <c r="O101" s="322">
        <v>39.279998999999997</v>
      </c>
      <c r="P101" s="228">
        <f t="shared" si="9"/>
        <v>5.8898849139534803E-3</v>
      </c>
      <c r="Q101" s="228"/>
      <c r="R101" s="227"/>
      <c r="S101" s="322">
        <v>126.480003</v>
      </c>
      <c r="T101" s="228">
        <f t="shared" si="10"/>
        <v>4.048598840608042E-3</v>
      </c>
      <c r="U101" s="228"/>
      <c r="V101" s="228"/>
      <c r="W101" s="228"/>
      <c r="X101" s="322">
        <v>94.690002000000007</v>
      </c>
      <c r="Y101" s="228">
        <f t="shared" si="11"/>
        <v>5.2017517580176253E-3</v>
      </c>
      <c r="Z101" s="228"/>
      <c r="AA101" s="202"/>
    </row>
    <row r="102" spans="2:27" x14ac:dyDescent="0.15">
      <c r="B102" s="241">
        <v>42814</v>
      </c>
      <c r="C102" s="244"/>
      <c r="D102" s="245">
        <v>50.013119000000003</v>
      </c>
      <c r="E102" s="228">
        <f t="shared" si="6"/>
        <v>-2.7485017784005805E-3</v>
      </c>
      <c r="F102" s="228"/>
      <c r="G102" s="245">
        <v>122.441216</v>
      </c>
      <c r="H102" s="228">
        <f t="shared" si="7"/>
        <v>2.8929619793980343E-3</v>
      </c>
      <c r="J102" s="227"/>
      <c r="K102" s="245">
        <v>28.216159999999999</v>
      </c>
      <c r="L102" s="228">
        <f t="shared" si="8"/>
        <v>7.9778983451337382E-3</v>
      </c>
      <c r="M102" s="228"/>
      <c r="N102" s="227"/>
      <c r="O102" s="322">
        <v>39.57</v>
      </c>
      <c r="P102" s="228">
        <f t="shared" si="9"/>
        <v>7.3829177032311843E-3</v>
      </c>
      <c r="Q102" s="228"/>
      <c r="R102" s="227"/>
      <c r="S102" s="322">
        <v>126.860001</v>
      </c>
      <c r="T102" s="228">
        <f t="shared" si="10"/>
        <v>3.004411693443787E-3</v>
      </c>
      <c r="U102" s="228"/>
      <c r="V102" s="228"/>
      <c r="W102" s="228"/>
      <c r="X102" s="322">
        <v>95.120002999999997</v>
      </c>
      <c r="Y102" s="228">
        <f t="shared" si="11"/>
        <v>4.5411446923402377E-3</v>
      </c>
      <c r="Z102" s="228"/>
      <c r="AA102" s="202"/>
    </row>
    <row r="103" spans="2:27" x14ac:dyDescent="0.15">
      <c r="B103" s="241">
        <v>42815</v>
      </c>
      <c r="C103" s="244"/>
      <c r="D103" s="245">
        <v>49.305607000000002</v>
      </c>
      <c r="E103" s="228">
        <f t="shared" si="6"/>
        <v>-1.414652823392204E-2</v>
      </c>
      <c r="F103" s="228"/>
      <c r="G103" s="245">
        <v>120.579819</v>
      </c>
      <c r="H103" s="228">
        <f t="shared" si="7"/>
        <v>-1.5202372704302469E-2</v>
      </c>
      <c r="J103" s="227"/>
      <c r="K103" s="245">
        <v>27.898354000000001</v>
      </c>
      <c r="L103" s="228">
        <f t="shared" si="8"/>
        <v>-1.1263261903816768E-2</v>
      </c>
      <c r="M103" s="228"/>
      <c r="N103" s="227"/>
      <c r="O103" s="322">
        <v>38.580002</v>
      </c>
      <c r="P103" s="228">
        <f t="shared" si="9"/>
        <v>-2.5018903209502175E-2</v>
      </c>
      <c r="Q103" s="228"/>
      <c r="R103" s="227"/>
      <c r="S103" s="322">
        <v>124.269997</v>
      </c>
      <c r="T103" s="228">
        <f t="shared" si="10"/>
        <v>-2.0416238212074389E-2</v>
      </c>
      <c r="U103" s="228"/>
      <c r="V103" s="228"/>
      <c r="W103" s="228"/>
      <c r="X103" s="322">
        <v>94.190002000000007</v>
      </c>
      <c r="Y103" s="228">
        <f t="shared" si="11"/>
        <v>-9.7771338379792905E-3</v>
      </c>
      <c r="Z103" s="228"/>
      <c r="AA103" s="202"/>
    </row>
    <row r="104" spans="2:27" x14ac:dyDescent="0.15">
      <c r="B104" s="241">
        <v>42816</v>
      </c>
      <c r="C104" s="244"/>
      <c r="D104" s="245">
        <v>49.369934000000001</v>
      </c>
      <c r="E104" s="228">
        <f t="shared" si="6"/>
        <v>1.3046589204346315E-3</v>
      </c>
      <c r="F104" s="228"/>
      <c r="G104" s="245">
        <v>123.061668</v>
      </c>
      <c r="H104" s="228">
        <f t="shared" si="7"/>
        <v>2.0582623365855257E-2</v>
      </c>
      <c r="J104" s="227"/>
      <c r="K104" s="245">
        <v>28.078728000000002</v>
      </c>
      <c r="L104" s="228">
        <f t="shared" si="8"/>
        <v>6.4653993565355616E-3</v>
      </c>
      <c r="M104" s="228"/>
      <c r="N104" s="227"/>
      <c r="O104" s="322">
        <v>38.82</v>
      </c>
      <c r="P104" s="228">
        <f t="shared" si="9"/>
        <v>6.2207876505553372E-3</v>
      </c>
      <c r="Q104" s="228"/>
      <c r="R104" s="227"/>
      <c r="S104" s="322">
        <v>125.400002</v>
      </c>
      <c r="T104" s="228">
        <f t="shared" si="10"/>
        <v>9.0931441802479807E-3</v>
      </c>
      <c r="U104" s="228"/>
      <c r="V104" s="228"/>
      <c r="W104" s="228"/>
      <c r="X104" s="322">
        <v>95.57</v>
      </c>
      <c r="Y104" s="228">
        <f t="shared" si="11"/>
        <v>1.4651215316886734E-2</v>
      </c>
      <c r="Z104" s="228"/>
      <c r="AA104" s="202"/>
    </row>
    <row r="105" spans="2:27" x14ac:dyDescent="0.15">
      <c r="B105" s="241">
        <v>42817</v>
      </c>
      <c r="C105" s="244"/>
      <c r="D105" s="245">
        <v>49.369934000000001</v>
      </c>
      <c r="E105" s="228">
        <f t="shared" si="6"/>
        <v>0</v>
      </c>
      <c r="F105" s="228"/>
      <c r="G105" s="245">
        <v>123.348045</v>
      </c>
      <c r="H105" s="228">
        <f t="shared" si="7"/>
        <v>2.3271015634209746E-3</v>
      </c>
      <c r="J105" s="227"/>
      <c r="K105" s="245">
        <v>27.967072000000002</v>
      </c>
      <c r="L105" s="228">
        <f t="shared" si="8"/>
        <v>-3.9765334099179928E-3</v>
      </c>
      <c r="M105" s="228"/>
      <c r="N105" s="227"/>
      <c r="O105" s="322">
        <v>38.849997999999999</v>
      </c>
      <c r="P105" s="228">
        <f t="shared" si="9"/>
        <v>7.7274600721266573E-4</v>
      </c>
      <c r="Q105" s="228"/>
      <c r="R105" s="227"/>
      <c r="S105" s="322">
        <v>125.349998</v>
      </c>
      <c r="T105" s="228">
        <f t="shared" si="10"/>
        <v>-3.9875597450156341E-4</v>
      </c>
      <c r="U105" s="228"/>
      <c r="V105" s="228"/>
      <c r="W105" s="228"/>
      <c r="X105" s="322">
        <v>95.230002999999996</v>
      </c>
      <c r="Y105" s="228">
        <f t="shared" si="11"/>
        <v>-3.5575703672700021E-3</v>
      </c>
      <c r="Z105" s="228"/>
      <c r="AA105" s="202"/>
    </row>
    <row r="106" spans="2:27" x14ac:dyDescent="0.15">
      <c r="B106" s="241">
        <v>42818</v>
      </c>
      <c r="C106" s="244"/>
      <c r="D106" s="245">
        <v>49.371783999999998</v>
      </c>
      <c r="E106" s="228">
        <f t="shared" si="6"/>
        <v>3.7472199172938758E-5</v>
      </c>
      <c r="F106" s="228"/>
      <c r="G106" s="245">
        <v>126.23081999999999</v>
      </c>
      <c r="H106" s="228">
        <f t="shared" si="7"/>
        <v>2.3371063562458438E-2</v>
      </c>
      <c r="J106" s="227"/>
      <c r="K106" s="245">
        <v>28.181805000000001</v>
      </c>
      <c r="L106" s="228">
        <f t="shared" si="8"/>
        <v>7.6780651188654847E-3</v>
      </c>
      <c r="M106" s="228"/>
      <c r="N106" s="227"/>
      <c r="O106" s="322">
        <v>38.970001000000003</v>
      </c>
      <c r="P106" s="228">
        <f t="shared" si="9"/>
        <v>3.0888804678961268E-3</v>
      </c>
      <c r="Q106" s="228"/>
      <c r="R106" s="227"/>
      <c r="S106" s="322">
        <v>127.470001</v>
      </c>
      <c r="T106" s="228">
        <f t="shared" si="10"/>
        <v>1.6912668797968378E-2</v>
      </c>
      <c r="U106" s="228"/>
      <c r="V106" s="228"/>
      <c r="W106" s="228"/>
      <c r="X106" s="322">
        <v>95.720000999999996</v>
      </c>
      <c r="Y106" s="228">
        <f t="shared" si="11"/>
        <v>5.1454161982962265E-3</v>
      </c>
      <c r="Z106" s="228"/>
      <c r="AA106" s="202"/>
    </row>
    <row r="107" spans="2:27" x14ac:dyDescent="0.15">
      <c r="B107" s="241">
        <v>42821</v>
      </c>
      <c r="C107" s="244"/>
      <c r="D107" s="245">
        <v>49.288741999999999</v>
      </c>
      <c r="E107" s="228">
        <f t="shared" si="6"/>
        <v>-1.6819728450565563E-3</v>
      </c>
      <c r="F107" s="228"/>
      <c r="G107" s="245">
        <v>126.669899</v>
      </c>
      <c r="H107" s="228">
        <f t="shared" si="7"/>
        <v>3.4783819038806119E-3</v>
      </c>
      <c r="J107" s="227"/>
      <c r="K107" s="245">
        <v>28.491023999999999</v>
      </c>
      <c r="L107" s="228">
        <f t="shared" si="8"/>
        <v>1.0972292228975444E-2</v>
      </c>
      <c r="M107" s="228"/>
      <c r="N107" s="227"/>
      <c r="O107" s="322">
        <v>38.860000999999997</v>
      </c>
      <c r="P107" s="228">
        <f t="shared" si="9"/>
        <v>-2.8226840435545686E-3</v>
      </c>
      <c r="Q107" s="228"/>
      <c r="R107" s="227"/>
      <c r="S107" s="322">
        <v>127.800003</v>
      </c>
      <c r="T107" s="228">
        <f t="shared" si="10"/>
        <v>2.5888601036412329E-3</v>
      </c>
      <c r="U107" s="228"/>
      <c r="V107" s="228"/>
      <c r="W107" s="228"/>
      <c r="X107" s="322">
        <v>95.800003000000004</v>
      </c>
      <c r="Y107" s="228">
        <f t="shared" si="11"/>
        <v>8.3579188428983819E-4</v>
      </c>
      <c r="Z107" s="228"/>
      <c r="AA107" s="202"/>
    </row>
    <row r="108" spans="2:27" x14ac:dyDescent="0.15">
      <c r="B108" s="241">
        <v>42822</v>
      </c>
      <c r="C108" s="244"/>
      <c r="D108" s="245">
        <v>49.685482</v>
      </c>
      <c r="E108" s="228">
        <f t="shared" si="6"/>
        <v>8.0493026176240434E-3</v>
      </c>
      <c r="F108" s="228"/>
      <c r="G108" s="245">
        <v>127.710358</v>
      </c>
      <c r="H108" s="228">
        <f t="shared" si="7"/>
        <v>8.2139403932104393E-3</v>
      </c>
      <c r="J108" s="227"/>
      <c r="K108" s="245">
        <v>28.645627999999999</v>
      </c>
      <c r="L108" s="228">
        <f t="shared" si="8"/>
        <v>5.4264107881836221E-3</v>
      </c>
      <c r="M108" s="228"/>
      <c r="N108" s="227"/>
      <c r="O108" s="322">
        <v>38.82</v>
      </c>
      <c r="P108" s="228">
        <f t="shared" si="9"/>
        <v>-1.0293617851424575E-3</v>
      </c>
      <c r="Q108" s="228"/>
      <c r="R108" s="227"/>
      <c r="S108" s="322">
        <v>127.75</v>
      </c>
      <c r="T108" s="228">
        <f t="shared" si="10"/>
        <v>-3.9125977172316251E-4</v>
      </c>
      <c r="U108" s="228"/>
      <c r="V108" s="228"/>
      <c r="W108" s="228"/>
      <c r="X108" s="322">
        <v>95.650002000000001</v>
      </c>
      <c r="Y108" s="228">
        <f t="shared" si="11"/>
        <v>-1.565772393556264E-3</v>
      </c>
      <c r="Z108" s="228"/>
      <c r="AA108" s="202"/>
    </row>
    <row r="109" spans="2:27" x14ac:dyDescent="0.15">
      <c r="B109" s="241">
        <v>42823</v>
      </c>
      <c r="C109" s="244"/>
      <c r="D109" s="245">
        <v>49.777760000000001</v>
      </c>
      <c r="E109" s="228">
        <f t="shared" si="6"/>
        <v>1.8572427253498169E-3</v>
      </c>
      <c r="F109" s="228"/>
      <c r="G109" s="245">
        <v>126.870369</v>
      </c>
      <c r="H109" s="228">
        <f t="shared" si="7"/>
        <v>-6.5772973559435899E-3</v>
      </c>
      <c r="J109" s="227"/>
      <c r="K109" s="245">
        <v>28.284876000000001</v>
      </c>
      <c r="L109" s="228">
        <f t="shared" si="8"/>
        <v>-1.2593614634666017E-2</v>
      </c>
      <c r="M109" s="228"/>
      <c r="N109" s="227"/>
      <c r="O109" s="322">
        <v>38.869999</v>
      </c>
      <c r="P109" s="228">
        <f t="shared" si="9"/>
        <v>1.2879701184955739E-3</v>
      </c>
      <c r="Q109" s="228"/>
      <c r="R109" s="227"/>
      <c r="S109" s="322">
        <v>127.879997</v>
      </c>
      <c r="T109" s="228">
        <f t="shared" si="10"/>
        <v>1.0175890410959454E-3</v>
      </c>
      <c r="U109" s="228"/>
      <c r="V109" s="228"/>
      <c r="W109" s="228"/>
      <c r="X109" s="322">
        <v>95.449996999999996</v>
      </c>
      <c r="Y109" s="228">
        <f t="shared" si="11"/>
        <v>-2.0910088428435225E-3</v>
      </c>
      <c r="Z109" s="228"/>
      <c r="AA109" s="202"/>
    </row>
    <row r="110" spans="2:27" x14ac:dyDescent="0.15">
      <c r="B110" s="241">
        <v>42824</v>
      </c>
      <c r="C110" s="244"/>
      <c r="D110" s="245">
        <v>49.943835999999997</v>
      </c>
      <c r="E110" s="228">
        <f t="shared" si="6"/>
        <v>3.3363494058389342E-3</v>
      </c>
      <c r="F110" s="228"/>
      <c r="G110" s="245">
        <v>126.603088</v>
      </c>
      <c r="H110" s="228">
        <f t="shared" si="7"/>
        <v>-2.1067251723686509E-3</v>
      </c>
      <c r="J110" s="227"/>
      <c r="K110" s="245">
        <v>28.405127</v>
      </c>
      <c r="L110" s="228">
        <f t="shared" si="8"/>
        <v>4.2514239765449879E-3</v>
      </c>
      <c r="M110" s="228"/>
      <c r="N110" s="227"/>
      <c r="O110" s="322">
        <v>38.889999000000003</v>
      </c>
      <c r="P110" s="228">
        <f t="shared" si="9"/>
        <v>5.1453564482994985E-4</v>
      </c>
      <c r="Q110" s="228"/>
      <c r="R110" s="227"/>
      <c r="S110" s="322">
        <v>128.699997</v>
      </c>
      <c r="T110" s="228">
        <f t="shared" si="10"/>
        <v>6.412261645579953E-3</v>
      </c>
      <c r="U110" s="228"/>
      <c r="V110" s="228"/>
      <c r="W110" s="228"/>
      <c r="X110" s="322">
        <v>95.639999000000003</v>
      </c>
      <c r="Y110" s="228">
        <f t="shared" si="11"/>
        <v>1.9905919955136575E-3</v>
      </c>
      <c r="Z110" s="228"/>
      <c r="AA110" s="202"/>
    </row>
    <row r="111" spans="2:27" x14ac:dyDescent="0.15">
      <c r="B111" s="241">
        <v>42825</v>
      </c>
      <c r="C111" s="244"/>
      <c r="D111" s="245">
        <v>49.851565999999998</v>
      </c>
      <c r="E111" s="228">
        <f t="shared" si="6"/>
        <v>-1.8474752319785903E-3</v>
      </c>
      <c r="F111" s="228"/>
      <c r="G111" s="245">
        <v>126.76535800000001</v>
      </c>
      <c r="H111" s="228">
        <f t="shared" si="7"/>
        <v>1.2817222910077586E-3</v>
      </c>
      <c r="J111" s="227"/>
      <c r="K111" s="245">
        <v>28.207573</v>
      </c>
      <c r="L111" s="228">
        <f t="shared" si="8"/>
        <v>-6.9548712103980614E-3</v>
      </c>
      <c r="M111" s="228"/>
      <c r="N111" s="227"/>
      <c r="O111" s="322">
        <v>38.900002000000001</v>
      </c>
      <c r="P111" s="228">
        <f t="shared" si="9"/>
        <v>2.572126576809719E-4</v>
      </c>
      <c r="Q111" s="228"/>
      <c r="R111" s="227"/>
      <c r="S111" s="322">
        <v>128.36000100000001</v>
      </c>
      <c r="T111" s="228">
        <f t="shared" si="10"/>
        <v>-2.641771623351219E-3</v>
      </c>
      <c r="U111" s="228"/>
      <c r="V111" s="228"/>
      <c r="W111" s="228"/>
      <c r="X111" s="322">
        <v>95.07</v>
      </c>
      <c r="Y111" s="228">
        <f t="shared" si="11"/>
        <v>-5.9598390418219571E-3</v>
      </c>
      <c r="Z111" s="228"/>
      <c r="AA111" s="202"/>
    </row>
    <row r="112" spans="2:27" x14ac:dyDescent="0.15">
      <c r="B112" s="241">
        <v>42828</v>
      </c>
      <c r="C112" s="244"/>
      <c r="D112" s="245">
        <v>49.694716999999997</v>
      </c>
      <c r="E112" s="228">
        <f t="shared" si="6"/>
        <v>-3.1463204185000482E-3</v>
      </c>
      <c r="F112" s="228"/>
      <c r="G112" s="245">
        <v>126.173523</v>
      </c>
      <c r="H112" s="228">
        <f t="shared" si="7"/>
        <v>-4.6687439639463424E-3</v>
      </c>
      <c r="J112" s="227"/>
      <c r="K112" s="245">
        <v>28.250516999999999</v>
      </c>
      <c r="L112" s="228">
        <f t="shared" si="8"/>
        <v>1.5224280373216104E-3</v>
      </c>
      <c r="M112" s="228"/>
      <c r="N112" s="227"/>
      <c r="O112" s="322">
        <v>38.889999000000003</v>
      </c>
      <c r="P112" s="228">
        <f t="shared" si="9"/>
        <v>-2.5714651634201058E-4</v>
      </c>
      <c r="Q112" s="228"/>
      <c r="R112" s="227"/>
      <c r="S112" s="322">
        <v>128.41999799999999</v>
      </c>
      <c r="T112" s="228">
        <f t="shared" si="10"/>
        <v>4.6741196270305707E-4</v>
      </c>
      <c r="U112" s="228"/>
      <c r="V112" s="228"/>
      <c r="W112" s="228"/>
      <c r="X112" s="322">
        <v>95.970000999999996</v>
      </c>
      <c r="Y112" s="228">
        <f t="shared" si="11"/>
        <v>9.4667192594930505E-3</v>
      </c>
      <c r="Z112" s="228"/>
      <c r="AA112" s="202"/>
    </row>
    <row r="113" spans="2:27" x14ac:dyDescent="0.15">
      <c r="B113" s="241">
        <v>42829</v>
      </c>
      <c r="C113" s="244"/>
      <c r="D113" s="245">
        <v>49.740845</v>
      </c>
      <c r="E113" s="228">
        <f t="shared" si="6"/>
        <v>9.2822744115839129E-4</v>
      </c>
      <c r="F113" s="228"/>
      <c r="G113" s="245">
        <v>126.708099</v>
      </c>
      <c r="H113" s="228">
        <f t="shared" si="7"/>
        <v>4.2368318430801022E-3</v>
      </c>
      <c r="J113" s="227"/>
      <c r="K113" s="245">
        <v>28.224751999999999</v>
      </c>
      <c r="L113" s="228">
        <f t="shared" si="8"/>
        <v>-9.1201870748058855E-4</v>
      </c>
      <c r="M113" s="228"/>
      <c r="N113" s="227"/>
      <c r="O113" s="322">
        <v>39</v>
      </c>
      <c r="P113" s="228">
        <f t="shared" si="9"/>
        <v>2.8285164008359232E-3</v>
      </c>
      <c r="Q113" s="228"/>
      <c r="R113" s="227"/>
      <c r="S113" s="322">
        <v>128.88999899999999</v>
      </c>
      <c r="T113" s="228">
        <f t="shared" si="10"/>
        <v>3.6598739084234833E-3</v>
      </c>
      <c r="U113" s="228"/>
      <c r="V113" s="228"/>
      <c r="W113" s="228"/>
      <c r="X113" s="322">
        <v>96.459998999999996</v>
      </c>
      <c r="Y113" s="228">
        <f t="shared" si="11"/>
        <v>5.1057413243122962E-3</v>
      </c>
      <c r="Z113" s="228"/>
      <c r="AA113" s="202"/>
    </row>
    <row r="114" spans="2:27" x14ac:dyDescent="0.15">
      <c r="B114" s="241">
        <v>42830</v>
      </c>
      <c r="C114" s="244"/>
      <c r="D114" s="245">
        <v>49.547089</v>
      </c>
      <c r="E114" s="228">
        <f t="shared" si="6"/>
        <v>-3.8953097801213143E-3</v>
      </c>
      <c r="F114" s="228"/>
      <c r="G114" s="245">
        <v>125.07579</v>
      </c>
      <c r="H114" s="228">
        <f t="shared" si="7"/>
        <v>-1.2882436189023738E-2</v>
      </c>
      <c r="J114" s="227"/>
      <c r="K114" s="245">
        <v>28.259108999999999</v>
      </c>
      <c r="L114" s="228">
        <f t="shared" si="8"/>
        <v>1.2172649028059368E-3</v>
      </c>
      <c r="M114" s="228"/>
      <c r="N114" s="227"/>
      <c r="O114" s="322">
        <v>38.380001</v>
      </c>
      <c r="P114" s="228">
        <f t="shared" si="9"/>
        <v>-1.5897410256410227E-2</v>
      </c>
      <c r="Q114" s="228"/>
      <c r="R114" s="227"/>
      <c r="S114" s="322">
        <v>127.769997</v>
      </c>
      <c r="T114" s="228">
        <f t="shared" si="10"/>
        <v>-8.6895958467653189E-3</v>
      </c>
      <c r="U114" s="228"/>
      <c r="V114" s="228"/>
      <c r="W114" s="228"/>
      <c r="X114" s="322">
        <v>95.730002999999996</v>
      </c>
      <c r="Y114" s="228">
        <f t="shared" si="11"/>
        <v>-7.5678624048088894E-3</v>
      </c>
      <c r="Z114" s="228"/>
      <c r="AA114" s="202"/>
    </row>
    <row r="115" spans="2:27" x14ac:dyDescent="0.15">
      <c r="B115" s="241">
        <v>42831</v>
      </c>
      <c r="C115" s="244"/>
      <c r="D115" s="245">
        <v>49.722389</v>
      </c>
      <c r="E115" s="228">
        <f t="shared" si="6"/>
        <v>3.538048420967721E-3</v>
      </c>
      <c r="F115" s="228"/>
      <c r="G115" s="245">
        <v>125.028038</v>
      </c>
      <c r="H115" s="228">
        <f t="shared" si="7"/>
        <v>-3.8178451641202038E-4</v>
      </c>
      <c r="J115" s="227"/>
      <c r="K115" s="245">
        <v>28.224751999999999</v>
      </c>
      <c r="L115" s="228">
        <f t="shared" si="8"/>
        <v>-1.2157849704320656E-3</v>
      </c>
      <c r="M115" s="228"/>
      <c r="N115" s="227"/>
      <c r="O115" s="322">
        <v>38.580002</v>
      </c>
      <c r="P115" s="228">
        <f t="shared" si="9"/>
        <v>5.2110733399928222E-3</v>
      </c>
      <c r="Q115" s="228"/>
      <c r="R115" s="227"/>
      <c r="S115" s="322">
        <v>128.86000100000001</v>
      </c>
      <c r="T115" s="228">
        <f t="shared" si="10"/>
        <v>8.5309855646313881E-3</v>
      </c>
      <c r="U115" s="228"/>
      <c r="V115" s="228"/>
      <c r="W115" s="228"/>
      <c r="X115" s="322">
        <v>96.169998000000007</v>
      </c>
      <c r="Y115" s="228">
        <f t="shared" si="11"/>
        <v>4.5962079412031898E-3</v>
      </c>
      <c r="Z115" s="228"/>
      <c r="AA115" s="202"/>
    </row>
    <row r="116" spans="2:27" x14ac:dyDescent="0.15">
      <c r="B116" s="241">
        <v>42832</v>
      </c>
      <c r="C116" s="244"/>
      <c r="D116" s="245">
        <v>49.685482</v>
      </c>
      <c r="E116" s="228">
        <f t="shared" si="6"/>
        <v>-7.4226119746578778E-4</v>
      </c>
      <c r="F116" s="228"/>
      <c r="G116" s="245">
        <v>125.21895600000001</v>
      </c>
      <c r="H116" s="228">
        <f t="shared" si="7"/>
        <v>1.5270014874584348E-3</v>
      </c>
      <c r="J116" s="227"/>
      <c r="K116" s="245">
        <v>28.233335</v>
      </c>
      <c r="L116" s="228">
        <f t="shared" si="8"/>
        <v>3.0409478885773389E-4</v>
      </c>
      <c r="M116" s="228"/>
      <c r="N116" s="227"/>
      <c r="O116" s="322">
        <v>38.93</v>
      </c>
      <c r="P116" s="228">
        <f t="shared" si="9"/>
        <v>9.0720057505440099E-3</v>
      </c>
      <c r="Q116" s="228"/>
      <c r="R116" s="227"/>
      <c r="S116" s="322">
        <v>129.300003</v>
      </c>
      <c r="T116" s="228">
        <f t="shared" si="10"/>
        <v>3.4145739297331001E-3</v>
      </c>
      <c r="U116" s="228"/>
      <c r="V116" s="228"/>
      <c r="W116" s="228"/>
      <c r="X116" s="322">
        <v>96.540001000000004</v>
      </c>
      <c r="Y116" s="228">
        <f t="shared" si="11"/>
        <v>3.8473849193592091E-3</v>
      </c>
      <c r="Z116" s="228"/>
      <c r="AA116" s="202"/>
    </row>
    <row r="117" spans="2:27" x14ac:dyDescent="0.15">
      <c r="B117" s="241">
        <v>42835</v>
      </c>
      <c r="C117" s="244"/>
      <c r="D117" s="245">
        <v>49.713160999999999</v>
      </c>
      <c r="E117" s="228">
        <f t="shared" si="6"/>
        <v>5.570842605491233E-4</v>
      </c>
      <c r="F117" s="228"/>
      <c r="G117" s="245">
        <v>124.006691</v>
      </c>
      <c r="H117" s="228">
        <f t="shared" si="7"/>
        <v>-9.6811620119241493E-3</v>
      </c>
      <c r="J117" s="227"/>
      <c r="K117" s="245">
        <v>27.932708999999999</v>
      </c>
      <c r="L117" s="228">
        <f t="shared" si="8"/>
        <v>-1.0647909642980569E-2</v>
      </c>
      <c r="M117" s="228"/>
      <c r="N117" s="227"/>
      <c r="O117" s="322">
        <v>38.860000999999997</v>
      </c>
      <c r="P117" s="228">
        <f t="shared" si="9"/>
        <v>-1.7980734651940056E-3</v>
      </c>
      <c r="Q117" s="228"/>
      <c r="R117" s="227"/>
      <c r="S117" s="322">
        <v>128.800003</v>
      </c>
      <c r="T117" s="228">
        <f t="shared" si="10"/>
        <v>-3.8669759350276056E-3</v>
      </c>
      <c r="U117" s="228"/>
      <c r="V117" s="228"/>
      <c r="W117" s="228"/>
      <c r="X117" s="322">
        <v>96.330001999999993</v>
      </c>
      <c r="Y117" s="228">
        <f t="shared" si="11"/>
        <v>-2.1752537582842013E-3</v>
      </c>
      <c r="Z117" s="228"/>
      <c r="AA117" s="202"/>
    </row>
    <row r="118" spans="2:27" x14ac:dyDescent="0.15">
      <c r="B118" s="241">
        <v>42836</v>
      </c>
      <c r="C118" s="244"/>
      <c r="D118" s="245">
        <v>49.685482</v>
      </c>
      <c r="E118" s="228">
        <f t="shared" si="6"/>
        <v>-5.5677409046672732E-4</v>
      </c>
      <c r="F118" s="228"/>
      <c r="G118" s="245">
        <v>123.91124000000001</v>
      </c>
      <c r="H118" s="228">
        <f t="shared" si="7"/>
        <v>-7.6972459494140111E-4</v>
      </c>
      <c r="J118" s="227"/>
      <c r="K118" s="245">
        <v>27.829636000000001</v>
      </c>
      <c r="L118" s="228">
        <f t="shared" si="8"/>
        <v>-3.6900466761028428E-3</v>
      </c>
      <c r="M118" s="228"/>
      <c r="N118" s="227"/>
      <c r="O118" s="322">
        <v>38.200001</v>
      </c>
      <c r="P118" s="228">
        <f t="shared" si="9"/>
        <v>-1.6984044853730063E-2</v>
      </c>
      <c r="Q118" s="228"/>
      <c r="R118" s="227"/>
      <c r="S118" s="322">
        <v>127.230003</v>
      </c>
      <c r="T118" s="228">
        <f t="shared" si="10"/>
        <v>-1.2189440709873378E-2</v>
      </c>
      <c r="U118" s="228"/>
      <c r="V118" s="228"/>
      <c r="W118" s="228"/>
      <c r="X118" s="322">
        <v>95.5</v>
      </c>
      <c r="Y118" s="228">
        <f t="shared" si="11"/>
        <v>-8.6162356770219661E-3</v>
      </c>
      <c r="Z118" s="228"/>
      <c r="AA118" s="202"/>
    </row>
    <row r="119" spans="2:27" x14ac:dyDescent="0.15">
      <c r="B119" s="241">
        <v>42837</v>
      </c>
      <c r="C119" s="244"/>
      <c r="D119" s="245">
        <v>49.473269999999999</v>
      </c>
      <c r="E119" s="228">
        <f t="shared" si="6"/>
        <v>-4.2711067993664864E-3</v>
      </c>
      <c r="F119" s="228"/>
      <c r="G119" s="245">
        <v>123.147583</v>
      </c>
      <c r="H119" s="228">
        <f t="shared" si="7"/>
        <v>-6.1629356626566878E-3</v>
      </c>
      <c r="J119" s="227"/>
      <c r="K119" s="245">
        <v>27.726564</v>
      </c>
      <c r="L119" s="228">
        <f t="shared" si="8"/>
        <v>-3.7036776190677578E-3</v>
      </c>
      <c r="M119" s="228"/>
      <c r="N119" s="227"/>
      <c r="O119" s="322">
        <v>37.770000000000003</v>
      </c>
      <c r="P119" s="228">
        <f t="shared" si="9"/>
        <v>-1.1256570385953624E-2</v>
      </c>
      <c r="Q119" s="228"/>
      <c r="R119" s="227"/>
      <c r="S119" s="322">
        <v>126.160004</v>
      </c>
      <c r="T119" s="228">
        <f t="shared" si="10"/>
        <v>-8.4099581448566774E-3</v>
      </c>
      <c r="U119" s="228"/>
      <c r="V119" s="228"/>
      <c r="W119" s="228"/>
      <c r="X119" s="322">
        <v>95.209998999999996</v>
      </c>
      <c r="Y119" s="228">
        <f t="shared" si="11"/>
        <v>-3.0366596858638628E-3</v>
      </c>
      <c r="Z119" s="228"/>
      <c r="AA119" s="202"/>
    </row>
    <row r="120" spans="2:27" x14ac:dyDescent="0.15">
      <c r="B120" s="241">
        <v>42838</v>
      </c>
      <c r="C120" s="244"/>
      <c r="D120" s="245">
        <v>49.094977999999998</v>
      </c>
      <c r="E120" s="228">
        <f t="shared" si="6"/>
        <v>-7.6463916777687047E-3</v>
      </c>
      <c r="F120" s="228"/>
      <c r="G120" s="245">
        <v>122.54621899999999</v>
      </c>
      <c r="H120" s="228">
        <f t="shared" si="7"/>
        <v>-4.8832789515650399E-3</v>
      </c>
      <c r="J120" s="227"/>
      <c r="K120" s="245">
        <v>27.340043999999999</v>
      </c>
      <c r="L120" s="228">
        <f t="shared" si="8"/>
        <v>-1.394042190009559E-2</v>
      </c>
      <c r="M120" s="228"/>
      <c r="N120" s="227"/>
      <c r="O120" s="322">
        <v>37.520000000000003</v>
      </c>
      <c r="P120" s="228">
        <f t="shared" si="9"/>
        <v>-6.6190097961345007E-3</v>
      </c>
      <c r="Q120" s="228"/>
      <c r="R120" s="227"/>
      <c r="S120" s="322">
        <v>125.16999800000001</v>
      </c>
      <c r="T120" s="228">
        <f t="shared" si="10"/>
        <v>-7.8472254962832499E-3</v>
      </c>
      <c r="U120" s="228"/>
      <c r="V120" s="228"/>
      <c r="W120" s="228"/>
      <c r="X120" s="322">
        <v>95.330001999999993</v>
      </c>
      <c r="Y120" s="228">
        <f t="shared" si="11"/>
        <v>1.2604033322172192E-3</v>
      </c>
      <c r="Z120" s="228"/>
      <c r="AA120" s="202"/>
    </row>
    <row r="121" spans="2:27" x14ac:dyDescent="0.15">
      <c r="B121" s="241">
        <v>42842</v>
      </c>
      <c r="C121" s="244"/>
      <c r="D121" s="245">
        <v>49.547089</v>
      </c>
      <c r="E121" s="228">
        <f t="shared" si="6"/>
        <v>9.2089052367025914E-3</v>
      </c>
      <c r="F121" s="228"/>
      <c r="G121" s="245">
        <v>124.254868</v>
      </c>
      <c r="H121" s="228">
        <f t="shared" si="7"/>
        <v>1.3942894476409728E-2</v>
      </c>
      <c r="J121" s="227"/>
      <c r="K121" s="245">
        <v>27.511827</v>
      </c>
      <c r="L121" s="228">
        <f t="shared" si="8"/>
        <v>6.2832012998954578E-3</v>
      </c>
      <c r="M121" s="228"/>
      <c r="N121" s="227"/>
      <c r="O121" s="322">
        <v>38.020000000000003</v>
      </c>
      <c r="P121" s="228">
        <f t="shared" si="9"/>
        <v>1.3326226012793096E-2</v>
      </c>
      <c r="Q121" s="228"/>
      <c r="R121" s="227"/>
      <c r="S121" s="322">
        <v>127.33000199999999</v>
      </c>
      <c r="T121" s="228">
        <f t="shared" si="10"/>
        <v>1.7256563349949072E-2</v>
      </c>
      <c r="U121" s="228"/>
      <c r="V121" s="228"/>
      <c r="W121" s="228"/>
      <c r="X121" s="322">
        <v>95.5</v>
      </c>
      <c r="Y121" s="228">
        <f t="shared" si="11"/>
        <v>1.7832581184673568E-3</v>
      </c>
      <c r="Z121" s="228"/>
      <c r="AA121" s="202"/>
    </row>
    <row r="122" spans="2:27" x14ac:dyDescent="0.15">
      <c r="B122" s="241">
        <v>42843</v>
      </c>
      <c r="C122" s="244"/>
      <c r="D122" s="245">
        <v>49.436366999999997</v>
      </c>
      <c r="E122" s="228">
        <f t="shared" si="6"/>
        <v>-2.2346822433907398E-3</v>
      </c>
      <c r="F122" s="228"/>
      <c r="G122" s="245">
        <v>124.71305099999999</v>
      </c>
      <c r="H122" s="228">
        <f t="shared" si="7"/>
        <v>3.6874450665385083E-3</v>
      </c>
      <c r="J122" s="227"/>
      <c r="K122" s="245">
        <v>27.305685</v>
      </c>
      <c r="L122" s="228">
        <f t="shared" si="8"/>
        <v>-7.4928502567277455E-3</v>
      </c>
      <c r="M122" s="228"/>
      <c r="N122" s="227"/>
      <c r="O122" s="322">
        <v>38.049999</v>
      </c>
      <c r="P122" s="228">
        <f t="shared" si="9"/>
        <v>7.8903208837455274E-4</v>
      </c>
      <c r="Q122" s="228"/>
      <c r="R122" s="227"/>
      <c r="S122" s="322">
        <v>127.43</v>
      </c>
      <c r="T122" s="228">
        <f t="shared" si="10"/>
        <v>7.8534515376826874E-4</v>
      </c>
      <c r="U122" s="228"/>
      <c r="V122" s="228"/>
      <c r="W122" s="228"/>
      <c r="X122" s="322">
        <v>94.599997999999999</v>
      </c>
      <c r="Y122" s="228">
        <f t="shared" si="11"/>
        <v>-9.4241047120419141E-3</v>
      </c>
      <c r="Z122" s="228"/>
      <c r="AA122" s="202"/>
    </row>
    <row r="123" spans="2:27" x14ac:dyDescent="0.15">
      <c r="B123" s="241">
        <v>42844</v>
      </c>
      <c r="C123" s="244"/>
      <c r="D123" s="245">
        <v>49.399467000000001</v>
      </c>
      <c r="E123" s="228">
        <f t="shared" si="6"/>
        <v>-7.4641407205333632E-4</v>
      </c>
      <c r="F123" s="228"/>
      <c r="G123" s="245">
        <v>121.123924</v>
      </c>
      <c r="H123" s="228">
        <f t="shared" si="7"/>
        <v>-2.8779081028175613E-2</v>
      </c>
      <c r="J123" s="227"/>
      <c r="K123" s="245">
        <v>27.151074999999999</v>
      </c>
      <c r="L123" s="228">
        <f t="shared" si="8"/>
        <v>-5.6621908587900505E-3</v>
      </c>
      <c r="M123" s="228"/>
      <c r="N123" s="227"/>
      <c r="O123" s="322">
        <v>39.25</v>
      </c>
      <c r="P123" s="228">
        <f t="shared" si="9"/>
        <v>3.1537477832785266E-2</v>
      </c>
      <c r="Q123" s="228"/>
      <c r="R123" s="227"/>
      <c r="S123" s="322">
        <v>136.16999799999999</v>
      </c>
      <c r="T123" s="228">
        <f t="shared" si="10"/>
        <v>6.8586659342383838E-2</v>
      </c>
      <c r="U123" s="228"/>
      <c r="V123" s="228"/>
      <c r="W123" s="228"/>
      <c r="X123" s="322">
        <v>97.589995999999999</v>
      </c>
      <c r="Y123" s="228">
        <f t="shared" si="11"/>
        <v>3.1606744854265179E-2</v>
      </c>
      <c r="Z123" s="228"/>
      <c r="AA123" s="202"/>
    </row>
    <row r="124" spans="2:27" x14ac:dyDescent="0.15">
      <c r="B124" s="241">
        <v>42845</v>
      </c>
      <c r="C124" s="244"/>
      <c r="D124" s="245">
        <v>49.786976000000003</v>
      </c>
      <c r="E124" s="228">
        <f t="shared" si="6"/>
        <v>7.84439637779899E-3</v>
      </c>
      <c r="F124" s="228"/>
      <c r="G124" s="245">
        <v>124.140327</v>
      </c>
      <c r="H124" s="228">
        <f t="shared" si="7"/>
        <v>2.4903445169097926E-2</v>
      </c>
      <c r="J124" s="227"/>
      <c r="K124" s="245">
        <v>27.305685</v>
      </c>
      <c r="L124" s="228">
        <f t="shared" si="8"/>
        <v>5.6944338299680375E-3</v>
      </c>
      <c r="M124" s="228"/>
      <c r="N124" s="227"/>
      <c r="O124" s="322">
        <v>39.889999000000003</v>
      </c>
      <c r="P124" s="228">
        <f t="shared" si="9"/>
        <v>1.6305707006369463E-2</v>
      </c>
      <c r="Q124" s="228"/>
      <c r="R124" s="227"/>
      <c r="S124" s="322">
        <v>139.36000100000001</v>
      </c>
      <c r="T124" s="228">
        <f t="shared" si="10"/>
        <v>2.3426621479424758E-2</v>
      </c>
      <c r="U124" s="228"/>
      <c r="V124" s="228"/>
      <c r="W124" s="228"/>
      <c r="X124" s="322">
        <v>98.510002</v>
      </c>
      <c r="Y124" s="228">
        <f t="shared" si="11"/>
        <v>9.4272572774773966E-3</v>
      </c>
      <c r="Z124" s="228"/>
      <c r="AA124" s="202"/>
    </row>
    <row r="125" spans="2:27" x14ac:dyDescent="0.15">
      <c r="B125" s="241">
        <v>42846</v>
      </c>
      <c r="C125" s="244"/>
      <c r="D125" s="245">
        <v>49.657814000000002</v>
      </c>
      <c r="E125" s="228">
        <f t="shared" si="6"/>
        <v>-2.5942929331558284E-3</v>
      </c>
      <c r="F125" s="228"/>
      <c r="G125" s="245">
        <v>124.121223</v>
      </c>
      <c r="H125" s="228">
        <f t="shared" si="7"/>
        <v>-1.5389036312107862E-4</v>
      </c>
      <c r="J125" s="227"/>
      <c r="K125" s="245">
        <v>27.554780999999998</v>
      </c>
      <c r="L125" s="228">
        <f t="shared" si="8"/>
        <v>9.1224959198057398E-3</v>
      </c>
      <c r="M125" s="228"/>
      <c r="N125" s="227"/>
      <c r="O125" s="322">
        <v>39.790000999999997</v>
      </c>
      <c r="P125" s="228">
        <f t="shared" si="9"/>
        <v>-2.5068438833504292E-3</v>
      </c>
      <c r="Q125" s="228"/>
      <c r="R125" s="227"/>
      <c r="S125" s="322">
        <v>139.979996</v>
      </c>
      <c r="T125" s="228">
        <f t="shared" si="10"/>
        <v>4.4488733894310073E-3</v>
      </c>
      <c r="U125" s="228"/>
      <c r="V125" s="228"/>
      <c r="W125" s="228"/>
      <c r="X125" s="322">
        <v>98.370002999999997</v>
      </c>
      <c r="Y125" s="228">
        <f t="shared" si="11"/>
        <v>-1.4211653350693076E-3</v>
      </c>
      <c r="Z125" s="228"/>
      <c r="AA125" s="202"/>
    </row>
    <row r="126" spans="2:27" x14ac:dyDescent="0.15">
      <c r="B126" s="241">
        <v>42849</v>
      </c>
      <c r="C126" s="244"/>
      <c r="D126" s="245">
        <v>50.174500000000002</v>
      </c>
      <c r="E126" s="228">
        <f t="shared" si="6"/>
        <v>1.040492841670404E-2</v>
      </c>
      <c r="F126" s="228"/>
      <c r="G126" s="245">
        <v>127.39537</v>
      </c>
      <c r="H126" s="228">
        <f t="shared" si="7"/>
        <v>2.6378623420428182E-2</v>
      </c>
      <c r="J126" s="227"/>
      <c r="K126" s="245">
        <v>28.087322</v>
      </c>
      <c r="L126" s="228">
        <f t="shared" si="8"/>
        <v>1.9326627927110041E-2</v>
      </c>
      <c r="M126" s="228"/>
      <c r="N126" s="227"/>
      <c r="O126" s="322">
        <v>40.439999</v>
      </c>
      <c r="P126" s="228">
        <f t="shared" si="9"/>
        <v>1.6335712080027376E-2</v>
      </c>
      <c r="Q126" s="228"/>
      <c r="R126" s="227"/>
      <c r="S126" s="322">
        <v>142.509995</v>
      </c>
      <c r="T126" s="228">
        <f t="shared" si="10"/>
        <v>1.8074003945535155E-2</v>
      </c>
      <c r="U126" s="228"/>
      <c r="V126" s="228"/>
      <c r="W126" s="228"/>
      <c r="X126" s="322">
        <v>100.83000199999999</v>
      </c>
      <c r="Y126" s="228">
        <f t="shared" si="11"/>
        <v>2.5007613347333146E-2</v>
      </c>
      <c r="Z126" s="228"/>
      <c r="AA126" s="202"/>
    </row>
    <row r="127" spans="2:27" x14ac:dyDescent="0.15">
      <c r="B127" s="241">
        <v>42850</v>
      </c>
      <c r="C127" s="244"/>
      <c r="D127" s="245">
        <v>50.478969999999997</v>
      </c>
      <c r="E127" s="228">
        <f t="shared" si="6"/>
        <v>6.0682219055494535E-3</v>
      </c>
      <c r="F127" s="228"/>
      <c r="G127" s="245">
        <v>128.13992300000001</v>
      </c>
      <c r="H127" s="228">
        <f t="shared" si="7"/>
        <v>5.8444274701663357E-3</v>
      </c>
      <c r="J127" s="227"/>
      <c r="K127" s="245">
        <v>28.405127</v>
      </c>
      <c r="L127" s="228">
        <f t="shared" si="8"/>
        <v>1.131489146597886E-2</v>
      </c>
      <c r="M127" s="228"/>
      <c r="N127" s="227"/>
      <c r="O127" s="322">
        <v>40.790000999999997</v>
      </c>
      <c r="P127" s="228">
        <f t="shared" si="9"/>
        <v>8.6548469004659179E-3</v>
      </c>
      <c r="Q127" s="228"/>
      <c r="R127" s="227"/>
      <c r="S127" s="322">
        <v>145.759995</v>
      </c>
      <c r="T127" s="228">
        <f t="shared" si="10"/>
        <v>2.2805417963841723E-2</v>
      </c>
      <c r="U127" s="228"/>
      <c r="V127" s="228"/>
      <c r="W127" s="228"/>
      <c r="X127" s="322">
        <v>101.709999</v>
      </c>
      <c r="Y127" s="228">
        <f t="shared" si="11"/>
        <v>8.7275313155306122E-3</v>
      </c>
      <c r="Z127" s="228"/>
      <c r="AA127" s="202"/>
    </row>
    <row r="128" spans="2:27" x14ac:dyDescent="0.15">
      <c r="B128" s="241">
        <v>42851</v>
      </c>
      <c r="C128" s="244"/>
      <c r="D128" s="245">
        <v>50.515887999999997</v>
      </c>
      <c r="E128" s="228">
        <f t="shared" si="6"/>
        <v>7.3135406685209681E-4</v>
      </c>
      <c r="F128" s="228"/>
      <c r="G128" s="245">
        <v>126.440826</v>
      </c>
      <c r="H128" s="228">
        <f t="shared" si="7"/>
        <v>-1.3259700491625948E-2</v>
      </c>
      <c r="J128" s="227"/>
      <c r="K128" s="245">
        <v>28.345001</v>
      </c>
      <c r="L128" s="228">
        <f t="shared" si="8"/>
        <v>-2.1167305465664699E-3</v>
      </c>
      <c r="M128" s="228"/>
      <c r="N128" s="227"/>
      <c r="O128" s="322">
        <v>40.709999000000003</v>
      </c>
      <c r="P128" s="228">
        <f t="shared" si="9"/>
        <v>-1.9613139994772988E-3</v>
      </c>
      <c r="Q128" s="228"/>
      <c r="R128" s="227"/>
      <c r="S128" s="322">
        <v>145.509995</v>
      </c>
      <c r="T128" s="228">
        <f t="shared" si="10"/>
        <v>-1.7151482476381874E-3</v>
      </c>
      <c r="U128" s="228"/>
      <c r="V128" s="228"/>
      <c r="W128" s="228"/>
      <c r="X128" s="322">
        <v>100.800003</v>
      </c>
      <c r="Y128" s="228">
        <f t="shared" si="11"/>
        <v>-8.9469669545468866E-3</v>
      </c>
      <c r="Z128" s="228"/>
      <c r="AA128" s="202"/>
    </row>
    <row r="129" spans="2:27" x14ac:dyDescent="0.15">
      <c r="B129" s="241">
        <v>42852</v>
      </c>
      <c r="C129" s="244"/>
      <c r="D129" s="245">
        <v>50.552791999999997</v>
      </c>
      <c r="E129" s="228">
        <f t="shared" si="6"/>
        <v>7.3054243845027678E-4</v>
      </c>
      <c r="F129" s="228"/>
      <c r="G129" s="245">
        <v>126.908531</v>
      </c>
      <c r="H129" s="228">
        <f t="shared" si="7"/>
        <v>3.699003041944593E-3</v>
      </c>
      <c r="J129" s="227"/>
      <c r="K129" s="245">
        <v>28.362181</v>
      </c>
      <c r="L129" s="228">
        <f t="shared" si="8"/>
        <v>6.0610334781774355E-4</v>
      </c>
      <c r="M129" s="228"/>
      <c r="N129" s="227"/>
      <c r="O129" s="322">
        <v>41.330002</v>
      </c>
      <c r="P129" s="228">
        <f t="shared" si="9"/>
        <v>1.5229747365014701E-2</v>
      </c>
      <c r="Q129" s="228"/>
      <c r="R129" s="227"/>
      <c r="S129" s="322">
        <v>147</v>
      </c>
      <c r="T129" s="228">
        <f t="shared" si="10"/>
        <v>1.0239880772451304E-2</v>
      </c>
      <c r="U129" s="228"/>
      <c r="V129" s="228"/>
      <c r="W129" s="228"/>
      <c r="X129" s="322">
        <v>103.589996</v>
      </c>
      <c r="Y129" s="228">
        <f t="shared" si="11"/>
        <v>2.7678501160361968E-2</v>
      </c>
      <c r="Z129" s="228"/>
      <c r="AA129" s="202"/>
    </row>
    <row r="130" spans="2:27" x14ac:dyDescent="0.15">
      <c r="B130" s="241">
        <v>42853</v>
      </c>
      <c r="C130" s="244"/>
      <c r="D130" s="245">
        <v>50.349808000000003</v>
      </c>
      <c r="E130" s="228">
        <f t="shared" si="6"/>
        <v>-4.0152876224915923E-3</v>
      </c>
      <c r="F130" s="228"/>
      <c r="G130" s="245">
        <v>127.108116</v>
      </c>
      <c r="H130" s="228">
        <f t="shared" si="7"/>
        <v>1.5726681132255393E-3</v>
      </c>
      <c r="J130" s="227"/>
      <c r="K130" s="245">
        <v>28.405127</v>
      </c>
      <c r="L130" s="228">
        <f t="shared" si="8"/>
        <v>1.514199489806467E-3</v>
      </c>
      <c r="M130" s="228"/>
      <c r="N130" s="227"/>
      <c r="O130" s="322">
        <v>40.610000999999997</v>
      </c>
      <c r="P130" s="228">
        <f t="shared" si="9"/>
        <v>-1.7420783091179226E-2</v>
      </c>
      <c r="Q130" s="228"/>
      <c r="R130" s="227"/>
      <c r="S130" s="322">
        <v>144.85000600000001</v>
      </c>
      <c r="T130" s="228">
        <f t="shared" si="10"/>
        <v>-1.462580952380943E-2</v>
      </c>
      <c r="U130" s="228"/>
      <c r="V130" s="228"/>
      <c r="W130" s="228"/>
      <c r="X130" s="322">
        <v>98.220000999999996</v>
      </c>
      <c r="Y130" s="228">
        <f t="shared" si="11"/>
        <v>-5.1838934331071895E-2</v>
      </c>
      <c r="Z130" s="228"/>
      <c r="AA130" s="202"/>
    </row>
    <row r="131" spans="2:27" x14ac:dyDescent="0.15">
      <c r="B131" s="241">
        <v>42856</v>
      </c>
      <c r="C131" s="244"/>
      <c r="D131" s="245">
        <v>50.506653</v>
      </c>
      <c r="E131" s="228">
        <f t="shared" si="6"/>
        <v>3.1151062184784362E-3</v>
      </c>
      <c r="F131" s="228"/>
      <c r="G131" s="245">
        <v>128.081772</v>
      </c>
      <c r="H131" s="228">
        <f t="shared" si="7"/>
        <v>7.6600616124309351E-3</v>
      </c>
      <c r="J131" s="227"/>
      <c r="K131" s="245">
        <v>28.688578</v>
      </c>
      <c r="L131" s="228">
        <f t="shared" si="8"/>
        <v>9.9788675473972965E-3</v>
      </c>
      <c r="M131" s="228"/>
      <c r="N131" s="227"/>
      <c r="O131" s="322">
        <v>41.700001</v>
      </c>
      <c r="P131" s="228">
        <f t="shared" si="9"/>
        <v>2.6840678974620058E-2</v>
      </c>
      <c r="Q131" s="228"/>
      <c r="R131" s="227"/>
      <c r="S131" s="322">
        <v>149.220001</v>
      </c>
      <c r="T131" s="228">
        <f t="shared" si="10"/>
        <v>3.0169104722025164E-2</v>
      </c>
      <c r="U131" s="228"/>
      <c r="V131" s="228"/>
      <c r="W131" s="228"/>
      <c r="X131" s="322">
        <v>99.169998000000007</v>
      </c>
      <c r="Y131" s="228">
        <f t="shared" si="11"/>
        <v>9.6721338864578232E-3</v>
      </c>
      <c r="Z131" s="228"/>
      <c r="AA131" s="202"/>
    </row>
    <row r="132" spans="2:27" x14ac:dyDescent="0.15">
      <c r="B132" s="241">
        <v>42857</v>
      </c>
      <c r="C132" s="244"/>
      <c r="D132" s="245">
        <v>50.497428999999997</v>
      </c>
      <c r="E132" s="228">
        <f t="shared" si="6"/>
        <v>-1.8262940527857818E-4</v>
      </c>
      <c r="F132" s="228"/>
      <c r="G132" s="245">
        <v>130.13516200000001</v>
      </c>
      <c r="H132" s="228">
        <f t="shared" si="7"/>
        <v>1.6031867516636211E-2</v>
      </c>
      <c r="J132" s="227"/>
      <c r="K132" s="245">
        <v>29.143813999999999</v>
      </c>
      <c r="L132" s="228">
        <f t="shared" si="8"/>
        <v>1.5868196743665797E-2</v>
      </c>
      <c r="M132" s="228"/>
      <c r="N132" s="227"/>
      <c r="O132" s="322">
        <v>41.709999000000003</v>
      </c>
      <c r="P132" s="228">
        <f t="shared" si="9"/>
        <v>2.3976018609705996E-4</v>
      </c>
      <c r="Q132" s="228"/>
      <c r="R132" s="227"/>
      <c r="S132" s="322">
        <v>149.320007</v>
      </c>
      <c r="T132" s="228">
        <f t="shared" si="10"/>
        <v>6.7019165882475917E-4</v>
      </c>
      <c r="U132" s="228"/>
      <c r="V132" s="228"/>
      <c r="W132" s="228"/>
      <c r="X132" s="322">
        <v>99.720000999999996</v>
      </c>
      <c r="Y132" s="228">
        <f t="shared" si="11"/>
        <v>5.546062429082621E-3</v>
      </c>
      <c r="Z132" s="228"/>
      <c r="AA132" s="202"/>
    </row>
    <row r="133" spans="2:27" x14ac:dyDescent="0.15">
      <c r="B133" s="241">
        <v>42858</v>
      </c>
      <c r="C133" s="244"/>
      <c r="D133" s="245">
        <v>50.368256000000002</v>
      </c>
      <c r="E133" s="228">
        <f t="shared" si="6"/>
        <v>-2.5580114187594427E-3</v>
      </c>
      <c r="F133" s="228"/>
      <c r="G133" s="245">
        <v>129.34466599999999</v>
      </c>
      <c r="H133" s="228">
        <f t="shared" si="7"/>
        <v>-6.0744228373882381E-3</v>
      </c>
      <c r="J133" s="227"/>
      <c r="K133" s="245">
        <v>29.453035</v>
      </c>
      <c r="L133" s="228">
        <f t="shared" si="8"/>
        <v>1.0610176142354044E-2</v>
      </c>
      <c r="M133" s="228"/>
      <c r="N133" s="227"/>
      <c r="O133" s="322">
        <v>41.549999</v>
      </c>
      <c r="P133" s="228">
        <f t="shared" si="9"/>
        <v>-3.8360106409977002E-3</v>
      </c>
      <c r="Q133" s="228"/>
      <c r="R133" s="227"/>
      <c r="S133" s="322">
        <v>150.08000200000001</v>
      </c>
      <c r="T133" s="228">
        <f t="shared" si="10"/>
        <v>5.0897064316370866E-3</v>
      </c>
      <c r="U133" s="228"/>
      <c r="V133" s="228"/>
      <c r="W133" s="228"/>
      <c r="X133" s="322">
        <v>99.449996999999996</v>
      </c>
      <c r="Y133" s="228">
        <f t="shared" si="11"/>
        <v>-2.7076213125990511E-3</v>
      </c>
      <c r="Z133" s="228"/>
      <c r="AA133" s="202"/>
    </row>
    <row r="134" spans="2:27" x14ac:dyDescent="0.15">
      <c r="B134" s="241">
        <v>42859</v>
      </c>
      <c r="C134" s="244"/>
      <c r="D134" s="245">
        <v>50.414386999999998</v>
      </c>
      <c r="E134" s="228">
        <f t="shared" si="6"/>
        <v>9.1587447458962856E-4</v>
      </c>
      <c r="F134" s="228"/>
      <c r="G134" s="245">
        <v>130.20263700000001</v>
      </c>
      <c r="H134" s="228">
        <f t="shared" si="7"/>
        <v>6.6332151648218485E-3</v>
      </c>
      <c r="J134" s="227"/>
      <c r="K134" s="245">
        <v>29.324193999999999</v>
      </c>
      <c r="L134" s="228">
        <f t="shared" si="8"/>
        <v>-4.3744558073557371E-3</v>
      </c>
      <c r="M134" s="228"/>
      <c r="N134" s="227"/>
      <c r="O134" s="322">
        <v>41.619999</v>
      </c>
      <c r="P134" s="228">
        <f t="shared" si="9"/>
        <v>1.6847172487297613E-3</v>
      </c>
      <c r="Q134" s="228"/>
      <c r="R134" s="227"/>
      <c r="S134" s="322">
        <v>150.61000100000001</v>
      </c>
      <c r="T134" s="228">
        <f t="shared" si="10"/>
        <v>3.5314431832162985E-3</v>
      </c>
      <c r="U134" s="228"/>
      <c r="V134" s="228"/>
      <c r="W134" s="228"/>
      <c r="X134" s="322">
        <v>100.80999799999999</v>
      </c>
      <c r="Y134" s="228">
        <f t="shared" si="11"/>
        <v>1.3675224143043341E-2</v>
      </c>
      <c r="Z134" s="228"/>
      <c r="AA134" s="202"/>
    </row>
    <row r="135" spans="2:27" x14ac:dyDescent="0.15">
      <c r="B135" s="241">
        <v>42860</v>
      </c>
      <c r="C135" s="244"/>
      <c r="D135" s="245">
        <v>50.635838</v>
      </c>
      <c r="E135" s="228">
        <f t="shared" si="6"/>
        <v>4.3926151477355901E-3</v>
      </c>
      <c r="F135" s="228"/>
      <c r="G135" s="245">
        <v>130.95460499999999</v>
      </c>
      <c r="H135" s="228">
        <f t="shared" si="7"/>
        <v>5.7753668998268282E-3</v>
      </c>
      <c r="J135" s="227"/>
      <c r="K135" s="245">
        <v>29.564692999999998</v>
      </c>
      <c r="L135" s="228">
        <f t="shared" si="8"/>
        <v>8.20138483601629E-3</v>
      </c>
      <c r="M135" s="228"/>
      <c r="N135" s="227"/>
      <c r="O135" s="322">
        <v>41.830002</v>
      </c>
      <c r="P135" s="228">
        <f t="shared" si="9"/>
        <v>5.0457233312284355E-3</v>
      </c>
      <c r="Q135" s="228"/>
      <c r="R135" s="227"/>
      <c r="S135" s="322">
        <v>150.30999800000001</v>
      </c>
      <c r="T135" s="228">
        <f t="shared" si="10"/>
        <v>-1.9919195140302159E-3</v>
      </c>
      <c r="U135" s="228"/>
      <c r="V135" s="228"/>
      <c r="W135" s="228"/>
      <c r="X135" s="322">
        <v>100.94000200000001</v>
      </c>
      <c r="Y135" s="228">
        <f t="shared" si="11"/>
        <v>1.289594311865816E-3</v>
      </c>
      <c r="Z135" s="228"/>
      <c r="AA135" s="202"/>
    </row>
    <row r="136" spans="2:27" x14ac:dyDescent="0.15">
      <c r="B136" s="241">
        <v>42863</v>
      </c>
      <c r="C136" s="244"/>
      <c r="D136" s="245">
        <v>50.608153999999999</v>
      </c>
      <c r="E136" s="228">
        <f t="shared" si="6"/>
        <v>-5.467273988829513E-4</v>
      </c>
      <c r="F136" s="228"/>
      <c r="G136" s="245">
        <v>128.47705099999999</v>
      </c>
      <c r="H136" s="228">
        <f t="shared" si="7"/>
        <v>-1.8919181956220665E-2</v>
      </c>
      <c r="J136" s="227"/>
      <c r="K136" s="245">
        <v>30.0457</v>
      </c>
      <c r="L136" s="228">
        <f t="shared" si="8"/>
        <v>1.6269642982594146E-2</v>
      </c>
      <c r="M136" s="228"/>
      <c r="N136" s="227"/>
      <c r="O136" s="322">
        <v>41.540000999999997</v>
      </c>
      <c r="P136" s="228">
        <f t="shared" si="9"/>
        <v>-6.9328469073466348E-3</v>
      </c>
      <c r="Q136" s="228"/>
      <c r="R136" s="227"/>
      <c r="S136" s="322">
        <v>149.11999499999999</v>
      </c>
      <c r="T136" s="228">
        <f t="shared" si="10"/>
        <v>-7.916991656137351E-3</v>
      </c>
      <c r="U136" s="228"/>
      <c r="V136" s="228"/>
      <c r="W136" s="228"/>
      <c r="X136" s="322">
        <v>100.5</v>
      </c>
      <c r="Y136" s="228">
        <f t="shared" si="11"/>
        <v>-4.359044890845265E-3</v>
      </c>
      <c r="Z136" s="228"/>
      <c r="AA136" s="202"/>
    </row>
    <row r="137" spans="2:27" x14ac:dyDescent="0.15">
      <c r="B137" s="241">
        <v>42864</v>
      </c>
      <c r="C137" s="244"/>
      <c r="D137" s="245">
        <v>50.571250999999997</v>
      </c>
      <c r="E137" s="228">
        <f t="shared" ref="E137:E200" si="12">D137/D136-1</f>
        <v>-7.2919079403688247E-4</v>
      </c>
      <c r="F137" s="228"/>
      <c r="G137" s="245">
        <v>130.10626199999999</v>
      </c>
      <c r="H137" s="228">
        <f t="shared" ref="H137:H200" si="13">G137/G136-1</f>
        <v>1.2680949533936614E-2</v>
      </c>
      <c r="J137" s="227"/>
      <c r="K137" s="245">
        <v>30.415047000000001</v>
      </c>
      <c r="L137" s="228">
        <f t="shared" ref="L137:L200" si="14">K137/K136-1</f>
        <v>1.2292840572860619E-2</v>
      </c>
      <c r="M137" s="228"/>
      <c r="N137" s="227"/>
      <c r="O137" s="322">
        <v>42.040000999999997</v>
      </c>
      <c r="P137" s="228">
        <f t="shared" ref="P137:P200" si="15">O137/O136-1</f>
        <v>1.2036590947602566E-2</v>
      </c>
      <c r="Q137" s="228"/>
      <c r="R137" s="227"/>
      <c r="S137" s="322">
        <v>150.53999300000001</v>
      </c>
      <c r="T137" s="228">
        <f t="shared" ref="T137:T200" si="16">S137/S136-1</f>
        <v>9.5225190961145678E-3</v>
      </c>
      <c r="U137" s="228"/>
      <c r="V137" s="228"/>
      <c r="W137" s="228"/>
      <c r="X137" s="322">
        <v>100.80999799999999</v>
      </c>
      <c r="Y137" s="228">
        <f t="shared" ref="Y137:Y200" si="17">X137/X136-1</f>
        <v>3.0845572139301947E-3</v>
      </c>
      <c r="Z137" s="228"/>
      <c r="AA137" s="202"/>
    </row>
    <row r="138" spans="2:27" x14ac:dyDescent="0.15">
      <c r="B138" s="241">
        <v>42865</v>
      </c>
      <c r="C138" s="244"/>
      <c r="D138" s="245">
        <v>50.681969000000002</v>
      </c>
      <c r="E138" s="228">
        <f t="shared" si="12"/>
        <v>2.1893466705027453E-3</v>
      </c>
      <c r="F138" s="228"/>
      <c r="G138" s="245">
        <v>128.987976</v>
      </c>
      <c r="H138" s="228">
        <f t="shared" si="13"/>
        <v>-8.5951743045233897E-3</v>
      </c>
      <c r="J138" s="227"/>
      <c r="K138" s="245">
        <v>30.415047000000001</v>
      </c>
      <c r="L138" s="228">
        <f t="shared" si="14"/>
        <v>0</v>
      </c>
      <c r="M138" s="228"/>
      <c r="N138" s="227"/>
      <c r="O138" s="322">
        <v>42.869999</v>
      </c>
      <c r="P138" s="228">
        <f t="shared" si="15"/>
        <v>1.9743053764437413E-2</v>
      </c>
      <c r="Q138" s="228"/>
      <c r="R138" s="227"/>
      <c r="S138" s="322">
        <v>149.14999399999999</v>
      </c>
      <c r="T138" s="228">
        <f t="shared" si="16"/>
        <v>-9.2334201184666176E-3</v>
      </c>
      <c r="U138" s="228"/>
      <c r="V138" s="228"/>
      <c r="W138" s="228"/>
      <c r="X138" s="322">
        <v>100.760002</v>
      </c>
      <c r="Y138" s="228">
        <f t="shared" si="17"/>
        <v>-4.9594287265031234E-4</v>
      </c>
      <c r="Z138" s="228"/>
      <c r="AA138" s="202"/>
    </row>
    <row r="139" spans="2:27" x14ac:dyDescent="0.15">
      <c r="B139" s="241">
        <v>42866</v>
      </c>
      <c r="C139" s="244"/>
      <c r="D139" s="245">
        <v>50.552791999999997</v>
      </c>
      <c r="E139" s="228">
        <f t="shared" si="12"/>
        <v>-2.5487762718927609E-3</v>
      </c>
      <c r="F139" s="228"/>
      <c r="G139" s="245">
        <v>129.335037</v>
      </c>
      <c r="H139" s="228">
        <f t="shared" si="13"/>
        <v>2.6906461420868055E-3</v>
      </c>
      <c r="J139" s="227"/>
      <c r="K139" s="245">
        <v>30.543883999999998</v>
      </c>
      <c r="L139" s="228">
        <f t="shared" si="14"/>
        <v>4.2359625484056362E-3</v>
      </c>
      <c r="M139" s="228"/>
      <c r="N139" s="227"/>
      <c r="O139" s="322">
        <v>43.48</v>
      </c>
      <c r="P139" s="228">
        <f t="shared" si="15"/>
        <v>1.4229088272196933E-2</v>
      </c>
      <c r="Q139" s="228"/>
      <c r="R139" s="227"/>
      <c r="S139" s="322">
        <v>149.91999799999999</v>
      </c>
      <c r="T139" s="228">
        <f t="shared" si="16"/>
        <v>5.1626150249795E-3</v>
      </c>
      <c r="U139" s="228"/>
      <c r="V139" s="228"/>
      <c r="W139" s="228"/>
      <c r="X139" s="322">
        <v>100.260002</v>
      </c>
      <c r="Y139" s="228">
        <f t="shared" si="17"/>
        <v>-4.9622865231780944E-3</v>
      </c>
      <c r="Z139" s="228"/>
      <c r="AA139" s="202"/>
    </row>
    <row r="140" spans="2:27" x14ac:dyDescent="0.15">
      <c r="B140" s="241">
        <v>42867</v>
      </c>
      <c r="C140" s="244"/>
      <c r="D140" s="245">
        <v>50.451293999999997</v>
      </c>
      <c r="E140" s="228">
        <f t="shared" si="12"/>
        <v>-2.0077624990524345E-3</v>
      </c>
      <c r="F140" s="228"/>
      <c r="G140" s="245">
        <v>130.56899999999999</v>
      </c>
      <c r="H140" s="228">
        <f t="shared" si="13"/>
        <v>9.5408253526845233E-3</v>
      </c>
      <c r="J140" s="227"/>
      <c r="K140" s="245">
        <v>30.380683999999999</v>
      </c>
      <c r="L140" s="228">
        <f t="shared" si="14"/>
        <v>-5.3431318688873519E-3</v>
      </c>
      <c r="M140" s="228"/>
      <c r="N140" s="227"/>
      <c r="O140" s="322">
        <v>43.439999</v>
      </c>
      <c r="P140" s="228">
        <f t="shared" si="15"/>
        <v>-9.1998620055189217E-4</v>
      </c>
      <c r="Q140" s="228"/>
      <c r="R140" s="227"/>
      <c r="S140" s="322">
        <v>149.58000200000001</v>
      </c>
      <c r="T140" s="228">
        <f t="shared" si="16"/>
        <v>-2.2678495499979245E-3</v>
      </c>
      <c r="U140" s="228"/>
      <c r="V140" s="228"/>
      <c r="W140" s="228"/>
      <c r="X140" s="322">
        <v>100.040001</v>
      </c>
      <c r="Y140" s="228">
        <f t="shared" si="17"/>
        <v>-2.1943047637281721E-3</v>
      </c>
      <c r="Z140" s="228"/>
      <c r="AA140" s="202"/>
    </row>
    <row r="141" spans="2:27" x14ac:dyDescent="0.15">
      <c r="B141" s="241">
        <v>42870</v>
      </c>
      <c r="C141" s="244"/>
      <c r="D141" s="245">
        <v>50.718868000000001</v>
      </c>
      <c r="E141" s="228">
        <f t="shared" si="12"/>
        <v>5.3036102503138949E-3</v>
      </c>
      <c r="F141" s="228"/>
      <c r="G141" s="245">
        <v>130.85820000000001</v>
      </c>
      <c r="H141" s="228">
        <f t="shared" si="13"/>
        <v>2.2149208464492531E-3</v>
      </c>
      <c r="J141" s="227"/>
      <c r="K141" s="245">
        <v>30.114418000000001</v>
      </c>
      <c r="L141" s="228">
        <f t="shared" si="14"/>
        <v>-8.7643188020387619E-3</v>
      </c>
      <c r="M141" s="228"/>
      <c r="N141" s="227"/>
      <c r="O141" s="322">
        <v>44.32</v>
      </c>
      <c r="P141" s="228">
        <f t="shared" si="15"/>
        <v>2.0257850374259867E-2</v>
      </c>
      <c r="Q141" s="228"/>
      <c r="R141" s="227"/>
      <c r="S141" s="322">
        <v>151.270004</v>
      </c>
      <c r="T141" s="228">
        <f t="shared" si="16"/>
        <v>1.1298315131724523E-2</v>
      </c>
      <c r="U141" s="228"/>
      <c r="V141" s="228"/>
      <c r="W141" s="228"/>
      <c r="X141" s="322">
        <v>101.25</v>
      </c>
      <c r="Y141" s="228">
        <f t="shared" si="17"/>
        <v>1.2095151818321215E-2</v>
      </c>
      <c r="Z141" s="228"/>
      <c r="AA141" s="202"/>
    </row>
    <row r="142" spans="2:27" x14ac:dyDescent="0.15">
      <c r="B142" s="241">
        <v>42871</v>
      </c>
      <c r="C142" s="244"/>
      <c r="D142" s="245">
        <v>50.691189000000001</v>
      </c>
      <c r="E142" s="228">
        <f t="shared" si="12"/>
        <v>-5.4573378885347523E-4</v>
      </c>
      <c r="F142" s="228"/>
      <c r="G142" s="245">
        <v>132.32354699999999</v>
      </c>
      <c r="H142" s="228">
        <f t="shared" si="13"/>
        <v>1.1197976129887044E-2</v>
      </c>
      <c r="J142" s="227"/>
      <c r="K142" s="245">
        <v>30.088650000000001</v>
      </c>
      <c r="L142" s="228">
        <f t="shared" si="14"/>
        <v>-8.5566986551088853E-4</v>
      </c>
      <c r="M142" s="228"/>
      <c r="N142" s="227"/>
      <c r="O142" s="322">
        <v>45.07</v>
      </c>
      <c r="P142" s="228">
        <f t="shared" si="15"/>
        <v>1.6922382671480163E-2</v>
      </c>
      <c r="Q142" s="228"/>
      <c r="R142" s="227"/>
      <c r="S142" s="322">
        <v>152.55999800000001</v>
      </c>
      <c r="T142" s="228">
        <f t="shared" si="16"/>
        <v>8.5277580874527636E-3</v>
      </c>
      <c r="U142" s="228"/>
      <c r="V142" s="228"/>
      <c r="W142" s="228"/>
      <c r="X142" s="322">
        <v>102.33000199999999</v>
      </c>
      <c r="Y142" s="228">
        <f t="shared" si="17"/>
        <v>1.0666686419753102E-2</v>
      </c>
      <c r="Z142" s="228"/>
      <c r="AA142" s="202"/>
    </row>
    <row r="143" spans="2:27" x14ac:dyDescent="0.15">
      <c r="B143" s="241">
        <v>42872</v>
      </c>
      <c r="C143" s="244"/>
      <c r="D143" s="245">
        <v>49.759300000000003</v>
      </c>
      <c r="E143" s="228">
        <f t="shared" si="12"/>
        <v>-1.838364848770857E-2</v>
      </c>
      <c r="F143" s="228"/>
      <c r="G143" s="245">
        <v>128.03355400000001</v>
      </c>
      <c r="H143" s="228">
        <f t="shared" si="13"/>
        <v>-3.2420480687386566E-2</v>
      </c>
      <c r="J143" s="227"/>
      <c r="K143" s="245">
        <v>29.564692999999998</v>
      </c>
      <c r="L143" s="228">
        <f t="shared" si="14"/>
        <v>-1.7413775626357597E-2</v>
      </c>
      <c r="M143" s="228"/>
      <c r="N143" s="227"/>
      <c r="O143" s="322">
        <v>42.759998000000003</v>
      </c>
      <c r="P143" s="228">
        <f t="shared" si="15"/>
        <v>-5.1253649877967544E-2</v>
      </c>
      <c r="Q143" s="228"/>
      <c r="R143" s="227"/>
      <c r="S143" s="322">
        <v>147.270004</v>
      </c>
      <c r="T143" s="228">
        <f t="shared" si="16"/>
        <v>-3.4674843139418599E-2</v>
      </c>
      <c r="U143" s="228"/>
      <c r="V143" s="228"/>
      <c r="W143" s="228"/>
      <c r="X143" s="322">
        <v>99.879997000000003</v>
      </c>
      <c r="Y143" s="228">
        <f t="shared" si="17"/>
        <v>-2.394219634628747E-2</v>
      </c>
      <c r="Z143" s="228"/>
      <c r="AA143" s="202"/>
    </row>
    <row r="144" spans="2:27" x14ac:dyDescent="0.15">
      <c r="B144" s="241">
        <v>42873</v>
      </c>
      <c r="C144" s="244"/>
      <c r="D144" s="245">
        <v>49.925373</v>
      </c>
      <c r="E144" s="228">
        <f t="shared" si="12"/>
        <v>3.3375268542763514E-3</v>
      </c>
      <c r="F144" s="228"/>
      <c r="G144" s="245">
        <v>129.18077099999999</v>
      </c>
      <c r="H144" s="228">
        <f t="shared" si="13"/>
        <v>8.9602839580629201E-3</v>
      </c>
      <c r="J144" s="227"/>
      <c r="K144" s="245">
        <v>29.976986</v>
      </c>
      <c r="L144" s="228">
        <f t="shared" si="14"/>
        <v>1.3945451758961225E-2</v>
      </c>
      <c r="M144" s="228"/>
      <c r="N144" s="227"/>
      <c r="O144" s="322">
        <v>43.91</v>
      </c>
      <c r="P144" s="228">
        <f t="shared" si="15"/>
        <v>2.6894341763065377E-2</v>
      </c>
      <c r="Q144" s="228"/>
      <c r="R144" s="227"/>
      <c r="S144" s="322">
        <v>149.80999800000001</v>
      </c>
      <c r="T144" s="228">
        <f t="shared" si="16"/>
        <v>1.7247191763503977E-2</v>
      </c>
      <c r="U144" s="228"/>
      <c r="V144" s="228"/>
      <c r="W144" s="228"/>
      <c r="X144" s="322">
        <v>100.849998</v>
      </c>
      <c r="Y144" s="228">
        <f t="shared" si="17"/>
        <v>9.7116642884960136E-3</v>
      </c>
      <c r="Z144" s="228"/>
      <c r="AA144" s="202"/>
    </row>
    <row r="145" spans="2:27" x14ac:dyDescent="0.15">
      <c r="B145" s="241">
        <v>42874</v>
      </c>
      <c r="C145" s="244"/>
      <c r="D145" s="245">
        <v>50.257542000000001</v>
      </c>
      <c r="E145" s="228">
        <f t="shared" si="12"/>
        <v>6.6533103318027198E-3</v>
      </c>
      <c r="F145" s="228"/>
      <c r="G145" s="245">
        <v>130.00019800000001</v>
      </c>
      <c r="H145" s="228">
        <f t="shared" si="13"/>
        <v>6.3432583166733725E-3</v>
      </c>
      <c r="J145" s="227"/>
      <c r="K145" s="245">
        <v>30.234667000000002</v>
      </c>
      <c r="L145" s="228">
        <f t="shared" si="14"/>
        <v>8.5959609148165139E-3</v>
      </c>
      <c r="M145" s="228"/>
      <c r="N145" s="227"/>
      <c r="O145" s="322">
        <v>44.080002</v>
      </c>
      <c r="P145" s="228">
        <f t="shared" si="15"/>
        <v>3.8716010020496405E-3</v>
      </c>
      <c r="Q145" s="228"/>
      <c r="R145" s="227"/>
      <c r="S145" s="322">
        <v>152.39999399999999</v>
      </c>
      <c r="T145" s="228">
        <f t="shared" si="16"/>
        <v>1.7288539046639517E-2</v>
      </c>
      <c r="U145" s="228"/>
      <c r="V145" s="228"/>
      <c r="W145" s="228"/>
      <c r="X145" s="322">
        <v>101.779999</v>
      </c>
      <c r="Y145" s="228">
        <f t="shared" si="17"/>
        <v>9.2216263603694948E-3</v>
      </c>
      <c r="Z145" s="228"/>
      <c r="AA145" s="202"/>
    </row>
    <row r="146" spans="2:27" x14ac:dyDescent="0.15">
      <c r="B146" s="241">
        <v>42877</v>
      </c>
      <c r="C146" s="244"/>
      <c r="D146" s="245">
        <v>50.552791999999997</v>
      </c>
      <c r="E146" s="228">
        <f t="shared" si="12"/>
        <v>5.8747401534280375E-3</v>
      </c>
      <c r="F146" s="228"/>
      <c r="G146" s="245">
        <v>129.38322400000001</v>
      </c>
      <c r="H146" s="228">
        <f t="shared" si="13"/>
        <v>-4.7459466177121046E-3</v>
      </c>
      <c r="J146" s="227"/>
      <c r="K146" s="245">
        <v>30.406459999999999</v>
      </c>
      <c r="L146" s="228">
        <f t="shared" si="14"/>
        <v>5.6819875013010002E-3</v>
      </c>
      <c r="M146" s="228"/>
      <c r="N146" s="227"/>
      <c r="O146" s="322">
        <v>44.73</v>
      </c>
      <c r="P146" s="228">
        <f t="shared" si="15"/>
        <v>1.4745870474325296E-2</v>
      </c>
      <c r="Q146" s="228"/>
      <c r="R146" s="227"/>
      <c r="S146" s="322">
        <v>152.91000399999999</v>
      </c>
      <c r="T146" s="228">
        <f t="shared" si="16"/>
        <v>3.3465224414641614E-3</v>
      </c>
      <c r="U146" s="228"/>
      <c r="V146" s="228"/>
      <c r="W146" s="228"/>
      <c r="X146" s="322">
        <v>102.709999</v>
      </c>
      <c r="Y146" s="228">
        <f t="shared" si="17"/>
        <v>9.137355169358985E-3</v>
      </c>
      <c r="Z146" s="228"/>
      <c r="AA146" s="202"/>
    </row>
    <row r="147" spans="2:27" x14ac:dyDescent="0.15">
      <c r="B147" s="241">
        <v>42878</v>
      </c>
      <c r="C147" s="244"/>
      <c r="D147" s="245">
        <v>50.608153999999999</v>
      </c>
      <c r="E147" s="228">
        <f t="shared" si="12"/>
        <v>1.0951323915007194E-3</v>
      </c>
      <c r="F147" s="228"/>
      <c r="G147" s="245">
        <v>129.09402499999999</v>
      </c>
      <c r="H147" s="228">
        <f t="shared" si="13"/>
        <v>-2.2352125032842896E-3</v>
      </c>
      <c r="J147" s="227"/>
      <c r="K147" s="245">
        <v>30.406459999999999</v>
      </c>
      <c r="L147" s="228">
        <f t="shared" si="14"/>
        <v>0</v>
      </c>
      <c r="M147" s="228"/>
      <c r="N147" s="227"/>
      <c r="O147" s="322">
        <v>44.91</v>
      </c>
      <c r="P147" s="228">
        <f t="shared" si="15"/>
        <v>4.0241448692153181E-3</v>
      </c>
      <c r="Q147" s="228"/>
      <c r="R147" s="227"/>
      <c r="S147" s="322">
        <v>153.429993</v>
      </c>
      <c r="T147" s="228">
        <f t="shared" si="16"/>
        <v>3.400621191534503E-3</v>
      </c>
      <c r="U147" s="228"/>
      <c r="V147" s="228"/>
      <c r="W147" s="228"/>
      <c r="X147" s="322">
        <v>102.489998</v>
      </c>
      <c r="Y147" s="228">
        <f t="shared" si="17"/>
        <v>-2.1419628287602244E-3</v>
      </c>
      <c r="Z147" s="228"/>
      <c r="AA147" s="202"/>
    </row>
    <row r="148" spans="2:27" x14ac:dyDescent="0.15">
      <c r="B148" s="241">
        <v>42879</v>
      </c>
      <c r="C148" s="244"/>
      <c r="D148" s="245">
        <v>50.755778999999997</v>
      </c>
      <c r="E148" s="228">
        <f t="shared" si="12"/>
        <v>2.9170200517489864E-3</v>
      </c>
      <c r="F148" s="228"/>
      <c r="G148" s="245">
        <v>128.68911700000001</v>
      </c>
      <c r="H148" s="228">
        <f t="shared" si="13"/>
        <v>-3.1365355600305733E-3</v>
      </c>
      <c r="J148" s="227"/>
      <c r="K148" s="245">
        <v>30.509529000000001</v>
      </c>
      <c r="L148" s="228">
        <f t="shared" si="14"/>
        <v>3.3897073187738602E-3</v>
      </c>
      <c r="M148" s="228"/>
      <c r="N148" s="227"/>
      <c r="O148" s="322">
        <v>44.630001</v>
      </c>
      <c r="P148" s="228">
        <f t="shared" si="15"/>
        <v>-6.2346693386772234E-3</v>
      </c>
      <c r="Q148" s="228"/>
      <c r="R148" s="227"/>
      <c r="S148" s="322">
        <v>152.88000500000001</v>
      </c>
      <c r="T148" s="228">
        <f t="shared" si="16"/>
        <v>-3.5846185562947719E-3</v>
      </c>
      <c r="U148" s="228"/>
      <c r="V148" s="228"/>
      <c r="W148" s="228"/>
      <c r="X148" s="322">
        <v>103.279999</v>
      </c>
      <c r="Y148" s="228">
        <f t="shared" si="17"/>
        <v>7.7080789873760214E-3</v>
      </c>
      <c r="Z148" s="228"/>
      <c r="AA148" s="202"/>
    </row>
    <row r="149" spans="2:27" x14ac:dyDescent="0.15">
      <c r="B149" s="241">
        <v>42880</v>
      </c>
      <c r="C149" s="244"/>
      <c r="D149" s="245">
        <v>50.986449999999998</v>
      </c>
      <c r="E149" s="228">
        <f t="shared" si="12"/>
        <v>4.544723862872857E-3</v>
      </c>
      <c r="F149" s="228"/>
      <c r="G149" s="245">
        <v>130.03877299999999</v>
      </c>
      <c r="H149" s="228">
        <f t="shared" si="13"/>
        <v>1.0487724459248504E-2</v>
      </c>
      <c r="J149" s="227"/>
      <c r="K149" s="245">
        <v>30.552475000000001</v>
      </c>
      <c r="L149" s="228">
        <f t="shared" si="14"/>
        <v>1.407625794551004E-3</v>
      </c>
      <c r="M149" s="228"/>
      <c r="N149" s="227"/>
      <c r="O149" s="322">
        <v>45.02</v>
      </c>
      <c r="P149" s="228">
        <f t="shared" si="15"/>
        <v>8.7384940905559372E-3</v>
      </c>
      <c r="Q149" s="228"/>
      <c r="R149" s="227"/>
      <c r="S149" s="322">
        <v>153.89999399999999</v>
      </c>
      <c r="T149" s="228">
        <f t="shared" si="16"/>
        <v>6.6718273589798649E-3</v>
      </c>
      <c r="U149" s="228"/>
      <c r="V149" s="228"/>
      <c r="W149" s="228"/>
      <c r="X149" s="322">
        <v>104.849998</v>
      </c>
      <c r="Y149" s="228">
        <f t="shared" si="17"/>
        <v>1.5201384732778767E-2</v>
      </c>
      <c r="Z149" s="228"/>
      <c r="AA149" s="202"/>
    </row>
    <row r="150" spans="2:27" x14ac:dyDescent="0.15">
      <c r="B150" s="241">
        <v>42881</v>
      </c>
      <c r="C150" s="244"/>
      <c r="D150" s="245">
        <v>50.977218999999998</v>
      </c>
      <c r="E150" s="228">
        <f t="shared" si="12"/>
        <v>-1.8104810199570665E-4</v>
      </c>
      <c r="F150" s="228"/>
      <c r="G150" s="245">
        <v>129.37359599999999</v>
      </c>
      <c r="H150" s="228">
        <f t="shared" si="13"/>
        <v>-5.1152205196522971E-3</v>
      </c>
      <c r="J150" s="227"/>
      <c r="K150" s="245">
        <v>30.500934999999998</v>
      </c>
      <c r="L150" s="228">
        <f t="shared" si="14"/>
        <v>-1.6869337099532089E-3</v>
      </c>
      <c r="M150" s="228"/>
      <c r="N150" s="227"/>
      <c r="O150" s="322">
        <v>45.5</v>
      </c>
      <c r="P150" s="228">
        <f t="shared" si="15"/>
        <v>1.0661928031985735E-2</v>
      </c>
      <c r="Q150" s="228"/>
      <c r="R150" s="227"/>
      <c r="S150" s="322">
        <v>155.11999499999999</v>
      </c>
      <c r="T150" s="228">
        <f t="shared" si="16"/>
        <v>7.9272322778647375E-3</v>
      </c>
      <c r="U150" s="228"/>
      <c r="V150" s="228"/>
      <c r="W150" s="228"/>
      <c r="X150" s="322">
        <v>104.739998</v>
      </c>
      <c r="Y150" s="228">
        <f t="shared" si="17"/>
        <v>-1.0491178073269714E-3</v>
      </c>
      <c r="Z150" s="228"/>
      <c r="AA150" s="202"/>
    </row>
    <row r="151" spans="2:27" x14ac:dyDescent="0.15">
      <c r="B151" s="241">
        <v>42885</v>
      </c>
      <c r="C151" s="244"/>
      <c r="D151" s="245">
        <v>50.894176000000002</v>
      </c>
      <c r="E151" s="228">
        <f t="shared" si="12"/>
        <v>-1.629021779316675E-3</v>
      </c>
      <c r="F151" s="228"/>
      <c r="G151" s="245">
        <v>128.61199999999999</v>
      </c>
      <c r="H151" s="228">
        <f t="shared" si="13"/>
        <v>-5.8867962516864214E-3</v>
      </c>
      <c r="J151" s="227"/>
      <c r="K151" s="245">
        <v>30.732855000000001</v>
      </c>
      <c r="L151" s="228">
        <f t="shared" si="14"/>
        <v>7.6037013291561095E-3</v>
      </c>
      <c r="M151" s="228"/>
      <c r="N151" s="227"/>
      <c r="O151" s="322">
        <v>45.560001</v>
      </c>
      <c r="P151" s="228">
        <f t="shared" si="15"/>
        <v>1.3187032967032497E-3</v>
      </c>
      <c r="Q151" s="228"/>
      <c r="R151" s="227"/>
      <c r="S151" s="322">
        <v>156.86999499999999</v>
      </c>
      <c r="T151" s="228">
        <f t="shared" si="16"/>
        <v>1.1281588811294041E-2</v>
      </c>
      <c r="U151" s="228"/>
      <c r="V151" s="228"/>
      <c r="W151" s="228"/>
      <c r="X151" s="322">
        <v>104.540001</v>
      </c>
      <c r="Y151" s="228">
        <f t="shared" si="17"/>
        <v>-1.9094615602340825E-3</v>
      </c>
      <c r="Z151" s="228"/>
      <c r="AA151" s="202"/>
    </row>
    <row r="152" spans="2:27" x14ac:dyDescent="0.15">
      <c r="B152" s="241">
        <v>42886</v>
      </c>
      <c r="C152" s="244"/>
      <c r="D152" s="245">
        <v>50.884953000000003</v>
      </c>
      <c r="E152" s="228">
        <f t="shared" si="12"/>
        <v>-1.8121916346569567E-4</v>
      </c>
      <c r="F152" s="228"/>
      <c r="G152" s="245">
        <v>127.24308000000001</v>
      </c>
      <c r="H152" s="228">
        <f t="shared" si="13"/>
        <v>-1.0643796846328435E-2</v>
      </c>
      <c r="J152" s="227"/>
      <c r="K152" s="245">
        <v>30.372102999999999</v>
      </c>
      <c r="L152" s="228">
        <f t="shared" si="14"/>
        <v>-1.1738317185305491E-2</v>
      </c>
      <c r="M152" s="228"/>
      <c r="N152" s="227"/>
      <c r="O152" s="322">
        <v>45.880001</v>
      </c>
      <c r="P152" s="228">
        <f t="shared" si="15"/>
        <v>7.0237048502259647E-3</v>
      </c>
      <c r="Q152" s="228"/>
      <c r="R152" s="227"/>
      <c r="S152" s="322">
        <v>155.16999799999999</v>
      </c>
      <c r="T152" s="228">
        <f t="shared" si="16"/>
        <v>-1.0836980010103248E-2</v>
      </c>
      <c r="U152" s="228"/>
      <c r="V152" s="228"/>
      <c r="W152" s="228"/>
      <c r="X152" s="322">
        <v>104</v>
      </c>
      <c r="Y152" s="228">
        <f t="shared" si="17"/>
        <v>-5.1654964112732848E-3</v>
      </c>
      <c r="Z152" s="228"/>
      <c r="AA152" s="202"/>
    </row>
    <row r="153" spans="2:27" x14ac:dyDescent="0.15">
      <c r="B153" s="241">
        <v>42887</v>
      </c>
      <c r="C153" s="244"/>
      <c r="D153" s="245">
        <v>51.337054999999999</v>
      </c>
      <c r="E153" s="228">
        <f t="shared" si="12"/>
        <v>8.8847876109858781E-3</v>
      </c>
      <c r="F153" s="228"/>
      <c r="G153" s="245">
        <v>128.997604</v>
      </c>
      <c r="H153" s="228">
        <f t="shared" si="13"/>
        <v>1.3788757706902244E-2</v>
      </c>
      <c r="J153" s="227"/>
      <c r="K153" s="245">
        <v>30.827337</v>
      </c>
      <c r="L153" s="228">
        <f t="shared" si="14"/>
        <v>1.4988557097939559E-2</v>
      </c>
      <c r="M153" s="228"/>
      <c r="N153" s="227"/>
      <c r="O153" s="322">
        <v>46</v>
      </c>
      <c r="P153" s="228">
        <f t="shared" si="15"/>
        <v>2.6154968915541588E-3</v>
      </c>
      <c r="Q153" s="228"/>
      <c r="R153" s="227"/>
      <c r="S153" s="322">
        <v>156.44000199999999</v>
      </c>
      <c r="T153" s="228">
        <f t="shared" si="16"/>
        <v>8.1845976436758505E-3</v>
      </c>
      <c r="U153" s="228"/>
      <c r="V153" s="228"/>
      <c r="W153" s="228"/>
      <c r="X153" s="322">
        <v>104.75</v>
      </c>
      <c r="Y153" s="228">
        <f t="shared" si="17"/>
        <v>7.2115384615385469E-3</v>
      </c>
      <c r="Z153" s="228"/>
      <c r="AA153" s="202"/>
    </row>
    <row r="154" spans="2:27" x14ac:dyDescent="0.15">
      <c r="B154" s="241">
        <v>42888</v>
      </c>
      <c r="C154" s="244"/>
      <c r="D154" s="245">
        <v>51.521594999999998</v>
      </c>
      <c r="E154" s="228">
        <f t="shared" si="12"/>
        <v>3.5946744510373385E-3</v>
      </c>
      <c r="F154" s="228"/>
      <c r="G154" s="245">
        <v>129.855591</v>
      </c>
      <c r="H154" s="228">
        <f t="shared" si="13"/>
        <v>6.6511855522526364E-3</v>
      </c>
      <c r="J154" s="227"/>
      <c r="K154" s="245">
        <v>31.076433000000002</v>
      </c>
      <c r="L154" s="228">
        <f t="shared" si="14"/>
        <v>8.0803606227810576E-3</v>
      </c>
      <c r="M154" s="228"/>
      <c r="N154" s="227"/>
      <c r="O154" s="322">
        <v>46.799999</v>
      </c>
      <c r="P154" s="228">
        <f t="shared" si="15"/>
        <v>1.7391282608695713E-2</v>
      </c>
      <c r="Q154" s="228"/>
      <c r="R154" s="227"/>
      <c r="S154" s="322">
        <v>158.740005</v>
      </c>
      <c r="T154" s="228">
        <f t="shared" si="16"/>
        <v>1.4702141208103647E-2</v>
      </c>
      <c r="U154" s="228"/>
      <c r="V154" s="228"/>
      <c r="W154" s="228"/>
      <c r="X154" s="322">
        <v>105.879997</v>
      </c>
      <c r="Y154" s="228">
        <f t="shared" si="17"/>
        <v>1.0787560859188527E-2</v>
      </c>
      <c r="Z154" s="228"/>
      <c r="AA154" s="202"/>
    </row>
    <row r="155" spans="2:27" x14ac:dyDescent="0.15">
      <c r="B155" s="241">
        <v>42891</v>
      </c>
      <c r="C155" s="244"/>
      <c r="D155" s="245">
        <v>51.466228000000001</v>
      </c>
      <c r="E155" s="228">
        <f t="shared" si="12"/>
        <v>-1.0746367615365182E-3</v>
      </c>
      <c r="F155" s="228"/>
      <c r="G155" s="245">
        <v>128.371002</v>
      </c>
      <c r="H155" s="228">
        <f t="shared" si="13"/>
        <v>-1.143261517326577E-2</v>
      </c>
      <c r="J155" s="227"/>
      <c r="K155" s="245">
        <v>31.256805</v>
      </c>
      <c r="L155" s="228">
        <f t="shared" si="14"/>
        <v>5.8041410351052924E-3</v>
      </c>
      <c r="M155" s="228"/>
      <c r="N155" s="227"/>
      <c r="O155" s="322">
        <v>46.720001000000003</v>
      </c>
      <c r="P155" s="228">
        <f t="shared" si="15"/>
        <v>-1.7093590108836487E-3</v>
      </c>
      <c r="Q155" s="228"/>
      <c r="R155" s="227"/>
      <c r="S155" s="322">
        <v>160.28999300000001</v>
      </c>
      <c r="T155" s="228">
        <f t="shared" si="16"/>
        <v>9.7643187046643209E-3</v>
      </c>
      <c r="U155" s="228"/>
      <c r="V155" s="228"/>
      <c r="W155" s="228"/>
      <c r="X155" s="322">
        <v>106.400002</v>
      </c>
      <c r="Y155" s="228">
        <f t="shared" si="17"/>
        <v>4.9112676117661902E-3</v>
      </c>
      <c r="Z155" s="228"/>
      <c r="AA155" s="202"/>
    </row>
    <row r="156" spans="2:27" x14ac:dyDescent="0.15">
      <c r="B156" s="241">
        <v>42892</v>
      </c>
      <c r="C156" s="244"/>
      <c r="D156" s="245">
        <v>51.309376</v>
      </c>
      <c r="E156" s="228">
        <f t="shared" si="12"/>
        <v>-3.047668463288189E-3</v>
      </c>
      <c r="F156" s="228"/>
      <c r="G156" s="245">
        <v>127.85041</v>
      </c>
      <c r="H156" s="228">
        <f t="shared" si="13"/>
        <v>-4.0553706981270032E-3</v>
      </c>
      <c r="J156" s="227"/>
      <c r="K156" s="245">
        <v>31.291160999999999</v>
      </c>
      <c r="L156" s="228">
        <f t="shared" si="14"/>
        <v>1.0991526485191194E-3</v>
      </c>
      <c r="M156" s="228"/>
      <c r="N156" s="227"/>
      <c r="O156" s="322">
        <v>46.57</v>
      </c>
      <c r="P156" s="228">
        <f t="shared" si="15"/>
        <v>-3.2106377737449732E-3</v>
      </c>
      <c r="Q156" s="228"/>
      <c r="R156" s="227"/>
      <c r="S156" s="322">
        <v>161.009995</v>
      </c>
      <c r="T156" s="228">
        <f t="shared" si="16"/>
        <v>4.4918711800054911E-3</v>
      </c>
      <c r="U156" s="228"/>
      <c r="V156" s="228"/>
      <c r="W156" s="228"/>
      <c r="X156" s="322">
        <v>107.800003</v>
      </c>
      <c r="Y156" s="228">
        <f t="shared" si="17"/>
        <v>1.3157903888009415E-2</v>
      </c>
      <c r="Z156" s="228"/>
      <c r="AA156" s="202"/>
    </row>
    <row r="157" spans="2:27" x14ac:dyDescent="0.15">
      <c r="B157" s="241">
        <v>42893</v>
      </c>
      <c r="C157" s="244"/>
      <c r="D157" s="245">
        <v>51.373955000000002</v>
      </c>
      <c r="E157" s="228">
        <f t="shared" si="12"/>
        <v>1.2586198670589965E-3</v>
      </c>
      <c r="F157" s="228"/>
      <c r="G157" s="245">
        <v>129.171143</v>
      </c>
      <c r="H157" s="228">
        <f t="shared" si="13"/>
        <v>1.0330299292743872E-2</v>
      </c>
      <c r="J157" s="227"/>
      <c r="K157" s="245">
        <v>31.316928999999998</v>
      </c>
      <c r="L157" s="228">
        <f t="shared" si="14"/>
        <v>8.2349133673886854E-4</v>
      </c>
      <c r="M157" s="228"/>
      <c r="N157" s="227"/>
      <c r="O157" s="322">
        <v>47.259998000000003</v>
      </c>
      <c r="P157" s="228">
        <f t="shared" si="15"/>
        <v>1.4816362465106314E-2</v>
      </c>
      <c r="Q157" s="228"/>
      <c r="R157" s="227"/>
      <c r="S157" s="322">
        <v>162.300003</v>
      </c>
      <c r="T157" s="228">
        <f t="shared" si="16"/>
        <v>8.0119746603308784E-3</v>
      </c>
      <c r="U157" s="228"/>
      <c r="V157" s="228"/>
      <c r="W157" s="228"/>
      <c r="X157" s="322">
        <v>108.66999800000001</v>
      </c>
      <c r="Y157" s="228">
        <f t="shared" si="17"/>
        <v>8.0704543208593993E-3</v>
      </c>
      <c r="Z157" s="228"/>
      <c r="AA157" s="202"/>
    </row>
    <row r="158" spans="2:27" x14ac:dyDescent="0.15">
      <c r="B158" s="241">
        <v>42894</v>
      </c>
      <c r="C158" s="244"/>
      <c r="D158" s="245">
        <v>51.484679999999997</v>
      </c>
      <c r="E158" s="228">
        <f t="shared" si="12"/>
        <v>2.155274983208777E-3</v>
      </c>
      <c r="F158" s="228"/>
      <c r="G158" s="245">
        <v>130.15446499999999</v>
      </c>
      <c r="H158" s="228">
        <f t="shared" si="13"/>
        <v>7.6125516672094218E-3</v>
      </c>
      <c r="J158" s="227"/>
      <c r="K158" s="245">
        <v>31.634743</v>
      </c>
      <c r="L158" s="228">
        <f t="shared" si="14"/>
        <v>1.0148313073737203E-2</v>
      </c>
      <c r="M158" s="228"/>
      <c r="N158" s="227"/>
      <c r="O158" s="322">
        <v>47.43</v>
      </c>
      <c r="P158" s="228">
        <f t="shared" si="15"/>
        <v>3.5971647734729384E-3</v>
      </c>
      <c r="Q158" s="228"/>
      <c r="R158" s="227"/>
      <c r="S158" s="322">
        <v>164.970001</v>
      </c>
      <c r="T158" s="228">
        <f t="shared" si="16"/>
        <v>1.6451004008915415E-2</v>
      </c>
      <c r="U158" s="228"/>
      <c r="V158" s="228"/>
      <c r="W158" s="228"/>
      <c r="X158" s="322">
        <v>108.93</v>
      </c>
      <c r="Y158" s="228">
        <f t="shared" si="17"/>
        <v>2.392583093633549E-3</v>
      </c>
      <c r="Z158" s="228"/>
      <c r="AA158" s="202"/>
    </row>
    <row r="159" spans="2:27" x14ac:dyDescent="0.15">
      <c r="B159" s="241">
        <v>42895</v>
      </c>
      <c r="C159" s="244"/>
      <c r="D159" s="245">
        <v>51.429324999999999</v>
      </c>
      <c r="E159" s="228">
        <f t="shared" si="12"/>
        <v>-1.0751742071621884E-3</v>
      </c>
      <c r="F159" s="228"/>
      <c r="G159" s="245">
        <v>125.353554</v>
      </c>
      <c r="H159" s="228">
        <f t="shared" si="13"/>
        <v>-3.6886256648974602E-2</v>
      </c>
      <c r="J159" s="227"/>
      <c r="K159" s="245">
        <v>30.741446</v>
      </c>
      <c r="L159" s="228">
        <f t="shared" si="14"/>
        <v>-2.8237845965747188E-2</v>
      </c>
      <c r="M159" s="228"/>
      <c r="N159" s="227"/>
      <c r="O159" s="322">
        <v>44.740001999999997</v>
      </c>
      <c r="P159" s="228">
        <f t="shared" si="15"/>
        <v>-5.6715117014547789E-2</v>
      </c>
      <c r="Q159" s="228"/>
      <c r="R159" s="227"/>
      <c r="S159" s="322">
        <v>157.779999</v>
      </c>
      <c r="T159" s="228">
        <f t="shared" si="16"/>
        <v>-4.3583693740778973E-2</v>
      </c>
      <c r="U159" s="228"/>
      <c r="V159" s="228"/>
      <c r="W159" s="228"/>
      <c r="X159" s="322">
        <v>101.980003</v>
      </c>
      <c r="Y159" s="228">
        <f t="shared" si="17"/>
        <v>-6.3802414394565354E-2</v>
      </c>
      <c r="Z159" s="228"/>
      <c r="AA159" s="202"/>
    </row>
    <row r="160" spans="2:27" x14ac:dyDescent="0.15">
      <c r="B160" s="241">
        <v>42898</v>
      </c>
      <c r="C160" s="244"/>
      <c r="D160" s="245">
        <v>51.410876999999999</v>
      </c>
      <c r="E160" s="228">
        <f t="shared" si="12"/>
        <v>-3.5870585507391528E-4</v>
      </c>
      <c r="F160" s="228"/>
      <c r="G160" s="245">
        <v>124.437721</v>
      </c>
      <c r="H160" s="228">
        <f t="shared" si="13"/>
        <v>-7.3059994772864956E-3</v>
      </c>
      <c r="J160" s="227"/>
      <c r="K160" s="245">
        <v>30.269031999999999</v>
      </c>
      <c r="L160" s="228">
        <f t="shared" si="14"/>
        <v>-1.5367331777431659E-2</v>
      </c>
      <c r="M160" s="228"/>
      <c r="N160" s="227"/>
      <c r="O160" s="322">
        <v>44.34</v>
      </c>
      <c r="P160" s="228">
        <f t="shared" si="15"/>
        <v>-8.9405896763257164E-3</v>
      </c>
      <c r="Q160" s="228"/>
      <c r="R160" s="227"/>
      <c r="S160" s="322">
        <v>154.509995</v>
      </c>
      <c r="T160" s="228">
        <f t="shared" si="16"/>
        <v>-2.0725085693529488E-2</v>
      </c>
      <c r="U160" s="228"/>
      <c r="V160" s="228"/>
      <c r="W160" s="228"/>
      <c r="X160" s="322">
        <v>101.139999</v>
      </c>
      <c r="Y160" s="228">
        <f t="shared" si="17"/>
        <v>-8.2369481789482668E-3</v>
      </c>
      <c r="Z160" s="228"/>
      <c r="AA160" s="202"/>
    </row>
    <row r="161" spans="2:27" x14ac:dyDescent="0.15">
      <c r="B161" s="241">
        <v>42899</v>
      </c>
      <c r="C161" s="244"/>
      <c r="D161" s="245">
        <v>51.678440000000002</v>
      </c>
      <c r="E161" s="228">
        <f t="shared" si="12"/>
        <v>5.2044045076298229E-3</v>
      </c>
      <c r="F161" s="228"/>
      <c r="G161" s="245">
        <v>127.185219</v>
      </c>
      <c r="H161" s="228">
        <f t="shared" si="13"/>
        <v>2.2079301821993358E-2</v>
      </c>
      <c r="J161" s="227"/>
      <c r="K161" s="245">
        <v>30.543883999999998</v>
      </c>
      <c r="L161" s="228">
        <f t="shared" si="14"/>
        <v>9.0803035921334097E-3</v>
      </c>
      <c r="M161" s="228"/>
      <c r="N161" s="227"/>
      <c r="O161" s="322">
        <v>44.849997999999999</v>
      </c>
      <c r="P161" s="228">
        <f t="shared" si="15"/>
        <v>1.150198466396013E-2</v>
      </c>
      <c r="Q161" s="228"/>
      <c r="R161" s="227"/>
      <c r="S161" s="322">
        <v>155.11999499999999</v>
      </c>
      <c r="T161" s="228">
        <f t="shared" si="16"/>
        <v>3.9479646607973873E-3</v>
      </c>
      <c r="U161" s="228"/>
      <c r="V161" s="228"/>
      <c r="W161" s="228"/>
      <c r="X161" s="322">
        <v>101.41999800000001</v>
      </c>
      <c r="Y161" s="228">
        <f t="shared" si="17"/>
        <v>2.7684299265220425E-3</v>
      </c>
      <c r="Z161" s="228"/>
      <c r="AA161" s="202"/>
    </row>
    <row r="162" spans="2:27" x14ac:dyDescent="0.15">
      <c r="B162" s="241">
        <v>42900</v>
      </c>
      <c r="C162" s="244"/>
      <c r="D162" s="245">
        <v>51.576949999999997</v>
      </c>
      <c r="E162" s="228">
        <f t="shared" si="12"/>
        <v>-1.9638750705324171E-3</v>
      </c>
      <c r="F162" s="228"/>
      <c r="G162" s="245">
        <v>125.469246</v>
      </c>
      <c r="H162" s="228">
        <f t="shared" si="13"/>
        <v>-1.3491921573056453E-2</v>
      </c>
      <c r="J162" s="227"/>
      <c r="K162" s="245">
        <v>30.621185000000001</v>
      </c>
      <c r="L162" s="228">
        <f t="shared" si="14"/>
        <v>2.5308176262064386E-3</v>
      </c>
      <c r="M162" s="228"/>
      <c r="N162" s="227"/>
      <c r="O162" s="322">
        <v>43.98</v>
      </c>
      <c r="P162" s="228">
        <f t="shared" si="15"/>
        <v>-1.9397949582963259E-2</v>
      </c>
      <c r="Q162" s="228"/>
      <c r="R162" s="227"/>
      <c r="S162" s="322">
        <v>152.75</v>
      </c>
      <c r="T162" s="228">
        <f t="shared" si="16"/>
        <v>-1.5278462328470188E-2</v>
      </c>
      <c r="U162" s="228"/>
      <c r="V162" s="228"/>
      <c r="W162" s="228"/>
      <c r="X162" s="322">
        <v>98.550003000000004</v>
      </c>
      <c r="Y162" s="228">
        <f t="shared" si="17"/>
        <v>-2.8298117300298187E-2</v>
      </c>
      <c r="Z162" s="228"/>
      <c r="AA162" s="202"/>
    </row>
    <row r="163" spans="2:27" x14ac:dyDescent="0.15">
      <c r="B163" s="241">
        <v>42901</v>
      </c>
      <c r="C163" s="244"/>
      <c r="D163" s="245">
        <v>51.457000999999998</v>
      </c>
      <c r="E163" s="228">
        <f t="shared" si="12"/>
        <v>-2.3256318956432764E-3</v>
      </c>
      <c r="F163" s="228"/>
      <c r="G163" s="245">
        <v>122.991669</v>
      </c>
      <c r="H163" s="228">
        <f t="shared" si="13"/>
        <v>-1.9746488314754007E-2</v>
      </c>
      <c r="J163" s="227"/>
      <c r="K163" s="245">
        <v>30.440819000000001</v>
      </c>
      <c r="L163" s="228">
        <f t="shared" si="14"/>
        <v>-5.8902357959039753E-3</v>
      </c>
      <c r="M163" s="228"/>
      <c r="N163" s="227"/>
      <c r="O163" s="322">
        <v>43.16</v>
      </c>
      <c r="P163" s="228">
        <f t="shared" si="15"/>
        <v>-1.8644838562983157E-2</v>
      </c>
      <c r="Q163" s="228"/>
      <c r="R163" s="227"/>
      <c r="S163" s="322">
        <v>148.479996</v>
      </c>
      <c r="T163" s="228">
        <f t="shared" si="16"/>
        <v>-2.7954199672667768E-2</v>
      </c>
      <c r="U163" s="228"/>
      <c r="V163" s="228"/>
      <c r="W163" s="228"/>
      <c r="X163" s="322">
        <v>97.07</v>
      </c>
      <c r="Y163" s="228">
        <f t="shared" si="17"/>
        <v>-1.5017787467748844E-2</v>
      </c>
      <c r="Z163" s="228"/>
      <c r="AA163" s="202"/>
    </row>
    <row r="164" spans="2:27" x14ac:dyDescent="0.15">
      <c r="B164" s="241">
        <v>42902</v>
      </c>
      <c r="C164" s="244"/>
      <c r="D164" s="245">
        <v>51.466228000000001</v>
      </c>
      <c r="E164" s="228">
        <f t="shared" si="12"/>
        <v>1.7931476418531211E-4</v>
      </c>
      <c r="F164" s="228"/>
      <c r="G164" s="245">
        <v>124.967941</v>
      </c>
      <c r="H164" s="228">
        <f t="shared" si="13"/>
        <v>1.6068340368647238E-2</v>
      </c>
      <c r="J164" s="227"/>
      <c r="K164" s="245">
        <v>30.810155999999999</v>
      </c>
      <c r="L164" s="228">
        <f t="shared" si="14"/>
        <v>1.2132952139034092E-2</v>
      </c>
      <c r="M164" s="228"/>
      <c r="N164" s="227"/>
      <c r="O164" s="322">
        <v>43.110000999999997</v>
      </c>
      <c r="P164" s="228">
        <f t="shared" si="15"/>
        <v>-1.1584569045411941E-3</v>
      </c>
      <c r="Q164" s="228"/>
      <c r="R164" s="227"/>
      <c r="S164" s="322">
        <v>148.21000699999999</v>
      </c>
      <c r="T164" s="228">
        <f t="shared" si="16"/>
        <v>-1.8183526890720447E-3</v>
      </c>
      <c r="U164" s="228"/>
      <c r="V164" s="228"/>
      <c r="W164" s="228"/>
      <c r="X164" s="322">
        <v>97.699996999999996</v>
      </c>
      <c r="Y164" s="228">
        <f t="shared" si="17"/>
        <v>6.4901308334193164E-3</v>
      </c>
      <c r="Z164" s="228"/>
      <c r="AA164" s="202"/>
    </row>
    <row r="165" spans="2:27" x14ac:dyDescent="0.15">
      <c r="B165" s="241">
        <v>42905</v>
      </c>
      <c r="C165" s="244"/>
      <c r="D165" s="245">
        <v>51.881424000000003</v>
      </c>
      <c r="E165" s="228">
        <f t="shared" si="12"/>
        <v>8.0673485533075961E-3</v>
      </c>
      <c r="F165" s="228"/>
      <c r="G165" s="245">
        <v>126.722481</v>
      </c>
      <c r="H165" s="228">
        <f t="shared" si="13"/>
        <v>1.4039920846579346E-2</v>
      </c>
      <c r="J165" s="227"/>
      <c r="K165" s="245">
        <v>31.102194000000001</v>
      </c>
      <c r="L165" s="228">
        <f t="shared" si="14"/>
        <v>9.4786277615732661E-3</v>
      </c>
      <c r="M165" s="228"/>
      <c r="N165" s="227"/>
      <c r="O165" s="322">
        <v>44.290000999999997</v>
      </c>
      <c r="P165" s="228">
        <f t="shared" si="15"/>
        <v>2.7371838845468899E-2</v>
      </c>
      <c r="Q165" s="228"/>
      <c r="R165" s="227"/>
      <c r="S165" s="322">
        <v>151</v>
      </c>
      <c r="T165" s="228">
        <f t="shared" si="16"/>
        <v>1.8824592593130518E-2</v>
      </c>
      <c r="U165" s="228"/>
      <c r="V165" s="228"/>
      <c r="W165" s="228"/>
      <c r="X165" s="322">
        <v>101.019997</v>
      </c>
      <c r="Y165" s="228">
        <f t="shared" si="17"/>
        <v>3.3981577297284904E-2</v>
      </c>
      <c r="Z165" s="228"/>
      <c r="AA165" s="202"/>
    </row>
    <row r="166" spans="2:27" x14ac:dyDescent="0.15">
      <c r="B166" s="241">
        <v>42906</v>
      </c>
      <c r="C166" s="244"/>
      <c r="D166" s="245">
        <v>51.530811</v>
      </c>
      <c r="E166" s="228">
        <f t="shared" si="12"/>
        <v>-6.7579679385824099E-3</v>
      </c>
      <c r="F166" s="228"/>
      <c r="G166" s="245">
        <v>123.86895</v>
      </c>
      <c r="H166" s="228">
        <f t="shared" si="13"/>
        <v>-2.2517954016383235E-2</v>
      </c>
      <c r="J166" s="227"/>
      <c r="K166" s="245">
        <v>31.033484000000001</v>
      </c>
      <c r="L166" s="228">
        <f t="shared" si="14"/>
        <v>-2.2091689094344558E-3</v>
      </c>
      <c r="M166" s="228"/>
      <c r="N166" s="227"/>
      <c r="O166" s="322">
        <v>43.360000999999997</v>
      </c>
      <c r="P166" s="228">
        <f t="shared" si="15"/>
        <v>-2.099796746448479E-2</v>
      </c>
      <c r="Q166" s="228"/>
      <c r="R166" s="227"/>
      <c r="S166" s="322">
        <v>150.11000100000001</v>
      </c>
      <c r="T166" s="228">
        <f t="shared" si="16"/>
        <v>-5.8940331125827417E-3</v>
      </c>
      <c r="U166" s="228"/>
      <c r="V166" s="228"/>
      <c r="W166" s="228"/>
      <c r="X166" s="322">
        <v>97.580001999999993</v>
      </c>
      <c r="Y166" s="228">
        <f t="shared" si="17"/>
        <v>-3.4052614355155941E-2</v>
      </c>
      <c r="Z166" s="228"/>
      <c r="AA166" s="202"/>
    </row>
    <row r="167" spans="2:27" x14ac:dyDescent="0.15">
      <c r="B167" s="241">
        <v>42907</v>
      </c>
      <c r="C167" s="244"/>
      <c r="D167" s="245">
        <v>51.475456000000001</v>
      </c>
      <c r="E167" s="228">
        <f t="shared" si="12"/>
        <v>-1.074211698317673E-3</v>
      </c>
      <c r="F167" s="228"/>
      <c r="G167" s="245">
        <v>125.739166</v>
      </c>
      <c r="H167" s="228">
        <f t="shared" si="13"/>
        <v>1.5098343854533347E-2</v>
      </c>
      <c r="J167" s="227"/>
      <c r="K167" s="245">
        <v>31.531662000000001</v>
      </c>
      <c r="L167" s="228">
        <f t="shared" si="14"/>
        <v>1.6052918840823605E-2</v>
      </c>
      <c r="M167" s="228"/>
      <c r="N167" s="227"/>
      <c r="O167" s="322">
        <v>43.619999</v>
      </c>
      <c r="P167" s="228">
        <f t="shared" si="15"/>
        <v>5.9962636993482477E-3</v>
      </c>
      <c r="Q167" s="228"/>
      <c r="R167" s="227"/>
      <c r="S167" s="322">
        <v>150.91999799999999</v>
      </c>
      <c r="T167" s="228">
        <f t="shared" si="16"/>
        <v>5.3960228805807198E-3</v>
      </c>
      <c r="U167" s="228"/>
      <c r="V167" s="228"/>
      <c r="W167" s="228"/>
      <c r="X167" s="322">
        <v>98.010002</v>
      </c>
      <c r="Y167" s="228">
        <f t="shared" si="17"/>
        <v>4.4066406147440507E-3</v>
      </c>
      <c r="Z167" s="228"/>
      <c r="AA167" s="202"/>
    </row>
    <row r="168" spans="2:27" x14ac:dyDescent="0.15">
      <c r="B168" s="241">
        <v>42908</v>
      </c>
      <c r="C168" s="244"/>
      <c r="D168" s="245">
        <v>51.475456000000001</v>
      </c>
      <c r="E168" s="228">
        <f t="shared" si="12"/>
        <v>0</v>
      </c>
      <c r="F168" s="228"/>
      <c r="G168" s="245">
        <v>125.343925</v>
      </c>
      <c r="H168" s="228">
        <f t="shared" si="13"/>
        <v>-3.1433403972156437E-3</v>
      </c>
      <c r="J168" s="227"/>
      <c r="K168" s="245">
        <v>31.531662000000001</v>
      </c>
      <c r="L168" s="228">
        <f t="shared" si="14"/>
        <v>0</v>
      </c>
      <c r="M168" s="228"/>
      <c r="N168" s="227"/>
      <c r="O168" s="322">
        <v>43.34</v>
      </c>
      <c r="P168" s="228">
        <f t="shared" si="15"/>
        <v>-6.4190510412436286E-3</v>
      </c>
      <c r="Q168" s="228"/>
      <c r="R168" s="227"/>
      <c r="S168" s="322">
        <v>150.03999300000001</v>
      </c>
      <c r="T168" s="228">
        <f t="shared" si="16"/>
        <v>-5.8309369974943737E-3</v>
      </c>
      <c r="U168" s="228"/>
      <c r="V168" s="228"/>
      <c r="W168" s="228"/>
      <c r="X168" s="322">
        <v>96.669998000000007</v>
      </c>
      <c r="Y168" s="228">
        <f t="shared" si="17"/>
        <v>-1.3672114811302594E-2</v>
      </c>
      <c r="Z168" s="228"/>
      <c r="AA168" s="202"/>
    </row>
    <row r="169" spans="2:27" x14ac:dyDescent="0.15">
      <c r="B169" s="241">
        <v>42909</v>
      </c>
      <c r="C169" s="244"/>
      <c r="D169" s="245">
        <v>51.613841999999998</v>
      </c>
      <c r="E169" s="228">
        <f t="shared" si="12"/>
        <v>2.6883880348722577E-3</v>
      </c>
      <c r="F169" s="228"/>
      <c r="G169" s="245">
        <v>129.79774499999999</v>
      </c>
      <c r="H169" s="228">
        <f t="shared" si="13"/>
        <v>3.5532795067650724E-2</v>
      </c>
      <c r="J169" s="227"/>
      <c r="K169" s="245">
        <v>31.548846999999999</v>
      </c>
      <c r="L169" s="228">
        <f t="shared" si="14"/>
        <v>5.4500774491361703E-4</v>
      </c>
      <c r="M169" s="228"/>
      <c r="N169" s="227"/>
      <c r="O169" s="322">
        <v>44.09</v>
      </c>
      <c r="P169" s="228">
        <f t="shared" si="15"/>
        <v>1.7305029995385413E-2</v>
      </c>
      <c r="Q169" s="228"/>
      <c r="R169" s="227"/>
      <c r="S169" s="322">
        <v>151.779999</v>
      </c>
      <c r="T169" s="228">
        <f t="shared" si="16"/>
        <v>1.1596948021718401E-2</v>
      </c>
      <c r="U169" s="228"/>
      <c r="V169" s="228"/>
      <c r="W169" s="228"/>
      <c r="X169" s="322">
        <v>97.949996999999996</v>
      </c>
      <c r="Y169" s="228">
        <f t="shared" si="17"/>
        <v>1.324091265627203E-2</v>
      </c>
      <c r="Z169" s="228"/>
      <c r="AA169" s="202"/>
    </row>
    <row r="170" spans="2:27" x14ac:dyDescent="0.15">
      <c r="B170" s="241">
        <v>42912</v>
      </c>
      <c r="C170" s="244"/>
      <c r="D170" s="245">
        <v>51.641540999999997</v>
      </c>
      <c r="E170" s="228">
        <f t="shared" si="12"/>
        <v>5.3665836385508037E-4</v>
      </c>
      <c r="F170" s="228"/>
      <c r="G170" s="245">
        <v>128.96868900000001</v>
      </c>
      <c r="H170" s="228">
        <f t="shared" si="13"/>
        <v>-6.3872912430025242E-3</v>
      </c>
      <c r="J170" s="227"/>
      <c r="K170" s="245">
        <v>32.044640000000001</v>
      </c>
      <c r="L170" s="228">
        <f t="shared" si="14"/>
        <v>1.5715090950867427E-2</v>
      </c>
      <c r="M170" s="228"/>
      <c r="N170" s="227"/>
      <c r="O170" s="322">
        <v>43.25</v>
      </c>
      <c r="P170" s="228">
        <f t="shared" si="15"/>
        <v>-1.905193921524162E-2</v>
      </c>
      <c r="Q170" s="228"/>
      <c r="R170" s="227"/>
      <c r="S170" s="322">
        <v>148.990005</v>
      </c>
      <c r="T170" s="228">
        <f t="shared" si="16"/>
        <v>-1.8381829084081147E-2</v>
      </c>
      <c r="U170" s="228"/>
      <c r="V170" s="228"/>
      <c r="W170" s="228"/>
      <c r="X170" s="322">
        <v>96.019997000000004</v>
      </c>
      <c r="Y170" s="228">
        <f t="shared" si="17"/>
        <v>-1.9703931180314327E-2</v>
      </c>
      <c r="Z170" s="228"/>
      <c r="AA170" s="202"/>
    </row>
    <row r="171" spans="2:27" x14ac:dyDescent="0.15">
      <c r="B171" s="241">
        <v>42913</v>
      </c>
      <c r="C171" s="244"/>
      <c r="D171" s="245">
        <v>51.206924000000001</v>
      </c>
      <c r="E171" s="228">
        <f t="shared" si="12"/>
        <v>-8.4160346802972796E-3</v>
      </c>
      <c r="F171" s="228"/>
      <c r="G171" s="245">
        <v>127.609398</v>
      </c>
      <c r="H171" s="228">
        <f t="shared" si="13"/>
        <v>-1.0539697740123644E-2</v>
      </c>
      <c r="J171" s="227"/>
      <c r="K171" s="245">
        <v>31.122229000000001</v>
      </c>
      <c r="L171" s="228">
        <f t="shared" si="14"/>
        <v>-2.8785188412165041E-2</v>
      </c>
      <c r="M171" s="228"/>
      <c r="N171" s="227"/>
      <c r="O171" s="322">
        <v>41.889999000000003</v>
      </c>
      <c r="P171" s="228">
        <f t="shared" si="15"/>
        <v>-3.1445109826589546E-2</v>
      </c>
      <c r="Q171" s="228"/>
      <c r="R171" s="227"/>
      <c r="S171" s="322">
        <v>144.61999499999999</v>
      </c>
      <c r="T171" s="228">
        <f t="shared" si="16"/>
        <v>-2.9330893706594696E-2</v>
      </c>
      <c r="U171" s="228"/>
      <c r="V171" s="228"/>
      <c r="W171" s="228"/>
      <c r="X171" s="322">
        <v>93.870002999999997</v>
      </c>
      <c r="Y171" s="228">
        <f t="shared" si="17"/>
        <v>-2.2391106719155673E-2</v>
      </c>
      <c r="Z171" s="228"/>
      <c r="AA171" s="202"/>
    </row>
    <row r="172" spans="2:27" x14ac:dyDescent="0.15">
      <c r="B172" s="241">
        <v>42914</v>
      </c>
      <c r="C172" s="244"/>
      <c r="D172" s="245">
        <v>51.707329000000001</v>
      </c>
      <c r="E172" s="228">
        <f t="shared" si="12"/>
        <v>9.7722136170490526E-3</v>
      </c>
      <c r="F172" s="228"/>
      <c r="G172" s="245">
        <v>130.13516200000001</v>
      </c>
      <c r="H172" s="228">
        <f t="shared" si="13"/>
        <v>1.9792930925040642E-2</v>
      </c>
      <c r="J172" s="227"/>
      <c r="K172" s="245">
        <v>31.352834999999999</v>
      </c>
      <c r="L172" s="228">
        <f t="shared" si="14"/>
        <v>7.4096877829668006E-3</v>
      </c>
      <c r="M172" s="228"/>
      <c r="N172" s="227"/>
      <c r="O172" s="322">
        <v>42.689999</v>
      </c>
      <c r="P172" s="228">
        <f t="shared" si="15"/>
        <v>1.9097637123361988E-2</v>
      </c>
      <c r="Q172" s="228"/>
      <c r="R172" s="227"/>
      <c r="S172" s="322">
        <v>147.83000200000001</v>
      </c>
      <c r="T172" s="228">
        <f t="shared" si="16"/>
        <v>2.2196149294570366E-2</v>
      </c>
      <c r="U172" s="228"/>
      <c r="V172" s="228"/>
      <c r="W172" s="228"/>
      <c r="X172" s="322">
        <v>95.739998</v>
      </c>
      <c r="Y172" s="228">
        <f t="shared" si="17"/>
        <v>1.9921113670359647E-2</v>
      </c>
      <c r="Z172" s="228"/>
      <c r="AA172" s="202"/>
    </row>
    <row r="173" spans="2:27" x14ac:dyDescent="0.15">
      <c r="B173" s="241">
        <v>42915</v>
      </c>
      <c r="C173" s="244"/>
      <c r="D173" s="245">
        <v>51.281070999999997</v>
      </c>
      <c r="E173" s="228">
        <f t="shared" si="12"/>
        <v>-8.2436669664373019E-3</v>
      </c>
      <c r="F173" s="228"/>
      <c r="G173" s="245">
        <v>124.939018</v>
      </c>
      <c r="H173" s="228">
        <f t="shared" si="13"/>
        <v>-3.9928824155918807E-2</v>
      </c>
      <c r="J173" s="227"/>
      <c r="K173" s="245">
        <v>30.873894</v>
      </c>
      <c r="L173" s="228">
        <f t="shared" si="14"/>
        <v>-1.5275843476355466E-2</v>
      </c>
      <c r="M173" s="228"/>
      <c r="N173" s="227"/>
      <c r="O173" s="322">
        <v>41.439999</v>
      </c>
      <c r="P173" s="228">
        <f t="shared" si="15"/>
        <v>-2.9280862714473277E-2</v>
      </c>
      <c r="Q173" s="228"/>
      <c r="R173" s="227"/>
      <c r="S173" s="322">
        <v>142.35000600000001</v>
      </c>
      <c r="T173" s="228">
        <f t="shared" si="16"/>
        <v>-3.7069579421368015E-2</v>
      </c>
      <c r="U173" s="228"/>
      <c r="V173" s="228"/>
      <c r="W173" s="228"/>
      <c r="X173" s="322">
        <v>92.510002</v>
      </c>
      <c r="Y173" s="228">
        <f t="shared" si="17"/>
        <v>-3.3737163854964725E-2</v>
      </c>
      <c r="Z173" s="228"/>
      <c r="AA173" s="202"/>
    </row>
    <row r="174" spans="2:27" x14ac:dyDescent="0.15">
      <c r="B174" s="241">
        <v>42916</v>
      </c>
      <c r="C174" s="244"/>
      <c r="D174" s="245">
        <v>51.355198000000001</v>
      </c>
      <c r="E174" s="228">
        <f t="shared" si="12"/>
        <v>1.4455041315342143E-3</v>
      </c>
      <c r="F174" s="228"/>
      <c r="G174" s="245">
        <v>125.623497</v>
      </c>
      <c r="H174" s="228">
        <f t="shared" si="13"/>
        <v>5.4785047213994353E-3</v>
      </c>
      <c r="J174" s="227"/>
      <c r="K174" s="245">
        <v>31.006931000000002</v>
      </c>
      <c r="L174" s="228">
        <f t="shared" si="14"/>
        <v>4.3090450462777152E-3</v>
      </c>
      <c r="M174" s="228"/>
      <c r="N174" s="227"/>
      <c r="O174" s="322">
        <v>41.310001</v>
      </c>
      <c r="P174" s="228">
        <f t="shared" si="15"/>
        <v>-3.1370174502176607E-3</v>
      </c>
      <c r="Q174" s="228"/>
      <c r="R174" s="227"/>
      <c r="S174" s="322">
        <v>141.429993</v>
      </c>
      <c r="T174" s="228">
        <f t="shared" si="16"/>
        <v>-6.4630345010312507E-3</v>
      </c>
      <c r="U174" s="228"/>
      <c r="V174" s="228"/>
      <c r="W174" s="228"/>
      <c r="X174" s="322">
        <v>91.510002</v>
      </c>
      <c r="Y174" s="228">
        <f t="shared" si="17"/>
        <v>-1.0809641967146399E-2</v>
      </c>
      <c r="Z174" s="228"/>
      <c r="AA174" s="202"/>
    </row>
    <row r="175" spans="2:27" x14ac:dyDescent="0.15">
      <c r="B175" s="241">
        <v>42919</v>
      </c>
      <c r="C175" s="244"/>
      <c r="D175" s="245">
        <v>51.494194</v>
      </c>
      <c r="E175" s="228">
        <f t="shared" si="12"/>
        <v>2.7065614662804549E-3</v>
      </c>
      <c r="F175" s="228"/>
      <c r="G175" s="245">
        <v>125.006508</v>
      </c>
      <c r="H175" s="228">
        <f t="shared" si="13"/>
        <v>-4.9114139849172345E-3</v>
      </c>
      <c r="J175" s="227"/>
      <c r="K175" s="245">
        <v>30.935977999999999</v>
      </c>
      <c r="L175" s="228">
        <f t="shared" si="14"/>
        <v>-2.2882948331778286E-3</v>
      </c>
      <c r="M175" s="228"/>
      <c r="N175" s="227"/>
      <c r="O175" s="322">
        <v>41.009998000000003</v>
      </c>
      <c r="P175" s="228">
        <f t="shared" si="15"/>
        <v>-7.2622365707518677E-3</v>
      </c>
      <c r="Q175" s="228"/>
      <c r="R175" s="227"/>
      <c r="S175" s="322">
        <v>139.28999300000001</v>
      </c>
      <c r="T175" s="228">
        <f t="shared" si="16"/>
        <v>-1.513116104021861E-2</v>
      </c>
      <c r="U175" s="228"/>
      <c r="V175" s="228"/>
      <c r="W175" s="228"/>
      <c r="X175" s="322">
        <v>91.550003000000004</v>
      </c>
      <c r="Y175" s="228">
        <f t="shared" si="17"/>
        <v>4.3712161649822612E-4</v>
      </c>
      <c r="Z175" s="228"/>
      <c r="AA175" s="202"/>
    </row>
    <row r="176" spans="2:27" x14ac:dyDescent="0.15">
      <c r="B176" s="241">
        <v>42921</v>
      </c>
      <c r="C176" s="244"/>
      <c r="D176" s="245">
        <v>51.531272999999999</v>
      </c>
      <c r="E176" s="228">
        <f t="shared" si="12"/>
        <v>7.2006176074923545E-4</v>
      </c>
      <c r="F176" s="228"/>
      <c r="G176" s="245">
        <v>126.75140399999999</v>
      </c>
      <c r="H176" s="228">
        <f t="shared" si="13"/>
        <v>1.3958441267713839E-2</v>
      </c>
      <c r="J176" s="227"/>
      <c r="K176" s="245">
        <v>30.882767000000001</v>
      </c>
      <c r="L176" s="228">
        <f t="shared" si="14"/>
        <v>-1.72003613397953E-3</v>
      </c>
      <c r="M176" s="228"/>
      <c r="N176" s="227"/>
      <c r="O176" s="322">
        <v>42.119999</v>
      </c>
      <c r="P176" s="228">
        <f t="shared" si="15"/>
        <v>2.7066594833776714E-2</v>
      </c>
      <c r="Q176" s="228"/>
      <c r="R176" s="227"/>
      <c r="S176" s="322">
        <v>142.529999</v>
      </c>
      <c r="T176" s="228">
        <f t="shared" si="16"/>
        <v>2.3260866988484841E-2</v>
      </c>
      <c r="U176" s="228"/>
      <c r="V176" s="228"/>
      <c r="W176" s="228"/>
      <c r="X176" s="322">
        <v>92.290001000000004</v>
      </c>
      <c r="Y176" s="228">
        <f t="shared" si="17"/>
        <v>8.0829926351833059E-3</v>
      </c>
      <c r="Z176" s="228"/>
      <c r="AA176" s="202"/>
    </row>
    <row r="177" spans="2:27" x14ac:dyDescent="0.15">
      <c r="B177" s="241">
        <v>42922</v>
      </c>
      <c r="C177" s="244"/>
      <c r="D177" s="245">
        <v>51.049408</v>
      </c>
      <c r="E177" s="228">
        <f t="shared" si="12"/>
        <v>-9.350923661443411E-3</v>
      </c>
      <c r="F177" s="228"/>
      <c r="G177" s="245">
        <v>126.500755</v>
      </c>
      <c r="H177" s="228">
        <f t="shared" si="13"/>
        <v>-1.9774849989038223E-3</v>
      </c>
      <c r="J177" s="227"/>
      <c r="K177" s="245">
        <v>30.598946000000002</v>
      </c>
      <c r="L177" s="228">
        <f t="shared" si="14"/>
        <v>-9.1902710660608511E-3</v>
      </c>
      <c r="M177" s="228"/>
      <c r="N177" s="227"/>
      <c r="O177" s="322">
        <v>42.110000999999997</v>
      </c>
      <c r="P177" s="228">
        <f t="shared" si="15"/>
        <v>-2.3736942633834079E-4</v>
      </c>
      <c r="Q177" s="228"/>
      <c r="R177" s="227"/>
      <c r="S177" s="322">
        <v>143.88999899999999</v>
      </c>
      <c r="T177" s="228">
        <f t="shared" si="16"/>
        <v>9.5418509053661893E-3</v>
      </c>
      <c r="U177" s="228"/>
      <c r="V177" s="228"/>
      <c r="W177" s="228"/>
      <c r="X177" s="322">
        <v>92.480002999999996</v>
      </c>
      <c r="Y177" s="228">
        <f t="shared" si="17"/>
        <v>2.0587495713646486E-3</v>
      </c>
      <c r="Z177" s="228"/>
      <c r="AA177" s="202"/>
    </row>
    <row r="178" spans="2:27" x14ac:dyDescent="0.15">
      <c r="B178" s="241">
        <v>42923</v>
      </c>
      <c r="C178" s="244"/>
      <c r="D178" s="245">
        <v>51.392273000000003</v>
      </c>
      <c r="E178" s="228">
        <f t="shared" si="12"/>
        <v>6.716336455850902E-3</v>
      </c>
      <c r="F178" s="228"/>
      <c r="G178" s="245">
        <v>128.110703</v>
      </c>
      <c r="H178" s="228">
        <f t="shared" si="13"/>
        <v>1.2726785701792975E-2</v>
      </c>
      <c r="J178" s="227"/>
      <c r="K178" s="245">
        <v>30.714244999999998</v>
      </c>
      <c r="L178" s="228">
        <f t="shared" si="14"/>
        <v>3.7680709655816269E-3</v>
      </c>
      <c r="M178" s="228"/>
      <c r="N178" s="227"/>
      <c r="O178" s="322">
        <v>43.540000999999997</v>
      </c>
      <c r="P178" s="228">
        <f t="shared" si="15"/>
        <v>3.3958678842111567E-2</v>
      </c>
      <c r="Q178" s="228"/>
      <c r="R178" s="227"/>
      <c r="S178" s="322">
        <v>148.13000500000001</v>
      </c>
      <c r="T178" s="228">
        <f t="shared" si="16"/>
        <v>2.9466995826443965E-2</v>
      </c>
      <c r="U178" s="228"/>
      <c r="V178" s="228"/>
      <c r="W178" s="228"/>
      <c r="X178" s="322">
        <v>94.57</v>
      </c>
      <c r="Y178" s="228">
        <f t="shared" si="17"/>
        <v>2.2599447796298078E-2</v>
      </c>
      <c r="Z178" s="228"/>
      <c r="AA178" s="202"/>
    </row>
    <row r="179" spans="2:27" x14ac:dyDescent="0.15">
      <c r="B179" s="241">
        <v>42926</v>
      </c>
      <c r="C179" s="244"/>
      <c r="D179" s="245">
        <v>51.420059000000002</v>
      </c>
      <c r="E179" s="228">
        <f t="shared" si="12"/>
        <v>5.4066493614701727E-4</v>
      </c>
      <c r="F179" s="228"/>
      <c r="G179" s="245">
        <v>129.96165500000001</v>
      </c>
      <c r="H179" s="228">
        <f t="shared" si="13"/>
        <v>1.4448066841066476E-2</v>
      </c>
      <c r="J179" s="227"/>
      <c r="K179" s="245">
        <v>31.042414000000001</v>
      </c>
      <c r="L179" s="228">
        <f t="shared" si="14"/>
        <v>1.0684586256312079E-2</v>
      </c>
      <c r="M179" s="228"/>
      <c r="N179" s="227"/>
      <c r="O179" s="322">
        <v>44.209999000000003</v>
      </c>
      <c r="P179" s="228">
        <f t="shared" si="15"/>
        <v>1.5388102540466297E-2</v>
      </c>
      <c r="Q179" s="228"/>
      <c r="R179" s="227"/>
      <c r="S179" s="322">
        <v>150.83999600000001</v>
      </c>
      <c r="T179" s="228">
        <f t="shared" si="16"/>
        <v>1.8294679730821661E-2</v>
      </c>
      <c r="U179" s="228"/>
      <c r="V179" s="228"/>
      <c r="W179" s="228"/>
      <c r="X179" s="322">
        <v>95.629997000000003</v>
      </c>
      <c r="Y179" s="228">
        <f t="shared" si="17"/>
        <v>1.120859680659847E-2</v>
      </c>
      <c r="Z179" s="228"/>
      <c r="AA179" s="202"/>
    </row>
    <row r="180" spans="2:27" x14ac:dyDescent="0.15">
      <c r="B180" s="241">
        <v>42927</v>
      </c>
      <c r="C180" s="244"/>
      <c r="D180" s="245">
        <v>51.401542999999997</v>
      </c>
      <c r="E180" s="228">
        <f t="shared" si="12"/>
        <v>-3.6009293571614975E-4</v>
      </c>
      <c r="F180" s="228"/>
      <c r="G180" s="245">
        <v>130.93533300000001</v>
      </c>
      <c r="H180" s="228">
        <f t="shared" si="13"/>
        <v>7.4920406330620803E-3</v>
      </c>
      <c r="J180" s="227"/>
      <c r="K180" s="245">
        <v>31.379446000000002</v>
      </c>
      <c r="L180" s="228">
        <f t="shared" si="14"/>
        <v>1.0857145323813988E-2</v>
      </c>
      <c r="M180" s="228"/>
      <c r="N180" s="227"/>
      <c r="O180" s="322">
        <v>45.400002000000001</v>
      </c>
      <c r="P180" s="228">
        <f t="shared" si="15"/>
        <v>2.6917055573785431E-2</v>
      </c>
      <c r="Q180" s="228"/>
      <c r="R180" s="227"/>
      <c r="S180" s="322">
        <v>153.720001</v>
      </c>
      <c r="T180" s="228">
        <f t="shared" si="16"/>
        <v>1.9093112412970292E-2</v>
      </c>
      <c r="U180" s="228"/>
      <c r="V180" s="228"/>
      <c r="W180" s="228"/>
      <c r="X180" s="322">
        <v>96.93</v>
      </c>
      <c r="Y180" s="228">
        <f t="shared" si="17"/>
        <v>1.3594092238651934E-2</v>
      </c>
      <c r="Z180" s="228"/>
      <c r="AA180" s="202"/>
    </row>
    <row r="181" spans="2:27" x14ac:dyDescent="0.15">
      <c r="B181" s="241">
        <v>42928</v>
      </c>
      <c r="C181" s="244"/>
      <c r="D181" s="245">
        <v>51.790725999999999</v>
      </c>
      <c r="E181" s="228">
        <f t="shared" si="12"/>
        <v>7.5714264064019599E-3</v>
      </c>
      <c r="F181" s="228"/>
      <c r="G181" s="245">
        <v>132.111435</v>
      </c>
      <c r="H181" s="228">
        <f t="shared" si="13"/>
        <v>8.9823119020133735E-3</v>
      </c>
      <c r="J181" s="227"/>
      <c r="K181" s="245">
        <v>31.654388000000001</v>
      </c>
      <c r="L181" s="228">
        <f t="shared" si="14"/>
        <v>8.7618500339361471E-3</v>
      </c>
      <c r="M181" s="228"/>
      <c r="N181" s="227"/>
      <c r="O181" s="322">
        <v>45.279998999999997</v>
      </c>
      <c r="P181" s="228">
        <f t="shared" si="15"/>
        <v>-2.6432377690204234E-3</v>
      </c>
      <c r="Q181" s="228"/>
      <c r="R181" s="227"/>
      <c r="S181" s="322">
        <v>154.58000200000001</v>
      </c>
      <c r="T181" s="228">
        <f t="shared" si="16"/>
        <v>5.594594030740474E-3</v>
      </c>
      <c r="U181" s="228"/>
      <c r="V181" s="228"/>
      <c r="W181" s="228"/>
      <c r="X181" s="322">
        <v>97.699996999999996</v>
      </c>
      <c r="Y181" s="228">
        <f t="shared" si="17"/>
        <v>7.9438460744867267E-3</v>
      </c>
      <c r="Z181" s="228"/>
      <c r="AA181" s="202"/>
    </row>
    <row r="182" spans="2:27" x14ac:dyDescent="0.15">
      <c r="B182" s="241">
        <v>42929</v>
      </c>
      <c r="C182" s="244"/>
      <c r="D182" s="245">
        <v>51.846325</v>
      </c>
      <c r="E182" s="228">
        <f t="shared" si="12"/>
        <v>1.0735319678663036E-3</v>
      </c>
      <c r="F182" s="228"/>
      <c r="G182" s="245">
        <v>131.92828399999999</v>
      </c>
      <c r="H182" s="228">
        <f t="shared" si="13"/>
        <v>-1.386337223571954E-3</v>
      </c>
      <c r="J182" s="227"/>
      <c r="K182" s="245">
        <v>32.062373999999998</v>
      </c>
      <c r="L182" s="228">
        <f t="shared" si="14"/>
        <v>1.2888766006153629E-2</v>
      </c>
      <c r="M182" s="228"/>
      <c r="N182" s="227"/>
      <c r="O182" s="322">
        <v>45.299999</v>
      </c>
      <c r="P182" s="228">
        <f t="shared" si="15"/>
        <v>4.4169612282907167E-4</v>
      </c>
      <c r="Q182" s="228"/>
      <c r="R182" s="227"/>
      <c r="S182" s="322">
        <v>154.94000199999999</v>
      </c>
      <c r="T182" s="228">
        <f t="shared" si="16"/>
        <v>2.3288911588963401E-3</v>
      </c>
      <c r="U182" s="228"/>
      <c r="V182" s="228"/>
      <c r="W182" s="228"/>
      <c r="X182" s="322">
        <v>97.599997999999999</v>
      </c>
      <c r="Y182" s="228">
        <f t="shared" si="17"/>
        <v>-1.0235312494430993E-3</v>
      </c>
      <c r="Z182" s="228"/>
      <c r="AA182" s="202"/>
    </row>
    <row r="183" spans="2:27" x14ac:dyDescent="0.15">
      <c r="B183" s="241">
        <v>42930</v>
      </c>
      <c r="C183" s="244"/>
      <c r="D183" s="245">
        <v>52.115043999999997</v>
      </c>
      <c r="E183" s="228">
        <f t="shared" si="12"/>
        <v>5.1829903083775442E-3</v>
      </c>
      <c r="F183" s="228"/>
      <c r="G183" s="245">
        <v>134.88786300000001</v>
      </c>
      <c r="H183" s="228">
        <f t="shared" si="13"/>
        <v>2.2433241078160471E-2</v>
      </c>
      <c r="J183" s="227"/>
      <c r="K183" s="245">
        <v>32.151072999999997</v>
      </c>
      <c r="L183" s="228">
        <f t="shared" si="14"/>
        <v>2.7664514174776667E-3</v>
      </c>
      <c r="M183" s="228"/>
      <c r="N183" s="227"/>
      <c r="O183" s="322">
        <v>46.119999</v>
      </c>
      <c r="P183" s="228">
        <f t="shared" si="15"/>
        <v>1.8101545653455675E-2</v>
      </c>
      <c r="Q183" s="228"/>
      <c r="R183" s="227"/>
      <c r="S183" s="322">
        <v>157.300003</v>
      </c>
      <c r="T183" s="228">
        <f t="shared" si="16"/>
        <v>1.5231708852049719E-2</v>
      </c>
      <c r="U183" s="228"/>
      <c r="V183" s="228"/>
      <c r="W183" s="228"/>
      <c r="X183" s="322">
        <v>99.639999000000003</v>
      </c>
      <c r="Y183" s="228">
        <f t="shared" si="17"/>
        <v>2.0901650018476436E-2</v>
      </c>
      <c r="Z183" s="228"/>
      <c r="AA183" s="202"/>
    </row>
    <row r="184" spans="2:27" x14ac:dyDescent="0.15">
      <c r="B184" s="241">
        <v>42933</v>
      </c>
      <c r="C184" s="244"/>
      <c r="D184" s="245">
        <v>52.115043999999997</v>
      </c>
      <c r="E184" s="228">
        <f t="shared" si="12"/>
        <v>0</v>
      </c>
      <c r="F184" s="228"/>
      <c r="G184" s="245">
        <v>135.177063</v>
      </c>
      <c r="H184" s="228">
        <f t="shared" si="13"/>
        <v>2.1440031265080872E-3</v>
      </c>
      <c r="J184" s="227"/>
      <c r="K184" s="245">
        <v>31.849508</v>
      </c>
      <c r="L184" s="228">
        <f t="shared" si="14"/>
        <v>-9.3796247484492223E-3</v>
      </c>
      <c r="M184" s="228"/>
      <c r="N184" s="227"/>
      <c r="O184" s="322">
        <v>46.150002000000001</v>
      </c>
      <c r="P184" s="228">
        <f t="shared" si="15"/>
        <v>6.5054207828585398E-4</v>
      </c>
      <c r="Q184" s="228"/>
      <c r="R184" s="227"/>
      <c r="S184" s="322">
        <v>156.979996</v>
      </c>
      <c r="T184" s="228">
        <f t="shared" si="16"/>
        <v>-2.0343737692110064E-3</v>
      </c>
      <c r="U184" s="228"/>
      <c r="V184" s="228"/>
      <c r="W184" s="228"/>
      <c r="X184" s="322">
        <v>99.129997000000003</v>
      </c>
      <c r="Y184" s="228">
        <f t="shared" si="17"/>
        <v>-5.1184464584348444E-3</v>
      </c>
      <c r="Z184" s="228"/>
      <c r="AA184" s="202"/>
    </row>
    <row r="185" spans="2:27" x14ac:dyDescent="0.15">
      <c r="B185" s="241">
        <v>42934</v>
      </c>
      <c r="C185" s="244"/>
      <c r="D185" s="245">
        <v>52.133586999999999</v>
      </c>
      <c r="E185" s="228">
        <f t="shared" si="12"/>
        <v>3.5580896756037816E-4</v>
      </c>
      <c r="F185" s="228"/>
      <c r="G185" s="245">
        <v>138.09809899999999</v>
      </c>
      <c r="H185" s="228">
        <f t="shared" si="13"/>
        <v>2.1608961869514776E-2</v>
      </c>
      <c r="J185" s="227"/>
      <c r="K185" s="245">
        <v>31.814033999999999</v>
      </c>
      <c r="L185" s="228">
        <f t="shared" si="14"/>
        <v>-1.1138005648313465E-3</v>
      </c>
      <c r="M185" s="228"/>
      <c r="N185" s="227"/>
      <c r="O185" s="322">
        <v>46.619999</v>
      </c>
      <c r="P185" s="228">
        <f t="shared" si="15"/>
        <v>1.0184116568402235E-2</v>
      </c>
      <c r="Q185" s="228"/>
      <c r="R185" s="227"/>
      <c r="S185" s="322">
        <v>159.35000600000001</v>
      </c>
      <c r="T185" s="228">
        <f t="shared" si="16"/>
        <v>1.5097528732259669E-2</v>
      </c>
      <c r="U185" s="228"/>
      <c r="V185" s="228"/>
      <c r="W185" s="228"/>
      <c r="X185" s="322">
        <v>99.830001999999993</v>
      </c>
      <c r="Y185" s="228">
        <f t="shared" si="17"/>
        <v>7.0614851324972694E-3</v>
      </c>
      <c r="Z185" s="228"/>
      <c r="AA185" s="202"/>
    </row>
    <row r="186" spans="2:27" x14ac:dyDescent="0.15">
      <c r="B186" s="241">
        <v>42935</v>
      </c>
      <c r="C186" s="244"/>
      <c r="D186" s="245">
        <v>52.439383999999997</v>
      </c>
      <c r="E186" s="228">
        <f t="shared" si="12"/>
        <v>5.8656428148708972E-3</v>
      </c>
      <c r="F186" s="228"/>
      <c r="G186" s="245">
        <v>145.212692</v>
      </c>
      <c r="H186" s="228">
        <f t="shared" si="13"/>
        <v>5.151839925037649E-2</v>
      </c>
      <c r="J186" s="227"/>
      <c r="K186" s="245">
        <v>32.292973000000003</v>
      </c>
      <c r="L186" s="228">
        <f t="shared" si="14"/>
        <v>1.5054331054024983E-2</v>
      </c>
      <c r="M186" s="228"/>
      <c r="N186" s="227"/>
      <c r="O186" s="322">
        <v>47.18</v>
      </c>
      <c r="P186" s="228">
        <f t="shared" si="15"/>
        <v>1.2012033719691839E-2</v>
      </c>
      <c r="Q186" s="228"/>
      <c r="R186" s="227"/>
      <c r="S186" s="322">
        <v>164.229996</v>
      </c>
      <c r="T186" s="228">
        <f t="shared" si="16"/>
        <v>3.0624347764379722E-2</v>
      </c>
      <c r="U186" s="228"/>
      <c r="V186" s="228"/>
      <c r="W186" s="228"/>
      <c r="X186" s="322">
        <v>101.389999</v>
      </c>
      <c r="Y186" s="228">
        <f t="shared" si="17"/>
        <v>1.562653479662357E-2</v>
      </c>
      <c r="Z186" s="228"/>
      <c r="AA186" s="202"/>
    </row>
    <row r="187" spans="2:27" x14ac:dyDescent="0.15">
      <c r="B187" s="241">
        <v>42936</v>
      </c>
      <c r="C187" s="244"/>
      <c r="D187" s="245">
        <v>52.457912</v>
      </c>
      <c r="E187" s="228">
        <f t="shared" si="12"/>
        <v>3.5332222819395298E-4</v>
      </c>
      <c r="F187" s="228"/>
      <c r="G187" s="245">
        <v>148.28796399999999</v>
      </c>
      <c r="H187" s="228">
        <f t="shared" si="13"/>
        <v>2.1177708075269308E-2</v>
      </c>
      <c r="J187" s="227"/>
      <c r="K187" s="245">
        <v>32.018020999999997</v>
      </c>
      <c r="L187" s="228">
        <f t="shared" si="14"/>
        <v>-8.5142981415804453E-3</v>
      </c>
      <c r="M187" s="228"/>
      <c r="N187" s="227"/>
      <c r="O187" s="322">
        <v>47.25</v>
      </c>
      <c r="P187" s="228">
        <f t="shared" si="15"/>
        <v>1.4836795252226587E-3</v>
      </c>
      <c r="Q187" s="228"/>
      <c r="R187" s="227"/>
      <c r="S187" s="322">
        <v>164.800003</v>
      </c>
      <c r="T187" s="228">
        <f t="shared" si="16"/>
        <v>3.4707849594053375E-3</v>
      </c>
      <c r="U187" s="228"/>
      <c r="V187" s="228"/>
      <c r="W187" s="228"/>
      <c r="X187" s="322">
        <v>101.699997</v>
      </c>
      <c r="Y187" s="228">
        <f t="shared" si="17"/>
        <v>3.0574810440622269E-3</v>
      </c>
      <c r="Z187" s="228"/>
      <c r="AA187" s="202"/>
    </row>
    <row r="188" spans="2:27" x14ac:dyDescent="0.15">
      <c r="B188" s="241">
        <v>42937</v>
      </c>
      <c r="C188" s="244"/>
      <c r="D188" s="245">
        <v>52.402312999999999</v>
      </c>
      <c r="E188" s="228">
        <f t="shared" si="12"/>
        <v>-1.0598782505868432E-3</v>
      </c>
      <c r="F188" s="228"/>
      <c r="G188" s="245">
        <v>148.74104299999999</v>
      </c>
      <c r="H188" s="228">
        <f t="shared" si="13"/>
        <v>3.0553996951498963E-3</v>
      </c>
      <c r="J188" s="227"/>
      <c r="K188" s="245">
        <v>31.796289000000002</v>
      </c>
      <c r="L188" s="228">
        <f t="shared" si="14"/>
        <v>-6.925225016249259E-3</v>
      </c>
      <c r="M188" s="228"/>
      <c r="N188" s="227"/>
      <c r="O188" s="322">
        <v>46.810001</v>
      </c>
      <c r="P188" s="228">
        <f t="shared" si="15"/>
        <v>-9.3121481481481805E-3</v>
      </c>
      <c r="Q188" s="228"/>
      <c r="R188" s="227"/>
      <c r="S188" s="322">
        <v>163.529999</v>
      </c>
      <c r="T188" s="228">
        <f t="shared" si="16"/>
        <v>-7.7063348111711116E-3</v>
      </c>
      <c r="U188" s="228"/>
      <c r="V188" s="228"/>
      <c r="W188" s="228"/>
      <c r="X188" s="322">
        <v>99.889999000000003</v>
      </c>
      <c r="Y188" s="228">
        <f t="shared" si="17"/>
        <v>-1.7797424320474597E-2</v>
      </c>
      <c r="Z188" s="228"/>
      <c r="AA188" s="202"/>
    </row>
    <row r="189" spans="2:27" x14ac:dyDescent="0.15">
      <c r="B189" s="241">
        <v>42940</v>
      </c>
      <c r="C189" s="244"/>
      <c r="D189" s="245">
        <v>52.402312999999999</v>
      </c>
      <c r="E189" s="228">
        <f t="shared" si="12"/>
        <v>0</v>
      </c>
      <c r="F189" s="228"/>
      <c r="G189" s="245">
        <v>148.21086099999999</v>
      </c>
      <c r="H189" s="228">
        <f t="shared" si="13"/>
        <v>-3.5644633741070963E-3</v>
      </c>
      <c r="J189" s="227"/>
      <c r="K189" s="245">
        <v>32.124462000000001</v>
      </c>
      <c r="L189" s="228">
        <f t="shared" si="14"/>
        <v>1.0321110114453802E-2</v>
      </c>
      <c r="M189" s="228"/>
      <c r="N189" s="227"/>
      <c r="O189" s="322">
        <v>46.779998999999997</v>
      </c>
      <c r="P189" s="228">
        <f t="shared" si="15"/>
        <v>-6.4093141121712716E-4</v>
      </c>
      <c r="Q189" s="228"/>
      <c r="R189" s="227"/>
      <c r="S189" s="322">
        <v>164.11999499999999</v>
      </c>
      <c r="T189" s="228">
        <f t="shared" si="16"/>
        <v>3.6078762527234076E-3</v>
      </c>
      <c r="U189" s="228"/>
      <c r="V189" s="228"/>
      <c r="W189" s="228"/>
      <c r="X189" s="322">
        <v>100.209999</v>
      </c>
      <c r="Y189" s="228">
        <f t="shared" si="17"/>
        <v>3.2035239083343381E-3</v>
      </c>
      <c r="Z189" s="228"/>
      <c r="AA189" s="202"/>
    </row>
    <row r="190" spans="2:27" x14ac:dyDescent="0.15">
      <c r="B190" s="241">
        <v>42941</v>
      </c>
      <c r="C190" s="244"/>
      <c r="D190" s="245">
        <v>52.559849</v>
      </c>
      <c r="E190" s="228">
        <f t="shared" si="12"/>
        <v>3.006279512890897E-3</v>
      </c>
      <c r="F190" s="228"/>
      <c r="G190" s="245">
        <v>147.237167</v>
      </c>
      <c r="H190" s="228">
        <f t="shared" si="13"/>
        <v>-6.5696534884848168E-3</v>
      </c>
      <c r="J190" s="227"/>
      <c r="K190" s="245">
        <v>32.018020999999997</v>
      </c>
      <c r="L190" s="228">
        <f t="shared" si="14"/>
        <v>-3.3133940110811055E-3</v>
      </c>
      <c r="M190" s="228"/>
      <c r="N190" s="227"/>
      <c r="O190" s="322">
        <v>46.400002000000001</v>
      </c>
      <c r="P190" s="228">
        <f t="shared" si="15"/>
        <v>-8.1230655862133405E-3</v>
      </c>
      <c r="Q190" s="228"/>
      <c r="R190" s="227"/>
      <c r="S190" s="322">
        <v>164.46000699999999</v>
      </c>
      <c r="T190" s="228">
        <f t="shared" si="16"/>
        <v>2.0717280670159433E-3</v>
      </c>
      <c r="U190" s="228"/>
      <c r="V190" s="228"/>
      <c r="W190" s="228"/>
      <c r="X190" s="322">
        <v>99.120002999999997</v>
      </c>
      <c r="Y190" s="228">
        <f t="shared" si="17"/>
        <v>-1.0877118160633859E-2</v>
      </c>
      <c r="Z190" s="228"/>
      <c r="AA190" s="202"/>
    </row>
    <row r="191" spans="2:27" x14ac:dyDescent="0.15">
      <c r="B191" s="241">
        <v>42942</v>
      </c>
      <c r="C191" s="244"/>
      <c r="D191" s="245">
        <v>52.494984000000002</v>
      </c>
      <c r="E191" s="228">
        <f t="shared" si="12"/>
        <v>-1.2341169397194207E-3</v>
      </c>
      <c r="F191" s="228"/>
      <c r="G191" s="245">
        <v>148.97242700000001</v>
      </c>
      <c r="H191" s="228">
        <f t="shared" si="13"/>
        <v>1.1785475334499029E-2</v>
      </c>
      <c r="J191" s="227"/>
      <c r="K191" s="245">
        <v>32.124462000000001</v>
      </c>
      <c r="L191" s="228">
        <f t="shared" si="14"/>
        <v>3.3244090882444954E-3</v>
      </c>
      <c r="M191" s="228"/>
      <c r="N191" s="227"/>
      <c r="O191" s="322">
        <v>47.450001</v>
      </c>
      <c r="P191" s="228">
        <f t="shared" si="15"/>
        <v>2.2629287817703014E-2</v>
      </c>
      <c r="Q191" s="228"/>
      <c r="R191" s="227"/>
      <c r="S191" s="322">
        <v>168.33999600000001</v>
      </c>
      <c r="T191" s="228">
        <f t="shared" si="16"/>
        <v>2.3592294994855711E-2</v>
      </c>
      <c r="U191" s="228"/>
      <c r="V191" s="228"/>
      <c r="W191" s="228"/>
      <c r="X191" s="322">
        <v>100.860001</v>
      </c>
      <c r="Y191" s="228">
        <f t="shared" si="17"/>
        <v>1.7554458710014265E-2</v>
      </c>
      <c r="Z191" s="228"/>
      <c r="AA191" s="202"/>
    </row>
    <row r="192" spans="2:27" x14ac:dyDescent="0.15">
      <c r="B192" s="241">
        <v>42943</v>
      </c>
      <c r="C192" s="244"/>
      <c r="D192" s="245">
        <v>52.439383999999997</v>
      </c>
      <c r="E192" s="228">
        <f t="shared" si="12"/>
        <v>-1.0591488131515003E-3</v>
      </c>
      <c r="F192" s="228"/>
      <c r="G192" s="245">
        <v>147.72882100000001</v>
      </c>
      <c r="H192" s="228">
        <f t="shared" si="13"/>
        <v>-8.3478938018509696E-3</v>
      </c>
      <c r="J192" s="227"/>
      <c r="K192" s="245">
        <v>32.088982000000001</v>
      </c>
      <c r="L192" s="228">
        <f t="shared" si="14"/>
        <v>-1.1044542940517044E-3</v>
      </c>
      <c r="M192" s="228"/>
      <c r="N192" s="227"/>
      <c r="O192" s="322">
        <v>46.040000999999997</v>
      </c>
      <c r="P192" s="228">
        <f t="shared" si="15"/>
        <v>-2.971548936321422E-2</v>
      </c>
      <c r="Q192" s="228"/>
      <c r="R192" s="227"/>
      <c r="S192" s="322">
        <v>164.759995</v>
      </c>
      <c r="T192" s="228">
        <f t="shared" si="16"/>
        <v>-2.1266490941344696E-2</v>
      </c>
      <c r="U192" s="228"/>
      <c r="V192" s="228"/>
      <c r="W192" s="228"/>
      <c r="X192" s="322">
        <v>99.93</v>
      </c>
      <c r="Y192" s="228">
        <f t="shared" si="17"/>
        <v>-9.2207117864294696E-3</v>
      </c>
      <c r="Z192" s="228"/>
      <c r="AA192" s="202"/>
    </row>
    <row r="193" spans="2:27" x14ac:dyDescent="0.15">
      <c r="B193" s="241">
        <v>42944</v>
      </c>
      <c r="C193" s="244"/>
      <c r="D193" s="245">
        <v>52.365253000000003</v>
      </c>
      <c r="E193" s="228">
        <f t="shared" si="12"/>
        <v>-1.4136512358725595E-3</v>
      </c>
      <c r="F193" s="228"/>
      <c r="G193" s="245">
        <v>147.04437300000001</v>
      </c>
      <c r="H193" s="228">
        <f t="shared" si="13"/>
        <v>-4.6331379034021403E-3</v>
      </c>
      <c r="J193" s="227"/>
      <c r="K193" s="245">
        <v>31.805167999999998</v>
      </c>
      <c r="L193" s="228">
        <f t="shared" si="14"/>
        <v>-8.8445934495523515E-3</v>
      </c>
      <c r="M193" s="228"/>
      <c r="N193" s="227"/>
      <c r="O193" s="322">
        <v>45.25</v>
      </c>
      <c r="P193" s="228">
        <f t="shared" si="15"/>
        <v>-1.7159013528257661E-2</v>
      </c>
      <c r="Q193" s="228"/>
      <c r="R193" s="227"/>
      <c r="S193" s="322">
        <v>161.60000600000001</v>
      </c>
      <c r="T193" s="228">
        <f t="shared" si="16"/>
        <v>-1.9179346297018229E-2</v>
      </c>
      <c r="U193" s="228"/>
      <c r="V193" s="228"/>
      <c r="W193" s="228"/>
      <c r="X193" s="322">
        <v>94.400002000000001</v>
      </c>
      <c r="Y193" s="228">
        <f t="shared" si="17"/>
        <v>-5.5338717101971469E-2</v>
      </c>
      <c r="Z193" s="228"/>
      <c r="AA193" s="202"/>
    </row>
    <row r="194" spans="2:27" x14ac:dyDescent="0.15">
      <c r="B194" s="241">
        <v>42947</v>
      </c>
      <c r="C194" s="244"/>
      <c r="D194" s="245">
        <v>52.328186000000002</v>
      </c>
      <c r="E194" s="228">
        <f t="shared" si="12"/>
        <v>-7.078548823205022E-4</v>
      </c>
      <c r="F194" s="228"/>
      <c r="G194" s="245">
        <v>144.923508</v>
      </c>
      <c r="H194" s="228">
        <f t="shared" si="13"/>
        <v>-1.4423299285311719E-2</v>
      </c>
      <c r="J194" s="227"/>
      <c r="K194" s="245">
        <v>31.893858000000002</v>
      </c>
      <c r="L194" s="228">
        <f t="shared" si="14"/>
        <v>2.7885405290108967E-3</v>
      </c>
      <c r="M194" s="228"/>
      <c r="N194" s="227"/>
      <c r="O194" s="322">
        <v>44.310001</v>
      </c>
      <c r="P194" s="228">
        <f t="shared" si="15"/>
        <v>-2.0773458563535963E-2</v>
      </c>
      <c r="Q194" s="228"/>
      <c r="R194" s="227"/>
      <c r="S194" s="322">
        <v>159.46000699999999</v>
      </c>
      <c r="T194" s="228">
        <f t="shared" si="16"/>
        <v>-1.324256757762754E-2</v>
      </c>
      <c r="U194" s="228"/>
      <c r="V194" s="228"/>
      <c r="W194" s="228"/>
      <c r="X194" s="322">
        <v>92.629997000000003</v>
      </c>
      <c r="Y194" s="228">
        <f t="shared" si="17"/>
        <v>-1.8750052568854758E-2</v>
      </c>
      <c r="Z194" s="228"/>
      <c r="AA194" s="202"/>
    </row>
    <row r="195" spans="2:27" x14ac:dyDescent="0.15">
      <c r="B195" s="241">
        <v>42948</v>
      </c>
      <c r="C195" s="244"/>
      <c r="D195" s="245">
        <v>52.411591000000001</v>
      </c>
      <c r="E195" s="228">
        <f t="shared" si="12"/>
        <v>1.5938828836910002E-3</v>
      </c>
      <c r="F195" s="228"/>
      <c r="G195" s="245">
        <v>145.49224899999999</v>
      </c>
      <c r="H195" s="228">
        <f t="shared" si="13"/>
        <v>3.9244219785239398E-3</v>
      </c>
      <c r="J195" s="227"/>
      <c r="K195" s="245">
        <v>31.787431999999999</v>
      </c>
      <c r="L195" s="228">
        <f t="shared" si="14"/>
        <v>-3.3368807248091992E-3</v>
      </c>
      <c r="M195" s="228"/>
      <c r="N195" s="227"/>
      <c r="O195" s="322">
        <v>44.099997999999999</v>
      </c>
      <c r="P195" s="228">
        <f t="shared" si="15"/>
        <v>-4.7394040907379198E-3</v>
      </c>
      <c r="Q195" s="228"/>
      <c r="R195" s="227"/>
      <c r="S195" s="322">
        <v>157.46000699999999</v>
      </c>
      <c r="T195" s="228">
        <f t="shared" si="16"/>
        <v>-1.2542329814396624E-2</v>
      </c>
      <c r="U195" s="228"/>
      <c r="V195" s="228"/>
      <c r="W195" s="228"/>
      <c r="X195" s="322">
        <v>92.629997000000003</v>
      </c>
      <c r="Y195" s="228">
        <f t="shared" si="17"/>
        <v>0</v>
      </c>
      <c r="Z195" s="228"/>
      <c r="AA195" s="202"/>
    </row>
    <row r="196" spans="2:27" x14ac:dyDescent="0.15">
      <c r="B196" s="241">
        <v>42949</v>
      </c>
      <c r="C196" s="244"/>
      <c r="D196" s="245">
        <v>52.402312999999999</v>
      </c>
      <c r="E196" s="228">
        <f t="shared" si="12"/>
        <v>-1.7702191105017917E-4</v>
      </c>
      <c r="F196" s="228"/>
      <c r="G196" s="245">
        <v>145.588684</v>
      </c>
      <c r="H196" s="228">
        <f t="shared" si="13"/>
        <v>6.628188144923719E-4</v>
      </c>
      <c r="J196" s="227"/>
      <c r="K196" s="245">
        <v>31.991420999999999</v>
      </c>
      <c r="L196" s="228">
        <f t="shared" si="14"/>
        <v>6.4172846677266193E-3</v>
      </c>
      <c r="M196" s="228"/>
      <c r="N196" s="227"/>
      <c r="O196" s="322">
        <v>42.73</v>
      </c>
      <c r="P196" s="228">
        <f t="shared" si="15"/>
        <v>-3.1065715694590379E-2</v>
      </c>
      <c r="Q196" s="228"/>
      <c r="R196" s="227"/>
      <c r="S196" s="322">
        <v>151.550003</v>
      </c>
      <c r="T196" s="228">
        <f t="shared" si="16"/>
        <v>-3.7533365535795893E-2</v>
      </c>
      <c r="U196" s="228"/>
      <c r="V196" s="228"/>
      <c r="W196" s="228"/>
      <c r="X196" s="322">
        <v>90.010002</v>
      </c>
      <c r="Y196" s="228">
        <f t="shared" si="17"/>
        <v>-2.8284519970350419E-2</v>
      </c>
      <c r="Z196" s="228"/>
      <c r="AA196" s="202"/>
    </row>
    <row r="197" spans="2:27" x14ac:dyDescent="0.15">
      <c r="B197" s="241">
        <v>42950</v>
      </c>
      <c r="C197" s="244"/>
      <c r="D197" s="245">
        <v>52.291122000000001</v>
      </c>
      <c r="E197" s="228">
        <f t="shared" si="12"/>
        <v>-2.1218719868337788E-3</v>
      </c>
      <c r="F197" s="228"/>
      <c r="G197" s="245">
        <v>146.69731100000001</v>
      </c>
      <c r="H197" s="228">
        <f t="shared" si="13"/>
        <v>7.6147882482406892E-3</v>
      </c>
      <c r="J197" s="227"/>
      <c r="K197" s="245">
        <v>31.743084</v>
      </c>
      <c r="L197" s="228">
        <f t="shared" si="14"/>
        <v>-7.7626123578568018E-3</v>
      </c>
      <c r="M197" s="228"/>
      <c r="N197" s="227"/>
      <c r="O197" s="322">
        <v>42.700001</v>
      </c>
      <c r="P197" s="228">
        <f t="shared" si="15"/>
        <v>-7.0205944301415801E-4</v>
      </c>
      <c r="Q197" s="228"/>
      <c r="R197" s="227"/>
      <c r="S197" s="322">
        <v>148.89999399999999</v>
      </c>
      <c r="T197" s="228">
        <f t="shared" si="16"/>
        <v>-1.748603726520559E-2</v>
      </c>
      <c r="U197" s="228"/>
      <c r="V197" s="228"/>
      <c r="W197" s="228"/>
      <c r="X197" s="322">
        <v>88.959998999999996</v>
      </c>
      <c r="Y197" s="228">
        <f t="shared" si="17"/>
        <v>-1.1665403584814937E-2</v>
      </c>
      <c r="Z197" s="228"/>
      <c r="AA197" s="202"/>
    </row>
    <row r="198" spans="2:27" x14ac:dyDescent="0.15">
      <c r="B198" s="241">
        <v>42951</v>
      </c>
      <c r="C198" s="244"/>
      <c r="D198" s="245">
        <v>52.383780999999999</v>
      </c>
      <c r="E198" s="228">
        <f t="shared" si="12"/>
        <v>1.771983397105048E-3</v>
      </c>
      <c r="F198" s="228"/>
      <c r="G198" s="245">
        <v>147.43962099999999</v>
      </c>
      <c r="H198" s="228">
        <f t="shared" si="13"/>
        <v>5.0601472851807827E-3</v>
      </c>
      <c r="J198" s="227"/>
      <c r="K198" s="245">
        <v>31.955943999999999</v>
      </c>
      <c r="L198" s="228">
        <f t="shared" si="14"/>
        <v>6.7057126522425126E-3</v>
      </c>
      <c r="M198" s="228"/>
      <c r="N198" s="227"/>
      <c r="O198" s="322">
        <v>42.82</v>
      </c>
      <c r="P198" s="228">
        <f t="shared" si="15"/>
        <v>2.8102809646304294E-3</v>
      </c>
      <c r="Q198" s="228"/>
      <c r="R198" s="227"/>
      <c r="S198" s="322">
        <v>150.050003</v>
      </c>
      <c r="T198" s="228">
        <f t="shared" si="16"/>
        <v>7.7233649854948627E-3</v>
      </c>
      <c r="U198" s="228"/>
      <c r="V198" s="228"/>
      <c r="W198" s="228"/>
      <c r="X198" s="322">
        <v>88.830001999999993</v>
      </c>
      <c r="Y198" s="228">
        <f t="shared" si="17"/>
        <v>-1.4612972286567327E-3</v>
      </c>
      <c r="Z198" s="228"/>
      <c r="AA198" s="202"/>
    </row>
    <row r="199" spans="2:27" x14ac:dyDescent="0.15">
      <c r="B199" s="241">
        <v>42954</v>
      </c>
      <c r="C199" s="244"/>
      <c r="D199" s="245">
        <v>52.485714000000002</v>
      </c>
      <c r="E199" s="228">
        <f t="shared" si="12"/>
        <v>1.9458885566125961E-3</v>
      </c>
      <c r="F199" s="228"/>
      <c r="G199" s="245">
        <v>148.86637899999999</v>
      </c>
      <c r="H199" s="228">
        <f t="shared" si="13"/>
        <v>9.6768968227340935E-3</v>
      </c>
      <c r="J199" s="227"/>
      <c r="K199" s="245">
        <v>32.630009000000001</v>
      </c>
      <c r="L199" s="228">
        <f t="shared" si="14"/>
        <v>2.109357182501026E-2</v>
      </c>
      <c r="M199" s="228"/>
      <c r="N199" s="227"/>
      <c r="O199" s="322">
        <v>43.959999000000003</v>
      </c>
      <c r="P199" s="228">
        <f t="shared" si="15"/>
        <v>2.662304997664644E-2</v>
      </c>
      <c r="Q199" s="228"/>
      <c r="R199" s="227"/>
      <c r="S199" s="322">
        <v>155.83999600000001</v>
      </c>
      <c r="T199" s="228">
        <f t="shared" si="16"/>
        <v>3.8587090198192175E-2</v>
      </c>
      <c r="U199" s="228"/>
      <c r="V199" s="228"/>
      <c r="W199" s="228"/>
      <c r="X199" s="322">
        <v>92.010002</v>
      </c>
      <c r="Y199" s="228">
        <f t="shared" si="17"/>
        <v>3.5798715843775364E-2</v>
      </c>
      <c r="Z199" s="228"/>
      <c r="AA199" s="202"/>
    </row>
    <row r="200" spans="2:27" x14ac:dyDescent="0.15">
      <c r="B200" s="241">
        <v>42955</v>
      </c>
      <c r="C200" s="244"/>
      <c r="D200" s="245">
        <v>52.365253000000003</v>
      </c>
      <c r="E200" s="228">
        <f t="shared" si="12"/>
        <v>-2.29511977297292E-3</v>
      </c>
      <c r="F200" s="228"/>
      <c r="G200" s="245">
        <v>147.622803</v>
      </c>
      <c r="H200" s="228">
        <f t="shared" si="13"/>
        <v>-8.3536390711833608E-3</v>
      </c>
      <c r="J200" s="227"/>
      <c r="K200" s="245">
        <v>32.550185999999997</v>
      </c>
      <c r="L200" s="228">
        <f t="shared" si="14"/>
        <v>-2.4463064046351679E-3</v>
      </c>
      <c r="M200" s="228"/>
      <c r="N200" s="227"/>
      <c r="O200" s="322">
        <v>43.900002000000001</v>
      </c>
      <c r="P200" s="228">
        <f t="shared" si="15"/>
        <v>-1.3648089482440895E-3</v>
      </c>
      <c r="Q200" s="228"/>
      <c r="R200" s="227"/>
      <c r="S200" s="322">
        <v>155.75</v>
      </c>
      <c r="T200" s="228">
        <f t="shared" si="16"/>
        <v>-5.7748974788229823E-4</v>
      </c>
      <c r="U200" s="228"/>
      <c r="V200" s="228"/>
      <c r="W200" s="228"/>
      <c r="X200" s="322">
        <v>90.68</v>
      </c>
      <c r="Y200" s="228">
        <f t="shared" si="17"/>
        <v>-1.4454971971416652E-2</v>
      </c>
      <c r="Z200" s="228"/>
      <c r="AA200" s="202"/>
    </row>
    <row r="201" spans="2:27" x14ac:dyDescent="0.15">
      <c r="B201" s="241">
        <v>42956</v>
      </c>
      <c r="C201" s="244"/>
      <c r="D201" s="245">
        <v>52.263328999999999</v>
      </c>
      <c r="E201" s="228">
        <f t="shared" ref="E201:E264" si="18">D201/D200-1</f>
        <v>-1.9464051858969489E-3</v>
      </c>
      <c r="F201" s="228"/>
      <c r="G201" s="245">
        <v>148.03729200000001</v>
      </c>
      <c r="H201" s="228">
        <f t="shared" ref="H201:H264" si="19">G201/G200-1</f>
        <v>2.8077572812379437E-3</v>
      </c>
      <c r="J201" s="227"/>
      <c r="K201" s="245">
        <v>32.337322</v>
      </c>
      <c r="L201" s="228">
        <f t="shared" ref="L201:L264" si="20">K201/K200-1</f>
        <v>-6.539563245506419E-3</v>
      </c>
      <c r="M201" s="228"/>
      <c r="N201" s="227"/>
      <c r="O201" s="322">
        <v>43.810001</v>
      </c>
      <c r="P201" s="228">
        <f t="shared" ref="P201:P264" si="21">O201/O200-1</f>
        <v>-2.0501365808593963E-3</v>
      </c>
      <c r="Q201" s="228"/>
      <c r="R201" s="227"/>
      <c r="S201" s="322">
        <v>155.199997</v>
      </c>
      <c r="T201" s="228">
        <f t="shared" ref="T201:T264" si="22">S201/S200-1</f>
        <v>-3.5313194221509026E-3</v>
      </c>
      <c r="U201" s="228"/>
      <c r="V201" s="228"/>
      <c r="W201" s="228"/>
      <c r="X201" s="322">
        <v>91.480002999999996</v>
      </c>
      <c r="Y201" s="228">
        <f t="shared" ref="Y201:Y264" si="23">X201/X200-1</f>
        <v>8.8222651080722692E-3</v>
      </c>
      <c r="Z201" s="228"/>
      <c r="AA201" s="202"/>
    </row>
    <row r="202" spans="2:27" x14ac:dyDescent="0.15">
      <c r="B202" s="241">
        <v>42957</v>
      </c>
      <c r="C202" s="244"/>
      <c r="D202" s="245">
        <v>51.521996000000001</v>
      </c>
      <c r="E202" s="228">
        <f t="shared" si="18"/>
        <v>-1.4184572896227099E-2</v>
      </c>
      <c r="F202" s="228"/>
      <c r="G202" s="245">
        <v>144.778885</v>
      </c>
      <c r="H202" s="228">
        <f t="shared" si="19"/>
        <v>-2.2010717407611069E-2</v>
      </c>
      <c r="J202" s="227"/>
      <c r="K202" s="245">
        <v>31.343962000000001</v>
      </c>
      <c r="L202" s="228">
        <f t="shared" si="20"/>
        <v>-3.0718684744518998E-2</v>
      </c>
      <c r="M202" s="228"/>
      <c r="N202" s="227"/>
      <c r="O202" s="322">
        <v>42.029998999999997</v>
      </c>
      <c r="P202" s="228">
        <f t="shared" si="21"/>
        <v>-4.0630037876511427E-2</v>
      </c>
      <c r="Q202" s="228"/>
      <c r="R202" s="227"/>
      <c r="S202" s="322">
        <v>149.44000199999999</v>
      </c>
      <c r="T202" s="228">
        <f t="shared" si="22"/>
        <v>-3.711337056275843E-2</v>
      </c>
      <c r="U202" s="228"/>
      <c r="V202" s="228"/>
      <c r="W202" s="228"/>
      <c r="X202" s="322">
        <v>88.139999000000003</v>
      </c>
      <c r="Y202" s="228">
        <f t="shared" si="23"/>
        <v>-3.6510755252161409E-2</v>
      </c>
      <c r="Z202" s="228"/>
      <c r="AA202" s="202"/>
    </row>
    <row r="203" spans="2:27" x14ac:dyDescent="0.15">
      <c r="B203" s="241">
        <v>42958</v>
      </c>
      <c r="C203" s="244"/>
      <c r="D203" s="245">
        <v>51.605395999999999</v>
      </c>
      <c r="E203" s="228">
        <f t="shared" si="18"/>
        <v>1.6187261068068004E-3</v>
      </c>
      <c r="F203" s="228"/>
      <c r="G203" s="245">
        <v>145.75254799999999</v>
      </c>
      <c r="H203" s="228">
        <f t="shared" si="19"/>
        <v>6.7251726658896782E-3</v>
      </c>
      <c r="J203" s="227"/>
      <c r="K203" s="245">
        <v>32.053500999999997</v>
      </c>
      <c r="L203" s="228">
        <f t="shared" si="20"/>
        <v>2.2637182880709039E-2</v>
      </c>
      <c r="M203" s="228"/>
      <c r="N203" s="227"/>
      <c r="O203" s="322">
        <v>43.080002</v>
      </c>
      <c r="P203" s="228">
        <f t="shared" si="21"/>
        <v>2.4982227575118587E-2</v>
      </c>
      <c r="Q203" s="228"/>
      <c r="R203" s="227"/>
      <c r="S203" s="322">
        <v>154.259995</v>
      </c>
      <c r="T203" s="228">
        <f t="shared" si="22"/>
        <v>3.2253700050137946E-2</v>
      </c>
      <c r="U203" s="228"/>
      <c r="V203" s="228"/>
      <c r="W203" s="228"/>
      <c r="X203" s="322">
        <v>90.339995999999999</v>
      </c>
      <c r="Y203" s="228">
        <f t="shared" si="23"/>
        <v>2.4960256693445038E-2</v>
      </c>
      <c r="Z203" s="228"/>
      <c r="AA203" s="202"/>
    </row>
    <row r="204" spans="2:27" x14ac:dyDescent="0.15">
      <c r="B204" s="241">
        <v>42961</v>
      </c>
      <c r="C204" s="244"/>
      <c r="D204" s="245">
        <v>52.105781999999998</v>
      </c>
      <c r="E204" s="228">
        <f t="shared" si="18"/>
        <v>9.6963891140375846E-3</v>
      </c>
      <c r="F204" s="228"/>
      <c r="G204" s="245">
        <v>147.121475</v>
      </c>
      <c r="H204" s="228">
        <f t="shared" si="19"/>
        <v>9.3921308325946029E-3</v>
      </c>
      <c r="J204" s="227"/>
      <c r="K204" s="245">
        <v>31.973680000000002</v>
      </c>
      <c r="L204" s="228">
        <f t="shared" si="20"/>
        <v>-2.4902427975026509E-3</v>
      </c>
      <c r="M204" s="228"/>
      <c r="N204" s="227"/>
      <c r="O204" s="322">
        <v>43.779998999999997</v>
      </c>
      <c r="P204" s="228">
        <f t="shared" si="21"/>
        <v>1.6248768976380168E-2</v>
      </c>
      <c r="Q204" s="228"/>
      <c r="R204" s="227"/>
      <c r="S204" s="322">
        <v>158.550003</v>
      </c>
      <c r="T204" s="228">
        <f t="shared" si="22"/>
        <v>2.7810243349223551E-2</v>
      </c>
      <c r="U204" s="228"/>
      <c r="V204" s="228"/>
      <c r="W204" s="228"/>
      <c r="X204" s="322">
        <v>91.5</v>
      </c>
      <c r="Y204" s="228">
        <f t="shared" si="23"/>
        <v>1.2840425629419006E-2</v>
      </c>
      <c r="Z204" s="228"/>
      <c r="AA204" s="202"/>
    </row>
    <row r="205" spans="2:27" x14ac:dyDescent="0.15">
      <c r="B205" s="241">
        <v>42962</v>
      </c>
      <c r="C205" s="244"/>
      <c r="D205" s="245">
        <v>52.087257000000001</v>
      </c>
      <c r="E205" s="228">
        <f t="shared" si="18"/>
        <v>-3.555267628455594E-4</v>
      </c>
      <c r="F205" s="228"/>
      <c r="G205" s="245">
        <v>146.976868</v>
      </c>
      <c r="H205" s="228">
        <f t="shared" si="19"/>
        <v>-9.8290885134211248E-4</v>
      </c>
      <c r="J205" s="227"/>
      <c r="K205" s="245">
        <v>32.301845999999998</v>
      </c>
      <c r="L205" s="228">
        <f t="shared" si="20"/>
        <v>1.0263629335127922E-2</v>
      </c>
      <c r="M205" s="228"/>
      <c r="N205" s="227"/>
      <c r="O205" s="322">
        <v>43.880001</v>
      </c>
      <c r="P205" s="228">
        <f t="shared" si="21"/>
        <v>2.2841937479258778E-3</v>
      </c>
      <c r="Q205" s="228"/>
      <c r="R205" s="227"/>
      <c r="S205" s="322">
        <v>160.21000699999999</v>
      </c>
      <c r="T205" s="228">
        <f t="shared" si="22"/>
        <v>1.0469908348093693E-2</v>
      </c>
      <c r="U205" s="228"/>
      <c r="V205" s="228"/>
      <c r="W205" s="228"/>
      <c r="X205" s="322">
        <v>91.019997000000004</v>
      </c>
      <c r="Y205" s="228">
        <f t="shared" si="23"/>
        <v>-5.2459344262294483E-3</v>
      </c>
      <c r="Z205" s="228"/>
      <c r="AA205" s="202"/>
    </row>
    <row r="206" spans="2:27" x14ac:dyDescent="0.15">
      <c r="B206" s="241">
        <v>42963</v>
      </c>
      <c r="C206" s="244"/>
      <c r="D206" s="245">
        <v>52.152121999999999</v>
      </c>
      <c r="E206" s="228">
        <f t="shared" si="18"/>
        <v>1.2453141850030658E-3</v>
      </c>
      <c r="F206" s="228"/>
      <c r="G206" s="245">
        <v>148.14334099999999</v>
      </c>
      <c r="H206" s="228">
        <f t="shared" si="19"/>
        <v>7.9364393586069948E-3</v>
      </c>
      <c r="J206" s="227"/>
      <c r="K206" s="245">
        <v>32.230891999999997</v>
      </c>
      <c r="L206" s="228">
        <f t="shared" si="20"/>
        <v>-2.196592727239155E-3</v>
      </c>
      <c r="M206" s="228"/>
      <c r="N206" s="227"/>
      <c r="O206" s="322">
        <v>44.459999000000003</v>
      </c>
      <c r="P206" s="228">
        <f t="shared" si="21"/>
        <v>1.3217821029676058E-2</v>
      </c>
      <c r="Q206" s="228"/>
      <c r="R206" s="227"/>
      <c r="S206" s="322">
        <v>163.220001</v>
      </c>
      <c r="T206" s="228">
        <f t="shared" si="22"/>
        <v>1.8787802687006971E-2</v>
      </c>
      <c r="U206" s="228"/>
      <c r="V206" s="228"/>
      <c r="W206" s="228"/>
      <c r="X206" s="322">
        <v>91.879997000000003</v>
      </c>
      <c r="Y206" s="228">
        <f t="shared" si="23"/>
        <v>9.4484731745267947E-3</v>
      </c>
      <c r="Z206" s="228"/>
      <c r="AA206" s="202"/>
    </row>
    <row r="207" spans="2:27" x14ac:dyDescent="0.15">
      <c r="B207" s="241">
        <v>42964</v>
      </c>
      <c r="C207" s="244"/>
      <c r="D207" s="245">
        <v>51.373736999999998</v>
      </c>
      <c r="E207" s="228">
        <f t="shared" si="18"/>
        <v>-1.4925279550465853E-2</v>
      </c>
      <c r="F207" s="228"/>
      <c r="G207" s="245">
        <v>145.231979</v>
      </c>
      <c r="H207" s="228">
        <f t="shared" si="19"/>
        <v>-1.9652331183755312E-2</v>
      </c>
      <c r="J207" s="227"/>
      <c r="K207" s="245">
        <v>31.743084</v>
      </c>
      <c r="L207" s="228">
        <f t="shared" si="20"/>
        <v>-1.5134796765785996E-2</v>
      </c>
      <c r="M207" s="228"/>
      <c r="N207" s="227"/>
      <c r="O207" s="322">
        <v>43.119999</v>
      </c>
      <c r="P207" s="228">
        <f t="shared" si="21"/>
        <v>-3.0139451869983236E-2</v>
      </c>
      <c r="Q207" s="228"/>
      <c r="R207" s="227"/>
      <c r="S207" s="322">
        <v>158.46000699999999</v>
      </c>
      <c r="T207" s="228">
        <f t="shared" si="22"/>
        <v>-2.9163055819366179E-2</v>
      </c>
      <c r="U207" s="228"/>
      <c r="V207" s="228"/>
      <c r="W207" s="228"/>
      <c r="X207" s="322">
        <v>89.769997000000004</v>
      </c>
      <c r="Y207" s="228">
        <f t="shared" si="23"/>
        <v>-2.2964737362801579E-2</v>
      </c>
      <c r="Z207" s="228"/>
      <c r="AA207" s="202"/>
    </row>
    <row r="208" spans="2:27" x14ac:dyDescent="0.15">
      <c r="B208" s="241">
        <v>42965</v>
      </c>
      <c r="C208" s="244"/>
      <c r="D208" s="245">
        <v>51.290337000000001</v>
      </c>
      <c r="E208" s="228">
        <f t="shared" si="18"/>
        <v>-1.6233975737446338E-3</v>
      </c>
      <c r="F208" s="228"/>
      <c r="G208" s="245">
        <v>146.78405799999999</v>
      </c>
      <c r="H208" s="228">
        <f t="shared" si="19"/>
        <v>1.0686895618216452E-2</v>
      </c>
      <c r="J208" s="227"/>
      <c r="K208" s="245">
        <v>31.805167999999998</v>
      </c>
      <c r="L208" s="228">
        <f t="shared" si="20"/>
        <v>1.9558276064164382E-3</v>
      </c>
      <c r="M208" s="228"/>
      <c r="N208" s="227"/>
      <c r="O208" s="322">
        <v>44.299999</v>
      </c>
      <c r="P208" s="228">
        <f t="shared" si="21"/>
        <v>2.736549228584173E-2</v>
      </c>
      <c r="Q208" s="228"/>
      <c r="R208" s="227"/>
      <c r="S208" s="322">
        <v>160.490005</v>
      </c>
      <c r="T208" s="228">
        <f t="shared" si="22"/>
        <v>1.2810790800987348E-2</v>
      </c>
      <c r="U208" s="228"/>
      <c r="V208" s="228"/>
      <c r="W208" s="228"/>
      <c r="X208" s="322">
        <v>90.260002</v>
      </c>
      <c r="Y208" s="228">
        <f t="shared" si="23"/>
        <v>5.4584495530283217E-3</v>
      </c>
      <c r="Z208" s="228"/>
      <c r="AA208" s="202"/>
    </row>
    <row r="209" spans="2:27" x14ac:dyDescent="0.15">
      <c r="B209" s="241">
        <v>42968</v>
      </c>
      <c r="C209" s="244"/>
      <c r="D209" s="245">
        <v>51.290337000000001</v>
      </c>
      <c r="E209" s="228">
        <f t="shared" si="18"/>
        <v>0</v>
      </c>
      <c r="F209" s="228"/>
      <c r="G209" s="245">
        <v>146.13816800000001</v>
      </c>
      <c r="H209" s="228">
        <f t="shared" si="19"/>
        <v>-4.4002734956406497E-3</v>
      </c>
      <c r="J209" s="227"/>
      <c r="K209" s="245">
        <v>31.911598000000001</v>
      </c>
      <c r="L209" s="228">
        <f t="shared" si="20"/>
        <v>3.3463115176755043E-3</v>
      </c>
      <c r="M209" s="228"/>
      <c r="N209" s="227"/>
      <c r="O209" s="322">
        <v>43.310001</v>
      </c>
      <c r="P209" s="228">
        <f t="shared" si="21"/>
        <v>-2.2347585154573024E-2</v>
      </c>
      <c r="Q209" s="228"/>
      <c r="R209" s="227"/>
      <c r="S209" s="322">
        <v>158.39999399999999</v>
      </c>
      <c r="T209" s="228">
        <f t="shared" si="22"/>
        <v>-1.3022686366045089E-2</v>
      </c>
      <c r="U209" s="228"/>
      <c r="V209" s="228"/>
      <c r="W209" s="228"/>
      <c r="X209" s="322">
        <v>89.010002</v>
      </c>
      <c r="Y209" s="228">
        <f t="shared" si="23"/>
        <v>-1.384888070354795E-2</v>
      </c>
      <c r="Z209" s="228"/>
      <c r="AA209" s="202"/>
    </row>
    <row r="210" spans="2:27" x14ac:dyDescent="0.15">
      <c r="B210" s="241">
        <v>42969</v>
      </c>
      <c r="C210" s="244"/>
      <c r="D210" s="245">
        <v>51.846325</v>
      </c>
      <c r="E210" s="228">
        <f t="shared" si="18"/>
        <v>1.0840014562587097E-2</v>
      </c>
      <c r="F210" s="228"/>
      <c r="G210" s="245">
        <v>148.81817599999999</v>
      </c>
      <c r="H210" s="228">
        <f t="shared" si="19"/>
        <v>1.8338864081011153E-2</v>
      </c>
      <c r="J210" s="227"/>
      <c r="K210" s="245">
        <v>32.390537000000002</v>
      </c>
      <c r="L210" s="228">
        <f t="shared" si="20"/>
        <v>1.5008305130943311E-2</v>
      </c>
      <c r="M210" s="228"/>
      <c r="N210" s="227"/>
      <c r="O210" s="322">
        <v>44.450001</v>
      </c>
      <c r="P210" s="228">
        <f t="shared" si="21"/>
        <v>2.6321865012194356E-2</v>
      </c>
      <c r="Q210" s="228"/>
      <c r="R210" s="227"/>
      <c r="S210" s="322">
        <v>163.80999800000001</v>
      </c>
      <c r="T210" s="228">
        <f t="shared" si="22"/>
        <v>3.4154066950280448E-2</v>
      </c>
      <c r="U210" s="228"/>
      <c r="V210" s="228"/>
      <c r="W210" s="228"/>
      <c r="X210" s="322">
        <v>91.699996999999996</v>
      </c>
      <c r="Y210" s="228">
        <f t="shared" si="23"/>
        <v>3.02212665942867E-2</v>
      </c>
      <c r="Z210" s="228"/>
      <c r="AA210" s="202"/>
    </row>
    <row r="211" spans="2:27" x14ac:dyDescent="0.15">
      <c r="B211" s="241">
        <v>42970</v>
      </c>
      <c r="C211" s="244"/>
      <c r="D211" s="245">
        <v>51.670261000000004</v>
      </c>
      <c r="E211" s="228">
        <f t="shared" si="18"/>
        <v>-3.3958819646329186E-3</v>
      </c>
      <c r="F211" s="228"/>
      <c r="G211" s="245">
        <v>147.88305700000001</v>
      </c>
      <c r="H211" s="228">
        <f t="shared" si="19"/>
        <v>-6.2836343324083055E-3</v>
      </c>
      <c r="J211" s="227"/>
      <c r="K211" s="245">
        <v>32.443752000000003</v>
      </c>
      <c r="L211" s="228">
        <f t="shared" si="20"/>
        <v>1.6429181152508576E-3</v>
      </c>
      <c r="M211" s="228"/>
      <c r="N211" s="227"/>
      <c r="O211" s="322">
        <v>44.02</v>
      </c>
      <c r="P211" s="228">
        <f t="shared" si="21"/>
        <v>-9.6738130557071367E-3</v>
      </c>
      <c r="Q211" s="228"/>
      <c r="R211" s="227"/>
      <c r="S211" s="322">
        <v>161.699997</v>
      </c>
      <c r="T211" s="228">
        <f t="shared" si="22"/>
        <v>-1.2880782771269028E-2</v>
      </c>
      <c r="U211" s="228"/>
      <c r="V211" s="228"/>
      <c r="W211" s="228"/>
      <c r="X211" s="322">
        <v>91.449996999999996</v>
      </c>
      <c r="Y211" s="228">
        <f t="shared" si="23"/>
        <v>-2.7262814414268366E-3</v>
      </c>
      <c r="Z211" s="228"/>
      <c r="AA211" s="202"/>
    </row>
    <row r="212" spans="2:27" x14ac:dyDescent="0.15">
      <c r="B212" s="241">
        <v>42971</v>
      </c>
      <c r="C212" s="244"/>
      <c r="D212" s="245">
        <v>51.586857000000002</v>
      </c>
      <c r="E212" s="228">
        <f t="shared" si="18"/>
        <v>-1.6141586743678715E-3</v>
      </c>
      <c r="F212" s="228"/>
      <c r="G212" s="245">
        <v>147.93128999999999</v>
      </c>
      <c r="H212" s="228">
        <f t="shared" si="19"/>
        <v>3.2615636286159599E-4</v>
      </c>
      <c r="J212" s="227"/>
      <c r="K212" s="245">
        <v>32.665484999999997</v>
      </c>
      <c r="L212" s="228">
        <f t="shared" si="20"/>
        <v>6.8343821639369473E-3</v>
      </c>
      <c r="M212" s="228"/>
      <c r="N212" s="227"/>
      <c r="O212" s="322">
        <v>43.720001000000003</v>
      </c>
      <c r="P212" s="228">
        <f t="shared" si="21"/>
        <v>-6.8150613357564893E-3</v>
      </c>
      <c r="Q212" s="228"/>
      <c r="R212" s="227"/>
      <c r="S212" s="322">
        <v>158.820007</v>
      </c>
      <c r="T212" s="228">
        <f t="shared" si="22"/>
        <v>-1.7810699155424214E-2</v>
      </c>
      <c r="U212" s="228"/>
      <c r="V212" s="228"/>
      <c r="W212" s="228"/>
      <c r="X212" s="322">
        <v>90.300003000000004</v>
      </c>
      <c r="Y212" s="228">
        <f t="shared" si="23"/>
        <v>-1.2575112495629592E-2</v>
      </c>
      <c r="Z212" s="228"/>
      <c r="AA212" s="202"/>
    </row>
    <row r="213" spans="2:27" x14ac:dyDescent="0.15">
      <c r="B213" s="241">
        <v>42972</v>
      </c>
      <c r="C213" s="244"/>
      <c r="D213" s="245">
        <v>51.735134000000002</v>
      </c>
      <c r="E213" s="228">
        <f t="shared" si="18"/>
        <v>2.8743173866940808E-3</v>
      </c>
      <c r="F213" s="228"/>
      <c r="G213" s="245">
        <v>148.67358400000001</v>
      </c>
      <c r="H213" s="228">
        <f t="shared" si="19"/>
        <v>5.0178295612781643E-3</v>
      </c>
      <c r="J213" s="227"/>
      <c r="K213" s="245">
        <v>32.683219999999999</v>
      </c>
      <c r="L213" s="228">
        <f t="shared" si="20"/>
        <v>5.4292780284770359E-4</v>
      </c>
      <c r="M213" s="228"/>
      <c r="N213" s="227"/>
      <c r="O213" s="322">
        <v>43.310001</v>
      </c>
      <c r="P213" s="228">
        <f t="shared" si="21"/>
        <v>-9.3778588888870917E-3</v>
      </c>
      <c r="Q213" s="228"/>
      <c r="R213" s="227"/>
      <c r="S213" s="322">
        <v>157.86000100000001</v>
      </c>
      <c r="T213" s="228">
        <f t="shared" si="22"/>
        <v>-6.0446162806175874E-3</v>
      </c>
      <c r="U213" s="228"/>
      <c r="V213" s="228"/>
      <c r="W213" s="228"/>
      <c r="X213" s="322">
        <v>90.480002999999996</v>
      </c>
      <c r="Y213" s="228">
        <f t="shared" si="23"/>
        <v>1.9933554155031619E-3</v>
      </c>
      <c r="Z213" s="228"/>
      <c r="AA213" s="202"/>
    </row>
    <row r="214" spans="2:27" x14ac:dyDescent="0.15">
      <c r="B214" s="241">
        <v>42975</v>
      </c>
      <c r="C214" s="244"/>
      <c r="D214" s="245">
        <v>51.725864000000001</v>
      </c>
      <c r="E214" s="228">
        <f t="shared" si="18"/>
        <v>-1.7918190759880215E-4</v>
      </c>
      <c r="F214" s="228"/>
      <c r="G214" s="245">
        <v>148.577179</v>
      </c>
      <c r="H214" s="228">
        <f t="shared" si="19"/>
        <v>-6.4843395448110908E-4</v>
      </c>
      <c r="J214" s="227"/>
      <c r="K214" s="245">
        <v>32.612267000000003</v>
      </c>
      <c r="L214" s="228">
        <f t="shared" si="20"/>
        <v>-2.1709305264290268E-3</v>
      </c>
      <c r="M214" s="228"/>
      <c r="N214" s="227"/>
      <c r="O214" s="322">
        <v>43.630001</v>
      </c>
      <c r="P214" s="228">
        <f t="shared" si="21"/>
        <v>7.388593687633449E-3</v>
      </c>
      <c r="Q214" s="228"/>
      <c r="R214" s="227"/>
      <c r="S214" s="322">
        <v>160.66999799999999</v>
      </c>
      <c r="T214" s="228">
        <f t="shared" si="22"/>
        <v>1.7800563677938808E-2</v>
      </c>
      <c r="U214" s="228"/>
      <c r="V214" s="228"/>
      <c r="W214" s="228"/>
      <c r="X214" s="322">
        <v>91.540001000000004</v>
      </c>
      <c r="Y214" s="228">
        <f t="shared" si="23"/>
        <v>1.1715273705285023E-2</v>
      </c>
      <c r="Z214" s="228"/>
      <c r="AA214" s="202"/>
    </row>
    <row r="215" spans="2:27" x14ac:dyDescent="0.15">
      <c r="B215" s="241">
        <v>42976</v>
      </c>
      <c r="C215" s="244"/>
      <c r="D215" s="245">
        <v>51.799987999999999</v>
      </c>
      <c r="E215" s="228">
        <f t="shared" si="18"/>
        <v>1.4330161792948104E-3</v>
      </c>
      <c r="F215" s="228"/>
      <c r="G215" s="245">
        <v>149.57012900000001</v>
      </c>
      <c r="H215" s="228">
        <f t="shared" si="19"/>
        <v>6.683058641192785E-3</v>
      </c>
      <c r="J215" s="227"/>
      <c r="K215" s="245">
        <v>32.709831000000001</v>
      </c>
      <c r="L215" s="228">
        <f t="shared" si="20"/>
        <v>2.9916350188106122E-3</v>
      </c>
      <c r="M215" s="228"/>
      <c r="N215" s="227"/>
      <c r="O215" s="322">
        <v>44.02</v>
      </c>
      <c r="P215" s="228">
        <f t="shared" si="21"/>
        <v>8.9387804506353419E-3</v>
      </c>
      <c r="Q215" s="228"/>
      <c r="R215" s="227"/>
      <c r="S215" s="322">
        <v>162.320007</v>
      </c>
      <c r="T215" s="228">
        <f t="shared" si="22"/>
        <v>1.0269552626744893E-2</v>
      </c>
      <c r="U215" s="228"/>
      <c r="V215" s="228"/>
      <c r="W215" s="228"/>
      <c r="X215" s="322">
        <v>92.389999000000003</v>
      </c>
      <c r="Y215" s="228">
        <f t="shared" si="23"/>
        <v>9.2855362761028459E-3</v>
      </c>
      <c r="Z215" s="228"/>
      <c r="AA215" s="202"/>
    </row>
    <row r="216" spans="2:27" x14ac:dyDescent="0.15">
      <c r="B216" s="241">
        <v>42977</v>
      </c>
      <c r="C216" s="244"/>
      <c r="D216" s="245">
        <v>52.031654000000003</v>
      </c>
      <c r="E216" s="228">
        <f t="shared" si="18"/>
        <v>4.4723176383747454E-3</v>
      </c>
      <c r="F216" s="228"/>
      <c r="G216" s="245">
        <v>149.242355</v>
      </c>
      <c r="H216" s="228">
        <f t="shared" si="19"/>
        <v>-2.1914402440610381E-3</v>
      </c>
      <c r="J216" s="227"/>
      <c r="K216" s="245">
        <v>32.754173000000002</v>
      </c>
      <c r="L216" s="228">
        <f t="shared" si="20"/>
        <v>1.3556169091792913E-3</v>
      </c>
      <c r="M216" s="228"/>
      <c r="N216" s="227"/>
      <c r="O216" s="322">
        <v>45.470001000000003</v>
      </c>
      <c r="P216" s="228">
        <f t="shared" si="21"/>
        <v>3.2939595638346253E-2</v>
      </c>
      <c r="Q216" s="228"/>
      <c r="R216" s="227"/>
      <c r="S216" s="322">
        <v>164.990005</v>
      </c>
      <c r="T216" s="228">
        <f t="shared" si="22"/>
        <v>1.6448976619376277E-2</v>
      </c>
      <c r="U216" s="228"/>
      <c r="V216" s="228"/>
      <c r="W216" s="228"/>
      <c r="X216" s="322">
        <v>93.529999000000004</v>
      </c>
      <c r="Y216" s="228">
        <f t="shared" si="23"/>
        <v>1.2338997860580125E-2</v>
      </c>
      <c r="Z216" s="228"/>
      <c r="AA216" s="202"/>
    </row>
    <row r="217" spans="2:27" x14ac:dyDescent="0.15">
      <c r="B217" s="241">
        <v>42978</v>
      </c>
      <c r="C217" s="244"/>
      <c r="D217" s="245">
        <v>52.393051</v>
      </c>
      <c r="E217" s="228">
        <f t="shared" si="18"/>
        <v>6.9457142377213898E-3</v>
      </c>
      <c r="F217" s="228"/>
      <c r="G217" s="245">
        <v>150.68841599999999</v>
      </c>
      <c r="H217" s="228">
        <f t="shared" si="19"/>
        <v>9.6893472365802147E-3</v>
      </c>
      <c r="J217" s="227"/>
      <c r="K217" s="245">
        <v>32.789658000000003</v>
      </c>
      <c r="L217" s="228">
        <f t="shared" si="20"/>
        <v>1.083373407107624E-3</v>
      </c>
      <c r="M217" s="228"/>
      <c r="N217" s="227"/>
      <c r="O217" s="322">
        <v>45.119999</v>
      </c>
      <c r="P217" s="228">
        <f t="shared" si="21"/>
        <v>-7.6974267055768264E-3</v>
      </c>
      <c r="Q217" s="228"/>
      <c r="R217" s="227"/>
      <c r="S217" s="322">
        <v>165.979996</v>
      </c>
      <c r="T217" s="228">
        <f t="shared" si="22"/>
        <v>6.0003089278044541E-3</v>
      </c>
      <c r="U217" s="228"/>
      <c r="V217" s="228"/>
      <c r="W217" s="228"/>
      <c r="X217" s="322">
        <v>93.690002000000007</v>
      </c>
      <c r="Y217" s="228">
        <f t="shared" si="23"/>
        <v>1.7107131584594981E-3</v>
      </c>
      <c r="Z217" s="228"/>
      <c r="AA217" s="202"/>
    </row>
    <row r="218" spans="2:27" x14ac:dyDescent="0.15">
      <c r="B218" s="241">
        <v>42979</v>
      </c>
      <c r="C218" s="244"/>
      <c r="D218" s="245">
        <v>52.541316999999999</v>
      </c>
      <c r="E218" s="228">
        <f t="shared" si="18"/>
        <v>2.829879099806476E-3</v>
      </c>
      <c r="F218" s="228"/>
      <c r="G218" s="245">
        <v>151.623535</v>
      </c>
      <c r="H218" s="228">
        <f t="shared" si="19"/>
        <v>6.2056462256530054E-3</v>
      </c>
      <c r="J218" s="227"/>
      <c r="K218" s="245">
        <v>33.011383000000002</v>
      </c>
      <c r="L218" s="228">
        <f t="shared" si="20"/>
        <v>6.7620406409849565E-3</v>
      </c>
      <c r="M218" s="228"/>
      <c r="N218" s="227"/>
      <c r="O218" s="322">
        <v>45.099997999999999</v>
      </c>
      <c r="P218" s="228">
        <f t="shared" si="21"/>
        <v>-4.4328458429265805E-4</v>
      </c>
      <c r="Q218" s="228"/>
      <c r="R218" s="227"/>
      <c r="S218" s="322">
        <v>166.86000100000001</v>
      </c>
      <c r="T218" s="228">
        <f t="shared" si="22"/>
        <v>5.3018738474968075E-3</v>
      </c>
      <c r="U218" s="228"/>
      <c r="V218" s="228"/>
      <c r="W218" s="228"/>
      <c r="X218" s="322">
        <v>94.080001999999993</v>
      </c>
      <c r="Y218" s="228">
        <f t="shared" si="23"/>
        <v>4.1626640161667172E-3</v>
      </c>
      <c r="Z218" s="228"/>
      <c r="AA218" s="202"/>
    </row>
    <row r="219" spans="2:27" x14ac:dyDescent="0.15">
      <c r="B219" s="241">
        <v>42983</v>
      </c>
      <c r="C219" s="244"/>
      <c r="D219" s="245">
        <v>52.124316999999998</v>
      </c>
      <c r="E219" s="228">
        <f t="shared" si="18"/>
        <v>-7.9366111055039212E-3</v>
      </c>
      <c r="F219" s="228"/>
      <c r="G219" s="245">
        <v>149.242355</v>
      </c>
      <c r="H219" s="228">
        <f t="shared" si="19"/>
        <v>-1.5704554045649965E-2</v>
      </c>
      <c r="J219" s="227"/>
      <c r="K219" s="245">
        <v>32.683219999999999</v>
      </c>
      <c r="L219" s="228">
        <f t="shared" si="20"/>
        <v>-9.9409043238207762E-3</v>
      </c>
      <c r="M219" s="228"/>
      <c r="N219" s="227"/>
      <c r="O219" s="322">
        <v>44.48</v>
      </c>
      <c r="P219" s="228">
        <f t="shared" si="21"/>
        <v>-1.3747184645108046E-2</v>
      </c>
      <c r="Q219" s="228"/>
      <c r="R219" s="227"/>
      <c r="S219" s="322">
        <v>164.10000600000001</v>
      </c>
      <c r="T219" s="228">
        <f t="shared" si="22"/>
        <v>-1.6540782592947556E-2</v>
      </c>
      <c r="U219" s="228"/>
      <c r="V219" s="228"/>
      <c r="W219" s="228"/>
      <c r="X219" s="322">
        <v>93.660004000000001</v>
      </c>
      <c r="Y219" s="228">
        <f t="shared" si="23"/>
        <v>-4.4642643608786559E-3</v>
      </c>
      <c r="Z219" s="228"/>
      <c r="AA219" s="202"/>
    </row>
    <row r="220" spans="2:27" x14ac:dyDescent="0.15">
      <c r="B220" s="241">
        <v>42984</v>
      </c>
      <c r="C220" s="244"/>
      <c r="D220" s="245">
        <v>52.281844999999997</v>
      </c>
      <c r="E220" s="228">
        <f t="shared" si="18"/>
        <v>3.0221595037878135E-3</v>
      </c>
      <c r="F220" s="228"/>
      <c r="G220" s="245">
        <v>150.852295</v>
      </c>
      <c r="H220" s="228">
        <f t="shared" si="19"/>
        <v>1.078742023335133E-2</v>
      </c>
      <c r="J220" s="227"/>
      <c r="K220" s="245">
        <v>33.055737000000001</v>
      </c>
      <c r="L220" s="228">
        <f t="shared" si="20"/>
        <v>1.1397805968934582E-2</v>
      </c>
      <c r="M220" s="228"/>
      <c r="N220" s="227"/>
      <c r="O220" s="322">
        <v>44.73</v>
      </c>
      <c r="P220" s="228">
        <f t="shared" si="21"/>
        <v>5.620503597122406E-3</v>
      </c>
      <c r="Q220" s="228"/>
      <c r="R220" s="227"/>
      <c r="S220" s="322">
        <v>165.009995</v>
      </c>
      <c r="T220" s="228">
        <f t="shared" si="22"/>
        <v>5.5453319118099476E-3</v>
      </c>
      <c r="U220" s="228"/>
      <c r="V220" s="228"/>
      <c r="W220" s="228"/>
      <c r="X220" s="322">
        <v>94.5</v>
      </c>
      <c r="Y220" s="228">
        <f t="shared" si="23"/>
        <v>8.9685667747783082E-3</v>
      </c>
      <c r="Z220" s="228"/>
      <c r="AA220" s="202"/>
    </row>
    <row r="221" spans="2:27" x14ac:dyDescent="0.15">
      <c r="B221" s="241">
        <v>42985</v>
      </c>
      <c r="C221" s="244"/>
      <c r="D221" s="245">
        <v>52.216983999999997</v>
      </c>
      <c r="E221" s="228">
        <f t="shared" si="18"/>
        <v>-1.2406027369539219E-3</v>
      </c>
      <c r="F221" s="228"/>
      <c r="G221" s="245">
        <v>155.07476800000001</v>
      </c>
      <c r="H221" s="228">
        <f t="shared" si="19"/>
        <v>2.7990777336201589E-2</v>
      </c>
      <c r="J221" s="227"/>
      <c r="K221" s="245">
        <v>33.295200000000001</v>
      </c>
      <c r="L221" s="228">
        <f t="shared" si="20"/>
        <v>7.2442190594630418E-3</v>
      </c>
      <c r="M221" s="228"/>
      <c r="N221" s="227"/>
      <c r="O221" s="322">
        <v>45.220001000000003</v>
      </c>
      <c r="P221" s="228">
        <f t="shared" si="21"/>
        <v>1.0954638944779882E-2</v>
      </c>
      <c r="Q221" s="228"/>
      <c r="R221" s="227"/>
      <c r="S221" s="322">
        <v>168.58999600000001</v>
      </c>
      <c r="T221" s="228">
        <f t="shared" si="22"/>
        <v>2.1695661526442755E-2</v>
      </c>
      <c r="U221" s="228"/>
      <c r="V221" s="228"/>
      <c r="W221" s="228"/>
      <c r="X221" s="322">
        <v>95.32</v>
      </c>
      <c r="Y221" s="228">
        <f t="shared" si="23"/>
        <v>8.6772486772486168E-3</v>
      </c>
      <c r="Z221" s="228"/>
      <c r="AA221" s="202"/>
    </row>
    <row r="222" spans="2:27" x14ac:dyDescent="0.15">
      <c r="B222" s="241">
        <v>42986</v>
      </c>
      <c r="C222" s="244"/>
      <c r="D222" s="245">
        <v>52.170653999999999</v>
      </c>
      <c r="E222" s="228">
        <f t="shared" si="18"/>
        <v>-8.8725921052812406E-4</v>
      </c>
      <c r="F222" s="228"/>
      <c r="G222" s="245">
        <v>153.97576900000001</v>
      </c>
      <c r="H222" s="228">
        <f t="shared" si="19"/>
        <v>-7.0868975925212352E-3</v>
      </c>
      <c r="J222" s="227"/>
      <c r="K222" s="245">
        <v>33.259726999999998</v>
      </c>
      <c r="L222" s="228">
        <f t="shared" si="20"/>
        <v>-1.0654088276990104E-3</v>
      </c>
      <c r="M222" s="228"/>
      <c r="N222" s="227"/>
      <c r="O222" s="322">
        <v>44.349997999999999</v>
      </c>
      <c r="P222" s="228">
        <f t="shared" si="21"/>
        <v>-1.923934057409693E-2</v>
      </c>
      <c r="Q222" s="228"/>
      <c r="R222" s="227"/>
      <c r="S222" s="322">
        <v>165.75</v>
      </c>
      <c r="T222" s="228">
        <f t="shared" si="22"/>
        <v>-1.6845578429220742E-2</v>
      </c>
      <c r="U222" s="228"/>
      <c r="V222" s="228"/>
      <c r="W222" s="228"/>
      <c r="X222" s="322">
        <v>94.349997999999999</v>
      </c>
      <c r="Y222" s="228">
        <f t="shared" si="23"/>
        <v>-1.0176269408308736E-2</v>
      </c>
      <c r="Z222" s="228"/>
      <c r="AA222" s="202"/>
    </row>
    <row r="223" spans="2:27" x14ac:dyDescent="0.15">
      <c r="B223" s="241">
        <v>42989</v>
      </c>
      <c r="C223" s="244"/>
      <c r="D223" s="245">
        <v>52.754452000000001</v>
      </c>
      <c r="E223" s="228">
        <f t="shared" si="18"/>
        <v>1.1190160660052406E-2</v>
      </c>
      <c r="F223" s="228"/>
      <c r="G223" s="245">
        <v>156.92572000000001</v>
      </c>
      <c r="H223" s="228">
        <f t="shared" si="19"/>
        <v>1.9158540458401596E-2</v>
      </c>
      <c r="J223" s="227"/>
      <c r="K223" s="245">
        <v>33.561275000000002</v>
      </c>
      <c r="L223" s="228">
        <f t="shared" si="20"/>
        <v>9.0664604673393878E-3</v>
      </c>
      <c r="M223" s="228"/>
      <c r="N223" s="227"/>
      <c r="O223" s="322">
        <v>45.580002</v>
      </c>
      <c r="P223" s="228">
        <f t="shared" si="21"/>
        <v>2.77340260533947E-2</v>
      </c>
      <c r="Q223" s="228"/>
      <c r="R223" s="227"/>
      <c r="S223" s="322">
        <v>169.96000699999999</v>
      </c>
      <c r="T223" s="228">
        <f t="shared" si="22"/>
        <v>2.5399740573152307E-2</v>
      </c>
      <c r="U223" s="228"/>
      <c r="V223" s="228"/>
      <c r="W223" s="228"/>
      <c r="X223" s="322">
        <v>97.169998000000007</v>
      </c>
      <c r="Y223" s="228">
        <f t="shared" si="23"/>
        <v>2.9888712875224543E-2</v>
      </c>
      <c r="Z223" s="228"/>
      <c r="AA223" s="202"/>
    </row>
    <row r="224" spans="2:27" x14ac:dyDescent="0.15">
      <c r="B224" s="241">
        <v>42990</v>
      </c>
      <c r="C224" s="244"/>
      <c r="D224" s="245">
        <v>52.967579000000001</v>
      </c>
      <c r="E224" s="228">
        <f t="shared" si="18"/>
        <v>4.0399813081177793E-3</v>
      </c>
      <c r="F224" s="228"/>
      <c r="G224" s="245">
        <v>155.54716500000001</v>
      </c>
      <c r="H224" s="228">
        <f t="shared" si="19"/>
        <v>-8.7847613507843203E-3</v>
      </c>
      <c r="J224" s="227"/>
      <c r="K224" s="245">
        <v>33.579017999999998</v>
      </c>
      <c r="L224" s="228">
        <f t="shared" si="20"/>
        <v>5.2867478961982073E-4</v>
      </c>
      <c r="M224" s="228"/>
      <c r="N224" s="227"/>
      <c r="O224" s="322">
        <v>45.650002000000001</v>
      </c>
      <c r="P224" s="228">
        <f t="shared" si="21"/>
        <v>1.5357612314277347E-3</v>
      </c>
      <c r="Q224" s="228"/>
      <c r="R224" s="227"/>
      <c r="S224" s="322">
        <v>171.66999799999999</v>
      </c>
      <c r="T224" s="228">
        <f t="shared" si="22"/>
        <v>1.0061137500423811E-2</v>
      </c>
      <c r="U224" s="228"/>
      <c r="V224" s="228"/>
      <c r="W224" s="228"/>
      <c r="X224" s="322">
        <v>97.949996999999996</v>
      </c>
      <c r="Y224" s="228">
        <f t="shared" si="23"/>
        <v>8.0271587532603217E-3</v>
      </c>
      <c r="Z224" s="228"/>
      <c r="AA224" s="202"/>
    </row>
    <row r="225" spans="2:27" x14ac:dyDescent="0.15">
      <c r="B225" s="241">
        <v>42991</v>
      </c>
      <c r="C225" s="244"/>
      <c r="D225" s="245">
        <v>53.013905000000001</v>
      </c>
      <c r="E225" s="228">
        <f t="shared" si="18"/>
        <v>8.7461048578418854E-4</v>
      </c>
      <c r="F225" s="228"/>
      <c r="G225" s="245">
        <v>154.31320199999999</v>
      </c>
      <c r="H225" s="228">
        <f t="shared" si="19"/>
        <v>-7.933047188613318E-3</v>
      </c>
      <c r="J225" s="227"/>
      <c r="K225" s="245">
        <v>33.286327</v>
      </c>
      <c r="L225" s="228">
        <f t="shared" si="20"/>
        <v>-8.7164848001212158E-3</v>
      </c>
      <c r="M225" s="228"/>
      <c r="N225" s="227"/>
      <c r="O225" s="322">
        <v>46.119999</v>
      </c>
      <c r="P225" s="228">
        <f t="shared" si="21"/>
        <v>1.0295662199532929E-2</v>
      </c>
      <c r="Q225" s="228"/>
      <c r="R225" s="227"/>
      <c r="S225" s="322">
        <v>171.520004</v>
      </c>
      <c r="T225" s="228">
        <f t="shared" si="22"/>
        <v>-8.7373450077155024E-4</v>
      </c>
      <c r="U225" s="228"/>
      <c r="V225" s="228"/>
      <c r="W225" s="228"/>
      <c r="X225" s="322">
        <v>96.739998</v>
      </c>
      <c r="Y225" s="228">
        <f t="shared" si="23"/>
        <v>-1.235323161878199E-2</v>
      </c>
      <c r="Z225" s="228"/>
      <c r="AA225" s="202"/>
    </row>
    <row r="226" spans="2:27" x14ac:dyDescent="0.15">
      <c r="B226" s="241">
        <v>42992</v>
      </c>
      <c r="C226" s="244"/>
      <c r="D226" s="245">
        <v>52.949043000000003</v>
      </c>
      <c r="E226" s="228">
        <f t="shared" si="18"/>
        <v>-1.2234903276790998E-3</v>
      </c>
      <c r="F226" s="228"/>
      <c r="G226" s="245">
        <v>155.624268</v>
      </c>
      <c r="H226" s="228">
        <f t="shared" si="19"/>
        <v>8.4961363189133277E-3</v>
      </c>
      <c r="J226" s="227"/>
      <c r="K226" s="245">
        <v>33.153294000000002</v>
      </c>
      <c r="L226" s="228">
        <f t="shared" si="20"/>
        <v>-3.9966260020216637E-3</v>
      </c>
      <c r="M226" s="228"/>
      <c r="N226" s="227"/>
      <c r="O226" s="322">
        <v>47.049999</v>
      </c>
      <c r="P226" s="228">
        <f t="shared" si="21"/>
        <v>2.0164787948065754E-2</v>
      </c>
      <c r="Q226" s="228"/>
      <c r="R226" s="227"/>
      <c r="S226" s="322">
        <v>172.58000200000001</v>
      </c>
      <c r="T226" s="228">
        <f t="shared" si="22"/>
        <v>6.1800255088613198E-3</v>
      </c>
      <c r="U226" s="228"/>
      <c r="V226" s="228"/>
      <c r="W226" s="228"/>
      <c r="X226" s="322">
        <v>97.459998999999996</v>
      </c>
      <c r="Y226" s="228">
        <f t="shared" si="23"/>
        <v>7.4426402200256092E-3</v>
      </c>
      <c r="Z226" s="228"/>
      <c r="AA226" s="202"/>
    </row>
    <row r="227" spans="2:27" x14ac:dyDescent="0.15">
      <c r="B227" s="241">
        <v>42993</v>
      </c>
      <c r="C227" s="244"/>
      <c r="D227" s="245">
        <v>53.050975999999999</v>
      </c>
      <c r="E227" s="228">
        <f t="shared" si="18"/>
        <v>1.9251150582644261E-3</v>
      </c>
      <c r="F227" s="228"/>
      <c r="G227" s="245">
        <v>156.569031</v>
      </c>
      <c r="H227" s="228">
        <f t="shared" si="19"/>
        <v>6.0707948197384898E-3</v>
      </c>
      <c r="J227" s="227"/>
      <c r="K227" s="245">
        <v>33.392764999999997</v>
      </c>
      <c r="L227" s="228">
        <f t="shared" si="20"/>
        <v>7.2231434981995246E-3</v>
      </c>
      <c r="M227" s="228"/>
      <c r="N227" s="227"/>
      <c r="O227" s="322">
        <v>47.139999000000003</v>
      </c>
      <c r="P227" s="228">
        <f t="shared" si="21"/>
        <v>1.9128587016548071E-3</v>
      </c>
      <c r="Q227" s="228"/>
      <c r="R227" s="227"/>
      <c r="S227" s="322">
        <v>172.990005</v>
      </c>
      <c r="T227" s="228">
        <f t="shared" si="22"/>
        <v>2.3757271714481831E-3</v>
      </c>
      <c r="U227" s="228"/>
      <c r="V227" s="228"/>
      <c r="W227" s="228"/>
      <c r="X227" s="322">
        <v>98.639999000000003</v>
      </c>
      <c r="Y227" s="228">
        <f t="shared" si="23"/>
        <v>1.210753141912102E-2</v>
      </c>
      <c r="Z227" s="228"/>
      <c r="AA227" s="202"/>
    </row>
    <row r="228" spans="2:27" x14ac:dyDescent="0.15">
      <c r="B228" s="241">
        <v>42996</v>
      </c>
      <c r="C228" s="244"/>
      <c r="D228" s="245">
        <v>53.227043000000002</v>
      </c>
      <c r="E228" s="228">
        <f t="shared" si="18"/>
        <v>3.3188267827533036E-3</v>
      </c>
      <c r="F228" s="228"/>
      <c r="G228" s="245">
        <v>160.98431400000001</v>
      </c>
      <c r="H228" s="228">
        <f t="shared" si="19"/>
        <v>2.8200232011399651E-2</v>
      </c>
      <c r="J228" s="227"/>
      <c r="K228" s="245">
        <v>33.765278000000002</v>
      </c>
      <c r="L228" s="228">
        <f t="shared" si="20"/>
        <v>1.1155500300738863E-2</v>
      </c>
      <c r="M228" s="228"/>
      <c r="N228" s="227"/>
      <c r="O228" s="322">
        <v>48.049999</v>
      </c>
      <c r="P228" s="228">
        <f t="shared" si="21"/>
        <v>1.9304200664068683E-2</v>
      </c>
      <c r="Q228" s="228"/>
      <c r="R228" s="227"/>
      <c r="S228" s="322">
        <v>177.30999800000001</v>
      </c>
      <c r="T228" s="228">
        <f t="shared" si="22"/>
        <v>2.4972500578863022E-2</v>
      </c>
      <c r="U228" s="228"/>
      <c r="V228" s="228"/>
      <c r="W228" s="228"/>
      <c r="X228" s="322">
        <v>100.910004</v>
      </c>
      <c r="Y228" s="228">
        <f t="shared" si="23"/>
        <v>2.3013027402808417E-2</v>
      </c>
      <c r="Z228" s="228"/>
      <c r="AA228" s="202"/>
    </row>
    <row r="229" spans="2:27" x14ac:dyDescent="0.15">
      <c r="B229" s="241">
        <v>42997</v>
      </c>
      <c r="C229" s="244"/>
      <c r="D229" s="245">
        <v>53.254840999999999</v>
      </c>
      <c r="E229" s="228">
        <f t="shared" si="18"/>
        <v>5.2225332149302695E-4</v>
      </c>
      <c r="F229" s="228"/>
      <c r="G229" s="245">
        <v>162.237549</v>
      </c>
      <c r="H229" s="228">
        <f t="shared" si="19"/>
        <v>7.7848267875340049E-3</v>
      </c>
      <c r="J229" s="227"/>
      <c r="K229" s="245">
        <v>33.969268999999997</v>
      </c>
      <c r="L229" s="228">
        <f t="shared" si="20"/>
        <v>6.041442928442553E-3</v>
      </c>
      <c r="M229" s="228"/>
      <c r="N229" s="227"/>
      <c r="O229" s="322">
        <v>48.259998000000003</v>
      </c>
      <c r="P229" s="228">
        <f t="shared" si="21"/>
        <v>4.3704267298736443E-3</v>
      </c>
      <c r="Q229" s="228"/>
      <c r="R229" s="227"/>
      <c r="S229" s="322">
        <v>177.11999499999999</v>
      </c>
      <c r="T229" s="228">
        <f t="shared" si="22"/>
        <v>-1.071586499031052E-3</v>
      </c>
      <c r="U229" s="228"/>
      <c r="V229" s="228"/>
      <c r="W229" s="228"/>
      <c r="X229" s="322">
        <v>102.010002</v>
      </c>
      <c r="Y229" s="228">
        <f t="shared" si="23"/>
        <v>1.0900782443730828E-2</v>
      </c>
      <c r="Z229" s="228"/>
      <c r="AA229" s="202"/>
    </row>
    <row r="230" spans="2:27" x14ac:dyDescent="0.15">
      <c r="B230" s="241">
        <v>42998</v>
      </c>
      <c r="C230" s="244"/>
      <c r="D230" s="245">
        <v>53.319713999999998</v>
      </c>
      <c r="E230" s="228">
        <f t="shared" si="18"/>
        <v>1.2181615564301751E-3</v>
      </c>
      <c r="F230" s="228"/>
      <c r="G230" s="245">
        <v>159.24906899999999</v>
      </c>
      <c r="H230" s="228">
        <f t="shared" si="19"/>
        <v>-1.842039662470496E-2</v>
      </c>
      <c r="J230" s="227"/>
      <c r="K230" s="245">
        <v>33.543545000000002</v>
      </c>
      <c r="L230" s="228">
        <f t="shared" si="20"/>
        <v>-1.2532621764689611E-2</v>
      </c>
      <c r="M230" s="228"/>
      <c r="N230" s="227"/>
      <c r="O230" s="322">
        <v>47.279998999999997</v>
      </c>
      <c r="P230" s="228">
        <f t="shared" si="21"/>
        <v>-2.0306652312749973E-2</v>
      </c>
      <c r="Q230" s="228"/>
      <c r="R230" s="227"/>
      <c r="S230" s="322">
        <v>173.020004</v>
      </c>
      <c r="T230" s="228">
        <f t="shared" si="22"/>
        <v>-2.314809798859796E-2</v>
      </c>
      <c r="U230" s="228"/>
      <c r="V230" s="228"/>
      <c r="W230" s="228"/>
      <c r="X230" s="322">
        <v>99.660004000000001</v>
      </c>
      <c r="Y230" s="228">
        <f t="shared" si="23"/>
        <v>-2.3036937103481314E-2</v>
      </c>
      <c r="Z230" s="228"/>
      <c r="AA230" s="202"/>
    </row>
    <row r="231" spans="2:27" x14ac:dyDescent="0.15">
      <c r="B231" s="241">
        <v>42999</v>
      </c>
      <c r="C231" s="244"/>
      <c r="D231" s="245">
        <v>53.180701999999997</v>
      </c>
      <c r="E231" s="228">
        <f t="shared" si="18"/>
        <v>-2.6071407659838952E-3</v>
      </c>
      <c r="F231" s="228"/>
      <c r="G231" s="245">
        <v>159.808212</v>
      </c>
      <c r="H231" s="228">
        <f t="shared" si="19"/>
        <v>3.5111225673789548E-3</v>
      </c>
      <c r="J231" s="227"/>
      <c r="K231" s="245">
        <v>33.916046000000001</v>
      </c>
      <c r="L231" s="228">
        <f t="shared" si="20"/>
        <v>1.1104997995888599E-2</v>
      </c>
      <c r="M231" s="228"/>
      <c r="N231" s="227"/>
      <c r="O231" s="322">
        <v>47.150002000000001</v>
      </c>
      <c r="P231" s="228">
        <f t="shared" si="21"/>
        <v>-2.7495135945327931E-3</v>
      </c>
      <c r="Q231" s="228"/>
      <c r="R231" s="227"/>
      <c r="S231" s="322">
        <v>172.279999</v>
      </c>
      <c r="T231" s="228">
        <f t="shared" si="22"/>
        <v>-4.2769910004163414E-3</v>
      </c>
      <c r="U231" s="228"/>
      <c r="V231" s="228"/>
      <c r="W231" s="228"/>
      <c r="X231" s="322">
        <v>99.519997000000004</v>
      </c>
      <c r="Y231" s="228">
        <f t="shared" si="23"/>
        <v>-1.4048464216397383E-3</v>
      </c>
      <c r="Z231" s="228"/>
      <c r="AA231" s="202"/>
    </row>
    <row r="232" spans="2:27" x14ac:dyDescent="0.15">
      <c r="B232" s="241">
        <v>43000</v>
      </c>
      <c r="C232" s="244"/>
      <c r="D232" s="245">
        <v>53.208508000000002</v>
      </c>
      <c r="E232" s="228">
        <f t="shared" si="18"/>
        <v>5.2285883702718472E-4</v>
      </c>
      <c r="F232" s="228"/>
      <c r="G232" s="245">
        <v>159.99137899999999</v>
      </c>
      <c r="H232" s="228">
        <f t="shared" si="19"/>
        <v>1.1461676324868719E-3</v>
      </c>
      <c r="J232" s="227"/>
      <c r="K232" s="245">
        <v>33.499191000000003</v>
      </c>
      <c r="L232" s="228">
        <f t="shared" si="20"/>
        <v>-1.2290790029002685E-2</v>
      </c>
      <c r="M232" s="228"/>
      <c r="N232" s="227"/>
      <c r="O232" s="322">
        <v>47.77</v>
      </c>
      <c r="P232" s="228">
        <f t="shared" si="21"/>
        <v>1.3149479823988175E-2</v>
      </c>
      <c r="Q232" s="228"/>
      <c r="R232" s="227"/>
      <c r="S232" s="322">
        <v>176.729996</v>
      </c>
      <c r="T232" s="228">
        <f t="shared" si="22"/>
        <v>2.5830026850650167E-2</v>
      </c>
      <c r="U232" s="228"/>
      <c r="V232" s="228"/>
      <c r="W232" s="228"/>
      <c r="X232" s="322">
        <v>100.589996</v>
      </c>
      <c r="Y232" s="228">
        <f t="shared" si="23"/>
        <v>1.0751597992913808E-2</v>
      </c>
      <c r="Z232" s="228"/>
      <c r="AA232" s="202"/>
    </row>
    <row r="233" spans="2:27" x14ac:dyDescent="0.15">
      <c r="B233" s="241">
        <v>43003</v>
      </c>
      <c r="C233" s="244"/>
      <c r="D233" s="245">
        <v>53.143639</v>
      </c>
      <c r="E233" s="228">
        <f t="shared" si="18"/>
        <v>-1.2191471333869996E-3</v>
      </c>
      <c r="F233" s="228"/>
      <c r="G233" s="245">
        <v>156.18341100000001</v>
      </c>
      <c r="H233" s="228">
        <f t="shared" si="19"/>
        <v>-2.3801082432072684E-2</v>
      </c>
      <c r="J233" s="227"/>
      <c r="K233" s="245">
        <v>32.878345000000003</v>
      </c>
      <c r="L233" s="228">
        <f t="shared" si="20"/>
        <v>-1.8533163979989831E-2</v>
      </c>
      <c r="M233" s="228"/>
      <c r="N233" s="227"/>
      <c r="O233" s="322">
        <v>46.330002</v>
      </c>
      <c r="P233" s="228">
        <f t="shared" si="21"/>
        <v>-3.0144400251203796E-2</v>
      </c>
      <c r="Q233" s="228"/>
      <c r="R233" s="227"/>
      <c r="S233" s="322">
        <v>170.16999799999999</v>
      </c>
      <c r="T233" s="228">
        <f t="shared" si="22"/>
        <v>-3.711875826670652E-2</v>
      </c>
      <c r="U233" s="228"/>
      <c r="V233" s="228"/>
      <c r="W233" s="228"/>
      <c r="X233" s="322">
        <v>99.010002</v>
      </c>
      <c r="Y233" s="228">
        <f t="shared" si="23"/>
        <v>-1.5707267748574116E-2</v>
      </c>
      <c r="Z233" s="228"/>
      <c r="AA233" s="202"/>
    </row>
    <row r="234" spans="2:27" x14ac:dyDescent="0.15">
      <c r="B234" s="241">
        <v>43004</v>
      </c>
      <c r="C234" s="244"/>
      <c r="D234" s="245">
        <v>53.159461999999998</v>
      </c>
      <c r="E234" s="228">
        <f t="shared" si="18"/>
        <v>2.9774024319251247E-4</v>
      </c>
      <c r="F234" s="228"/>
      <c r="G234" s="245">
        <v>157.00285299999999</v>
      </c>
      <c r="H234" s="228">
        <f t="shared" si="19"/>
        <v>5.2466647690259105E-3</v>
      </c>
      <c r="J234" s="227"/>
      <c r="K234" s="245">
        <v>32.940434000000003</v>
      </c>
      <c r="L234" s="228">
        <f t="shared" si="20"/>
        <v>1.8884466356199336E-3</v>
      </c>
      <c r="M234" s="228"/>
      <c r="N234" s="227"/>
      <c r="O234" s="322">
        <v>45.919998</v>
      </c>
      <c r="P234" s="228">
        <f t="shared" si="21"/>
        <v>-8.8496434772439292E-3</v>
      </c>
      <c r="Q234" s="228"/>
      <c r="R234" s="227"/>
      <c r="S234" s="322">
        <v>169.44000199999999</v>
      </c>
      <c r="T234" s="228">
        <f t="shared" si="22"/>
        <v>-4.2898043637515926E-3</v>
      </c>
      <c r="U234" s="228"/>
      <c r="V234" s="228"/>
      <c r="W234" s="228"/>
      <c r="X234" s="322">
        <v>99.169998000000007</v>
      </c>
      <c r="Y234" s="228">
        <f t="shared" si="23"/>
        <v>1.6159579513996825E-3</v>
      </c>
      <c r="Z234" s="228"/>
      <c r="AA234" s="202"/>
    </row>
    <row r="235" spans="2:27" x14ac:dyDescent="0.15">
      <c r="B235" s="241">
        <v>43005</v>
      </c>
      <c r="C235" s="244"/>
      <c r="D235" s="245">
        <v>53.438769999999998</v>
      </c>
      <c r="E235" s="228">
        <f t="shared" si="18"/>
        <v>5.2541540017843058E-3</v>
      </c>
      <c r="F235" s="228"/>
      <c r="G235" s="245">
        <v>160.93611100000001</v>
      </c>
      <c r="H235" s="228">
        <f t="shared" si="19"/>
        <v>2.5052143479201705E-2</v>
      </c>
      <c r="J235" s="227"/>
      <c r="K235" s="245">
        <v>33.037990999999998</v>
      </c>
      <c r="L235" s="228">
        <f t="shared" si="20"/>
        <v>2.9616185384806482E-3</v>
      </c>
      <c r="M235" s="228"/>
      <c r="N235" s="227"/>
      <c r="O235" s="322">
        <v>48.84</v>
      </c>
      <c r="P235" s="228">
        <f t="shared" si="21"/>
        <v>6.3588896497774217E-2</v>
      </c>
      <c r="Q235" s="228"/>
      <c r="R235" s="227"/>
      <c r="S235" s="322">
        <v>179.38999899999999</v>
      </c>
      <c r="T235" s="228">
        <f t="shared" si="22"/>
        <v>5.8722833348408443E-2</v>
      </c>
      <c r="U235" s="228"/>
      <c r="V235" s="228"/>
      <c r="W235" s="228"/>
      <c r="X235" s="322">
        <v>104.16999800000001</v>
      </c>
      <c r="Y235" s="228">
        <f t="shared" si="23"/>
        <v>5.0418474345436559E-2</v>
      </c>
      <c r="Z235" s="228"/>
      <c r="AA235" s="202"/>
    </row>
    <row r="236" spans="2:27" x14ac:dyDescent="0.15">
      <c r="B236" s="241">
        <v>43006</v>
      </c>
      <c r="C236" s="244"/>
      <c r="D236" s="245">
        <v>53.503933000000004</v>
      </c>
      <c r="E236" s="228">
        <f t="shared" si="18"/>
        <v>1.2193955811483637E-3</v>
      </c>
      <c r="F236" s="228"/>
      <c r="G236" s="245">
        <v>164.35844399999999</v>
      </c>
      <c r="H236" s="228">
        <f t="shared" si="19"/>
        <v>2.1265165280401011E-2</v>
      </c>
      <c r="J236" s="227"/>
      <c r="K236" s="245">
        <v>32.860610999999999</v>
      </c>
      <c r="L236" s="228">
        <f t="shared" si="20"/>
        <v>-5.3689705285046019E-3</v>
      </c>
      <c r="M236" s="228"/>
      <c r="N236" s="227"/>
      <c r="O236" s="322">
        <v>50.619999</v>
      </c>
      <c r="P236" s="228">
        <f t="shared" si="21"/>
        <v>3.6445515970515929E-2</v>
      </c>
      <c r="Q236" s="228"/>
      <c r="R236" s="227"/>
      <c r="S236" s="322">
        <v>181.820007</v>
      </c>
      <c r="T236" s="228">
        <f t="shared" si="22"/>
        <v>1.3545950239957527E-2</v>
      </c>
      <c r="U236" s="228"/>
      <c r="V236" s="228"/>
      <c r="W236" s="228"/>
      <c r="X236" s="322">
        <v>104.91999800000001</v>
      </c>
      <c r="Y236" s="228">
        <f t="shared" si="23"/>
        <v>7.1997697456036569E-3</v>
      </c>
      <c r="Z236" s="228"/>
      <c r="AA236" s="202"/>
    </row>
    <row r="237" spans="2:27" x14ac:dyDescent="0.15">
      <c r="B237" s="241">
        <v>43007</v>
      </c>
      <c r="C237" s="244"/>
      <c r="D237" s="245">
        <v>53.652889000000002</v>
      </c>
      <c r="E237" s="228">
        <f t="shared" si="18"/>
        <v>2.7840196345938484E-3</v>
      </c>
      <c r="F237" s="228"/>
      <c r="G237" s="245">
        <v>165.04290800000001</v>
      </c>
      <c r="H237" s="228">
        <f t="shared" si="19"/>
        <v>4.1644589918363728E-3</v>
      </c>
      <c r="J237" s="227"/>
      <c r="K237" s="245">
        <v>33.304070000000003</v>
      </c>
      <c r="L237" s="228">
        <f t="shared" si="20"/>
        <v>1.3495153818047001E-2</v>
      </c>
      <c r="M237" s="228"/>
      <c r="N237" s="227"/>
      <c r="O237" s="322">
        <v>52.09</v>
      </c>
      <c r="P237" s="228">
        <f t="shared" si="21"/>
        <v>2.9039925504542152E-2</v>
      </c>
      <c r="Q237" s="228"/>
      <c r="R237" s="227"/>
      <c r="S237" s="322">
        <v>185.03999300000001</v>
      </c>
      <c r="T237" s="228">
        <f t="shared" si="22"/>
        <v>1.7709745220722661E-2</v>
      </c>
      <c r="U237" s="228"/>
      <c r="V237" s="228"/>
      <c r="W237" s="228"/>
      <c r="X237" s="322">
        <v>106</v>
      </c>
      <c r="Y237" s="228">
        <f t="shared" si="23"/>
        <v>1.0293576254166492E-2</v>
      </c>
      <c r="Z237" s="228"/>
      <c r="AA237" s="202"/>
    </row>
    <row r="238" spans="2:27" x14ac:dyDescent="0.15">
      <c r="B238" s="241">
        <v>43010</v>
      </c>
      <c r="C238" s="244"/>
      <c r="D238" s="245">
        <v>53.988048999999997</v>
      </c>
      <c r="E238" s="228">
        <f t="shared" si="18"/>
        <v>6.2468211171256005E-3</v>
      </c>
      <c r="F238" s="228"/>
      <c r="G238" s="245">
        <v>164.56088299999999</v>
      </c>
      <c r="H238" s="228">
        <f t="shared" si="19"/>
        <v>-2.9206041376829139E-3</v>
      </c>
      <c r="J238" s="227"/>
      <c r="K238" s="245">
        <v>33.818489</v>
      </c>
      <c r="L238" s="228">
        <f t="shared" si="20"/>
        <v>1.5446130157665383E-2</v>
      </c>
      <c r="M238" s="228"/>
      <c r="N238" s="227"/>
      <c r="O238" s="322">
        <v>52.080002</v>
      </c>
      <c r="P238" s="228">
        <f t="shared" si="21"/>
        <v>-1.9193703205999668E-4</v>
      </c>
      <c r="Q238" s="228"/>
      <c r="R238" s="227"/>
      <c r="S238" s="322">
        <v>185.949997</v>
      </c>
      <c r="T238" s="228">
        <f t="shared" si="22"/>
        <v>4.9178774017786253E-3</v>
      </c>
      <c r="U238" s="228"/>
      <c r="V238" s="228"/>
      <c r="W238" s="228"/>
      <c r="X238" s="322">
        <v>104.949997</v>
      </c>
      <c r="Y238" s="228">
        <f t="shared" si="23"/>
        <v>-9.9056886792453502E-3</v>
      </c>
      <c r="Z238" s="228"/>
      <c r="AA238" s="202"/>
    </row>
    <row r="239" spans="2:27" x14ac:dyDescent="0.15">
      <c r="B239" s="241">
        <v>43011</v>
      </c>
      <c r="C239" s="244"/>
      <c r="D239" s="245">
        <v>54.099761999999998</v>
      </c>
      <c r="E239" s="228">
        <f t="shared" si="18"/>
        <v>2.0692172076823834E-3</v>
      </c>
      <c r="F239" s="228"/>
      <c r="G239" s="245">
        <v>164.32952900000001</v>
      </c>
      <c r="H239" s="228">
        <f t="shared" si="19"/>
        <v>-1.4058869628208459E-3</v>
      </c>
      <c r="J239" s="227"/>
      <c r="K239" s="245">
        <v>34.093432999999997</v>
      </c>
      <c r="L239" s="228">
        <f t="shared" si="20"/>
        <v>8.1299906687137824E-3</v>
      </c>
      <c r="M239" s="228"/>
      <c r="N239" s="227"/>
      <c r="O239" s="322">
        <v>51.84</v>
      </c>
      <c r="P239" s="228">
        <f t="shared" si="21"/>
        <v>-4.6083331563619989E-3</v>
      </c>
      <c r="Q239" s="228"/>
      <c r="R239" s="227"/>
      <c r="S239" s="322">
        <v>184.86999499999999</v>
      </c>
      <c r="T239" s="228">
        <f t="shared" si="22"/>
        <v>-5.8080237559778869E-3</v>
      </c>
      <c r="U239" s="228"/>
      <c r="V239" s="228"/>
      <c r="W239" s="228"/>
      <c r="X239" s="322">
        <v>102.839996</v>
      </c>
      <c r="Y239" s="228">
        <f t="shared" si="23"/>
        <v>-2.0104821918194071E-2</v>
      </c>
      <c r="Z239" s="228"/>
      <c r="AA239" s="202"/>
    </row>
    <row r="240" spans="2:27" x14ac:dyDescent="0.15">
      <c r="B240" s="241">
        <v>43012</v>
      </c>
      <c r="C240" s="244"/>
      <c r="D240" s="245">
        <v>54.127693000000001</v>
      </c>
      <c r="E240" s="228">
        <f t="shared" si="18"/>
        <v>5.1628692932137454E-4</v>
      </c>
      <c r="F240" s="228"/>
      <c r="G240" s="245">
        <v>165.033264</v>
      </c>
      <c r="H240" s="228">
        <f t="shared" si="19"/>
        <v>4.2824622225989817E-3</v>
      </c>
      <c r="J240" s="227"/>
      <c r="K240" s="245">
        <v>33.942656999999997</v>
      </c>
      <c r="L240" s="228">
        <f t="shared" si="20"/>
        <v>-4.4224352531468947E-3</v>
      </c>
      <c r="M240" s="228"/>
      <c r="N240" s="227"/>
      <c r="O240" s="322">
        <v>51.599997999999999</v>
      </c>
      <c r="P240" s="228">
        <f t="shared" si="21"/>
        <v>-4.6296682098766473E-3</v>
      </c>
      <c r="Q240" s="228"/>
      <c r="R240" s="227"/>
      <c r="S240" s="322">
        <v>185.020004</v>
      </c>
      <c r="T240" s="228">
        <f t="shared" si="22"/>
        <v>8.1142967521596887E-4</v>
      </c>
      <c r="U240" s="228"/>
      <c r="V240" s="228"/>
      <c r="W240" s="228"/>
      <c r="X240" s="322">
        <v>103</v>
      </c>
      <c r="Y240" s="228">
        <f t="shared" si="23"/>
        <v>1.5558538139188727E-3</v>
      </c>
      <c r="Z240" s="228"/>
      <c r="AA240" s="202"/>
    </row>
    <row r="241" spans="2:27" x14ac:dyDescent="0.15">
      <c r="B241" s="241">
        <v>43013</v>
      </c>
      <c r="C241" s="244"/>
      <c r="D241" s="245">
        <v>54.434921000000003</v>
      </c>
      <c r="E241" s="228">
        <f t="shared" si="18"/>
        <v>5.6759854886112571E-3</v>
      </c>
      <c r="F241" s="228"/>
      <c r="G241" s="245">
        <v>162.459305</v>
      </c>
      <c r="H241" s="228">
        <f t="shared" si="19"/>
        <v>-1.5596607239132143E-2</v>
      </c>
      <c r="J241" s="227"/>
      <c r="K241" s="245">
        <v>34.111164000000002</v>
      </c>
      <c r="L241" s="228">
        <f t="shared" si="20"/>
        <v>4.9644610909513887E-3</v>
      </c>
      <c r="M241" s="228"/>
      <c r="N241" s="227"/>
      <c r="O241" s="322">
        <v>51.43</v>
      </c>
      <c r="P241" s="228">
        <f t="shared" si="21"/>
        <v>-3.2945350114160776E-3</v>
      </c>
      <c r="Q241" s="228"/>
      <c r="R241" s="227"/>
      <c r="S241" s="322">
        <v>182.820007</v>
      </c>
      <c r="T241" s="228">
        <f t="shared" si="22"/>
        <v>-1.1890589949398067E-2</v>
      </c>
      <c r="U241" s="228"/>
      <c r="V241" s="228"/>
      <c r="W241" s="228"/>
      <c r="X241" s="322">
        <v>101.66999800000001</v>
      </c>
      <c r="Y241" s="228">
        <f t="shared" si="23"/>
        <v>-1.2912640776698958E-2</v>
      </c>
      <c r="Z241" s="228"/>
      <c r="AA241" s="202"/>
    </row>
    <row r="242" spans="2:27" x14ac:dyDescent="0.15">
      <c r="B242" s="241">
        <v>43014</v>
      </c>
      <c r="C242" s="244"/>
      <c r="D242" s="245">
        <v>54.379069999999999</v>
      </c>
      <c r="E242" s="228">
        <f t="shared" si="18"/>
        <v>-1.0260141646940557E-3</v>
      </c>
      <c r="F242" s="228"/>
      <c r="G242" s="245">
        <v>163.346191</v>
      </c>
      <c r="H242" s="228">
        <f t="shared" si="19"/>
        <v>5.4591271334074598E-3</v>
      </c>
      <c r="J242" s="227"/>
      <c r="K242" s="245">
        <v>34.111164000000002</v>
      </c>
      <c r="L242" s="228">
        <f t="shared" si="20"/>
        <v>0</v>
      </c>
      <c r="M242" s="228"/>
      <c r="N242" s="227"/>
      <c r="O242" s="322">
        <v>52.400002000000001</v>
      </c>
      <c r="P242" s="228">
        <f t="shared" si="21"/>
        <v>1.8860626093719635E-2</v>
      </c>
      <c r="Q242" s="228"/>
      <c r="R242" s="227"/>
      <c r="S242" s="322">
        <v>184.83000200000001</v>
      </c>
      <c r="T242" s="228">
        <f t="shared" si="22"/>
        <v>1.0994392971443334E-2</v>
      </c>
      <c r="U242" s="228"/>
      <c r="V242" s="228"/>
      <c r="W242" s="228"/>
      <c r="X242" s="322">
        <v>102.470001</v>
      </c>
      <c r="Y242" s="228">
        <f t="shared" si="23"/>
        <v>7.8686241343290941E-3</v>
      </c>
      <c r="Z242" s="228"/>
      <c r="AA242" s="202"/>
    </row>
    <row r="243" spans="2:27" x14ac:dyDescent="0.15">
      <c r="B243" s="241">
        <v>43017</v>
      </c>
      <c r="C243" s="244"/>
      <c r="D243" s="245">
        <v>54.267344999999999</v>
      </c>
      <c r="E243" s="228">
        <f t="shared" si="18"/>
        <v>-2.0545588587668195E-3</v>
      </c>
      <c r="F243" s="228"/>
      <c r="G243" s="245">
        <v>164.021027</v>
      </c>
      <c r="H243" s="228">
        <f t="shared" si="19"/>
        <v>4.1313237600992814E-3</v>
      </c>
      <c r="J243" s="227"/>
      <c r="K243" s="245">
        <v>34.386119999999998</v>
      </c>
      <c r="L243" s="228">
        <f t="shared" si="20"/>
        <v>8.0605868506860023E-3</v>
      </c>
      <c r="M243" s="228"/>
      <c r="N243" s="227"/>
      <c r="O243" s="322">
        <v>52.689999</v>
      </c>
      <c r="P243" s="228">
        <f t="shared" si="21"/>
        <v>5.5342936818971733E-3</v>
      </c>
      <c r="Q243" s="228"/>
      <c r="R243" s="227"/>
      <c r="S243" s="322">
        <v>184.66000399999999</v>
      </c>
      <c r="T243" s="228">
        <f t="shared" si="22"/>
        <v>-9.1975327685178687E-4</v>
      </c>
      <c r="U243" s="228"/>
      <c r="V243" s="228"/>
      <c r="W243" s="228"/>
      <c r="X243" s="322">
        <v>103.949997</v>
      </c>
      <c r="Y243" s="228">
        <f t="shared" si="23"/>
        <v>1.4443212506653591E-2</v>
      </c>
      <c r="Z243" s="228"/>
      <c r="AA243" s="202"/>
    </row>
    <row r="244" spans="2:27" x14ac:dyDescent="0.15">
      <c r="B244" s="241">
        <v>43018</v>
      </c>
      <c r="C244" s="244"/>
      <c r="D244" s="245">
        <v>54.397686</v>
      </c>
      <c r="E244" s="228">
        <f t="shared" si="18"/>
        <v>2.4018311564717454E-3</v>
      </c>
      <c r="F244" s="228"/>
      <c r="G244" s="245">
        <v>165.023605</v>
      </c>
      <c r="H244" s="228">
        <f t="shared" si="19"/>
        <v>6.1124967837202782E-3</v>
      </c>
      <c r="J244" s="227"/>
      <c r="K244" s="245">
        <v>34.563510999999998</v>
      </c>
      <c r="L244" s="228">
        <f t="shared" si="20"/>
        <v>5.1587966307335975E-3</v>
      </c>
      <c r="M244" s="228"/>
      <c r="N244" s="227"/>
      <c r="O244" s="322">
        <v>52.59</v>
      </c>
      <c r="P244" s="228">
        <f t="shared" si="21"/>
        <v>-1.8978743954806143E-3</v>
      </c>
      <c r="Q244" s="228"/>
      <c r="R244" s="227"/>
      <c r="S244" s="322">
        <v>184.89999399999999</v>
      </c>
      <c r="T244" s="228">
        <f t="shared" si="22"/>
        <v>1.2996317275071334E-3</v>
      </c>
      <c r="U244" s="228"/>
      <c r="V244" s="228"/>
      <c r="W244" s="228"/>
      <c r="X244" s="322">
        <v>104.449997</v>
      </c>
      <c r="Y244" s="228">
        <f t="shared" si="23"/>
        <v>4.8100049488217778E-3</v>
      </c>
      <c r="Z244" s="228"/>
      <c r="AA244" s="202"/>
    </row>
    <row r="245" spans="2:27" x14ac:dyDescent="0.15">
      <c r="B245" s="241">
        <v>43019</v>
      </c>
      <c r="C245" s="244"/>
      <c r="D245" s="245">
        <v>54.434921000000003</v>
      </c>
      <c r="E245" s="228">
        <f t="shared" si="18"/>
        <v>6.8449602801123888E-4</v>
      </c>
      <c r="F245" s="228"/>
      <c r="G245" s="245">
        <v>166.681747</v>
      </c>
      <c r="H245" s="228">
        <f t="shared" si="19"/>
        <v>1.0047907994737981E-2</v>
      </c>
      <c r="J245" s="227"/>
      <c r="K245" s="245">
        <v>35.787464</v>
      </c>
      <c r="L245" s="228">
        <f t="shared" si="20"/>
        <v>3.5411709186604412E-2</v>
      </c>
      <c r="M245" s="228"/>
      <c r="N245" s="227"/>
      <c r="O245" s="322">
        <v>53.23</v>
      </c>
      <c r="P245" s="228">
        <f t="shared" si="21"/>
        <v>1.2169613995056006E-2</v>
      </c>
      <c r="Q245" s="228"/>
      <c r="R245" s="227"/>
      <c r="S245" s="322">
        <v>186.179993</v>
      </c>
      <c r="T245" s="228">
        <f t="shared" si="22"/>
        <v>6.9226557140937839E-3</v>
      </c>
      <c r="U245" s="228"/>
      <c r="V245" s="228"/>
      <c r="W245" s="228"/>
      <c r="X245" s="322">
        <v>104.589996</v>
      </c>
      <c r="Y245" s="228">
        <f t="shared" si="23"/>
        <v>1.3403447010151837E-3</v>
      </c>
      <c r="Z245" s="228"/>
      <c r="AA245" s="202"/>
    </row>
    <row r="246" spans="2:27" x14ac:dyDescent="0.15">
      <c r="B246" s="241">
        <v>43020</v>
      </c>
      <c r="C246" s="244"/>
      <c r="D246" s="245">
        <v>54.397686</v>
      </c>
      <c r="E246" s="228">
        <f t="shared" si="18"/>
        <v>-6.8402781368970267E-4</v>
      </c>
      <c r="F246" s="228"/>
      <c r="G246" s="245">
        <v>167.36621099999999</v>
      </c>
      <c r="H246" s="228">
        <f t="shared" si="19"/>
        <v>4.1064124435892246E-3</v>
      </c>
      <c r="J246" s="227"/>
      <c r="K246" s="245">
        <v>35.867289999999997</v>
      </c>
      <c r="L246" s="228">
        <f t="shared" si="20"/>
        <v>2.2305576053109899E-3</v>
      </c>
      <c r="M246" s="228"/>
      <c r="N246" s="227"/>
      <c r="O246" s="322">
        <v>53.310001</v>
      </c>
      <c r="P246" s="228">
        <f t="shared" si="21"/>
        <v>1.5029306781890739E-3</v>
      </c>
      <c r="Q246" s="228"/>
      <c r="R246" s="227"/>
      <c r="S246" s="322">
        <v>186.990005</v>
      </c>
      <c r="T246" s="228">
        <f t="shared" si="22"/>
        <v>4.3506930414376477E-3</v>
      </c>
      <c r="U246" s="228"/>
      <c r="V246" s="228"/>
      <c r="W246" s="228"/>
      <c r="X246" s="322">
        <v>104.82</v>
      </c>
      <c r="Y246" s="228">
        <f t="shared" si="23"/>
        <v>2.1991013366133849E-3</v>
      </c>
      <c r="Z246" s="228"/>
      <c r="AA246" s="202"/>
    </row>
    <row r="247" spans="2:27" x14ac:dyDescent="0.15">
      <c r="B247" s="241">
        <v>43021</v>
      </c>
      <c r="C247" s="244"/>
      <c r="D247" s="245">
        <v>54.397686</v>
      </c>
      <c r="E247" s="228">
        <f t="shared" si="18"/>
        <v>0</v>
      </c>
      <c r="F247" s="228"/>
      <c r="G247" s="245">
        <v>169.959473</v>
      </c>
      <c r="H247" s="228">
        <f t="shared" si="19"/>
        <v>1.5494537305382527E-2</v>
      </c>
      <c r="J247" s="227"/>
      <c r="K247" s="245">
        <v>36.204318999999998</v>
      </c>
      <c r="L247" s="228">
        <f t="shared" si="20"/>
        <v>9.3965560263962189E-3</v>
      </c>
      <c r="M247" s="228"/>
      <c r="N247" s="227"/>
      <c r="O247" s="322">
        <v>53.939999</v>
      </c>
      <c r="P247" s="228">
        <f t="shared" si="21"/>
        <v>1.18176324926349E-2</v>
      </c>
      <c r="Q247" s="228"/>
      <c r="R247" s="227"/>
      <c r="S247" s="322">
        <v>189.89999399999999</v>
      </c>
      <c r="T247" s="228">
        <f t="shared" si="22"/>
        <v>1.556227029353785E-2</v>
      </c>
      <c r="U247" s="228"/>
      <c r="V247" s="228"/>
      <c r="W247" s="228"/>
      <c r="X247" s="322">
        <v>105.300003</v>
      </c>
      <c r="Y247" s="228">
        <f t="shared" si="23"/>
        <v>4.5793073840871834E-3</v>
      </c>
      <c r="Z247" s="228"/>
      <c r="AA247" s="202"/>
    </row>
    <row r="248" spans="2:27" x14ac:dyDescent="0.15">
      <c r="B248" s="241">
        <v>43024</v>
      </c>
      <c r="C248" s="244"/>
      <c r="D248" s="245">
        <v>54.509402999999999</v>
      </c>
      <c r="E248" s="228">
        <f t="shared" si="18"/>
        <v>2.0537086816523331E-3</v>
      </c>
      <c r="F248" s="228"/>
      <c r="G248" s="245">
        <v>170.23904400000001</v>
      </c>
      <c r="H248" s="228">
        <f t="shared" si="19"/>
        <v>1.6449274351422183E-3</v>
      </c>
      <c r="J248" s="227"/>
      <c r="K248" s="245">
        <v>36.266402999999997</v>
      </c>
      <c r="L248" s="228">
        <f t="shared" si="20"/>
        <v>1.7148230298158484E-3</v>
      </c>
      <c r="M248" s="228"/>
      <c r="N248" s="227"/>
      <c r="O248" s="322">
        <v>55.040000999999997</v>
      </c>
      <c r="P248" s="228">
        <f t="shared" si="21"/>
        <v>2.0393066748110256E-2</v>
      </c>
      <c r="Q248" s="228"/>
      <c r="R248" s="227"/>
      <c r="S248" s="322">
        <v>192.36000100000001</v>
      </c>
      <c r="T248" s="228">
        <f t="shared" si="22"/>
        <v>1.2954223684704447E-2</v>
      </c>
      <c r="U248" s="228"/>
      <c r="V248" s="228"/>
      <c r="W248" s="228"/>
      <c r="X248" s="322">
        <v>107.33000199999999</v>
      </c>
      <c r="Y248" s="228">
        <f t="shared" si="23"/>
        <v>1.9278242565671899E-2</v>
      </c>
      <c r="Z248" s="228"/>
      <c r="AA248" s="202"/>
    </row>
    <row r="249" spans="2:27" x14ac:dyDescent="0.15">
      <c r="B249" s="241">
        <v>43025</v>
      </c>
      <c r="C249" s="244"/>
      <c r="D249" s="245">
        <v>54.518711000000003</v>
      </c>
      <c r="E249" s="228">
        <f t="shared" si="18"/>
        <v>1.7075952932388283E-4</v>
      </c>
      <c r="F249" s="228"/>
      <c r="G249" s="245">
        <v>169.99804700000001</v>
      </c>
      <c r="H249" s="228">
        <f t="shared" si="19"/>
        <v>-1.4156388237236417E-3</v>
      </c>
      <c r="J249" s="227"/>
      <c r="K249" s="245">
        <v>36.58569</v>
      </c>
      <c r="L249" s="228">
        <f t="shared" si="20"/>
        <v>8.8039334918326162E-3</v>
      </c>
      <c r="M249" s="228"/>
      <c r="N249" s="227"/>
      <c r="O249" s="322">
        <v>55.130001</v>
      </c>
      <c r="P249" s="228">
        <f t="shared" si="21"/>
        <v>1.6351743888958215E-3</v>
      </c>
      <c r="Q249" s="228"/>
      <c r="R249" s="227"/>
      <c r="S249" s="322">
        <v>194.550003</v>
      </c>
      <c r="T249" s="228">
        <f t="shared" si="22"/>
        <v>1.1384913644287176E-2</v>
      </c>
      <c r="U249" s="228"/>
      <c r="V249" s="228"/>
      <c r="W249" s="228"/>
      <c r="X249" s="322">
        <v>108.010002</v>
      </c>
      <c r="Y249" s="228">
        <f t="shared" si="23"/>
        <v>6.335600366428773E-3</v>
      </c>
      <c r="Z249" s="228"/>
      <c r="AA249" s="202"/>
    </row>
    <row r="250" spans="2:27" x14ac:dyDescent="0.15">
      <c r="B250" s="241">
        <v>43026</v>
      </c>
      <c r="C250" s="244"/>
      <c r="D250" s="245">
        <v>54.574573999999998</v>
      </c>
      <c r="E250" s="228">
        <f t="shared" si="18"/>
        <v>1.0246573878094356E-3</v>
      </c>
      <c r="F250" s="228"/>
      <c r="G250" s="245">
        <v>165.55384799999999</v>
      </c>
      <c r="H250" s="228">
        <f t="shared" si="19"/>
        <v>-2.6142647391708129E-2</v>
      </c>
      <c r="J250" s="227"/>
      <c r="K250" s="245">
        <v>36.807429999999997</v>
      </c>
      <c r="L250" s="228">
        <f t="shared" si="20"/>
        <v>6.0608396342940463E-3</v>
      </c>
      <c r="M250" s="228"/>
      <c r="N250" s="227"/>
      <c r="O250" s="322">
        <v>55.34</v>
      </c>
      <c r="P250" s="228">
        <f t="shared" si="21"/>
        <v>3.8091600977843143E-3</v>
      </c>
      <c r="Q250" s="228"/>
      <c r="R250" s="227"/>
      <c r="S250" s="322">
        <v>200.490005</v>
      </c>
      <c r="T250" s="228">
        <f t="shared" si="22"/>
        <v>3.0532006725283889E-2</v>
      </c>
      <c r="U250" s="228"/>
      <c r="V250" s="228"/>
      <c r="W250" s="228"/>
      <c r="X250" s="322">
        <v>108.089996</v>
      </c>
      <c r="Y250" s="228">
        <f t="shared" si="23"/>
        <v>7.4061659585922257E-4</v>
      </c>
      <c r="Z250" s="228"/>
      <c r="AA250" s="202"/>
    </row>
    <row r="251" spans="2:27" x14ac:dyDescent="0.15">
      <c r="B251" s="241">
        <v>43027</v>
      </c>
      <c r="C251" s="244"/>
      <c r="D251" s="245">
        <v>54.583877999999999</v>
      </c>
      <c r="E251" s="228">
        <f t="shared" si="18"/>
        <v>1.7048232021021903E-4</v>
      </c>
      <c r="F251" s="228"/>
      <c r="G251" s="245">
        <v>169.68956</v>
      </c>
      <c r="H251" s="228">
        <f t="shared" si="19"/>
        <v>2.4981068395341754E-2</v>
      </c>
      <c r="J251" s="227"/>
      <c r="K251" s="245">
        <v>36.426051999999999</v>
      </c>
      <c r="L251" s="228">
        <f t="shared" si="20"/>
        <v>-1.0361440611311279E-2</v>
      </c>
      <c r="M251" s="228"/>
      <c r="N251" s="227"/>
      <c r="O251" s="322">
        <v>55.330002</v>
      </c>
      <c r="P251" s="228">
        <f t="shared" si="21"/>
        <v>-1.8066498012292431E-4</v>
      </c>
      <c r="Q251" s="228"/>
      <c r="R251" s="227"/>
      <c r="S251" s="322">
        <v>200.979996</v>
      </c>
      <c r="T251" s="228">
        <f t="shared" si="22"/>
        <v>2.4439672192138051E-3</v>
      </c>
      <c r="U251" s="228"/>
      <c r="V251" s="228"/>
      <c r="W251" s="228"/>
      <c r="X251" s="322">
        <v>108.050003</v>
      </c>
      <c r="Y251" s="228">
        <f t="shared" si="23"/>
        <v>-3.6999723822728203E-4</v>
      </c>
      <c r="Z251" s="228"/>
      <c r="AA251" s="202"/>
    </row>
    <row r="252" spans="2:27" x14ac:dyDescent="0.15">
      <c r="B252" s="241">
        <v>43028</v>
      </c>
      <c r="C252" s="244"/>
      <c r="D252" s="245">
        <v>54.872481999999998</v>
      </c>
      <c r="E252" s="228">
        <f t="shared" si="18"/>
        <v>5.2873487662419283E-3</v>
      </c>
      <c r="F252" s="228"/>
      <c r="G252" s="245">
        <v>168.91833500000001</v>
      </c>
      <c r="H252" s="228">
        <f t="shared" si="19"/>
        <v>-4.5449172005631588E-3</v>
      </c>
      <c r="J252" s="227"/>
      <c r="K252" s="245">
        <v>36.470398000000003</v>
      </c>
      <c r="L252" s="228">
        <f t="shared" si="20"/>
        <v>1.2174253745644847E-3</v>
      </c>
      <c r="M252" s="228"/>
      <c r="N252" s="227"/>
      <c r="O252" s="322">
        <v>56.09</v>
      </c>
      <c r="P252" s="228">
        <f t="shared" si="21"/>
        <v>1.3735730571634575E-2</v>
      </c>
      <c r="Q252" s="228"/>
      <c r="R252" s="227"/>
      <c r="S252" s="322">
        <v>205.33999600000001</v>
      </c>
      <c r="T252" s="228">
        <f t="shared" si="22"/>
        <v>2.1693701297516244E-2</v>
      </c>
      <c r="U252" s="228"/>
      <c r="V252" s="228"/>
      <c r="W252" s="228"/>
      <c r="X252" s="322">
        <v>108.339996</v>
      </c>
      <c r="Y252" s="228">
        <f t="shared" si="23"/>
        <v>2.683877759818154E-3</v>
      </c>
      <c r="Z252" s="228"/>
      <c r="AA252" s="202"/>
    </row>
    <row r="253" spans="2:27" x14ac:dyDescent="0.15">
      <c r="B253" s="241">
        <v>43031</v>
      </c>
      <c r="C253" s="244"/>
      <c r="D253" s="245">
        <v>54.649051999999998</v>
      </c>
      <c r="E253" s="228">
        <f t="shared" si="18"/>
        <v>-4.0718041513048142E-3</v>
      </c>
      <c r="F253" s="228"/>
      <c r="G253" s="245">
        <v>171.665863</v>
      </c>
      <c r="H253" s="228">
        <f t="shared" si="19"/>
        <v>1.6265421986310757E-2</v>
      </c>
      <c r="J253" s="227"/>
      <c r="K253" s="245">
        <v>36.550220000000003</v>
      </c>
      <c r="L253" s="228">
        <f t="shared" si="20"/>
        <v>2.1886791583682896E-3</v>
      </c>
      <c r="M253" s="228"/>
      <c r="N253" s="227"/>
      <c r="O253" s="322">
        <v>56.369999</v>
      </c>
      <c r="P253" s="228">
        <f t="shared" si="21"/>
        <v>4.9919593510427962E-3</v>
      </c>
      <c r="Q253" s="228"/>
      <c r="R253" s="227"/>
      <c r="S253" s="322">
        <v>205.88999899999999</v>
      </c>
      <c r="T253" s="228">
        <f t="shared" si="22"/>
        <v>2.6784991268820058E-3</v>
      </c>
      <c r="U253" s="228"/>
      <c r="V253" s="228"/>
      <c r="W253" s="228"/>
      <c r="X253" s="322">
        <v>107.800003</v>
      </c>
      <c r="Y253" s="228">
        <f t="shared" si="23"/>
        <v>-4.984244230542445E-3</v>
      </c>
      <c r="Z253" s="228"/>
      <c r="AA253" s="202"/>
    </row>
    <row r="254" spans="2:27" x14ac:dyDescent="0.15">
      <c r="B254" s="241">
        <v>43032</v>
      </c>
      <c r="C254" s="244"/>
      <c r="D254" s="245">
        <v>54.732844999999998</v>
      </c>
      <c r="E254" s="228">
        <f t="shared" si="18"/>
        <v>1.5332928373579247E-3</v>
      </c>
      <c r="F254" s="228"/>
      <c r="G254" s="245">
        <v>172.012878</v>
      </c>
      <c r="H254" s="228">
        <f t="shared" si="19"/>
        <v>2.0214560654963076E-3</v>
      </c>
      <c r="J254" s="227"/>
      <c r="K254" s="245">
        <v>36.647778000000002</v>
      </c>
      <c r="L254" s="228">
        <f t="shared" si="20"/>
        <v>2.6691494606598809E-3</v>
      </c>
      <c r="M254" s="228"/>
      <c r="N254" s="227"/>
      <c r="O254" s="322">
        <v>56.380001</v>
      </c>
      <c r="P254" s="228">
        <f t="shared" si="21"/>
        <v>1.7743480889542695E-4</v>
      </c>
      <c r="Q254" s="228"/>
      <c r="R254" s="227"/>
      <c r="S254" s="322">
        <v>205.83999600000001</v>
      </c>
      <c r="T254" s="228">
        <f t="shared" si="22"/>
        <v>-2.4286269485085388E-4</v>
      </c>
      <c r="U254" s="228"/>
      <c r="V254" s="228"/>
      <c r="W254" s="228"/>
      <c r="X254" s="322">
        <v>107.69000200000001</v>
      </c>
      <c r="Y254" s="228">
        <f t="shared" si="23"/>
        <v>-1.0204174113056519E-3</v>
      </c>
      <c r="Z254" s="228"/>
      <c r="AA254" s="202"/>
    </row>
    <row r="255" spans="2:27" x14ac:dyDescent="0.15">
      <c r="B255" s="241">
        <v>43033</v>
      </c>
      <c r="C255" s="244"/>
      <c r="D255" s="245">
        <v>54.462851999999998</v>
      </c>
      <c r="E255" s="228">
        <f t="shared" si="18"/>
        <v>-4.9329246451559339E-3</v>
      </c>
      <c r="F255" s="228"/>
      <c r="G255" s="245">
        <v>170.981369</v>
      </c>
      <c r="H255" s="228">
        <f t="shared" si="19"/>
        <v>-5.9966963636292059E-3</v>
      </c>
      <c r="J255" s="227"/>
      <c r="K255" s="245">
        <v>36.505875000000003</v>
      </c>
      <c r="L255" s="228">
        <f t="shared" si="20"/>
        <v>-3.8720765007907998E-3</v>
      </c>
      <c r="M255" s="228"/>
      <c r="N255" s="227"/>
      <c r="O255" s="322">
        <v>55.299999</v>
      </c>
      <c r="P255" s="228">
        <f t="shared" si="21"/>
        <v>-1.9155764115718954E-2</v>
      </c>
      <c r="Q255" s="228"/>
      <c r="R255" s="227"/>
      <c r="S255" s="322">
        <v>203.070007</v>
      </c>
      <c r="T255" s="228">
        <f t="shared" si="22"/>
        <v>-1.3457000844481204E-2</v>
      </c>
      <c r="U255" s="228"/>
      <c r="V255" s="228"/>
      <c r="W255" s="228"/>
      <c r="X255" s="322">
        <v>106.709999</v>
      </c>
      <c r="Y255" s="228">
        <f t="shared" si="23"/>
        <v>-9.1002226929107755E-3</v>
      </c>
      <c r="Z255" s="228"/>
      <c r="AA255" s="202"/>
    </row>
    <row r="256" spans="2:27" x14ac:dyDescent="0.15">
      <c r="B256" s="241">
        <v>43034</v>
      </c>
      <c r="C256" s="244"/>
      <c r="D256" s="245">
        <v>54.546641999999999</v>
      </c>
      <c r="E256" s="228">
        <f t="shared" si="18"/>
        <v>1.5384798431048452E-3</v>
      </c>
      <c r="F256" s="228"/>
      <c r="G256" s="245">
        <v>171.42482000000001</v>
      </c>
      <c r="H256" s="228">
        <f t="shared" si="19"/>
        <v>2.5935632788154361E-3</v>
      </c>
      <c r="J256" s="227"/>
      <c r="K256" s="245">
        <v>36.541350999999999</v>
      </c>
      <c r="L256" s="228">
        <f t="shared" si="20"/>
        <v>9.7178878742099073E-4</v>
      </c>
      <c r="M256" s="228"/>
      <c r="N256" s="227"/>
      <c r="O256" s="322">
        <v>55.93</v>
      </c>
      <c r="P256" s="228">
        <f t="shared" si="21"/>
        <v>1.1392423352485137E-2</v>
      </c>
      <c r="Q256" s="228"/>
      <c r="R256" s="227"/>
      <c r="S256" s="322">
        <v>206.779999</v>
      </c>
      <c r="T256" s="228">
        <f t="shared" si="22"/>
        <v>1.8269522194875432E-2</v>
      </c>
      <c r="U256" s="228"/>
      <c r="V256" s="228"/>
      <c r="W256" s="228"/>
      <c r="X256" s="322">
        <v>108.849998</v>
      </c>
      <c r="Y256" s="228">
        <f t="shared" si="23"/>
        <v>2.0054343735866897E-2</v>
      </c>
      <c r="Z256" s="228"/>
      <c r="AA256" s="202"/>
    </row>
    <row r="257" spans="2:27" x14ac:dyDescent="0.15">
      <c r="B257" s="241">
        <v>43035</v>
      </c>
      <c r="C257" s="244"/>
      <c r="D257" s="245">
        <v>54.956271999999998</v>
      </c>
      <c r="E257" s="228">
        <f t="shared" si="18"/>
        <v>7.5097198467322102E-3</v>
      </c>
      <c r="F257" s="228"/>
      <c r="G257" s="245">
        <v>172.49490399999999</v>
      </c>
      <c r="H257" s="228">
        <f t="shared" si="19"/>
        <v>6.2422932688508403E-3</v>
      </c>
      <c r="J257" s="227"/>
      <c r="K257" s="245">
        <v>37.383929999999999</v>
      </c>
      <c r="L257" s="228">
        <f t="shared" si="20"/>
        <v>2.3058233397008188E-2</v>
      </c>
      <c r="M257" s="228"/>
      <c r="N257" s="227"/>
      <c r="O257" s="322">
        <v>56.689999</v>
      </c>
      <c r="P257" s="228">
        <f t="shared" si="21"/>
        <v>1.3588396209547549E-2</v>
      </c>
      <c r="Q257" s="228"/>
      <c r="R257" s="227"/>
      <c r="S257" s="322">
        <v>208</v>
      </c>
      <c r="T257" s="228">
        <f t="shared" si="22"/>
        <v>5.8999951924749716E-3</v>
      </c>
      <c r="U257" s="228"/>
      <c r="V257" s="228"/>
      <c r="W257" s="228"/>
      <c r="X257" s="322">
        <v>108.07</v>
      </c>
      <c r="Y257" s="228">
        <f t="shared" si="23"/>
        <v>-7.1658062869234262E-3</v>
      </c>
      <c r="Z257" s="228"/>
      <c r="AA257" s="202"/>
    </row>
    <row r="258" spans="2:27" x14ac:dyDescent="0.15">
      <c r="B258" s="241">
        <v>43038</v>
      </c>
      <c r="C258" s="244"/>
      <c r="D258" s="245">
        <v>54.751452999999998</v>
      </c>
      <c r="E258" s="228">
        <f t="shared" si="18"/>
        <v>-3.7269449426992063E-3</v>
      </c>
      <c r="F258" s="228"/>
      <c r="G258" s="245">
        <v>171.53085300000001</v>
      </c>
      <c r="H258" s="228">
        <f t="shared" si="19"/>
        <v>-5.5888665557330963E-3</v>
      </c>
      <c r="J258" s="227"/>
      <c r="K258" s="245">
        <v>37.366188000000001</v>
      </c>
      <c r="L258" s="228">
        <f t="shared" si="20"/>
        <v>-4.7458894771090776E-4</v>
      </c>
      <c r="M258" s="228"/>
      <c r="N258" s="227"/>
      <c r="O258" s="322">
        <v>55.900002000000001</v>
      </c>
      <c r="P258" s="228">
        <f t="shared" si="21"/>
        <v>-1.3935385675346357E-2</v>
      </c>
      <c r="Q258" s="228"/>
      <c r="R258" s="227"/>
      <c r="S258" s="322">
        <v>206.199997</v>
      </c>
      <c r="T258" s="228">
        <f t="shared" si="22"/>
        <v>-8.6538605769230781E-3</v>
      </c>
      <c r="U258" s="228"/>
      <c r="V258" s="228"/>
      <c r="W258" s="228"/>
      <c r="X258" s="322">
        <v>107.349998</v>
      </c>
      <c r="Y258" s="228">
        <f t="shared" si="23"/>
        <v>-6.662366984361956E-3</v>
      </c>
      <c r="Z258" s="228"/>
      <c r="AA258" s="202"/>
    </row>
    <row r="259" spans="2:27" x14ac:dyDescent="0.15">
      <c r="B259" s="241">
        <v>43039</v>
      </c>
      <c r="C259" s="244"/>
      <c r="D259" s="245">
        <v>54.853862999999997</v>
      </c>
      <c r="E259" s="228">
        <f t="shared" si="18"/>
        <v>1.870452643512488E-3</v>
      </c>
      <c r="F259" s="228"/>
      <c r="G259" s="245">
        <v>174.24945099999999</v>
      </c>
      <c r="H259" s="228">
        <f t="shared" si="19"/>
        <v>1.584903212718225E-2</v>
      </c>
      <c r="J259" s="227"/>
      <c r="K259" s="245">
        <v>37.543579000000001</v>
      </c>
      <c r="L259" s="228">
        <f t="shared" si="20"/>
        <v>4.74736679053267E-3</v>
      </c>
      <c r="M259" s="228"/>
      <c r="N259" s="227"/>
      <c r="O259" s="322">
        <v>56.43</v>
      </c>
      <c r="P259" s="228">
        <f t="shared" si="21"/>
        <v>9.4811803405658868E-3</v>
      </c>
      <c r="Q259" s="228"/>
      <c r="R259" s="227"/>
      <c r="S259" s="322">
        <v>208.570007</v>
      </c>
      <c r="T259" s="228">
        <f t="shared" si="22"/>
        <v>1.1493744105146586E-2</v>
      </c>
      <c r="U259" s="228"/>
      <c r="V259" s="228"/>
      <c r="W259" s="228"/>
      <c r="X259" s="322">
        <v>108.889999</v>
      </c>
      <c r="Y259" s="228">
        <f t="shared" si="23"/>
        <v>1.4345608092139805E-2</v>
      </c>
      <c r="Z259" s="228"/>
      <c r="AA259" s="202"/>
    </row>
    <row r="260" spans="2:27" x14ac:dyDescent="0.15">
      <c r="B260" s="241">
        <v>43040</v>
      </c>
      <c r="C260" s="244"/>
      <c r="D260" s="245">
        <v>54.919037000000003</v>
      </c>
      <c r="E260" s="228">
        <f t="shared" si="18"/>
        <v>1.1881387460352943E-3</v>
      </c>
      <c r="F260" s="228"/>
      <c r="G260" s="245">
        <v>174.876068</v>
      </c>
      <c r="H260" s="228">
        <f t="shared" si="19"/>
        <v>3.5960916743433824E-3</v>
      </c>
      <c r="J260" s="227"/>
      <c r="K260" s="245">
        <v>37.339581000000003</v>
      </c>
      <c r="L260" s="228">
        <f t="shared" si="20"/>
        <v>-5.4336322064553189E-3</v>
      </c>
      <c r="M260" s="228"/>
      <c r="N260" s="227"/>
      <c r="O260" s="322">
        <v>55.709999000000003</v>
      </c>
      <c r="P260" s="228">
        <f t="shared" si="21"/>
        <v>-1.2759188374977803E-2</v>
      </c>
      <c r="Q260" s="228"/>
      <c r="R260" s="227"/>
      <c r="S260" s="322">
        <v>202.91999799999999</v>
      </c>
      <c r="T260" s="228">
        <f t="shared" si="22"/>
        <v>-2.7089268880352568E-2</v>
      </c>
      <c r="U260" s="228"/>
      <c r="V260" s="228"/>
      <c r="W260" s="228"/>
      <c r="X260" s="322">
        <v>105.150002</v>
      </c>
      <c r="Y260" s="228">
        <f t="shared" si="23"/>
        <v>-3.4346561064804493E-2</v>
      </c>
      <c r="Z260" s="228"/>
      <c r="AA260" s="202"/>
    </row>
    <row r="261" spans="2:27" x14ac:dyDescent="0.15">
      <c r="B261" s="241">
        <v>43041</v>
      </c>
      <c r="C261" s="244"/>
      <c r="D261" s="245">
        <v>54.946967999999998</v>
      </c>
      <c r="E261" s="228">
        <f t="shared" si="18"/>
        <v>5.085850285393434E-4</v>
      </c>
      <c r="F261" s="228"/>
      <c r="G261" s="245">
        <v>175.69548</v>
      </c>
      <c r="H261" s="228">
        <f t="shared" si="19"/>
        <v>4.6856725987229897E-3</v>
      </c>
      <c r="J261" s="227"/>
      <c r="K261" s="245">
        <v>37.383929999999999</v>
      </c>
      <c r="L261" s="228">
        <f t="shared" si="20"/>
        <v>1.1877208798887207E-3</v>
      </c>
      <c r="M261" s="228"/>
      <c r="N261" s="227"/>
      <c r="O261" s="322">
        <v>56.259998000000003</v>
      </c>
      <c r="P261" s="228">
        <f t="shared" si="21"/>
        <v>9.8725365261629339E-3</v>
      </c>
      <c r="Q261" s="228"/>
      <c r="R261" s="227"/>
      <c r="S261" s="322">
        <v>206.820007</v>
      </c>
      <c r="T261" s="228">
        <f t="shared" si="22"/>
        <v>1.9219441348506283E-2</v>
      </c>
      <c r="U261" s="228"/>
      <c r="V261" s="228"/>
      <c r="W261" s="228"/>
      <c r="X261" s="322">
        <v>106.379997</v>
      </c>
      <c r="Y261" s="228">
        <f t="shared" si="23"/>
        <v>1.1697527119400419E-2</v>
      </c>
      <c r="Z261" s="228"/>
      <c r="AA261" s="202"/>
    </row>
    <row r="262" spans="2:27" x14ac:dyDescent="0.15">
      <c r="B262" s="241">
        <v>43042</v>
      </c>
      <c r="C262" s="244"/>
      <c r="D262" s="245">
        <v>55.114539999999998</v>
      </c>
      <c r="E262" s="228">
        <f t="shared" si="18"/>
        <v>3.0497042166184318E-3</v>
      </c>
      <c r="F262" s="228"/>
      <c r="G262" s="245">
        <v>177.94172699999999</v>
      </c>
      <c r="H262" s="228">
        <f t="shared" si="19"/>
        <v>1.278488780701692E-2</v>
      </c>
      <c r="J262" s="227"/>
      <c r="K262" s="245">
        <v>37.419407</v>
      </c>
      <c r="L262" s="228">
        <f t="shared" si="20"/>
        <v>9.4899064919062859E-4</v>
      </c>
      <c r="M262" s="228"/>
      <c r="N262" s="227"/>
      <c r="O262" s="322">
        <v>56.549999</v>
      </c>
      <c r="P262" s="228">
        <f t="shared" si="21"/>
        <v>5.1546571331195778E-3</v>
      </c>
      <c r="Q262" s="228"/>
      <c r="R262" s="227"/>
      <c r="S262" s="322">
        <v>207.070007</v>
      </c>
      <c r="T262" s="228">
        <f t="shared" si="22"/>
        <v>1.2087805412364094E-3</v>
      </c>
      <c r="U262" s="228"/>
      <c r="V262" s="228"/>
      <c r="W262" s="228"/>
      <c r="X262" s="322">
        <v>106.300003</v>
      </c>
      <c r="Y262" s="228">
        <f t="shared" si="23"/>
        <v>-7.5196467621629903E-4</v>
      </c>
      <c r="Z262" s="228"/>
      <c r="AA262" s="202"/>
    </row>
    <row r="263" spans="2:27" x14ac:dyDescent="0.15">
      <c r="B263" s="241">
        <v>43045</v>
      </c>
      <c r="C263" s="244"/>
      <c r="D263" s="245">
        <v>55.216952999999997</v>
      </c>
      <c r="E263" s="228">
        <f t="shared" si="18"/>
        <v>1.8581847911640637E-3</v>
      </c>
      <c r="F263" s="228"/>
      <c r="G263" s="245">
        <v>178.26947000000001</v>
      </c>
      <c r="H263" s="228">
        <f t="shared" si="19"/>
        <v>1.8418557891146659E-3</v>
      </c>
      <c r="J263" s="227"/>
      <c r="K263" s="245">
        <v>37.632275</v>
      </c>
      <c r="L263" s="228">
        <f t="shared" si="20"/>
        <v>5.6887058632435483E-3</v>
      </c>
      <c r="M263" s="228"/>
      <c r="N263" s="227"/>
      <c r="O263" s="322">
        <v>56.330002</v>
      </c>
      <c r="P263" s="228">
        <f t="shared" si="21"/>
        <v>-3.8903095294484658E-3</v>
      </c>
      <c r="Q263" s="228"/>
      <c r="R263" s="227"/>
      <c r="S263" s="322">
        <v>206.66999799999999</v>
      </c>
      <c r="T263" s="228">
        <f t="shared" si="22"/>
        <v>-1.9317573114294717E-3</v>
      </c>
      <c r="U263" s="228"/>
      <c r="V263" s="228"/>
      <c r="W263" s="228"/>
      <c r="X263" s="322">
        <v>105.510002</v>
      </c>
      <c r="Y263" s="228">
        <f t="shared" si="23"/>
        <v>-7.4318059991024255E-3</v>
      </c>
      <c r="Z263" s="228"/>
      <c r="AA263" s="202"/>
    </row>
    <row r="264" spans="2:27" x14ac:dyDescent="0.15">
      <c r="B264" s="241">
        <v>43046</v>
      </c>
      <c r="C264" s="244"/>
      <c r="D264" s="245">
        <v>55.114539999999998</v>
      </c>
      <c r="E264" s="228">
        <f t="shared" si="18"/>
        <v>-1.8547383445804977E-3</v>
      </c>
      <c r="F264" s="228"/>
      <c r="G264" s="245">
        <v>176.91982999999999</v>
      </c>
      <c r="H264" s="228">
        <f t="shared" si="19"/>
        <v>-7.570785956787951E-3</v>
      </c>
      <c r="J264" s="227"/>
      <c r="K264" s="245">
        <v>37.703220000000002</v>
      </c>
      <c r="L264" s="228">
        <f t="shared" si="20"/>
        <v>1.8852168783312084E-3</v>
      </c>
      <c r="M264" s="228"/>
      <c r="N264" s="227"/>
      <c r="O264" s="322">
        <v>56.470001000000003</v>
      </c>
      <c r="P264" s="228">
        <f t="shared" si="21"/>
        <v>2.4853363221966074E-3</v>
      </c>
      <c r="Q264" s="228"/>
      <c r="R264" s="227"/>
      <c r="S264" s="322">
        <v>209.19000199999999</v>
      </c>
      <c r="T264" s="228">
        <f t="shared" si="22"/>
        <v>1.2193371192658509E-2</v>
      </c>
      <c r="U264" s="228"/>
      <c r="V264" s="228"/>
      <c r="W264" s="228"/>
      <c r="X264" s="322">
        <v>107.5</v>
      </c>
      <c r="Y264" s="228">
        <f t="shared" si="23"/>
        <v>1.886075217778882E-2</v>
      </c>
      <c r="Z264" s="228"/>
      <c r="AA264" s="202"/>
    </row>
    <row r="265" spans="2:27" x14ac:dyDescent="0.15">
      <c r="B265" s="241">
        <v>43047</v>
      </c>
      <c r="C265" s="244"/>
      <c r="D265" s="245">
        <v>55.198334000000003</v>
      </c>
      <c r="E265" s="228">
        <f t="shared" ref="E265:E328" si="24">D265/D264-1</f>
        <v>1.5203610517298127E-3</v>
      </c>
      <c r="F265" s="228"/>
      <c r="G265" s="245">
        <v>174.98211699999999</v>
      </c>
      <c r="H265" s="228">
        <f t="shared" ref="H265:H328" si="25">G265/G264-1</f>
        <v>-1.0952491871600856E-2</v>
      </c>
      <c r="J265" s="227"/>
      <c r="K265" s="245">
        <v>37.632275</v>
      </c>
      <c r="L265" s="228">
        <f t="shared" ref="L265:L328" si="26">K265/K264-1</f>
        <v>-1.8816695231866909E-3</v>
      </c>
      <c r="M265" s="228"/>
      <c r="N265" s="227"/>
      <c r="O265" s="322">
        <v>56.919998</v>
      </c>
      <c r="P265" s="228">
        <f t="shared" ref="P265:P328" si="27">O265/O264-1</f>
        <v>7.9687797420084916E-3</v>
      </c>
      <c r="Q265" s="228"/>
      <c r="R265" s="227"/>
      <c r="S265" s="322">
        <v>211.240005</v>
      </c>
      <c r="T265" s="228">
        <f t="shared" ref="T265:T328" si="28">S265/S264-1</f>
        <v>9.7997178660576001E-3</v>
      </c>
      <c r="U265" s="228"/>
      <c r="V265" s="228"/>
      <c r="W265" s="228"/>
      <c r="X265" s="322">
        <v>107.08000199999999</v>
      </c>
      <c r="Y265" s="228">
        <f t="shared" ref="Y265:Y328" si="29">X265/X264-1</f>
        <v>-3.9069581395348996E-3</v>
      </c>
      <c r="Z265" s="228"/>
      <c r="AA265" s="202"/>
    </row>
    <row r="266" spans="2:27" x14ac:dyDescent="0.15">
      <c r="B266" s="241">
        <v>43048</v>
      </c>
      <c r="C266" s="244"/>
      <c r="D266" s="245">
        <v>54.956271999999998</v>
      </c>
      <c r="E266" s="228">
        <f t="shared" si="24"/>
        <v>-4.3853135132666532E-3</v>
      </c>
      <c r="F266" s="228"/>
      <c r="G266" s="245">
        <v>171.60798600000001</v>
      </c>
      <c r="H266" s="228">
        <f t="shared" si="25"/>
        <v>-1.9282719044940944E-2</v>
      </c>
      <c r="J266" s="227"/>
      <c r="K266" s="245">
        <v>36.931595000000002</v>
      </c>
      <c r="L266" s="228">
        <f t="shared" si="26"/>
        <v>-1.8619124142773669E-2</v>
      </c>
      <c r="M266" s="228"/>
      <c r="N266" s="227"/>
      <c r="O266" s="322">
        <v>55.48</v>
      </c>
      <c r="P266" s="228">
        <f t="shared" si="27"/>
        <v>-2.5298630544575929E-2</v>
      </c>
      <c r="Q266" s="228"/>
      <c r="R266" s="227"/>
      <c r="S266" s="322">
        <v>206.28999300000001</v>
      </c>
      <c r="T266" s="228">
        <f t="shared" si="28"/>
        <v>-2.3433118172857426E-2</v>
      </c>
      <c r="U266" s="228"/>
      <c r="V266" s="228"/>
      <c r="W266" s="228"/>
      <c r="X266" s="322">
        <v>102.400002</v>
      </c>
      <c r="Y266" s="228">
        <f t="shared" si="29"/>
        <v>-4.3705639826192688E-2</v>
      </c>
      <c r="Z266" s="228"/>
      <c r="AA266" s="202"/>
    </row>
    <row r="267" spans="2:27" x14ac:dyDescent="0.15">
      <c r="B267" s="241">
        <v>43049</v>
      </c>
      <c r="C267" s="244"/>
      <c r="D267" s="245">
        <v>54.965591000000003</v>
      </c>
      <c r="E267" s="228">
        <f t="shared" si="24"/>
        <v>1.695711819753587E-4</v>
      </c>
      <c r="F267" s="228"/>
      <c r="G267" s="245">
        <v>173.14080799999999</v>
      </c>
      <c r="H267" s="228">
        <f t="shared" si="25"/>
        <v>8.9321134507107658E-3</v>
      </c>
      <c r="J267" s="227"/>
      <c r="K267" s="245">
        <v>37.002552000000001</v>
      </c>
      <c r="L267" s="228">
        <f t="shared" si="26"/>
        <v>1.9213088413863044E-3</v>
      </c>
      <c r="M267" s="228"/>
      <c r="N267" s="227"/>
      <c r="O267" s="322">
        <v>56.360000999999997</v>
      </c>
      <c r="P267" s="228">
        <f t="shared" si="27"/>
        <v>1.5861589762076411E-2</v>
      </c>
      <c r="Q267" s="228"/>
      <c r="R267" s="227"/>
      <c r="S267" s="322">
        <v>207.38999899999999</v>
      </c>
      <c r="T267" s="228">
        <f t="shared" si="28"/>
        <v>5.3323284566690887E-3</v>
      </c>
      <c r="U267" s="228"/>
      <c r="V267" s="228"/>
      <c r="W267" s="228"/>
      <c r="X267" s="322">
        <v>102.44000200000001</v>
      </c>
      <c r="Y267" s="228">
        <f t="shared" si="29"/>
        <v>3.9062499237063619E-4</v>
      </c>
      <c r="Z267" s="228"/>
      <c r="AA267" s="202"/>
    </row>
    <row r="268" spans="2:27" x14ac:dyDescent="0.15">
      <c r="B268" s="241">
        <v>43052</v>
      </c>
      <c r="C268" s="244"/>
      <c r="D268" s="245">
        <v>55.021445999999997</v>
      </c>
      <c r="E268" s="228">
        <f t="shared" si="24"/>
        <v>1.0161811959774614E-3</v>
      </c>
      <c r="F268" s="228"/>
      <c r="G268" s="245">
        <v>172.41778600000001</v>
      </c>
      <c r="H268" s="228">
        <f t="shared" si="25"/>
        <v>-4.1759190588968043E-3</v>
      </c>
      <c r="J268" s="227"/>
      <c r="K268" s="245">
        <v>37.259765999999999</v>
      </c>
      <c r="L268" s="228">
        <f t="shared" si="26"/>
        <v>6.9512502813318111E-3</v>
      </c>
      <c r="M268" s="228"/>
      <c r="N268" s="227"/>
      <c r="O268" s="322">
        <v>57.029998999999997</v>
      </c>
      <c r="P268" s="228">
        <f t="shared" si="27"/>
        <v>1.1887828036057035E-2</v>
      </c>
      <c r="Q268" s="228"/>
      <c r="R268" s="227"/>
      <c r="S268" s="322">
        <v>209.229996</v>
      </c>
      <c r="T268" s="228">
        <f t="shared" si="28"/>
        <v>8.8721587775311139E-3</v>
      </c>
      <c r="U268" s="228"/>
      <c r="V268" s="228"/>
      <c r="W268" s="228"/>
      <c r="X268" s="322">
        <v>101.93</v>
      </c>
      <c r="Y268" s="228">
        <f t="shared" si="29"/>
        <v>-4.978543440481431E-3</v>
      </c>
      <c r="Z268" s="228"/>
      <c r="AA268" s="202"/>
    </row>
    <row r="269" spans="2:27" x14ac:dyDescent="0.15">
      <c r="B269" s="241">
        <v>43053</v>
      </c>
      <c r="C269" s="244"/>
      <c r="D269" s="245">
        <v>54.891106000000001</v>
      </c>
      <c r="E269" s="228">
        <f t="shared" si="24"/>
        <v>-2.3688944852521265E-3</v>
      </c>
      <c r="F269" s="228"/>
      <c r="G269" s="245">
        <v>173.854187</v>
      </c>
      <c r="H269" s="228">
        <f t="shared" si="25"/>
        <v>8.3309328655918335E-3</v>
      </c>
      <c r="J269" s="227"/>
      <c r="K269" s="245">
        <v>37.126716999999999</v>
      </c>
      <c r="L269" s="228">
        <f t="shared" si="26"/>
        <v>-3.5708490493472356E-3</v>
      </c>
      <c r="M269" s="228"/>
      <c r="N269" s="227"/>
      <c r="O269" s="322">
        <v>56.419998</v>
      </c>
      <c r="P269" s="228">
        <f t="shared" si="27"/>
        <v>-1.0696142568755729E-2</v>
      </c>
      <c r="Q269" s="228"/>
      <c r="R269" s="227"/>
      <c r="S269" s="322">
        <v>208.63999899999999</v>
      </c>
      <c r="T269" s="228">
        <f t="shared" si="28"/>
        <v>-2.8198490239420559E-3</v>
      </c>
      <c r="U269" s="228"/>
      <c r="V269" s="228"/>
      <c r="W269" s="228"/>
      <c r="X269" s="322">
        <v>102.150002</v>
      </c>
      <c r="Y269" s="228">
        <f t="shared" si="29"/>
        <v>2.1583635828508196E-3</v>
      </c>
      <c r="Z269" s="228"/>
      <c r="AA269" s="202"/>
    </row>
    <row r="270" spans="2:27" x14ac:dyDescent="0.15">
      <c r="B270" s="241">
        <v>43054</v>
      </c>
      <c r="C270" s="244"/>
      <c r="D270" s="245">
        <v>54.583877999999999</v>
      </c>
      <c r="E270" s="228">
        <f t="shared" si="24"/>
        <v>-5.5970451752238581E-3</v>
      </c>
      <c r="F270" s="228"/>
      <c r="G270" s="245">
        <v>171.51158100000001</v>
      </c>
      <c r="H270" s="228">
        <f t="shared" si="25"/>
        <v>-1.3474544619394124E-2</v>
      </c>
      <c r="J270" s="227"/>
      <c r="K270" s="245">
        <v>36.842911000000001</v>
      </c>
      <c r="L270" s="228">
        <f t="shared" si="26"/>
        <v>-7.6442525203614942E-3</v>
      </c>
      <c r="M270" s="228"/>
      <c r="N270" s="227"/>
      <c r="O270" s="322">
        <v>55.77</v>
      </c>
      <c r="P270" s="228">
        <f t="shared" si="27"/>
        <v>-1.152070228715707E-2</v>
      </c>
      <c r="Q270" s="228"/>
      <c r="R270" s="227"/>
      <c r="S270" s="322">
        <v>207.86000100000001</v>
      </c>
      <c r="T270" s="228">
        <f t="shared" si="28"/>
        <v>-3.7384873645440742E-3</v>
      </c>
      <c r="U270" s="228"/>
      <c r="V270" s="228"/>
      <c r="W270" s="228"/>
      <c r="X270" s="322">
        <v>102.949997</v>
      </c>
      <c r="Y270" s="228">
        <f t="shared" si="29"/>
        <v>7.8315710654610626E-3</v>
      </c>
      <c r="Z270" s="228"/>
      <c r="AA270" s="202"/>
    </row>
    <row r="271" spans="2:27" x14ac:dyDescent="0.15">
      <c r="B271" s="241">
        <v>43055</v>
      </c>
      <c r="C271" s="244"/>
      <c r="D271" s="245">
        <v>55.105240000000002</v>
      </c>
      <c r="E271" s="228">
        <f t="shared" si="24"/>
        <v>9.5515749174144293E-3</v>
      </c>
      <c r="F271" s="228"/>
      <c r="G271" s="245">
        <v>175.25202899999999</v>
      </c>
      <c r="H271" s="228">
        <f t="shared" si="25"/>
        <v>2.1808719727211878E-2</v>
      </c>
      <c r="J271" s="227"/>
      <c r="K271" s="245">
        <v>37.339581000000003</v>
      </c>
      <c r="L271" s="228">
        <f t="shared" si="26"/>
        <v>1.3480748033183332E-2</v>
      </c>
      <c r="M271" s="228"/>
      <c r="N271" s="227"/>
      <c r="O271" s="322">
        <v>57.84</v>
      </c>
      <c r="P271" s="228">
        <f t="shared" si="27"/>
        <v>3.7116729424421679E-2</v>
      </c>
      <c r="Q271" s="228"/>
      <c r="R271" s="227"/>
      <c r="S271" s="322">
        <v>213.220001</v>
      </c>
      <c r="T271" s="228">
        <f t="shared" si="28"/>
        <v>2.5786587001892514E-2</v>
      </c>
      <c r="U271" s="228"/>
      <c r="V271" s="228"/>
      <c r="W271" s="228"/>
      <c r="X271" s="322">
        <v>104.769997</v>
      </c>
      <c r="Y271" s="228">
        <f t="shared" si="29"/>
        <v>1.7678485216468864E-2</v>
      </c>
      <c r="Z271" s="228"/>
      <c r="AA271" s="202"/>
    </row>
    <row r="272" spans="2:27" x14ac:dyDescent="0.15">
      <c r="B272" s="241">
        <v>43056</v>
      </c>
      <c r="C272" s="244"/>
      <c r="D272" s="245">
        <v>55.040061999999999</v>
      </c>
      <c r="E272" s="228">
        <f t="shared" si="24"/>
        <v>-1.1827913280116897E-3</v>
      </c>
      <c r="F272" s="228"/>
      <c r="G272" s="245">
        <v>173.844528</v>
      </c>
      <c r="H272" s="228">
        <f t="shared" si="25"/>
        <v>-8.0312964593408642E-3</v>
      </c>
      <c r="J272" s="227"/>
      <c r="K272" s="245">
        <v>37.312976999999997</v>
      </c>
      <c r="L272" s="228">
        <f t="shared" si="26"/>
        <v>-7.1248790927802563E-4</v>
      </c>
      <c r="M272" s="228"/>
      <c r="N272" s="227"/>
      <c r="O272" s="322">
        <v>56.490001999999997</v>
      </c>
      <c r="P272" s="228">
        <f t="shared" si="27"/>
        <v>-2.3340214384509061E-2</v>
      </c>
      <c r="Q272" s="228"/>
      <c r="R272" s="227"/>
      <c r="S272" s="322">
        <v>210.470001</v>
      </c>
      <c r="T272" s="228">
        <f t="shared" si="28"/>
        <v>-1.2897476724052725E-2</v>
      </c>
      <c r="U272" s="228"/>
      <c r="V272" s="228"/>
      <c r="W272" s="228"/>
      <c r="X272" s="322">
        <v>101.650002</v>
      </c>
      <c r="Y272" s="228">
        <f t="shared" si="29"/>
        <v>-2.9779470166444666E-2</v>
      </c>
      <c r="Z272" s="228"/>
      <c r="AA272" s="202"/>
    </row>
    <row r="273" spans="2:27" x14ac:dyDescent="0.15">
      <c r="B273" s="241">
        <v>43059</v>
      </c>
      <c r="C273" s="244"/>
      <c r="D273" s="245">
        <v>55.123863</v>
      </c>
      <c r="E273" s="228">
        <f t="shared" si="24"/>
        <v>1.5225455232954488E-3</v>
      </c>
      <c r="F273" s="228"/>
      <c r="G273" s="245">
        <v>175.00138899999999</v>
      </c>
      <c r="H273" s="228">
        <f t="shared" si="25"/>
        <v>6.6545724119657645E-3</v>
      </c>
      <c r="J273" s="227"/>
      <c r="K273" s="245">
        <v>37.437145000000001</v>
      </c>
      <c r="L273" s="228">
        <f t="shared" si="26"/>
        <v>3.3277430530402885E-3</v>
      </c>
      <c r="M273" s="228"/>
      <c r="N273" s="227"/>
      <c r="O273" s="322">
        <v>57.619999</v>
      </c>
      <c r="P273" s="228">
        <f t="shared" si="27"/>
        <v>2.0003486634679213E-2</v>
      </c>
      <c r="Q273" s="228"/>
      <c r="R273" s="227"/>
      <c r="S273" s="322">
        <v>215.10000600000001</v>
      </c>
      <c r="T273" s="228">
        <f t="shared" si="28"/>
        <v>2.1998408219706445E-2</v>
      </c>
      <c r="U273" s="228"/>
      <c r="V273" s="228"/>
      <c r="W273" s="228"/>
      <c r="X273" s="322">
        <v>102.510002</v>
      </c>
      <c r="Y273" s="228">
        <f t="shared" si="29"/>
        <v>8.460403178349063E-3</v>
      </c>
      <c r="Z273" s="228"/>
      <c r="AA273" s="202"/>
    </row>
    <row r="274" spans="2:27" x14ac:dyDescent="0.15">
      <c r="B274" s="241">
        <v>43060</v>
      </c>
      <c r="C274" s="244"/>
      <c r="D274" s="245">
        <v>55.524189</v>
      </c>
      <c r="E274" s="228">
        <f t="shared" si="24"/>
        <v>7.2622994509654593E-3</v>
      </c>
      <c r="F274" s="228"/>
      <c r="G274" s="245">
        <v>178.70327800000001</v>
      </c>
      <c r="H274" s="228">
        <f t="shared" si="25"/>
        <v>2.1153483530350847E-2</v>
      </c>
      <c r="J274" s="227"/>
      <c r="K274" s="245">
        <v>37.765312000000002</v>
      </c>
      <c r="L274" s="228">
        <f t="shared" si="26"/>
        <v>8.7658126708112238E-3</v>
      </c>
      <c r="M274" s="228"/>
      <c r="N274" s="227"/>
      <c r="O274" s="322">
        <v>58.799999</v>
      </c>
      <c r="P274" s="228">
        <f t="shared" si="27"/>
        <v>2.0479000702516403E-2</v>
      </c>
      <c r="Q274" s="228"/>
      <c r="R274" s="227"/>
      <c r="S274" s="322">
        <v>218.91000399999999</v>
      </c>
      <c r="T274" s="228">
        <f t="shared" si="28"/>
        <v>1.7712681979190625E-2</v>
      </c>
      <c r="U274" s="228"/>
      <c r="V274" s="228"/>
      <c r="W274" s="228"/>
      <c r="X274" s="322">
        <v>104.730003</v>
      </c>
      <c r="Y274" s="228">
        <f t="shared" si="29"/>
        <v>2.1656433096157723E-2</v>
      </c>
      <c r="Z274" s="228"/>
      <c r="AA274" s="202"/>
    </row>
    <row r="275" spans="2:27" x14ac:dyDescent="0.15">
      <c r="B275" s="241">
        <v>43061</v>
      </c>
      <c r="C275" s="244"/>
      <c r="D275" s="245">
        <v>55.486935000000003</v>
      </c>
      <c r="E275" s="228">
        <f t="shared" si="24"/>
        <v>-6.7095081748957952E-4</v>
      </c>
      <c r="F275" s="228"/>
      <c r="G275" s="245">
        <v>176.418533</v>
      </c>
      <c r="H275" s="228">
        <f t="shared" si="25"/>
        <v>-1.2785132010840972E-2</v>
      </c>
      <c r="J275" s="227"/>
      <c r="K275" s="245">
        <v>37.614536000000001</v>
      </c>
      <c r="L275" s="228">
        <f t="shared" si="26"/>
        <v>-3.9924468252771073E-3</v>
      </c>
      <c r="M275" s="228"/>
      <c r="N275" s="227"/>
      <c r="O275" s="322">
        <v>57.68</v>
      </c>
      <c r="P275" s="228">
        <f t="shared" si="27"/>
        <v>-1.9047602364755112E-2</v>
      </c>
      <c r="Q275" s="228"/>
      <c r="R275" s="227"/>
      <c r="S275" s="322">
        <v>215.16999799999999</v>
      </c>
      <c r="T275" s="228">
        <f t="shared" si="28"/>
        <v>-1.7084673754791058E-2</v>
      </c>
      <c r="U275" s="228"/>
      <c r="V275" s="228"/>
      <c r="W275" s="228"/>
      <c r="X275" s="322">
        <v>104.470001</v>
      </c>
      <c r="Y275" s="228">
        <f t="shared" si="29"/>
        <v>-2.4825932641289183E-3</v>
      </c>
      <c r="Z275" s="228"/>
      <c r="AA275" s="202"/>
    </row>
    <row r="276" spans="2:27" x14ac:dyDescent="0.15">
      <c r="B276" s="241">
        <v>43063</v>
      </c>
      <c r="C276" s="244"/>
      <c r="D276" s="245">
        <v>55.580039999999997</v>
      </c>
      <c r="E276" s="228">
        <f t="shared" si="24"/>
        <v>1.6779625690261923E-3</v>
      </c>
      <c r="F276" s="228"/>
      <c r="G276" s="245">
        <v>179.667328</v>
      </c>
      <c r="H276" s="228">
        <f t="shared" si="25"/>
        <v>1.8415270463676192E-2</v>
      </c>
      <c r="J276" s="227"/>
      <c r="K276" s="245">
        <v>38.128948000000001</v>
      </c>
      <c r="L276" s="228">
        <f t="shared" si="26"/>
        <v>1.3675883174525838E-2</v>
      </c>
      <c r="M276" s="228"/>
      <c r="N276" s="227"/>
      <c r="O276" s="322">
        <v>57.91</v>
      </c>
      <c r="P276" s="228">
        <f t="shared" si="27"/>
        <v>3.9875173370318429E-3</v>
      </c>
      <c r="Q276" s="228"/>
      <c r="R276" s="227"/>
      <c r="S276" s="322">
        <v>216.83000200000001</v>
      </c>
      <c r="T276" s="228">
        <f t="shared" si="28"/>
        <v>7.7148487959739498E-3</v>
      </c>
      <c r="U276" s="228"/>
      <c r="V276" s="228"/>
      <c r="W276" s="228"/>
      <c r="X276" s="322">
        <v>105.040001</v>
      </c>
      <c r="Y276" s="228">
        <f t="shared" si="29"/>
        <v>5.4561117502047729E-3</v>
      </c>
      <c r="Z276" s="228"/>
      <c r="AA276" s="202"/>
    </row>
    <row r="277" spans="2:27" x14ac:dyDescent="0.15">
      <c r="B277" s="241">
        <v>43066</v>
      </c>
      <c r="C277" s="244"/>
      <c r="D277" s="245">
        <v>55.561419999999998</v>
      </c>
      <c r="E277" s="228">
        <f t="shared" si="24"/>
        <v>-3.3501235335564594E-4</v>
      </c>
      <c r="F277" s="228"/>
      <c r="G277" s="245">
        <v>178.07666</v>
      </c>
      <c r="H277" s="228">
        <f t="shared" si="25"/>
        <v>-8.8534071147314819E-3</v>
      </c>
      <c r="J277" s="227"/>
      <c r="K277" s="245">
        <v>36.443787</v>
      </c>
      <c r="L277" s="228">
        <f t="shared" si="26"/>
        <v>-4.4196367547302939E-2</v>
      </c>
      <c r="M277" s="228"/>
      <c r="N277" s="227"/>
      <c r="O277" s="322">
        <v>56.939999</v>
      </c>
      <c r="P277" s="228">
        <f t="shared" si="27"/>
        <v>-1.6750146779485386E-2</v>
      </c>
      <c r="Q277" s="228"/>
      <c r="R277" s="227"/>
      <c r="S277" s="322">
        <v>210.929993</v>
      </c>
      <c r="T277" s="228">
        <f t="shared" si="28"/>
        <v>-2.7210298139461409E-2</v>
      </c>
      <c r="U277" s="228"/>
      <c r="V277" s="228"/>
      <c r="W277" s="228"/>
      <c r="X277" s="322">
        <v>104.389999</v>
      </c>
      <c r="Y277" s="228">
        <f t="shared" si="29"/>
        <v>-6.1881377933346027E-3</v>
      </c>
      <c r="Z277" s="228"/>
      <c r="AA277" s="202"/>
    </row>
    <row r="278" spans="2:27" x14ac:dyDescent="0.15">
      <c r="B278" s="241">
        <v>43067</v>
      </c>
      <c r="C278" s="244"/>
      <c r="D278" s="245">
        <v>56.101394999999997</v>
      </c>
      <c r="E278" s="228">
        <f t="shared" si="24"/>
        <v>9.718524112594551E-3</v>
      </c>
      <c r="F278" s="228"/>
      <c r="G278" s="245">
        <v>177.66213999999999</v>
      </c>
      <c r="H278" s="228">
        <f t="shared" si="25"/>
        <v>-2.3277615382050199E-3</v>
      </c>
      <c r="J278" s="227"/>
      <c r="K278" s="245">
        <v>36.301879999999997</v>
      </c>
      <c r="L278" s="228">
        <f t="shared" si="26"/>
        <v>-3.8938598779540978E-3</v>
      </c>
      <c r="M278" s="228"/>
      <c r="N278" s="227"/>
      <c r="O278" s="322">
        <v>57.330002</v>
      </c>
      <c r="P278" s="228">
        <f t="shared" si="27"/>
        <v>6.8493678758230203E-3</v>
      </c>
      <c r="Q278" s="228"/>
      <c r="R278" s="227"/>
      <c r="S278" s="322">
        <v>213.13999899999999</v>
      </c>
      <c r="T278" s="228">
        <f t="shared" si="28"/>
        <v>1.047743836031878E-2</v>
      </c>
      <c r="U278" s="228"/>
      <c r="V278" s="228"/>
      <c r="W278" s="228"/>
      <c r="X278" s="322">
        <v>107.160004</v>
      </c>
      <c r="Y278" s="228">
        <f t="shared" si="29"/>
        <v>2.6535156878390254E-2</v>
      </c>
      <c r="Z278" s="228"/>
      <c r="AA278" s="202"/>
    </row>
    <row r="279" spans="2:27" x14ac:dyDescent="0.15">
      <c r="B279" s="241">
        <v>43068</v>
      </c>
      <c r="C279" s="244"/>
      <c r="D279" s="245">
        <v>56.120018000000002</v>
      </c>
      <c r="E279" s="228">
        <f t="shared" si="24"/>
        <v>3.3195252987927582E-4</v>
      </c>
      <c r="F279" s="228"/>
      <c r="G279" s="245">
        <v>166.238327</v>
      </c>
      <c r="H279" s="228">
        <f t="shared" si="25"/>
        <v>-6.4300773366796071E-2</v>
      </c>
      <c r="J279" s="227"/>
      <c r="K279" s="245">
        <v>34.953750999999997</v>
      </c>
      <c r="L279" s="228">
        <f t="shared" si="26"/>
        <v>-3.7136616615998985E-2</v>
      </c>
      <c r="M279" s="228"/>
      <c r="N279" s="227"/>
      <c r="O279" s="322">
        <v>52.91</v>
      </c>
      <c r="P279" s="228">
        <f t="shared" si="27"/>
        <v>-7.7097537865078114E-2</v>
      </c>
      <c r="Q279" s="228"/>
      <c r="R279" s="227"/>
      <c r="S279" s="322">
        <v>194.63999899999999</v>
      </c>
      <c r="T279" s="228">
        <f t="shared" si="28"/>
        <v>-8.6797410560183086E-2</v>
      </c>
      <c r="U279" s="228"/>
      <c r="V279" s="228"/>
      <c r="W279" s="228"/>
      <c r="X279" s="322">
        <v>100.349998</v>
      </c>
      <c r="Y279" s="228">
        <f t="shared" si="29"/>
        <v>-6.3549885645767579E-2</v>
      </c>
      <c r="Z279" s="228"/>
      <c r="AA279" s="202"/>
    </row>
    <row r="280" spans="2:27" x14ac:dyDescent="0.15">
      <c r="B280" s="241">
        <v>43069</v>
      </c>
      <c r="C280" s="244"/>
      <c r="D280" s="245">
        <v>56.520332000000003</v>
      </c>
      <c r="E280" s="228">
        <f t="shared" si="24"/>
        <v>7.1331766144480113E-3</v>
      </c>
      <c r="F280" s="228"/>
      <c r="G280" s="245">
        <v>169.20755</v>
      </c>
      <c r="H280" s="228">
        <f t="shared" si="25"/>
        <v>1.786124207084927E-2</v>
      </c>
      <c r="J280" s="227"/>
      <c r="K280" s="245">
        <v>35.122264999999999</v>
      </c>
      <c r="L280" s="228">
        <f t="shared" si="26"/>
        <v>4.8210562580250915E-3</v>
      </c>
      <c r="M280" s="228"/>
      <c r="N280" s="227"/>
      <c r="O280" s="322">
        <v>52.77</v>
      </c>
      <c r="P280" s="228">
        <f t="shared" si="27"/>
        <v>-2.6460026460025654E-3</v>
      </c>
      <c r="Q280" s="228"/>
      <c r="R280" s="227"/>
      <c r="S280" s="322">
        <v>192.33000200000001</v>
      </c>
      <c r="T280" s="228">
        <f t="shared" si="28"/>
        <v>-1.186804876627634E-2</v>
      </c>
      <c r="U280" s="228"/>
      <c r="V280" s="228"/>
      <c r="W280" s="228"/>
      <c r="X280" s="322">
        <v>102.239998</v>
      </c>
      <c r="Y280" s="228">
        <f t="shared" si="29"/>
        <v>1.8834081092856669E-2</v>
      </c>
      <c r="Z280" s="228"/>
      <c r="AA280" s="202"/>
    </row>
    <row r="281" spans="2:27" x14ac:dyDescent="0.15">
      <c r="B281" s="241">
        <v>43070</v>
      </c>
      <c r="C281" s="244"/>
      <c r="D281" s="245">
        <v>56.436549999999997</v>
      </c>
      <c r="E281" s="228">
        <f t="shared" si="24"/>
        <v>-1.4823338263477703E-3</v>
      </c>
      <c r="F281" s="228"/>
      <c r="G281" s="245">
        <v>166.228668</v>
      </c>
      <c r="H281" s="228">
        <f t="shared" si="25"/>
        <v>-1.7604900017759273E-2</v>
      </c>
      <c r="J281" s="227"/>
      <c r="K281" s="245">
        <v>35.210963999999997</v>
      </c>
      <c r="L281" s="228">
        <f t="shared" si="26"/>
        <v>2.5254350765817613E-3</v>
      </c>
      <c r="M281" s="228"/>
      <c r="N281" s="227"/>
      <c r="O281" s="322">
        <v>51.91</v>
      </c>
      <c r="P281" s="228">
        <f t="shared" si="27"/>
        <v>-1.6297138525677601E-2</v>
      </c>
      <c r="Q281" s="228"/>
      <c r="R281" s="227"/>
      <c r="S281" s="322">
        <v>187.80999800000001</v>
      </c>
      <c r="T281" s="228">
        <f t="shared" si="28"/>
        <v>-2.3501294405435469E-2</v>
      </c>
      <c r="U281" s="228"/>
      <c r="V281" s="228"/>
      <c r="W281" s="228"/>
      <c r="X281" s="322">
        <v>103.870003</v>
      </c>
      <c r="Y281" s="228">
        <f t="shared" si="29"/>
        <v>1.5942928715628524E-2</v>
      </c>
      <c r="Z281" s="228"/>
      <c r="AA281" s="202"/>
    </row>
    <row r="282" spans="2:27" x14ac:dyDescent="0.15">
      <c r="B282" s="241">
        <v>43073</v>
      </c>
      <c r="C282" s="244"/>
      <c r="D282" s="245">
        <v>56.362076000000002</v>
      </c>
      <c r="E282" s="228">
        <f t="shared" si="24"/>
        <v>-1.3196058228222007E-3</v>
      </c>
      <c r="F282" s="228"/>
      <c r="G282" s="245">
        <v>163.24015800000001</v>
      </c>
      <c r="H282" s="228">
        <f t="shared" si="25"/>
        <v>-1.7978306846566317E-2</v>
      </c>
      <c r="J282" s="227"/>
      <c r="K282" s="245">
        <v>34.936008000000001</v>
      </c>
      <c r="L282" s="228">
        <f t="shared" si="26"/>
        <v>-7.8088177307499285E-3</v>
      </c>
      <c r="M282" s="228"/>
      <c r="N282" s="227"/>
      <c r="O282" s="322">
        <v>49.77</v>
      </c>
      <c r="P282" s="228">
        <f t="shared" si="27"/>
        <v>-4.1225197457137264E-2</v>
      </c>
      <c r="Q282" s="228"/>
      <c r="R282" s="227"/>
      <c r="S282" s="322">
        <v>180.740005</v>
      </c>
      <c r="T282" s="228">
        <f t="shared" si="28"/>
        <v>-3.764439100840633E-2</v>
      </c>
      <c r="U282" s="228"/>
      <c r="V282" s="228"/>
      <c r="W282" s="228"/>
      <c r="X282" s="322">
        <v>100.879997</v>
      </c>
      <c r="Y282" s="228">
        <f t="shared" si="29"/>
        <v>-2.8786039411205167E-2</v>
      </c>
      <c r="Z282" s="228"/>
      <c r="AA282" s="202"/>
    </row>
    <row r="283" spans="2:27" x14ac:dyDescent="0.15">
      <c r="B283" s="241">
        <v>43074</v>
      </c>
      <c r="C283" s="244"/>
      <c r="D283" s="245">
        <v>56.101394999999997</v>
      </c>
      <c r="E283" s="228">
        <f t="shared" si="24"/>
        <v>-4.6251135249171238E-3</v>
      </c>
      <c r="F283" s="228"/>
      <c r="G283" s="245">
        <v>164.36807300000001</v>
      </c>
      <c r="H283" s="228">
        <f t="shared" si="25"/>
        <v>6.9095436675576938E-3</v>
      </c>
      <c r="J283" s="227"/>
      <c r="K283" s="245">
        <v>34.767502</v>
      </c>
      <c r="L283" s="228">
        <f t="shared" si="26"/>
        <v>-4.8232757446128316E-3</v>
      </c>
      <c r="M283" s="228"/>
      <c r="N283" s="227"/>
      <c r="O283" s="322">
        <v>50.080002</v>
      </c>
      <c r="P283" s="228">
        <f t="shared" si="27"/>
        <v>6.2286919831222587E-3</v>
      </c>
      <c r="Q283" s="228"/>
      <c r="R283" s="227"/>
      <c r="S283" s="322">
        <v>180.529999</v>
      </c>
      <c r="T283" s="228">
        <f t="shared" si="28"/>
        <v>-1.1619231724597778E-3</v>
      </c>
      <c r="U283" s="228"/>
      <c r="V283" s="228"/>
      <c r="W283" s="228"/>
      <c r="X283" s="322">
        <v>102.639999</v>
      </c>
      <c r="Y283" s="228">
        <f t="shared" si="29"/>
        <v>1.7446491399082831E-2</v>
      </c>
      <c r="Z283" s="228"/>
      <c r="AA283" s="202"/>
    </row>
    <row r="284" spans="2:27" x14ac:dyDescent="0.15">
      <c r="B284" s="241">
        <v>43075</v>
      </c>
      <c r="C284" s="244"/>
      <c r="D284" s="245">
        <v>56.082774999999998</v>
      </c>
      <c r="E284" s="228">
        <f t="shared" si="24"/>
        <v>-3.3189905527297725E-4</v>
      </c>
      <c r="F284" s="228"/>
      <c r="G284" s="245">
        <v>164.53196700000001</v>
      </c>
      <c r="H284" s="228">
        <f t="shared" si="25"/>
        <v>9.9711578415839774E-4</v>
      </c>
      <c r="J284" s="227"/>
      <c r="K284" s="245">
        <v>34.306297000000001</v>
      </c>
      <c r="L284" s="228">
        <f t="shared" si="26"/>
        <v>-1.3265405147600218E-2</v>
      </c>
      <c r="M284" s="228"/>
      <c r="N284" s="227"/>
      <c r="O284" s="322">
        <v>51.009998000000003</v>
      </c>
      <c r="P284" s="228">
        <f t="shared" si="27"/>
        <v>1.857020692611E-2</v>
      </c>
      <c r="Q284" s="228"/>
      <c r="R284" s="227"/>
      <c r="S284" s="322">
        <v>184.229996</v>
      </c>
      <c r="T284" s="228">
        <f t="shared" si="28"/>
        <v>2.0495192048386457E-2</v>
      </c>
      <c r="U284" s="228"/>
      <c r="V284" s="228"/>
      <c r="W284" s="228"/>
      <c r="X284" s="322">
        <v>102.739998</v>
      </c>
      <c r="Y284" s="228">
        <f t="shared" si="29"/>
        <v>9.7426930021682345E-4</v>
      </c>
      <c r="Z284" s="228"/>
      <c r="AA284" s="202"/>
    </row>
    <row r="285" spans="2:27" x14ac:dyDescent="0.15">
      <c r="B285" s="241">
        <v>43076</v>
      </c>
      <c r="C285" s="244"/>
      <c r="D285" s="245">
        <v>56.287590000000002</v>
      </c>
      <c r="E285" s="228">
        <f t="shared" si="24"/>
        <v>3.6520125831862593E-3</v>
      </c>
      <c r="F285" s="228"/>
      <c r="G285" s="245">
        <v>165.97799699999999</v>
      </c>
      <c r="H285" s="228">
        <f t="shared" si="25"/>
        <v>8.7887480248745042E-3</v>
      </c>
      <c r="J285" s="227"/>
      <c r="K285" s="245">
        <v>34.598979999999997</v>
      </c>
      <c r="L285" s="228">
        <f t="shared" si="26"/>
        <v>8.5314658122384035E-3</v>
      </c>
      <c r="M285" s="228"/>
      <c r="N285" s="227"/>
      <c r="O285" s="322">
        <v>52.299999</v>
      </c>
      <c r="P285" s="228">
        <f t="shared" si="27"/>
        <v>2.5289179583970922E-2</v>
      </c>
      <c r="Q285" s="228"/>
      <c r="R285" s="227"/>
      <c r="S285" s="322">
        <v>189.16000399999999</v>
      </c>
      <c r="T285" s="228">
        <f t="shared" si="28"/>
        <v>2.6760072230582743E-2</v>
      </c>
      <c r="U285" s="228"/>
      <c r="V285" s="228"/>
      <c r="W285" s="228"/>
      <c r="X285" s="322">
        <v>104.58000199999999</v>
      </c>
      <c r="Y285" s="228">
        <f t="shared" si="29"/>
        <v>1.7909324857101838E-2</v>
      </c>
      <c r="Z285" s="228"/>
      <c r="AA285" s="202"/>
    </row>
    <row r="286" spans="2:27" x14ac:dyDescent="0.15">
      <c r="B286" s="241">
        <v>43077</v>
      </c>
      <c r="C286" s="244"/>
      <c r="D286" s="245">
        <v>56.557578999999997</v>
      </c>
      <c r="E286" s="228">
        <f t="shared" si="24"/>
        <v>4.7965990371945377E-3</v>
      </c>
      <c r="F286" s="228"/>
      <c r="G286" s="245">
        <v>165.79484600000001</v>
      </c>
      <c r="H286" s="228">
        <f t="shared" si="25"/>
        <v>-1.1034655394713822E-3</v>
      </c>
      <c r="J286" s="227"/>
      <c r="K286" s="245">
        <v>34.590117999999997</v>
      </c>
      <c r="L286" s="228">
        <f t="shared" si="26"/>
        <v>-2.5613471842234059E-4</v>
      </c>
      <c r="M286" s="228"/>
      <c r="N286" s="227"/>
      <c r="O286" s="322">
        <v>51.43</v>
      </c>
      <c r="P286" s="228">
        <f t="shared" si="27"/>
        <v>-1.6634780432787433E-2</v>
      </c>
      <c r="Q286" s="228"/>
      <c r="R286" s="227"/>
      <c r="S286" s="322">
        <v>186.46000699999999</v>
      </c>
      <c r="T286" s="228">
        <f t="shared" si="28"/>
        <v>-1.4273614627328901E-2</v>
      </c>
      <c r="U286" s="228"/>
      <c r="V286" s="228"/>
      <c r="W286" s="228"/>
      <c r="X286" s="322">
        <v>103.980003</v>
      </c>
      <c r="Y286" s="228">
        <f t="shared" si="29"/>
        <v>-5.7372249811201703E-3</v>
      </c>
      <c r="Z286" s="228"/>
      <c r="AA286" s="202"/>
    </row>
    <row r="287" spans="2:27" x14ac:dyDescent="0.15">
      <c r="B287" s="241">
        <v>43080</v>
      </c>
      <c r="C287" s="244"/>
      <c r="D287" s="245">
        <v>56.715843</v>
      </c>
      <c r="E287" s="228">
        <f t="shared" si="24"/>
        <v>2.7982810226017119E-3</v>
      </c>
      <c r="F287" s="228"/>
      <c r="G287" s="245">
        <v>168.83157299999999</v>
      </c>
      <c r="H287" s="228">
        <f t="shared" si="25"/>
        <v>1.8316172506351425E-2</v>
      </c>
      <c r="J287" s="227"/>
      <c r="K287" s="245">
        <v>34.918273999999997</v>
      </c>
      <c r="L287" s="228">
        <f t="shared" si="26"/>
        <v>9.4869870059419714E-3</v>
      </c>
      <c r="M287" s="228"/>
      <c r="N287" s="227"/>
      <c r="O287" s="322">
        <v>51.619999</v>
      </c>
      <c r="P287" s="228">
        <f t="shared" si="27"/>
        <v>3.6943223799339453E-3</v>
      </c>
      <c r="Q287" s="228"/>
      <c r="R287" s="227"/>
      <c r="S287" s="322">
        <v>185.55999800000001</v>
      </c>
      <c r="T287" s="228">
        <f t="shared" si="28"/>
        <v>-4.8268205846414558E-3</v>
      </c>
      <c r="U287" s="228"/>
      <c r="V287" s="228"/>
      <c r="W287" s="228"/>
      <c r="X287" s="322">
        <v>103.849998</v>
      </c>
      <c r="Y287" s="228">
        <f t="shared" si="29"/>
        <v>-1.2502884809495463E-3</v>
      </c>
      <c r="Z287" s="228"/>
      <c r="AA287" s="202"/>
    </row>
    <row r="288" spans="2:27" x14ac:dyDescent="0.15">
      <c r="B288" s="241">
        <v>43081</v>
      </c>
      <c r="C288" s="244"/>
      <c r="D288" s="245">
        <v>56.781016999999999</v>
      </c>
      <c r="E288" s="228">
        <f t="shared" si="24"/>
        <v>1.1491321745846772E-3</v>
      </c>
      <c r="F288" s="228"/>
      <c r="G288" s="245">
        <v>165.96839900000001</v>
      </c>
      <c r="H288" s="228">
        <f t="shared" si="25"/>
        <v>-1.6958759248188682E-2</v>
      </c>
      <c r="J288" s="227"/>
      <c r="K288" s="245">
        <v>34.856189999999998</v>
      </c>
      <c r="L288" s="228">
        <f t="shared" si="26"/>
        <v>-1.7779802060089445E-3</v>
      </c>
      <c r="M288" s="228"/>
      <c r="N288" s="227"/>
      <c r="O288" s="322">
        <v>50.470001000000003</v>
      </c>
      <c r="P288" s="228">
        <f t="shared" si="27"/>
        <v>-2.2278148436229106E-2</v>
      </c>
      <c r="Q288" s="228"/>
      <c r="R288" s="227"/>
      <c r="S288" s="322">
        <v>181.570007</v>
      </c>
      <c r="T288" s="228">
        <f t="shared" si="28"/>
        <v>-2.1502430712464271E-2</v>
      </c>
      <c r="U288" s="228"/>
      <c r="V288" s="228"/>
      <c r="W288" s="228"/>
      <c r="X288" s="322">
        <v>103.05999799999999</v>
      </c>
      <c r="Y288" s="228">
        <f t="shared" si="29"/>
        <v>-7.6071258085147475E-3</v>
      </c>
      <c r="Z288" s="228"/>
      <c r="AA288" s="202"/>
    </row>
    <row r="289" spans="2:27" x14ac:dyDescent="0.15">
      <c r="B289" s="241">
        <v>43082</v>
      </c>
      <c r="C289" s="244"/>
      <c r="D289" s="245">
        <v>56.808945000000001</v>
      </c>
      <c r="E289" s="228">
        <f t="shared" si="24"/>
        <v>4.9185452243660777E-4</v>
      </c>
      <c r="F289" s="228"/>
      <c r="G289" s="245">
        <v>167.12522899999999</v>
      </c>
      <c r="H289" s="228">
        <f t="shared" si="25"/>
        <v>6.9701823176591127E-3</v>
      </c>
      <c r="J289" s="227"/>
      <c r="K289" s="245">
        <v>34.847321000000001</v>
      </c>
      <c r="L289" s="228">
        <f t="shared" si="26"/>
        <v>-2.5444548012842905E-4</v>
      </c>
      <c r="M289" s="228"/>
      <c r="N289" s="227"/>
      <c r="O289" s="322">
        <v>50.759998000000003</v>
      </c>
      <c r="P289" s="228">
        <f t="shared" si="27"/>
        <v>5.7459281603740031E-3</v>
      </c>
      <c r="Q289" s="228"/>
      <c r="R289" s="227"/>
      <c r="S289" s="322">
        <v>181.30999800000001</v>
      </c>
      <c r="T289" s="228">
        <f t="shared" si="28"/>
        <v>-1.4320041305059261E-3</v>
      </c>
      <c r="U289" s="228"/>
      <c r="V289" s="228"/>
      <c r="W289" s="228"/>
      <c r="X289" s="322">
        <v>103.870003</v>
      </c>
      <c r="Y289" s="228">
        <f t="shared" si="29"/>
        <v>7.8595479887357822E-3</v>
      </c>
      <c r="Z289" s="228"/>
      <c r="AA289" s="202"/>
    </row>
    <row r="290" spans="2:27" x14ac:dyDescent="0.15">
      <c r="B290" s="241">
        <v>43083</v>
      </c>
      <c r="C290" s="244"/>
      <c r="D290" s="245">
        <v>56.529651999999999</v>
      </c>
      <c r="E290" s="228">
        <f t="shared" si="24"/>
        <v>-4.9163560421691122E-3</v>
      </c>
      <c r="F290" s="228"/>
      <c r="G290" s="245">
        <v>165.727386</v>
      </c>
      <c r="H290" s="228">
        <f t="shared" si="25"/>
        <v>-8.3640453829983974E-3</v>
      </c>
      <c r="J290" s="227"/>
      <c r="K290" s="245">
        <v>34.944884999999999</v>
      </c>
      <c r="L290" s="228">
        <f t="shared" si="26"/>
        <v>2.7997561132460103E-3</v>
      </c>
      <c r="M290" s="228"/>
      <c r="N290" s="227"/>
      <c r="O290" s="322">
        <v>51.310001</v>
      </c>
      <c r="P290" s="228">
        <f t="shared" si="27"/>
        <v>1.0835362917074987E-2</v>
      </c>
      <c r="Q290" s="228"/>
      <c r="R290" s="227"/>
      <c r="S290" s="322">
        <v>182.10000600000001</v>
      </c>
      <c r="T290" s="228">
        <f t="shared" si="28"/>
        <v>4.3572224847743257E-3</v>
      </c>
      <c r="U290" s="228"/>
      <c r="V290" s="228"/>
      <c r="W290" s="228"/>
      <c r="X290" s="322">
        <v>104.41999800000001</v>
      </c>
      <c r="Y290" s="228">
        <f t="shared" si="29"/>
        <v>5.2950320989209043E-3</v>
      </c>
      <c r="Z290" s="228"/>
      <c r="AA290" s="202"/>
    </row>
    <row r="291" spans="2:27" x14ac:dyDescent="0.15">
      <c r="B291" s="241">
        <v>43084</v>
      </c>
      <c r="C291" s="244"/>
      <c r="D291" s="245">
        <v>57.013767000000001</v>
      </c>
      <c r="E291" s="228">
        <f t="shared" si="24"/>
        <v>8.5639126170458102E-3</v>
      </c>
      <c r="F291" s="228"/>
      <c r="G291" s="245">
        <v>167.549408</v>
      </c>
      <c r="H291" s="228">
        <f t="shared" si="25"/>
        <v>1.0994091224005631E-2</v>
      </c>
      <c r="J291" s="227"/>
      <c r="K291" s="245">
        <v>35.033580999999998</v>
      </c>
      <c r="L291" s="228">
        <f t="shared" si="26"/>
        <v>2.5381683184819703E-3</v>
      </c>
      <c r="M291" s="228"/>
      <c r="N291" s="227"/>
      <c r="O291" s="322">
        <v>52.540000999999997</v>
      </c>
      <c r="P291" s="228">
        <f t="shared" si="27"/>
        <v>2.3971934828065811E-2</v>
      </c>
      <c r="Q291" s="228"/>
      <c r="R291" s="227"/>
      <c r="S291" s="322">
        <v>186.320007</v>
      </c>
      <c r="T291" s="228">
        <f t="shared" si="28"/>
        <v>2.3174084903654579E-2</v>
      </c>
      <c r="U291" s="228"/>
      <c r="V291" s="228"/>
      <c r="W291" s="228"/>
      <c r="X291" s="322">
        <v>105.629997</v>
      </c>
      <c r="Y291" s="228">
        <f t="shared" si="29"/>
        <v>1.1587809070825683E-2</v>
      </c>
      <c r="Z291" s="228"/>
      <c r="AA291" s="202"/>
    </row>
    <row r="292" spans="2:27" x14ac:dyDescent="0.15">
      <c r="B292" s="241">
        <v>43087</v>
      </c>
      <c r="C292" s="244"/>
      <c r="D292" s="245">
        <v>57.442017</v>
      </c>
      <c r="E292" s="228">
        <f t="shared" si="24"/>
        <v>7.5113437075644551E-3</v>
      </c>
      <c r="F292" s="228"/>
      <c r="G292" s="245">
        <v>170.02697800000001</v>
      </c>
      <c r="H292" s="228">
        <f t="shared" si="25"/>
        <v>1.4787100889070315E-2</v>
      </c>
      <c r="J292" s="227"/>
      <c r="K292" s="245">
        <v>34.944884999999999</v>
      </c>
      <c r="L292" s="228">
        <f t="shared" si="26"/>
        <v>-2.5317423303087283E-3</v>
      </c>
      <c r="M292" s="228"/>
      <c r="N292" s="227"/>
      <c r="O292" s="322">
        <v>53.400002000000001</v>
      </c>
      <c r="P292" s="228">
        <f t="shared" si="27"/>
        <v>1.6368499878787635E-2</v>
      </c>
      <c r="Q292" s="228"/>
      <c r="R292" s="227"/>
      <c r="S292" s="322">
        <v>189.070007</v>
      </c>
      <c r="T292" s="228">
        <f t="shared" si="28"/>
        <v>1.4759552901906003E-2</v>
      </c>
      <c r="U292" s="228"/>
      <c r="V292" s="228"/>
      <c r="W292" s="228"/>
      <c r="X292" s="322">
        <v>111.220001</v>
      </c>
      <c r="Y292" s="228">
        <f t="shared" si="29"/>
        <v>5.2920611178280952E-2</v>
      </c>
      <c r="Z292" s="228"/>
      <c r="AA292" s="202"/>
    </row>
    <row r="293" spans="2:27" x14ac:dyDescent="0.15">
      <c r="B293" s="241">
        <v>43088</v>
      </c>
      <c r="C293" s="244"/>
      <c r="D293" s="245">
        <v>57.200637999999998</v>
      </c>
      <c r="E293" s="228">
        <f t="shared" si="24"/>
        <v>-4.2021330831750747E-3</v>
      </c>
      <c r="F293" s="228"/>
      <c r="G293" s="245">
        <v>170.66322299999999</v>
      </c>
      <c r="H293" s="228">
        <f t="shared" si="25"/>
        <v>3.74202380989197E-3</v>
      </c>
      <c r="J293" s="227"/>
      <c r="K293" s="245">
        <v>34.891669999999998</v>
      </c>
      <c r="L293" s="228">
        <f t="shared" si="26"/>
        <v>-1.5228265882117897E-3</v>
      </c>
      <c r="M293" s="228"/>
      <c r="N293" s="227"/>
      <c r="O293" s="322">
        <v>52.959999000000003</v>
      </c>
      <c r="P293" s="228">
        <f t="shared" si="27"/>
        <v>-8.2397562457019458E-3</v>
      </c>
      <c r="Q293" s="228"/>
      <c r="R293" s="227"/>
      <c r="S293" s="322">
        <v>186.11000100000001</v>
      </c>
      <c r="T293" s="228">
        <f t="shared" si="28"/>
        <v>-1.5655608454068548E-2</v>
      </c>
      <c r="U293" s="228"/>
      <c r="V293" s="228"/>
      <c r="W293" s="228"/>
      <c r="X293" s="322">
        <v>111.620003</v>
      </c>
      <c r="Y293" s="228">
        <f t="shared" si="29"/>
        <v>3.5964934040955132E-3</v>
      </c>
      <c r="Z293" s="228"/>
      <c r="AA293" s="202"/>
    </row>
    <row r="294" spans="2:27" x14ac:dyDescent="0.15">
      <c r="B294" s="241">
        <v>43089</v>
      </c>
      <c r="C294" s="244"/>
      <c r="D294" s="245">
        <v>57.191279999999999</v>
      </c>
      <c r="E294" s="228">
        <f t="shared" si="24"/>
        <v>-1.6359957383693668E-4</v>
      </c>
      <c r="F294" s="228"/>
      <c r="G294" s="245">
        <v>168.87013200000001</v>
      </c>
      <c r="H294" s="228">
        <f t="shared" si="25"/>
        <v>-1.050660457760122E-2</v>
      </c>
      <c r="J294" s="227"/>
      <c r="K294" s="245">
        <v>34.980365999999997</v>
      </c>
      <c r="L294" s="228">
        <f t="shared" si="26"/>
        <v>2.5420394036741456E-3</v>
      </c>
      <c r="M294" s="228"/>
      <c r="N294" s="227"/>
      <c r="O294" s="322">
        <v>53.290000999999997</v>
      </c>
      <c r="P294" s="228">
        <f t="shared" si="27"/>
        <v>6.2311557067815659E-3</v>
      </c>
      <c r="Q294" s="228"/>
      <c r="R294" s="227"/>
      <c r="S294" s="322">
        <v>188.83000200000001</v>
      </c>
      <c r="T294" s="228">
        <f t="shared" si="28"/>
        <v>1.4615017921578488E-2</v>
      </c>
      <c r="U294" s="228"/>
      <c r="V294" s="228"/>
      <c r="W294" s="228"/>
      <c r="X294" s="322">
        <v>112.449997</v>
      </c>
      <c r="Y294" s="228">
        <f t="shared" si="29"/>
        <v>7.4358894256614239E-3</v>
      </c>
      <c r="Z294" s="228"/>
      <c r="AA294" s="202"/>
    </row>
    <row r="295" spans="2:27" x14ac:dyDescent="0.15">
      <c r="B295" s="241">
        <v>43090</v>
      </c>
      <c r="C295" s="244"/>
      <c r="D295" s="245">
        <v>57.340977000000002</v>
      </c>
      <c r="E295" s="228">
        <f t="shared" si="24"/>
        <v>2.6174794479159047E-3</v>
      </c>
      <c r="F295" s="228"/>
      <c r="G295" s="245">
        <v>168.262787</v>
      </c>
      <c r="H295" s="228">
        <f t="shared" si="25"/>
        <v>-3.5965211420573295E-3</v>
      </c>
      <c r="J295" s="227"/>
      <c r="K295" s="245">
        <v>34.794102000000002</v>
      </c>
      <c r="L295" s="228">
        <f t="shared" si="26"/>
        <v>-5.324815640865288E-3</v>
      </c>
      <c r="M295" s="228"/>
      <c r="N295" s="227"/>
      <c r="O295" s="322">
        <v>51.889999000000003</v>
      </c>
      <c r="P295" s="228">
        <f t="shared" si="27"/>
        <v>-2.6271382505697383E-2</v>
      </c>
      <c r="Q295" s="228"/>
      <c r="R295" s="227"/>
      <c r="S295" s="322">
        <v>185.63999899999999</v>
      </c>
      <c r="T295" s="228">
        <f t="shared" si="28"/>
        <v>-1.6893517800206426E-2</v>
      </c>
      <c r="U295" s="228"/>
      <c r="V295" s="228"/>
      <c r="W295" s="228"/>
      <c r="X295" s="322">
        <v>108.620003</v>
      </c>
      <c r="Y295" s="228">
        <f t="shared" si="29"/>
        <v>-3.4059529588071014E-2</v>
      </c>
      <c r="Z295" s="228"/>
      <c r="AA295" s="202"/>
    </row>
    <row r="296" spans="2:27" x14ac:dyDescent="0.15">
      <c r="B296" s="241">
        <v>43091</v>
      </c>
      <c r="C296" s="244"/>
      <c r="D296" s="245">
        <v>57.322273000000003</v>
      </c>
      <c r="E296" s="228">
        <f t="shared" si="24"/>
        <v>-3.2618907068848735E-4</v>
      </c>
      <c r="F296" s="228"/>
      <c r="G296" s="245">
        <v>168.91833500000001</v>
      </c>
      <c r="H296" s="228">
        <f t="shared" si="25"/>
        <v>3.895977308399301E-3</v>
      </c>
      <c r="J296" s="227"/>
      <c r="K296" s="245">
        <v>35.148876000000001</v>
      </c>
      <c r="L296" s="228">
        <f t="shared" si="26"/>
        <v>1.0196383283580523E-2</v>
      </c>
      <c r="M296" s="228"/>
      <c r="N296" s="227"/>
      <c r="O296" s="322">
        <v>52.060001</v>
      </c>
      <c r="P296" s="228">
        <f t="shared" si="27"/>
        <v>3.2761997162495948E-3</v>
      </c>
      <c r="Q296" s="228"/>
      <c r="R296" s="227"/>
      <c r="S296" s="322">
        <v>186.69000199999999</v>
      </c>
      <c r="T296" s="228">
        <f t="shared" si="28"/>
        <v>5.6561247880635435E-3</v>
      </c>
      <c r="U296" s="228"/>
      <c r="V296" s="228"/>
      <c r="W296" s="228"/>
      <c r="X296" s="322">
        <v>109.32</v>
      </c>
      <c r="Y296" s="228">
        <f t="shared" si="29"/>
        <v>6.444457564597883E-3</v>
      </c>
      <c r="Z296" s="228"/>
      <c r="AA296" s="202"/>
    </row>
    <row r="297" spans="2:27" x14ac:dyDescent="0.15">
      <c r="B297" s="241">
        <v>43095</v>
      </c>
      <c r="C297" s="244"/>
      <c r="D297" s="245">
        <v>57.275489999999998</v>
      </c>
      <c r="E297" s="228">
        <f t="shared" si="24"/>
        <v>-8.1614000198504399E-4</v>
      </c>
      <c r="F297" s="228"/>
      <c r="G297" s="245">
        <v>166.86492899999999</v>
      </c>
      <c r="H297" s="228">
        <f t="shared" si="25"/>
        <v>-1.2156205541571485E-2</v>
      </c>
      <c r="J297" s="227"/>
      <c r="K297" s="245">
        <v>34.545765000000003</v>
      </c>
      <c r="L297" s="228">
        <f t="shared" si="26"/>
        <v>-1.7158756371042916E-2</v>
      </c>
      <c r="M297" s="228"/>
      <c r="N297" s="227"/>
      <c r="O297" s="322">
        <v>51.049999</v>
      </c>
      <c r="P297" s="228">
        <f t="shared" si="27"/>
        <v>-1.9400729554346352E-2</v>
      </c>
      <c r="Q297" s="228"/>
      <c r="R297" s="227"/>
      <c r="S297" s="322">
        <v>184.30999800000001</v>
      </c>
      <c r="T297" s="228">
        <f t="shared" si="28"/>
        <v>-1.2748427738513701E-2</v>
      </c>
      <c r="U297" s="228"/>
      <c r="V297" s="228"/>
      <c r="W297" s="228"/>
      <c r="X297" s="322">
        <v>107.650002</v>
      </c>
      <c r="Y297" s="228">
        <f t="shared" si="29"/>
        <v>-1.5276234906695829E-2</v>
      </c>
      <c r="Z297" s="228"/>
      <c r="AA297" s="202"/>
    </row>
    <row r="298" spans="2:27" x14ac:dyDescent="0.15">
      <c r="B298" s="241">
        <v>43096</v>
      </c>
      <c r="C298" s="244"/>
      <c r="D298" s="245">
        <v>57.294201000000001</v>
      </c>
      <c r="E298" s="228">
        <f t="shared" si="24"/>
        <v>3.2668424137449747E-4</v>
      </c>
      <c r="F298" s="228"/>
      <c r="G298" s="245">
        <v>167.78076200000001</v>
      </c>
      <c r="H298" s="228">
        <f t="shared" si="25"/>
        <v>5.488469059906631E-3</v>
      </c>
      <c r="J298" s="227"/>
      <c r="K298" s="245">
        <v>34.661068</v>
      </c>
      <c r="L298" s="228">
        <f t="shared" si="26"/>
        <v>3.3376884257736439E-3</v>
      </c>
      <c r="M298" s="228"/>
      <c r="N298" s="227"/>
      <c r="O298" s="322">
        <v>51.68</v>
      </c>
      <c r="P298" s="228">
        <f t="shared" si="27"/>
        <v>1.2340862141838604E-2</v>
      </c>
      <c r="Q298" s="228"/>
      <c r="R298" s="227"/>
      <c r="S298" s="322">
        <v>185.36999499999999</v>
      </c>
      <c r="T298" s="228">
        <f t="shared" si="28"/>
        <v>5.7511638625267203E-3</v>
      </c>
      <c r="U298" s="228"/>
      <c r="V298" s="228"/>
      <c r="W298" s="228"/>
      <c r="X298" s="322">
        <v>107.279999</v>
      </c>
      <c r="Y298" s="228">
        <f t="shared" si="29"/>
        <v>-3.4370923653117558E-3</v>
      </c>
      <c r="Z298" s="228"/>
      <c r="AA298" s="202"/>
    </row>
    <row r="299" spans="2:27" x14ac:dyDescent="0.15">
      <c r="B299" s="241">
        <v>43097</v>
      </c>
      <c r="C299" s="244"/>
      <c r="D299" s="245">
        <v>57.425182</v>
      </c>
      <c r="E299" s="228">
        <f t="shared" si="24"/>
        <v>2.2861126905320273E-3</v>
      </c>
      <c r="F299" s="228"/>
      <c r="G299" s="245">
        <v>167.93499800000001</v>
      </c>
      <c r="H299" s="228">
        <f t="shared" si="25"/>
        <v>9.1927106636924272E-4</v>
      </c>
      <c r="J299" s="227"/>
      <c r="K299" s="245">
        <v>35.246437</v>
      </c>
      <c r="L299" s="228">
        <f t="shared" si="26"/>
        <v>1.6888371702799221E-2</v>
      </c>
      <c r="M299" s="228"/>
      <c r="N299" s="227"/>
      <c r="O299" s="322">
        <v>51.720001000000003</v>
      </c>
      <c r="P299" s="228">
        <f t="shared" si="27"/>
        <v>7.7401315789482616E-4</v>
      </c>
      <c r="Q299" s="228"/>
      <c r="R299" s="227"/>
      <c r="S299" s="322">
        <v>185.53999300000001</v>
      </c>
      <c r="T299" s="228">
        <f t="shared" si="28"/>
        <v>9.1707398492424375E-4</v>
      </c>
      <c r="U299" s="228"/>
      <c r="V299" s="228"/>
      <c r="W299" s="228"/>
      <c r="X299" s="322">
        <v>107.849998</v>
      </c>
      <c r="Y299" s="228">
        <f t="shared" si="29"/>
        <v>5.3131898332698935E-3</v>
      </c>
      <c r="Z299" s="228"/>
      <c r="AA299" s="202"/>
    </row>
    <row r="300" spans="2:27" x14ac:dyDescent="0.15">
      <c r="B300" s="241">
        <v>43098</v>
      </c>
      <c r="C300" s="244"/>
      <c r="D300" s="245">
        <v>57.200637999999998</v>
      </c>
      <c r="E300" s="228">
        <f t="shared" si="24"/>
        <v>-3.9102009289234685E-3</v>
      </c>
      <c r="F300" s="228"/>
      <c r="G300" s="245">
        <v>167.56869499999999</v>
      </c>
      <c r="H300" s="228">
        <f t="shared" si="25"/>
        <v>-2.1812189499654799E-3</v>
      </c>
      <c r="J300" s="227"/>
      <c r="K300" s="245">
        <v>35.166618</v>
      </c>
      <c r="L300" s="228">
        <f t="shared" si="26"/>
        <v>-2.2645976953642455E-3</v>
      </c>
      <c r="M300" s="228"/>
      <c r="N300" s="227"/>
      <c r="O300" s="322">
        <v>51.119999</v>
      </c>
      <c r="P300" s="228">
        <f t="shared" si="27"/>
        <v>-1.1600966519702993E-2</v>
      </c>
      <c r="Q300" s="228"/>
      <c r="R300" s="227"/>
      <c r="S300" s="322">
        <v>184.070007</v>
      </c>
      <c r="T300" s="228">
        <f t="shared" si="28"/>
        <v>-7.9227447205951762E-3</v>
      </c>
      <c r="U300" s="228"/>
      <c r="V300" s="228"/>
      <c r="W300" s="228"/>
      <c r="X300" s="322">
        <v>105.07</v>
      </c>
      <c r="Y300" s="228">
        <f t="shared" si="29"/>
        <v>-2.5776523426546571E-2</v>
      </c>
      <c r="Z300" s="228"/>
      <c r="AA300" s="202"/>
    </row>
    <row r="301" spans="2:27" x14ac:dyDescent="0.15">
      <c r="B301" s="241">
        <v>43102</v>
      </c>
      <c r="C301" s="244"/>
      <c r="D301" s="245">
        <v>57.612301000000002</v>
      </c>
      <c r="E301" s="228">
        <f t="shared" si="24"/>
        <v>7.1968253221232903E-3</v>
      </c>
      <c r="F301" s="228"/>
      <c r="G301" s="245">
        <v>171.33807400000001</v>
      </c>
      <c r="H301" s="228">
        <f t="shared" si="25"/>
        <v>2.2494529780756611E-2</v>
      </c>
      <c r="J301" s="227"/>
      <c r="K301" s="245">
        <v>36.381706000000001</v>
      </c>
      <c r="L301" s="228">
        <f t="shared" si="26"/>
        <v>3.4552313219315067E-2</v>
      </c>
      <c r="M301" s="228"/>
      <c r="N301" s="227"/>
      <c r="O301" s="322">
        <v>53.040000999999997</v>
      </c>
      <c r="P301" s="228">
        <f t="shared" si="27"/>
        <v>3.7558725304356777E-2</v>
      </c>
      <c r="Q301" s="228"/>
      <c r="R301" s="227"/>
      <c r="S301" s="322">
        <v>189.279999</v>
      </c>
      <c r="T301" s="228">
        <f t="shared" si="28"/>
        <v>2.8304404856137166E-2</v>
      </c>
      <c r="U301" s="228"/>
      <c r="V301" s="228"/>
      <c r="W301" s="228"/>
      <c r="X301" s="322">
        <v>106.129997</v>
      </c>
      <c r="Y301" s="228">
        <f t="shared" si="29"/>
        <v>1.0088483867897624E-2</v>
      </c>
      <c r="Z301" s="228"/>
      <c r="AA301" s="202"/>
    </row>
    <row r="302" spans="2:27" x14ac:dyDescent="0.15">
      <c r="B302" s="241">
        <v>43103</v>
      </c>
      <c r="C302" s="244"/>
      <c r="D302" s="245">
        <v>57.930385999999999</v>
      </c>
      <c r="E302" s="228">
        <f t="shared" si="24"/>
        <v>5.5211299406352499E-3</v>
      </c>
      <c r="F302" s="228"/>
      <c r="G302" s="245">
        <v>172.639511</v>
      </c>
      <c r="H302" s="228">
        <f t="shared" si="25"/>
        <v>7.5957256295526854E-3</v>
      </c>
      <c r="J302" s="227"/>
      <c r="K302" s="245">
        <v>36.993675000000003</v>
      </c>
      <c r="L302" s="228">
        <f t="shared" si="26"/>
        <v>1.6820788997635283E-2</v>
      </c>
      <c r="M302" s="228"/>
      <c r="N302" s="227"/>
      <c r="O302" s="322">
        <v>53.98</v>
      </c>
      <c r="P302" s="228">
        <f t="shared" si="27"/>
        <v>1.772245441699738E-2</v>
      </c>
      <c r="Q302" s="228"/>
      <c r="R302" s="227"/>
      <c r="S302" s="322">
        <v>192.5</v>
      </c>
      <c r="T302" s="228">
        <f t="shared" si="28"/>
        <v>1.7011839692581576E-2</v>
      </c>
      <c r="U302" s="228"/>
      <c r="V302" s="228"/>
      <c r="W302" s="228"/>
      <c r="X302" s="322">
        <v>107.370003</v>
      </c>
      <c r="Y302" s="228">
        <f t="shared" si="29"/>
        <v>1.1683840903151888E-2</v>
      </c>
      <c r="Z302" s="228"/>
      <c r="AA302" s="202"/>
    </row>
    <row r="303" spans="2:27" x14ac:dyDescent="0.15">
      <c r="B303" s="241">
        <v>43104</v>
      </c>
      <c r="C303" s="244"/>
      <c r="D303" s="245">
        <v>58.136208000000003</v>
      </c>
      <c r="E303" s="228">
        <f t="shared" si="24"/>
        <v>3.5529195334553787E-3</v>
      </c>
      <c r="F303" s="228"/>
      <c r="G303" s="245">
        <v>174.24945099999999</v>
      </c>
      <c r="H303" s="228">
        <f t="shared" si="25"/>
        <v>9.3254434669940434E-3</v>
      </c>
      <c r="J303" s="227"/>
      <c r="K303" s="245">
        <v>36.798565000000004</v>
      </c>
      <c r="L303" s="228">
        <f t="shared" si="26"/>
        <v>-5.2741448369214572E-3</v>
      </c>
      <c r="M303" s="228"/>
      <c r="N303" s="227"/>
      <c r="O303" s="322">
        <v>54.290000999999997</v>
      </c>
      <c r="P303" s="228">
        <f t="shared" si="27"/>
        <v>5.7428862541681891E-3</v>
      </c>
      <c r="Q303" s="228"/>
      <c r="R303" s="227"/>
      <c r="S303" s="322">
        <v>193.38000500000001</v>
      </c>
      <c r="T303" s="228">
        <f t="shared" si="28"/>
        <v>4.5714545454547117E-3</v>
      </c>
      <c r="U303" s="228"/>
      <c r="V303" s="228"/>
      <c r="W303" s="228"/>
      <c r="X303" s="322">
        <v>107.55999799999999</v>
      </c>
      <c r="Y303" s="228">
        <f t="shared" si="29"/>
        <v>1.7695352024904576E-3</v>
      </c>
      <c r="Z303" s="228"/>
      <c r="AA303" s="202"/>
    </row>
    <row r="304" spans="2:27" x14ac:dyDescent="0.15">
      <c r="B304" s="241">
        <v>43105</v>
      </c>
      <c r="C304" s="244"/>
      <c r="D304" s="245">
        <v>58.491734000000001</v>
      </c>
      <c r="E304" s="228">
        <f t="shared" si="24"/>
        <v>6.1153971377010397E-3</v>
      </c>
      <c r="F304" s="228"/>
      <c r="G304" s="245">
        <v>176.29319799999999</v>
      </c>
      <c r="H304" s="228">
        <f t="shared" si="25"/>
        <v>1.1728857613445109E-2</v>
      </c>
      <c r="J304" s="227"/>
      <c r="K304" s="245">
        <v>37.658878000000001</v>
      </c>
      <c r="L304" s="228">
        <f t="shared" si="26"/>
        <v>2.3378982305424012E-2</v>
      </c>
      <c r="M304" s="228"/>
      <c r="N304" s="227"/>
      <c r="O304" s="322">
        <v>54.599997999999999</v>
      </c>
      <c r="P304" s="228">
        <f t="shared" si="27"/>
        <v>5.7100201563820008E-3</v>
      </c>
      <c r="Q304" s="228"/>
      <c r="R304" s="227"/>
      <c r="S304" s="322">
        <v>196.39999399999999</v>
      </c>
      <c r="T304" s="228">
        <f t="shared" si="28"/>
        <v>1.561686276717178E-2</v>
      </c>
      <c r="U304" s="228"/>
      <c r="V304" s="228"/>
      <c r="W304" s="228"/>
      <c r="X304" s="322">
        <v>109.860001</v>
      </c>
      <c r="Y304" s="228">
        <f t="shared" si="29"/>
        <v>2.1383442197535185E-2</v>
      </c>
      <c r="Z304" s="228"/>
      <c r="AA304" s="202"/>
    </row>
    <row r="305" spans="2:27" x14ac:dyDescent="0.15">
      <c r="B305" s="241">
        <v>43108</v>
      </c>
      <c r="C305" s="244"/>
      <c r="D305" s="245">
        <v>58.613349999999997</v>
      </c>
      <c r="E305" s="228">
        <f t="shared" si="24"/>
        <v>2.0791997720566169E-3</v>
      </c>
      <c r="F305" s="228"/>
      <c r="G305" s="245">
        <v>177.218658</v>
      </c>
      <c r="H305" s="228">
        <f t="shared" si="25"/>
        <v>5.2495502407303718E-3</v>
      </c>
      <c r="J305" s="227"/>
      <c r="K305" s="245">
        <v>37.641136000000003</v>
      </c>
      <c r="L305" s="228">
        <f t="shared" si="26"/>
        <v>-4.7112396710269344E-4</v>
      </c>
      <c r="M305" s="228"/>
      <c r="N305" s="227"/>
      <c r="O305" s="322">
        <v>55.919998</v>
      </c>
      <c r="P305" s="228">
        <f t="shared" si="27"/>
        <v>2.4175825061385492E-2</v>
      </c>
      <c r="Q305" s="228"/>
      <c r="R305" s="227"/>
      <c r="S305" s="322">
        <v>197.88000500000001</v>
      </c>
      <c r="T305" s="228">
        <f t="shared" si="28"/>
        <v>7.5356977862230945E-3</v>
      </c>
      <c r="U305" s="228"/>
      <c r="V305" s="228"/>
      <c r="W305" s="228"/>
      <c r="X305" s="322">
        <v>110.160004</v>
      </c>
      <c r="Y305" s="228">
        <f t="shared" si="29"/>
        <v>2.730775507639116E-3</v>
      </c>
      <c r="Z305" s="228"/>
      <c r="AA305" s="202"/>
    </row>
    <row r="306" spans="2:27" x14ac:dyDescent="0.15">
      <c r="B306" s="241">
        <v>43109</v>
      </c>
      <c r="C306" s="244"/>
      <c r="D306" s="245">
        <v>58.725619999999999</v>
      </c>
      <c r="E306" s="228">
        <f t="shared" si="24"/>
        <v>1.915433941243716E-3</v>
      </c>
      <c r="F306" s="228"/>
      <c r="G306" s="245">
        <v>176.26426699999999</v>
      </c>
      <c r="H306" s="228">
        <f t="shared" si="25"/>
        <v>-5.385386678641968E-3</v>
      </c>
      <c r="J306" s="227"/>
      <c r="K306" s="245">
        <v>37.410538000000003</v>
      </c>
      <c r="L306" s="228">
        <f t="shared" si="26"/>
        <v>-6.1262231830623293E-3</v>
      </c>
      <c r="M306" s="228"/>
      <c r="N306" s="227"/>
      <c r="O306" s="322">
        <v>54.860000999999997</v>
      </c>
      <c r="P306" s="228">
        <f t="shared" si="27"/>
        <v>-1.8955597959785409E-2</v>
      </c>
      <c r="Q306" s="228"/>
      <c r="R306" s="227"/>
      <c r="S306" s="322">
        <v>197.570007</v>
      </c>
      <c r="T306" s="228">
        <f t="shared" si="28"/>
        <v>-1.5665958771327038E-3</v>
      </c>
      <c r="U306" s="228"/>
      <c r="V306" s="228"/>
      <c r="W306" s="228"/>
      <c r="X306" s="322">
        <v>109.199997</v>
      </c>
      <c r="Y306" s="228">
        <f t="shared" si="29"/>
        <v>-8.7146601773907539E-3</v>
      </c>
      <c r="Z306" s="228"/>
      <c r="AA306" s="202"/>
    </row>
    <row r="307" spans="2:27" x14ac:dyDescent="0.15">
      <c r="B307" s="241">
        <v>43110</v>
      </c>
      <c r="C307" s="244"/>
      <c r="D307" s="245">
        <v>58.641415000000002</v>
      </c>
      <c r="E307" s="228">
        <f t="shared" si="24"/>
        <v>-1.433871621959848E-3</v>
      </c>
      <c r="F307" s="228"/>
      <c r="G307" s="245">
        <v>174.210892</v>
      </c>
      <c r="H307" s="228">
        <f t="shared" si="25"/>
        <v>-1.164941161897548E-2</v>
      </c>
      <c r="J307" s="227"/>
      <c r="K307" s="245">
        <v>36.630038999999996</v>
      </c>
      <c r="L307" s="228">
        <f t="shared" si="26"/>
        <v>-2.086307874000648E-2</v>
      </c>
      <c r="M307" s="228"/>
      <c r="N307" s="227"/>
      <c r="O307" s="322">
        <v>53.299999</v>
      </c>
      <c r="P307" s="228">
        <f t="shared" si="27"/>
        <v>-2.8436054895441876E-2</v>
      </c>
      <c r="Q307" s="228"/>
      <c r="R307" s="227"/>
      <c r="S307" s="322">
        <v>191.66000399999999</v>
      </c>
      <c r="T307" s="228">
        <f t="shared" si="28"/>
        <v>-2.9913462522679457E-2</v>
      </c>
      <c r="U307" s="228"/>
      <c r="V307" s="228"/>
      <c r="W307" s="228"/>
      <c r="X307" s="322">
        <v>106.279999</v>
      </c>
      <c r="Y307" s="228">
        <f t="shared" si="29"/>
        <v>-2.6739909159521291E-2</v>
      </c>
      <c r="Z307" s="228"/>
      <c r="AA307" s="202"/>
    </row>
    <row r="308" spans="2:27" x14ac:dyDescent="0.15">
      <c r="B308" s="241">
        <v>43111</v>
      </c>
      <c r="C308" s="244"/>
      <c r="D308" s="245">
        <v>59.099842000000002</v>
      </c>
      <c r="E308" s="228">
        <f t="shared" si="24"/>
        <v>7.8174614306287804E-3</v>
      </c>
      <c r="F308" s="228"/>
      <c r="G308" s="245">
        <v>172.12855500000001</v>
      </c>
      <c r="H308" s="228">
        <f t="shared" si="25"/>
        <v>-1.1952966752503569E-2</v>
      </c>
      <c r="J308" s="227"/>
      <c r="K308" s="245">
        <v>36.390568000000002</v>
      </c>
      <c r="L308" s="228">
        <f t="shared" si="26"/>
        <v>-6.5375578770198173E-3</v>
      </c>
      <c r="M308" s="228"/>
      <c r="N308" s="227"/>
      <c r="O308" s="322">
        <v>53.200001</v>
      </c>
      <c r="P308" s="228">
        <f t="shared" si="27"/>
        <v>-1.8761351196272535E-3</v>
      </c>
      <c r="Q308" s="228"/>
      <c r="R308" s="227"/>
      <c r="S308" s="322">
        <v>189.11999499999999</v>
      </c>
      <c r="T308" s="228">
        <f t="shared" si="28"/>
        <v>-1.3252681555824264E-2</v>
      </c>
      <c r="U308" s="228"/>
      <c r="V308" s="228"/>
      <c r="W308" s="228"/>
      <c r="X308" s="322">
        <v>106.239998</v>
      </c>
      <c r="Y308" s="228">
        <f t="shared" si="29"/>
        <v>-3.7637373331178559E-4</v>
      </c>
      <c r="Z308" s="228"/>
      <c r="AA308" s="202"/>
    </row>
    <row r="309" spans="2:27" x14ac:dyDescent="0.15">
      <c r="B309" s="241">
        <v>43112</v>
      </c>
      <c r="C309" s="244"/>
      <c r="D309" s="245">
        <v>59.502136</v>
      </c>
      <c r="E309" s="228">
        <f t="shared" si="24"/>
        <v>6.8070232742754033E-3</v>
      </c>
      <c r="F309" s="228"/>
      <c r="G309" s="245">
        <v>174.36514299999999</v>
      </c>
      <c r="H309" s="228">
        <f t="shared" si="25"/>
        <v>1.2993706941884176E-2</v>
      </c>
      <c r="J309" s="227"/>
      <c r="K309" s="245">
        <v>36.532482000000002</v>
      </c>
      <c r="L309" s="228">
        <f t="shared" si="26"/>
        <v>3.8997467695476296E-3</v>
      </c>
      <c r="M309" s="228"/>
      <c r="N309" s="227"/>
      <c r="O309" s="322">
        <v>53.450001</v>
      </c>
      <c r="P309" s="228">
        <f t="shared" si="27"/>
        <v>4.6992480319689722E-3</v>
      </c>
      <c r="Q309" s="228"/>
      <c r="R309" s="227"/>
      <c r="S309" s="322">
        <v>188.509995</v>
      </c>
      <c r="T309" s="228">
        <f t="shared" si="28"/>
        <v>-3.2254653983042614E-3</v>
      </c>
      <c r="U309" s="228"/>
      <c r="V309" s="228"/>
      <c r="W309" s="228"/>
      <c r="X309" s="322">
        <v>107.290001</v>
      </c>
      <c r="Y309" s="228">
        <f t="shared" si="29"/>
        <v>9.8833115565382101E-3</v>
      </c>
      <c r="Z309" s="228"/>
      <c r="AA309" s="202"/>
    </row>
    <row r="310" spans="2:27" x14ac:dyDescent="0.15">
      <c r="B310" s="241">
        <v>43116</v>
      </c>
      <c r="C310" s="244"/>
      <c r="D310" s="245">
        <v>59.221469999999997</v>
      </c>
      <c r="E310" s="228">
        <f t="shared" si="24"/>
        <v>-4.7169062972798326E-3</v>
      </c>
      <c r="F310" s="228"/>
      <c r="G310" s="245">
        <v>179.67695599999999</v>
      </c>
      <c r="H310" s="228">
        <f t="shared" si="25"/>
        <v>3.0463732077460115E-2</v>
      </c>
      <c r="J310" s="227"/>
      <c r="K310" s="245">
        <v>37.454884</v>
      </c>
      <c r="L310" s="228">
        <f t="shared" si="26"/>
        <v>2.5248818298192699E-2</v>
      </c>
      <c r="M310" s="228"/>
      <c r="N310" s="227"/>
      <c r="O310" s="322">
        <v>54.5</v>
      </c>
      <c r="P310" s="228">
        <f t="shared" si="27"/>
        <v>1.9644508519279569E-2</v>
      </c>
      <c r="Q310" s="228"/>
      <c r="R310" s="227"/>
      <c r="S310" s="322">
        <v>190.38999899999999</v>
      </c>
      <c r="T310" s="228">
        <f t="shared" si="28"/>
        <v>9.9729672158761495E-3</v>
      </c>
      <c r="U310" s="228"/>
      <c r="V310" s="228"/>
      <c r="W310" s="228"/>
      <c r="X310" s="322">
        <v>107.660004</v>
      </c>
      <c r="Y310" s="228">
        <f t="shared" si="29"/>
        <v>3.4486251892196229E-3</v>
      </c>
      <c r="Z310" s="228"/>
      <c r="AA310" s="202"/>
    </row>
    <row r="311" spans="2:27" x14ac:dyDescent="0.15">
      <c r="B311" s="241">
        <v>43117</v>
      </c>
      <c r="C311" s="244"/>
      <c r="D311" s="245">
        <v>59.764102999999999</v>
      </c>
      <c r="E311" s="228">
        <f t="shared" si="24"/>
        <v>9.1627749192986219E-3</v>
      </c>
      <c r="F311" s="228"/>
      <c r="G311" s="245">
        <v>192.016617</v>
      </c>
      <c r="H311" s="228">
        <f t="shared" si="25"/>
        <v>6.8676925938126354E-2</v>
      </c>
      <c r="J311" s="227"/>
      <c r="K311" s="245">
        <v>38.253120000000003</v>
      </c>
      <c r="L311" s="228">
        <f t="shared" si="26"/>
        <v>2.1311933578542108E-2</v>
      </c>
      <c r="M311" s="228"/>
      <c r="N311" s="227"/>
      <c r="O311" s="322">
        <v>57.34</v>
      </c>
      <c r="P311" s="228">
        <f t="shared" si="27"/>
        <v>5.2110091743119424E-2</v>
      </c>
      <c r="Q311" s="228"/>
      <c r="R311" s="227"/>
      <c r="S311" s="322">
        <v>205.08000200000001</v>
      </c>
      <c r="T311" s="228">
        <f t="shared" si="28"/>
        <v>7.7157429892102725E-2</v>
      </c>
      <c r="U311" s="228"/>
      <c r="V311" s="228"/>
      <c r="W311" s="228"/>
      <c r="X311" s="322">
        <v>113.489998</v>
      </c>
      <c r="Y311" s="228">
        <f t="shared" si="29"/>
        <v>5.4151902130711305E-2</v>
      </c>
      <c r="Z311" s="228"/>
      <c r="AA311" s="202"/>
    </row>
    <row r="312" spans="2:27" x14ac:dyDescent="0.15">
      <c r="B312" s="241">
        <v>43118</v>
      </c>
      <c r="C312" s="244"/>
      <c r="D312" s="245">
        <v>59.661189999999998</v>
      </c>
      <c r="E312" s="228">
        <f t="shared" si="24"/>
        <v>-1.7219868589009035E-3</v>
      </c>
      <c r="F312" s="228"/>
      <c r="G312" s="245">
        <v>196.04629499999999</v>
      </c>
      <c r="H312" s="228">
        <f t="shared" si="25"/>
        <v>2.0986089969494692E-2</v>
      </c>
      <c r="J312" s="227"/>
      <c r="K312" s="245">
        <v>39.530289000000003</v>
      </c>
      <c r="L312" s="228">
        <f t="shared" si="26"/>
        <v>3.3387315858157463E-2</v>
      </c>
      <c r="M312" s="228"/>
      <c r="N312" s="227"/>
      <c r="O312" s="322">
        <v>57.400002000000001</v>
      </c>
      <c r="P312" s="228">
        <f t="shared" si="27"/>
        <v>1.046424834321602E-3</v>
      </c>
      <c r="Q312" s="228"/>
      <c r="R312" s="227"/>
      <c r="S312" s="322">
        <v>205.449997</v>
      </c>
      <c r="T312" s="228">
        <f t="shared" si="28"/>
        <v>1.8041495825613652E-3</v>
      </c>
      <c r="U312" s="228"/>
      <c r="V312" s="228"/>
      <c r="W312" s="228"/>
      <c r="X312" s="322">
        <v>114.650002</v>
      </c>
      <c r="Y312" s="228">
        <f t="shared" si="29"/>
        <v>1.0221200285861265E-2</v>
      </c>
      <c r="Z312" s="228"/>
      <c r="AA312" s="202"/>
    </row>
    <row r="313" spans="2:27" x14ac:dyDescent="0.15">
      <c r="B313" s="241">
        <v>43119</v>
      </c>
      <c r="C313" s="244"/>
      <c r="D313" s="245">
        <v>59.979281999999998</v>
      </c>
      <c r="E313" s="228">
        <f t="shared" si="24"/>
        <v>5.3316402170322519E-3</v>
      </c>
      <c r="F313" s="228"/>
      <c r="G313" s="245">
        <v>198.12858600000001</v>
      </c>
      <c r="H313" s="228">
        <f t="shared" si="25"/>
        <v>1.0621424903745513E-2</v>
      </c>
      <c r="J313" s="227"/>
      <c r="K313" s="245">
        <v>39.618977000000001</v>
      </c>
      <c r="L313" s="228">
        <f t="shared" si="26"/>
        <v>2.2435454494147411E-3</v>
      </c>
      <c r="M313" s="228"/>
      <c r="N313" s="227"/>
      <c r="O313" s="322">
        <v>57.400002000000001</v>
      </c>
      <c r="P313" s="228">
        <f t="shared" si="27"/>
        <v>0</v>
      </c>
      <c r="Q313" s="228"/>
      <c r="R313" s="227"/>
      <c r="S313" s="322">
        <v>207.529999</v>
      </c>
      <c r="T313" s="228">
        <f t="shared" si="28"/>
        <v>1.0124127672778815E-2</v>
      </c>
      <c r="U313" s="228"/>
      <c r="V313" s="228"/>
      <c r="W313" s="228"/>
      <c r="X313" s="322">
        <v>115.019997</v>
      </c>
      <c r="Y313" s="228">
        <f t="shared" si="29"/>
        <v>3.2271695904548814E-3</v>
      </c>
      <c r="Z313" s="228"/>
      <c r="AA313" s="202"/>
    </row>
    <row r="314" spans="2:27" x14ac:dyDescent="0.15">
      <c r="B314" s="241">
        <v>43122</v>
      </c>
      <c r="C314" s="244"/>
      <c r="D314" s="245">
        <v>60.456425000000003</v>
      </c>
      <c r="E314" s="228">
        <f t="shared" si="24"/>
        <v>7.9551302398053192E-3</v>
      </c>
      <c r="F314" s="228"/>
      <c r="G314" s="245">
        <v>198.14788799999999</v>
      </c>
      <c r="H314" s="228">
        <f t="shared" si="25"/>
        <v>9.7421580548706643E-5</v>
      </c>
      <c r="J314" s="227"/>
      <c r="K314" s="245">
        <v>41.135627999999997</v>
      </c>
      <c r="L314" s="228">
        <f t="shared" si="26"/>
        <v>3.8280922801211981E-2</v>
      </c>
      <c r="M314" s="228"/>
      <c r="N314" s="227"/>
      <c r="O314" s="322">
        <v>57.459999000000003</v>
      </c>
      <c r="P314" s="228">
        <f t="shared" si="27"/>
        <v>1.0452438660193408E-3</v>
      </c>
      <c r="Q314" s="228"/>
      <c r="R314" s="227"/>
      <c r="S314" s="322">
        <v>209.19000199999999</v>
      </c>
      <c r="T314" s="228">
        <f t="shared" si="28"/>
        <v>7.9988580349772409E-3</v>
      </c>
      <c r="U314" s="228"/>
      <c r="V314" s="228"/>
      <c r="W314" s="228"/>
      <c r="X314" s="322">
        <v>114.589996</v>
      </c>
      <c r="Y314" s="228">
        <f t="shared" si="29"/>
        <v>-3.7384890559508666E-3</v>
      </c>
      <c r="Z314" s="228"/>
      <c r="AA314" s="202"/>
    </row>
    <row r="315" spans="2:27" x14ac:dyDescent="0.15">
      <c r="B315" s="241">
        <v>43123</v>
      </c>
      <c r="C315" s="244"/>
      <c r="D315" s="245">
        <v>60.606113000000001</v>
      </c>
      <c r="E315" s="228">
        <f t="shared" si="24"/>
        <v>2.4759651269488092E-3</v>
      </c>
      <c r="F315" s="228"/>
      <c r="G315" s="245">
        <v>198.04184000000001</v>
      </c>
      <c r="H315" s="228">
        <f t="shared" si="25"/>
        <v>-5.3519621667619255E-4</v>
      </c>
      <c r="J315" s="227"/>
      <c r="K315" s="245">
        <v>41.046936000000002</v>
      </c>
      <c r="L315" s="228">
        <f t="shared" si="26"/>
        <v>-2.1560871758173894E-3</v>
      </c>
      <c r="M315" s="228"/>
      <c r="N315" s="227"/>
      <c r="O315" s="322">
        <v>57.790000999999997</v>
      </c>
      <c r="P315" s="228">
        <f t="shared" si="27"/>
        <v>5.7431605594004953E-3</v>
      </c>
      <c r="Q315" s="228"/>
      <c r="R315" s="227"/>
      <c r="S315" s="322">
        <v>215.070007</v>
      </c>
      <c r="T315" s="228">
        <f t="shared" si="28"/>
        <v>2.8108441817405794E-2</v>
      </c>
      <c r="U315" s="228"/>
      <c r="V315" s="228"/>
      <c r="W315" s="228"/>
      <c r="X315" s="322">
        <v>116.010002</v>
      </c>
      <c r="Y315" s="228">
        <f t="shared" si="29"/>
        <v>1.2392059076431039E-2</v>
      </c>
      <c r="Z315" s="228"/>
      <c r="AA315" s="202"/>
    </row>
    <row r="316" spans="2:27" x14ac:dyDescent="0.15">
      <c r="B316" s="241">
        <v>43124</v>
      </c>
      <c r="C316" s="244"/>
      <c r="D316" s="245">
        <v>60.549979999999998</v>
      </c>
      <c r="E316" s="228">
        <f t="shared" si="24"/>
        <v>-9.2619369930557749E-4</v>
      </c>
      <c r="F316" s="228"/>
      <c r="G316" s="245">
        <v>194.976212</v>
      </c>
      <c r="H316" s="228">
        <f t="shared" si="25"/>
        <v>-1.5479698633379724E-2</v>
      </c>
      <c r="J316" s="227"/>
      <c r="K316" s="245">
        <v>40.204357000000002</v>
      </c>
      <c r="L316" s="228">
        <f t="shared" si="26"/>
        <v>-2.0527208169691447E-2</v>
      </c>
      <c r="M316" s="228"/>
      <c r="N316" s="227"/>
      <c r="O316" s="322">
        <v>56.880001</v>
      </c>
      <c r="P316" s="228">
        <f t="shared" si="27"/>
        <v>-1.5746668701389965E-2</v>
      </c>
      <c r="Q316" s="228"/>
      <c r="R316" s="227"/>
      <c r="S316" s="322">
        <v>209.729996</v>
      </c>
      <c r="T316" s="228">
        <f t="shared" si="28"/>
        <v>-2.4829175739042086E-2</v>
      </c>
      <c r="U316" s="228"/>
      <c r="V316" s="228"/>
      <c r="W316" s="228"/>
      <c r="X316" s="322">
        <v>114.93</v>
      </c>
      <c r="Y316" s="228">
        <f t="shared" si="29"/>
        <v>-9.3095593602351423E-3</v>
      </c>
      <c r="Z316" s="228"/>
      <c r="AA316" s="202"/>
    </row>
    <row r="317" spans="2:27" x14ac:dyDescent="0.15">
      <c r="B317" s="241">
        <v>43125</v>
      </c>
      <c r="C317" s="244"/>
      <c r="D317" s="245">
        <v>60.559330000000003</v>
      </c>
      <c r="E317" s="228">
        <f t="shared" si="24"/>
        <v>1.5441788750392149E-4</v>
      </c>
      <c r="F317" s="228"/>
      <c r="G317" s="245">
        <v>193.60728499999999</v>
      </c>
      <c r="H317" s="228">
        <f t="shared" si="25"/>
        <v>-7.0209949509123515E-3</v>
      </c>
      <c r="J317" s="227"/>
      <c r="K317" s="245">
        <v>40.000359000000003</v>
      </c>
      <c r="L317" s="228">
        <f t="shared" si="26"/>
        <v>-5.0740271757112598E-3</v>
      </c>
      <c r="M317" s="228"/>
      <c r="N317" s="227"/>
      <c r="O317" s="322">
        <v>55.759998000000003</v>
      </c>
      <c r="P317" s="228">
        <f t="shared" si="27"/>
        <v>-1.969062904903951E-2</v>
      </c>
      <c r="Q317" s="228"/>
      <c r="R317" s="227"/>
      <c r="S317" s="322">
        <v>199.25</v>
      </c>
      <c r="T317" s="228">
        <f t="shared" si="28"/>
        <v>-4.9968989652772411E-2</v>
      </c>
      <c r="U317" s="228"/>
      <c r="V317" s="228"/>
      <c r="W317" s="228"/>
      <c r="X317" s="322">
        <v>113.089996</v>
      </c>
      <c r="Y317" s="228">
        <f t="shared" si="29"/>
        <v>-1.6009779866005491E-2</v>
      </c>
      <c r="Z317" s="228"/>
      <c r="AA317" s="202"/>
    </row>
    <row r="318" spans="2:27" x14ac:dyDescent="0.15">
      <c r="B318" s="241">
        <v>43126</v>
      </c>
      <c r="C318" s="244"/>
      <c r="D318" s="245">
        <v>61.186169</v>
      </c>
      <c r="E318" s="228">
        <f t="shared" si="24"/>
        <v>1.0350824555027227E-2</v>
      </c>
      <c r="F318" s="228"/>
      <c r="G318" s="245">
        <v>199.08300800000001</v>
      </c>
      <c r="H318" s="228">
        <f t="shared" si="25"/>
        <v>2.8282628931034282E-2</v>
      </c>
      <c r="J318" s="227"/>
      <c r="K318" s="245">
        <v>40.550258999999997</v>
      </c>
      <c r="L318" s="228">
        <f t="shared" si="26"/>
        <v>1.3747376617294638E-2</v>
      </c>
      <c r="M318" s="228"/>
      <c r="N318" s="227"/>
      <c r="O318" s="322">
        <v>57.119999</v>
      </c>
      <c r="P318" s="228">
        <f t="shared" si="27"/>
        <v>2.4390262711271982E-2</v>
      </c>
      <c r="Q318" s="228"/>
      <c r="R318" s="227"/>
      <c r="S318" s="322">
        <v>202.570007</v>
      </c>
      <c r="T318" s="228">
        <f t="shared" si="28"/>
        <v>1.6662519447929736E-2</v>
      </c>
      <c r="U318" s="228"/>
      <c r="V318" s="228"/>
      <c r="W318" s="228"/>
      <c r="X318" s="322">
        <v>113.44000200000001</v>
      </c>
      <c r="Y318" s="228">
        <f t="shared" si="29"/>
        <v>3.0949333484813213E-3</v>
      </c>
      <c r="Z318" s="228"/>
      <c r="AA318" s="202"/>
    </row>
    <row r="319" spans="2:27" x14ac:dyDescent="0.15">
      <c r="B319" s="241">
        <v>43129</v>
      </c>
      <c r="C319" s="244"/>
      <c r="D319" s="245">
        <v>60.774501999999998</v>
      </c>
      <c r="E319" s="228">
        <f t="shared" si="24"/>
        <v>-6.7281054971753962E-3</v>
      </c>
      <c r="F319" s="228"/>
      <c r="G319" s="245">
        <v>196.682571</v>
      </c>
      <c r="H319" s="228">
        <f t="shared" si="25"/>
        <v>-1.2057468008520367E-2</v>
      </c>
      <c r="J319" s="227"/>
      <c r="K319" s="245">
        <v>40.266444999999997</v>
      </c>
      <c r="L319" s="228">
        <f t="shared" si="26"/>
        <v>-6.9990675028733795E-3</v>
      </c>
      <c r="M319" s="228"/>
      <c r="N319" s="227"/>
      <c r="O319" s="322">
        <v>55.330002</v>
      </c>
      <c r="P319" s="228">
        <f t="shared" si="27"/>
        <v>-3.1337483041622649E-2</v>
      </c>
      <c r="Q319" s="228"/>
      <c r="R319" s="227"/>
      <c r="S319" s="322">
        <v>195.970001</v>
      </c>
      <c r="T319" s="228">
        <f t="shared" si="28"/>
        <v>-3.25813584041591E-2</v>
      </c>
      <c r="U319" s="228"/>
      <c r="V319" s="228"/>
      <c r="W319" s="228"/>
      <c r="X319" s="322">
        <v>112.129997</v>
      </c>
      <c r="Y319" s="228">
        <f t="shared" si="29"/>
        <v>-1.1547998738575482E-2</v>
      </c>
      <c r="Z319" s="228"/>
      <c r="AA319" s="202"/>
    </row>
    <row r="320" spans="2:27" x14ac:dyDescent="0.15">
      <c r="B320" s="241">
        <v>43130</v>
      </c>
      <c r="C320" s="244"/>
      <c r="D320" s="245">
        <v>60.138331999999998</v>
      </c>
      <c r="E320" s="228">
        <f t="shared" si="24"/>
        <v>-1.0467712265252338E-2</v>
      </c>
      <c r="F320" s="228"/>
      <c r="G320" s="245">
        <v>193.028854</v>
      </c>
      <c r="H320" s="228">
        <f t="shared" si="25"/>
        <v>-1.8576719744018422E-2</v>
      </c>
      <c r="J320" s="227"/>
      <c r="K320" s="245">
        <v>39.805236999999998</v>
      </c>
      <c r="L320" s="228">
        <f t="shared" si="26"/>
        <v>-1.1453904112965541E-2</v>
      </c>
      <c r="M320" s="228"/>
      <c r="N320" s="227"/>
      <c r="O320" s="322">
        <v>53.380001</v>
      </c>
      <c r="P320" s="228">
        <f t="shared" si="27"/>
        <v>-3.5243103732401804E-2</v>
      </c>
      <c r="Q320" s="228"/>
      <c r="R320" s="227"/>
      <c r="S320" s="322">
        <v>191.08000200000001</v>
      </c>
      <c r="T320" s="228">
        <f t="shared" si="28"/>
        <v>-2.4952793667638917E-2</v>
      </c>
      <c r="U320" s="228"/>
      <c r="V320" s="228"/>
      <c r="W320" s="228"/>
      <c r="X320" s="322">
        <v>109.410004</v>
      </c>
      <c r="Y320" s="228">
        <f t="shared" si="29"/>
        <v>-2.425749641284658E-2</v>
      </c>
      <c r="Z320" s="228"/>
      <c r="AA320" s="202"/>
    </row>
    <row r="321" spans="2:27" x14ac:dyDescent="0.15">
      <c r="B321" s="241">
        <v>43131</v>
      </c>
      <c r="C321" s="244"/>
      <c r="D321" s="245">
        <v>60.185101000000003</v>
      </c>
      <c r="E321" s="228">
        <f t="shared" si="24"/>
        <v>7.7769034232622047E-4</v>
      </c>
      <c r="F321" s="228"/>
      <c r="G321" s="245">
        <v>195.660675</v>
      </c>
      <c r="H321" s="228">
        <f t="shared" si="25"/>
        <v>1.3634339869209366E-2</v>
      </c>
      <c r="J321" s="227"/>
      <c r="K321" s="245">
        <v>40.186619</v>
      </c>
      <c r="L321" s="228">
        <f t="shared" si="26"/>
        <v>9.5812015891276747E-3</v>
      </c>
      <c r="M321" s="228"/>
      <c r="N321" s="227"/>
      <c r="O321" s="322">
        <v>53.630001</v>
      </c>
      <c r="P321" s="228">
        <f t="shared" si="27"/>
        <v>4.6834019354926593E-3</v>
      </c>
      <c r="Q321" s="228"/>
      <c r="R321" s="227"/>
      <c r="S321" s="322">
        <v>191.520004</v>
      </c>
      <c r="T321" s="228">
        <f t="shared" si="28"/>
        <v>2.3027108823245879E-3</v>
      </c>
      <c r="U321" s="228"/>
      <c r="V321" s="228"/>
      <c r="W321" s="228"/>
      <c r="X321" s="322">
        <v>109.800003</v>
      </c>
      <c r="Y321" s="228">
        <f t="shared" si="29"/>
        <v>3.5645643519033321E-3</v>
      </c>
      <c r="Z321" s="228"/>
      <c r="AA321" s="202"/>
    </row>
    <row r="322" spans="2:27" x14ac:dyDescent="0.15">
      <c r="B322" s="241">
        <v>43132</v>
      </c>
      <c r="C322" s="244"/>
      <c r="D322" s="245">
        <v>60.128962999999999</v>
      </c>
      <c r="E322" s="228">
        <f t="shared" si="24"/>
        <v>-9.3275576624862744E-4</v>
      </c>
      <c r="F322" s="228"/>
      <c r="G322" s="245">
        <v>194.17605599999999</v>
      </c>
      <c r="H322" s="228">
        <f t="shared" si="25"/>
        <v>-7.5877229801032398E-3</v>
      </c>
      <c r="J322" s="227"/>
      <c r="K322" s="245">
        <v>40.310786999999998</v>
      </c>
      <c r="L322" s="228">
        <f t="shared" si="26"/>
        <v>3.0897846867883327E-3</v>
      </c>
      <c r="M322" s="228"/>
      <c r="N322" s="227"/>
      <c r="O322" s="322">
        <v>53.279998999999997</v>
      </c>
      <c r="P322" s="228">
        <f t="shared" si="27"/>
        <v>-6.5262351943644603E-3</v>
      </c>
      <c r="Q322" s="228"/>
      <c r="R322" s="227"/>
      <c r="S322" s="322">
        <v>189.11000100000001</v>
      </c>
      <c r="T322" s="228">
        <f t="shared" si="28"/>
        <v>-1.2583557590151173E-2</v>
      </c>
      <c r="U322" s="228"/>
      <c r="V322" s="228"/>
      <c r="W322" s="228"/>
      <c r="X322" s="322">
        <v>111.150002</v>
      </c>
      <c r="Y322" s="228">
        <f t="shared" si="29"/>
        <v>1.229507252381401E-2</v>
      </c>
      <c r="Z322" s="228"/>
      <c r="AA322" s="202"/>
    </row>
    <row r="323" spans="2:27" x14ac:dyDescent="0.15">
      <c r="B323" s="241">
        <v>43133</v>
      </c>
      <c r="C323" s="244"/>
      <c r="D323" s="245">
        <v>58.875304999999997</v>
      </c>
      <c r="E323" s="228">
        <f t="shared" si="24"/>
        <v>-2.0849486461291589E-2</v>
      </c>
      <c r="F323" s="228"/>
      <c r="G323" s="245">
        <v>187.57243299999999</v>
      </c>
      <c r="H323" s="228">
        <f t="shared" si="25"/>
        <v>-3.4008430988010208E-2</v>
      </c>
      <c r="J323" s="227"/>
      <c r="K323" s="245">
        <v>39.477069999999998</v>
      </c>
      <c r="L323" s="228">
        <f t="shared" si="26"/>
        <v>-2.0682230788498401E-2</v>
      </c>
      <c r="M323" s="228"/>
      <c r="N323" s="227"/>
      <c r="O323" s="322">
        <v>50.68</v>
      </c>
      <c r="P323" s="228">
        <f t="shared" si="27"/>
        <v>-4.8798780945923048E-2</v>
      </c>
      <c r="Q323" s="228"/>
      <c r="R323" s="227"/>
      <c r="S323" s="322">
        <v>179.05999800000001</v>
      </c>
      <c r="T323" s="228">
        <f t="shared" si="28"/>
        <v>-5.3143688577316439E-2</v>
      </c>
      <c r="U323" s="228"/>
      <c r="V323" s="228"/>
      <c r="W323" s="228"/>
      <c r="X323" s="322">
        <v>106.519997</v>
      </c>
      <c r="Y323" s="228">
        <f t="shared" si="29"/>
        <v>-4.1655464837508482E-2</v>
      </c>
      <c r="Z323" s="228"/>
      <c r="AA323" s="202"/>
    </row>
    <row r="324" spans="2:27" x14ac:dyDescent="0.15">
      <c r="B324" s="241">
        <v>43136</v>
      </c>
      <c r="C324" s="244"/>
      <c r="D324" s="245">
        <v>56.536388000000002</v>
      </c>
      <c r="E324" s="228">
        <f t="shared" si="24"/>
        <v>-3.9726622223018593E-2</v>
      </c>
      <c r="F324" s="228"/>
      <c r="G324" s="245">
        <v>179.966171</v>
      </c>
      <c r="H324" s="228">
        <f t="shared" si="25"/>
        <v>-4.0551065411621456E-2</v>
      </c>
      <c r="J324" s="227"/>
      <c r="K324" s="245">
        <v>38.093474999999998</v>
      </c>
      <c r="L324" s="228">
        <f t="shared" si="26"/>
        <v>-3.5048067143787498E-2</v>
      </c>
      <c r="M324" s="228"/>
      <c r="N324" s="227"/>
      <c r="O324" s="322">
        <v>48.310001</v>
      </c>
      <c r="P324" s="228">
        <f t="shared" si="27"/>
        <v>-4.6763989739542211E-2</v>
      </c>
      <c r="Q324" s="228"/>
      <c r="R324" s="227"/>
      <c r="S324" s="322">
        <v>170.35000600000001</v>
      </c>
      <c r="T324" s="228">
        <f t="shared" si="28"/>
        <v>-4.8642868855611199E-2</v>
      </c>
      <c r="U324" s="228"/>
      <c r="V324" s="228"/>
      <c r="W324" s="228"/>
      <c r="X324" s="322">
        <v>101.199997</v>
      </c>
      <c r="Y324" s="228">
        <f t="shared" si="29"/>
        <v>-4.9943673956355905E-2</v>
      </c>
      <c r="Z324" s="228"/>
      <c r="AA324" s="202"/>
    </row>
    <row r="325" spans="2:27" x14ac:dyDescent="0.15">
      <c r="B325" s="241">
        <v>43137</v>
      </c>
      <c r="C325" s="244"/>
      <c r="D325" s="245">
        <v>57.453246999999998</v>
      </c>
      <c r="E325" s="228">
        <f t="shared" si="24"/>
        <v>1.6217148502659873E-2</v>
      </c>
      <c r="F325" s="228"/>
      <c r="G325" s="245">
        <v>187.12893700000001</v>
      </c>
      <c r="H325" s="228">
        <f t="shared" si="25"/>
        <v>3.9800624529595652E-2</v>
      </c>
      <c r="J325" s="227"/>
      <c r="K325" s="245">
        <v>38.661105999999997</v>
      </c>
      <c r="L325" s="228">
        <f t="shared" si="26"/>
        <v>1.4901003387062906E-2</v>
      </c>
      <c r="M325" s="228"/>
      <c r="N325" s="227"/>
      <c r="O325" s="322">
        <v>50.25</v>
      </c>
      <c r="P325" s="228">
        <f t="shared" si="27"/>
        <v>4.0157295794715386E-2</v>
      </c>
      <c r="Q325" s="228"/>
      <c r="R325" s="227"/>
      <c r="S325" s="322">
        <v>178.33999600000001</v>
      </c>
      <c r="T325" s="228">
        <f t="shared" si="28"/>
        <v>4.6903373751568944E-2</v>
      </c>
      <c r="U325" s="228"/>
      <c r="V325" s="228"/>
      <c r="W325" s="228"/>
      <c r="X325" s="322">
        <v>105.230003</v>
      </c>
      <c r="Y325" s="228">
        <f t="shared" si="29"/>
        <v>3.982219485638927E-2</v>
      </c>
      <c r="Z325" s="228"/>
      <c r="AA325" s="202"/>
    </row>
    <row r="326" spans="2:27" x14ac:dyDescent="0.15">
      <c r="B326" s="241">
        <v>43138</v>
      </c>
      <c r="C326" s="244"/>
      <c r="D326" s="245">
        <v>57.247410000000002</v>
      </c>
      <c r="E326" s="228">
        <f t="shared" si="24"/>
        <v>-3.5826869802501049E-3</v>
      </c>
      <c r="F326" s="228"/>
      <c r="G326" s="245">
        <v>180.41926599999999</v>
      </c>
      <c r="H326" s="228">
        <f t="shared" si="25"/>
        <v>-3.5855870864055728E-2</v>
      </c>
      <c r="J326" s="227"/>
      <c r="K326" s="245">
        <v>37.144455000000001</v>
      </c>
      <c r="L326" s="228">
        <f t="shared" si="26"/>
        <v>-3.9229374348473067E-2</v>
      </c>
      <c r="M326" s="228"/>
      <c r="N326" s="227"/>
      <c r="O326" s="322">
        <v>48.689999</v>
      </c>
      <c r="P326" s="228">
        <f t="shared" si="27"/>
        <v>-3.1044796019900511E-2</v>
      </c>
      <c r="Q326" s="228"/>
      <c r="R326" s="227"/>
      <c r="S326" s="322">
        <v>171.63000500000001</v>
      </c>
      <c r="T326" s="228">
        <f t="shared" si="28"/>
        <v>-3.7624712069635802E-2</v>
      </c>
      <c r="U326" s="228"/>
      <c r="V326" s="228"/>
      <c r="W326" s="228"/>
      <c r="X326" s="322">
        <v>102.660004</v>
      </c>
      <c r="Y326" s="228">
        <f t="shared" si="29"/>
        <v>-2.4422682949082453E-2</v>
      </c>
      <c r="Z326" s="228"/>
      <c r="AA326" s="202"/>
    </row>
    <row r="327" spans="2:27" x14ac:dyDescent="0.15">
      <c r="B327" s="241">
        <v>43139</v>
      </c>
      <c r="C327" s="244"/>
      <c r="D327" s="245">
        <v>55.142386999999999</v>
      </c>
      <c r="E327" s="228">
        <f t="shared" si="24"/>
        <v>-3.6770624208152025E-2</v>
      </c>
      <c r="F327" s="228"/>
      <c r="G327" s="245">
        <v>173.429993</v>
      </c>
      <c r="H327" s="228">
        <f t="shared" si="25"/>
        <v>-3.8739061270762543E-2</v>
      </c>
      <c r="J327" s="227"/>
      <c r="K327" s="245">
        <v>35.796332999999997</v>
      </c>
      <c r="L327" s="228">
        <f t="shared" si="26"/>
        <v>-3.6294030966398716E-2</v>
      </c>
      <c r="M327" s="228"/>
      <c r="N327" s="227"/>
      <c r="O327" s="322">
        <v>45.75</v>
      </c>
      <c r="P327" s="228">
        <f t="shared" si="27"/>
        <v>-6.0381989328034291E-2</v>
      </c>
      <c r="Q327" s="228"/>
      <c r="R327" s="227"/>
      <c r="S327" s="322">
        <v>162.229996</v>
      </c>
      <c r="T327" s="228">
        <f t="shared" si="28"/>
        <v>-5.4769030624919002E-2</v>
      </c>
      <c r="U327" s="228"/>
      <c r="V327" s="228"/>
      <c r="W327" s="228"/>
      <c r="X327" s="322">
        <v>98.540001000000004</v>
      </c>
      <c r="Y327" s="228">
        <f t="shared" si="29"/>
        <v>-4.0132503793785079E-2</v>
      </c>
      <c r="Z327" s="228"/>
      <c r="AA327" s="202"/>
    </row>
    <row r="328" spans="2:27" x14ac:dyDescent="0.15">
      <c r="B328" s="241">
        <v>43140</v>
      </c>
      <c r="C328" s="244"/>
      <c r="D328" s="245">
        <v>55.928268000000003</v>
      </c>
      <c r="E328" s="228">
        <f t="shared" si="24"/>
        <v>1.4251849489214319E-2</v>
      </c>
      <c r="F328" s="228"/>
      <c r="G328" s="245">
        <v>177.06442300000001</v>
      </c>
      <c r="H328" s="228">
        <f t="shared" si="25"/>
        <v>2.0956179131022656E-2</v>
      </c>
      <c r="J328" s="227"/>
      <c r="K328" s="245">
        <v>36.780819000000001</v>
      </c>
      <c r="L328" s="228">
        <f t="shared" si="26"/>
        <v>2.7502426016653869E-2</v>
      </c>
      <c r="M328" s="228"/>
      <c r="N328" s="227"/>
      <c r="O328" s="322">
        <v>48.080002</v>
      </c>
      <c r="P328" s="228">
        <f t="shared" si="27"/>
        <v>5.092900546448087E-2</v>
      </c>
      <c r="Q328" s="228"/>
      <c r="R328" s="227"/>
      <c r="S328" s="322">
        <v>165.86999499999999</v>
      </c>
      <c r="T328" s="228">
        <f t="shared" si="28"/>
        <v>2.243727479349733E-2</v>
      </c>
      <c r="U328" s="228"/>
      <c r="V328" s="228"/>
      <c r="W328" s="228"/>
      <c r="X328" s="322">
        <v>100.900002</v>
      </c>
      <c r="Y328" s="228">
        <f t="shared" si="29"/>
        <v>2.3949675015732863E-2</v>
      </c>
      <c r="Z328" s="228"/>
      <c r="AA328" s="202"/>
    </row>
    <row r="329" spans="2:27" x14ac:dyDescent="0.15">
      <c r="B329" s="241">
        <v>43143</v>
      </c>
      <c r="C329" s="244"/>
      <c r="D329" s="245">
        <v>56.639301000000003</v>
      </c>
      <c r="E329" s="228">
        <f t="shared" ref="E329:E392" si="30">D329/D328-1</f>
        <v>1.2713302689795425E-2</v>
      </c>
      <c r="F329" s="228"/>
      <c r="G329" s="245">
        <v>179.63838200000001</v>
      </c>
      <c r="H329" s="228">
        <f t="shared" ref="H329:H392" si="31">G329/G328-1</f>
        <v>1.4536850240095989E-2</v>
      </c>
      <c r="J329" s="227"/>
      <c r="K329" s="245">
        <v>37.720962999999998</v>
      </c>
      <c r="L329" s="228">
        <f t="shared" ref="L329:L392" si="32">K329/K328-1</f>
        <v>2.5560714132004447E-2</v>
      </c>
      <c r="M329" s="228"/>
      <c r="N329" s="227"/>
      <c r="O329" s="322">
        <v>49.5</v>
      </c>
      <c r="P329" s="228">
        <f t="shared" ref="P329:P392" si="33">O329/O328-1</f>
        <v>2.9534066991095287E-2</v>
      </c>
      <c r="Q329" s="228"/>
      <c r="R329" s="227"/>
      <c r="S329" s="322">
        <v>172.949997</v>
      </c>
      <c r="T329" s="228">
        <f t="shared" ref="T329:T392" si="34">S329/S328-1</f>
        <v>4.2684043006090411E-2</v>
      </c>
      <c r="U329" s="228"/>
      <c r="V329" s="228"/>
      <c r="W329" s="228"/>
      <c r="X329" s="322">
        <v>103.910004</v>
      </c>
      <c r="Y329" s="228">
        <f t="shared" ref="Y329:Y392" si="35">X329/X328-1</f>
        <v>2.9831535583121127E-2</v>
      </c>
      <c r="Z329" s="228"/>
      <c r="AA329" s="202"/>
    </row>
    <row r="330" spans="2:27" x14ac:dyDescent="0.15">
      <c r="B330" s="241">
        <v>43144</v>
      </c>
      <c r="C330" s="244"/>
      <c r="D330" s="245">
        <v>56.863830999999998</v>
      </c>
      <c r="E330" s="228">
        <f t="shared" si="30"/>
        <v>3.9642085272202365E-3</v>
      </c>
      <c r="F330" s="228"/>
      <c r="G330" s="245">
        <v>178.57797199999999</v>
      </c>
      <c r="H330" s="228">
        <f t="shared" si="31"/>
        <v>-5.903025779869342E-3</v>
      </c>
      <c r="J330" s="227"/>
      <c r="K330" s="245">
        <v>37.587929000000003</v>
      </c>
      <c r="L330" s="228">
        <f t="shared" si="32"/>
        <v>-3.5267922507703497E-3</v>
      </c>
      <c r="M330" s="228"/>
      <c r="N330" s="227"/>
      <c r="O330" s="322">
        <v>49.549999</v>
      </c>
      <c r="P330" s="228">
        <f t="shared" si="33"/>
        <v>1.0100808080808488E-3</v>
      </c>
      <c r="Q330" s="228"/>
      <c r="R330" s="227"/>
      <c r="S330" s="322">
        <v>172.55999800000001</v>
      </c>
      <c r="T330" s="228">
        <f t="shared" si="34"/>
        <v>-2.2549812475567421E-3</v>
      </c>
      <c r="U330" s="228"/>
      <c r="V330" s="228"/>
      <c r="W330" s="228"/>
      <c r="X330" s="322">
        <v>104.209999</v>
      </c>
      <c r="Y330" s="228">
        <f t="shared" si="35"/>
        <v>2.8870656188213495E-3</v>
      </c>
      <c r="Z330" s="228"/>
      <c r="AA330" s="202"/>
    </row>
    <row r="331" spans="2:27" x14ac:dyDescent="0.15">
      <c r="B331" s="241">
        <v>43145</v>
      </c>
      <c r="C331" s="244"/>
      <c r="D331" s="245">
        <v>57.677788</v>
      </c>
      <c r="E331" s="228">
        <f t="shared" si="30"/>
        <v>1.4314142851191258E-2</v>
      </c>
      <c r="F331" s="228"/>
      <c r="G331" s="245">
        <v>184.458572</v>
      </c>
      <c r="H331" s="228">
        <f t="shared" si="31"/>
        <v>3.2930153333805556E-2</v>
      </c>
      <c r="J331" s="227"/>
      <c r="K331" s="245">
        <v>38.182158999999999</v>
      </c>
      <c r="L331" s="228">
        <f t="shared" si="32"/>
        <v>1.5809064660093242E-2</v>
      </c>
      <c r="M331" s="228"/>
      <c r="N331" s="227"/>
      <c r="O331" s="322">
        <v>51.959999000000003</v>
      </c>
      <c r="P331" s="228">
        <f t="shared" si="33"/>
        <v>4.8637740638501459E-2</v>
      </c>
      <c r="Q331" s="228"/>
      <c r="R331" s="227"/>
      <c r="S331" s="322">
        <v>183.009995</v>
      </c>
      <c r="T331" s="228">
        <f t="shared" si="34"/>
        <v>6.0558629584592349E-2</v>
      </c>
      <c r="U331" s="228"/>
      <c r="V331" s="228"/>
      <c r="W331" s="228"/>
      <c r="X331" s="322">
        <v>107.470001</v>
      </c>
      <c r="Y331" s="228">
        <f t="shared" si="35"/>
        <v>3.1283005769916494E-2</v>
      </c>
      <c r="Z331" s="228"/>
      <c r="AA331" s="202"/>
    </row>
    <row r="332" spans="2:27" x14ac:dyDescent="0.15">
      <c r="B332" s="241">
        <v>43146</v>
      </c>
      <c r="C332" s="244"/>
      <c r="D332" s="245">
        <v>58.379458999999997</v>
      </c>
      <c r="E332" s="228">
        <f t="shared" si="30"/>
        <v>1.2165359046016011E-2</v>
      </c>
      <c r="F332" s="228"/>
      <c r="G332" s="245">
        <v>187.89054899999999</v>
      </c>
      <c r="H332" s="228">
        <f t="shared" si="31"/>
        <v>1.8605679111513451E-2</v>
      </c>
      <c r="J332" s="227"/>
      <c r="K332" s="245">
        <v>38.59901</v>
      </c>
      <c r="L332" s="228">
        <f t="shared" si="32"/>
        <v>1.0917428739427804E-2</v>
      </c>
      <c r="M332" s="228"/>
      <c r="N332" s="227"/>
      <c r="O332" s="322">
        <v>53.990001999999997</v>
      </c>
      <c r="P332" s="228">
        <f t="shared" si="33"/>
        <v>3.9068572730341922E-2</v>
      </c>
      <c r="Q332" s="228"/>
      <c r="R332" s="227"/>
      <c r="S332" s="322">
        <v>185.71000699999999</v>
      </c>
      <c r="T332" s="228">
        <f t="shared" si="34"/>
        <v>1.4753358143089423E-2</v>
      </c>
      <c r="U332" s="228"/>
      <c r="V332" s="228"/>
      <c r="W332" s="228"/>
      <c r="X332" s="322">
        <v>108.870003</v>
      </c>
      <c r="Y332" s="228">
        <f t="shared" si="35"/>
        <v>1.3026909714088486E-2</v>
      </c>
      <c r="Z332" s="228"/>
      <c r="AA332" s="202"/>
    </row>
    <row r="333" spans="2:27" x14ac:dyDescent="0.15">
      <c r="B333" s="241">
        <v>43147</v>
      </c>
      <c r="C333" s="244"/>
      <c r="D333" s="245">
        <v>58.407524000000002</v>
      </c>
      <c r="E333" s="228">
        <f t="shared" si="30"/>
        <v>4.8073415685490062E-4</v>
      </c>
      <c r="F333" s="228"/>
      <c r="G333" s="245">
        <v>185.31655900000001</v>
      </c>
      <c r="H333" s="228">
        <f t="shared" si="31"/>
        <v>-1.3699411778290038E-2</v>
      </c>
      <c r="J333" s="227"/>
      <c r="K333" s="245">
        <v>38.563544999999998</v>
      </c>
      <c r="L333" s="228">
        <f t="shared" si="32"/>
        <v>-9.1880594865001441E-4</v>
      </c>
      <c r="M333" s="228"/>
      <c r="N333" s="227"/>
      <c r="O333" s="322">
        <v>55.029998999999997</v>
      </c>
      <c r="P333" s="228">
        <f t="shared" si="33"/>
        <v>1.9262770169928833E-2</v>
      </c>
      <c r="Q333" s="228"/>
      <c r="R333" s="227"/>
      <c r="S333" s="322">
        <v>187.91000399999999</v>
      </c>
      <c r="T333" s="228">
        <f t="shared" si="34"/>
        <v>1.1846410624495762E-2</v>
      </c>
      <c r="U333" s="228"/>
      <c r="V333" s="228"/>
      <c r="W333" s="228"/>
      <c r="X333" s="322">
        <v>107.519997</v>
      </c>
      <c r="Y333" s="228">
        <f t="shared" si="35"/>
        <v>-1.2400164993106477E-2</v>
      </c>
      <c r="Z333" s="228"/>
      <c r="AA333" s="202"/>
    </row>
    <row r="334" spans="2:27" x14ac:dyDescent="0.15">
      <c r="B334" s="241">
        <v>43151</v>
      </c>
      <c r="C334" s="244"/>
      <c r="D334" s="245">
        <v>58.033301999999999</v>
      </c>
      <c r="E334" s="228">
        <f t="shared" si="30"/>
        <v>-6.4070854980944336E-3</v>
      </c>
      <c r="F334" s="228"/>
      <c r="G334" s="245">
        <v>188.48825099999999</v>
      </c>
      <c r="H334" s="228">
        <f t="shared" si="31"/>
        <v>1.7114995104134056E-2</v>
      </c>
      <c r="J334" s="227"/>
      <c r="K334" s="245">
        <v>38.794144000000003</v>
      </c>
      <c r="L334" s="228">
        <f t="shared" si="32"/>
        <v>5.9797147798523742E-3</v>
      </c>
      <c r="M334" s="228"/>
      <c r="N334" s="227"/>
      <c r="O334" s="322">
        <v>56.66</v>
      </c>
      <c r="P334" s="228">
        <f t="shared" si="33"/>
        <v>2.9620225869893213E-2</v>
      </c>
      <c r="Q334" s="228"/>
      <c r="R334" s="227"/>
      <c r="S334" s="322">
        <v>193.44000199999999</v>
      </c>
      <c r="T334" s="228">
        <f t="shared" si="34"/>
        <v>2.942897068960737E-2</v>
      </c>
      <c r="U334" s="228"/>
      <c r="V334" s="228"/>
      <c r="W334" s="228"/>
      <c r="X334" s="322">
        <v>110.550003</v>
      </c>
      <c r="Y334" s="228">
        <f t="shared" si="35"/>
        <v>2.8180860161296284E-2</v>
      </c>
      <c r="Z334" s="228"/>
      <c r="AA334" s="202"/>
    </row>
    <row r="335" spans="2:27" x14ac:dyDescent="0.15">
      <c r="B335" s="241">
        <v>43152</v>
      </c>
      <c r="C335" s="244"/>
      <c r="D335" s="245">
        <v>57.761982000000003</v>
      </c>
      <c r="E335" s="228">
        <f t="shared" si="30"/>
        <v>-4.6752466368361612E-3</v>
      </c>
      <c r="F335" s="228"/>
      <c r="G335" s="245">
        <v>187.418182</v>
      </c>
      <c r="H335" s="228">
        <f t="shared" si="31"/>
        <v>-5.6771124689357633E-3</v>
      </c>
      <c r="J335" s="227"/>
      <c r="K335" s="245">
        <v>38.040253</v>
      </c>
      <c r="L335" s="228">
        <f t="shared" si="32"/>
        <v>-1.9433113410106562E-2</v>
      </c>
      <c r="M335" s="228"/>
      <c r="N335" s="227"/>
      <c r="O335" s="322">
        <v>56.130001</v>
      </c>
      <c r="P335" s="228">
        <f t="shared" si="33"/>
        <v>-9.3540240028238131E-3</v>
      </c>
      <c r="Q335" s="228"/>
      <c r="R335" s="227"/>
      <c r="S335" s="322">
        <v>189.229996</v>
      </c>
      <c r="T335" s="228">
        <f t="shared" si="34"/>
        <v>-2.1763885217494949E-2</v>
      </c>
      <c r="U335" s="228"/>
      <c r="V335" s="228"/>
      <c r="W335" s="228"/>
      <c r="X335" s="322">
        <v>109.66999800000001</v>
      </c>
      <c r="Y335" s="228">
        <f t="shared" si="35"/>
        <v>-7.9602440173610622E-3</v>
      </c>
      <c r="Z335" s="228"/>
      <c r="AA335" s="202"/>
    </row>
    <row r="336" spans="2:27" x14ac:dyDescent="0.15">
      <c r="B336" s="241">
        <v>43153</v>
      </c>
      <c r="C336" s="244"/>
      <c r="D336" s="245">
        <v>57.790053999999998</v>
      </c>
      <c r="E336" s="228">
        <f t="shared" si="30"/>
        <v>4.8599440372387726E-4</v>
      </c>
      <c r="F336" s="228"/>
      <c r="G336" s="245">
        <v>186.33843999999999</v>
      </c>
      <c r="H336" s="228">
        <f t="shared" si="31"/>
        <v>-5.7611379455170253E-3</v>
      </c>
      <c r="J336" s="227"/>
      <c r="K336" s="245">
        <v>37.596794000000003</v>
      </c>
      <c r="L336" s="228">
        <f t="shared" si="32"/>
        <v>-1.1657624884881757E-2</v>
      </c>
      <c r="M336" s="228"/>
      <c r="N336" s="227"/>
      <c r="O336" s="322">
        <v>56.07</v>
      </c>
      <c r="P336" s="228">
        <f t="shared" si="33"/>
        <v>-1.0689648838595467E-3</v>
      </c>
      <c r="Q336" s="228"/>
      <c r="R336" s="227"/>
      <c r="S336" s="322">
        <v>188.36000100000001</v>
      </c>
      <c r="T336" s="228">
        <f t="shared" si="34"/>
        <v>-4.5975533392706991E-3</v>
      </c>
      <c r="U336" s="228"/>
      <c r="V336" s="228"/>
      <c r="W336" s="228"/>
      <c r="X336" s="322">
        <v>108.910004</v>
      </c>
      <c r="Y336" s="228">
        <f t="shared" si="35"/>
        <v>-6.9298259675358853E-3</v>
      </c>
      <c r="Z336" s="228"/>
      <c r="AA336" s="202"/>
    </row>
    <row r="337" spans="2:27" x14ac:dyDescent="0.15">
      <c r="B337" s="241">
        <v>43154</v>
      </c>
      <c r="C337" s="244"/>
      <c r="D337" s="245">
        <v>58.669479000000003</v>
      </c>
      <c r="E337" s="228">
        <f t="shared" si="30"/>
        <v>1.5217583980800642E-2</v>
      </c>
      <c r="F337" s="228"/>
      <c r="G337" s="245">
        <v>189.74151599999999</v>
      </c>
      <c r="H337" s="228">
        <f t="shared" si="31"/>
        <v>1.8262876945841056E-2</v>
      </c>
      <c r="J337" s="227"/>
      <c r="K337" s="245">
        <v>38.936058000000003</v>
      </c>
      <c r="L337" s="228">
        <f t="shared" si="32"/>
        <v>3.5621760727789775E-2</v>
      </c>
      <c r="M337" s="228"/>
      <c r="N337" s="227"/>
      <c r="O337" s="322">
        <v>57.009998000000003</v>
      </c>
      <c r="P337" s="228">
        <f t="shared" si="33"/>
        <v>1.676472266809359E-2</v>
      </c>
      <c r="Q337" s="228"/>
      <c r="R337" s="227"/>
      <c r="S337" s="322">
        <v>193.10000600000001</v>
      </c>
      <c r="T337" s="228">
        <f t="shared" si="34"/>
        <v>2.5164604878081365E-2</v>
      </c>
      <c r="U337" s="228"/>
      <c r="V337" s="228"/>
      <c r="W337" s="228"/>
      <c r="X337" s="322">
        <v>110.470001</v>
      </c>
      <c r="Y337" s="228">
        <f t="shared" si="35"/>
        <v>1.4323725486228067E-2</v>
      </c>
      <c r="Z337" s="228"/>
      <c r="AA337" s="202"/>
    </row>
    <row r="338" spans="2:27" x14ac:dyDescent="0.15">
      <c r="B338" s="241">
        <v>43157</v>
      </c>
      <c r="C338" s="244"/>
      <c r="D338" s="245">
        <v>59.315021999999999</v>
      </c>
      <c r="E338" s="228">
        <f t="shared" si="30"/>
        <v>1.1003046405099193E-2</v>
      </c>
      <c r="F338" s="228"/>
      <c r="G338" s="245">
        <v>193.616928</v>
      </c>
      <c r="H338" s="228">
        <f t="shared" si="31"/>
        <v>2.0424691873970335E-2</v>
      </c>
      <c r="J338" s="227"/>
      <c r="K338" s="245">
        <v>39.388385999999997</v>
      </c>
      <c r="L338" s="228">
        <f t="shared" si="32"/>
        <v>1.1617200693506025E-2</v>
      </c>
      <c r="M338" s="228"/>
      <c r="N338" s="227"/>
      <c r="O338" s="322">
        <v>58.810001</v>
      </c>
      <c r="P338" s="228">
        <f t="shared" si="33"/>
        <v>3.1573461903998012E-2</v>
      </c>
      <c r="Q338" s="228"/>
      <c r="R338" s="227"/>
      <c r="S338" s="322">
        <v>198.429993</v>
      </c>
      <c r="T338" s="228">
        <f t="shared" si="34"/>
        <v>2.7602210431831864E-2</v>
      </c>
      <c r="U338" s="228"/>
      <c r="V338" s="228"/>
      <c r="W338" s="228"/>
      <c r="X338" s="322">
        <v>114.66999800000001</v>
      </c>
      <c r="Y338" s="228">
        <f t="shared" si="35"/>
        <v>3.8019344274288658E-2</v>
      </c>
      <c r="Z338" s="228"/>
      <c r="AA338" s="202"/>
    </row>
    <row r="339" spans="2:27" x14ac:dyDescent="0.15">
      <c r="B339" s="241">
        <v>43158</v>
      </c>
      <c r="C339" s="244"/>
      <c r="D339" s="245">
        <v>58.566569999999999</v>
      </c>
      <c r="E339" s="228">
        <f t="shared" si="30"/>
        <v>-1.2618253770520393E-2</v>
      </c>
      <c r="F339" s="228"/>
      <c r="G339" s="245">
        <v>190.339203</v>
      </c>
      <c r="H339" s="228">
        <f t="shared" si="31"/>
        <v>-1.6928917496304874E-2</v>
      </c>
      <c r="J339" s="227"/>
      <c r="K339" s="245">
        <v>38.687710000000003</v>
      </c>
      <c r="L339" s="228">
        <f t="shared" si="32"/>
        <v>-1.7788898483933724E-2</v>
      </c>
      <c r="M339" s="228"/>
      <c r="N339" s="227"/>
      <c r="O339" s="322">
        <v>57.639999000000003</v>
      </c>
      <c r="P339" s="228">
        <f t="shared" si="33"/>
        <v>-1.9894609421958642E-2</v>
      </c>
      <c r="Q339" s="228"/>
      <c r="R339" s="227"/>
      <c r="S339" s="322">
        <v>193.470001</v>
      </c>
      <c r="T339" s="228">
        <f t="shared" si="34"/>
        <v>-2.4996180894891196E-2</v>
      </c>
      <c r="U339" s="228"/>
      <c r="V339" s="228"/>
      <c r="W339" s="228"/>
      <c r="X339" s="322">
        <v>113.459999</v>
      </c>
      <c r="Y339" s="228">
        <f t="shared" si="35"/>
        <v>-1.0552010300026393E-2</v>
      </c>
      <c r="Z339" s="228"/>
      <c r="AA339" s="202"/>
    </row>
    <row r="340" spans="2:27" x14ac:dyDescent="0.15">
      <c r="B340" s="241">
        <v>43159</v>
      </c>
      <c r="C340" s="244"/>
      <c r="D340" s="245">
        <v>57.902321000000001</v>
      </c>
      <c r="E340" s="228">
        <f t="shared" si="30"/>
        <v>-1.1341777399632602E-2</v>
      </c>
      <c r="F340" s="228"/>
      <c r="G340" s="245">
        <v>188.36293000000001</v>
      </c>
      <c r="H340" s="228">
        <f t="shared" si="31"/>
        <v>-1.0382900468486223E-2</v>
      </c>
      <c r="J340" s="227"/>
      <c r="K340" s="245">
        <v>38.448242</v>
      </c>
      <c r="L340" s="228">
        <f t="shared" si="32"/>
        <v>-6.1897693091682582E-3</v>
      </c>
      <c r="M340" s="228"/>
      <c r="N340" s="227"/>
      <c r="O340" s="322">
        <v>57.59</v>
      </c>
      <c r="P340" s="228">
        <f t="shared" si="33"/>
        <v>-8.6743582351556103E-4</v>
      </c>
      <c r="Q340" s="228"/>
      <c r="R340" s="227"/>
      <c r="S340" s="322">
        <v>191.86000100000001</v>
      </c>
      <c r="T340" s="228">
        <f t="shared" si="34"/>
        <v>-8.3217035802878314E-3</v>
      </c>
      <c r="U340" s="228"/>
      <c r="V340" s="228"/>
      <c r="W340" s="228"/>
      <c r="X340" s="322">
        <v>113.30999799999999</v>
      </c>
      <c r="Y340" s="228">
        <f t="shared" si="35"/>
        <v>-1.3220606497625909E-3</v>
      </c>
      <c r="Z340" s="228"/>
      <c r="AA340" s="202"/>
    </row>
    <row r="341" spans="2:27" x14ac:dyDescent="0.15">
      <c r="B341" s="241">
        <v>43160</v>
      </c>
      <c r="C341" s="244"/>
      <c r="D341" s="245">
        <v>57.228706000000003</v>
      </c>
      <c r="E341" s="228">
        <f t="shared" si="30"/>
        <v>-1.1633644185005898E-2</v>
      </c>
      <c r="F341" s="228"/>
      <c r="G341" s="245">
        <v>185.02735899999999</v>
      </c>
      <c r="H341" s="228">
        <f t="shared" si="31"/>
        <v>-1.7708213606573264E-2</v>
      </c>
      <c r="J341" s="227"/>
      <c r="K341" s="245">
        <v>37.889484000000003</v>
      </c>
      <c r="L341" s="228">
        <f t="shared" si="32"/>
        <v>-1.4532732081742439E-2</v>
      </c>
      <c r="M341" s="228"/>
      <c r="N341" s="227"/>
      <c r="O341" s="322">
        <v>57.07</v>
      </c>
      <c r="P341" s="228">
        <f t="shared" si="33"/>
        <v>-9.0293453724605843E-3</v>
      </c>
      <c r="Q341" s="228"/>
      <c r="R341" s="227"/>
      <c r="S341" s="322">
        <v>190.070007</v>
      </c>
      <c r="T341" s="228">
        <f t="shared" si="34"/>
        <v>-9.3296882657684099E-3</v>
      </c>
      <c r="U341" s="228"/>
      <c r="V341" s="228"/>
      <c r="W341" s="228"/>
      <c r="X341" s="322">
        <v>111.209999</v>
      </c>
      <c r="Y341" s="228">
        <f t="shared" si="35"/>
        <v>-1.8533218930954276E-2</v>
      </c>
      <c r="Z341" s="228"/>
      <c r="AA341" s="202"/>
    </row>
    <row r="342" spans="2:27" x14ac:dyDescent="0.15">
      <c r="B342" s="241">
        <v>43161</v>
      </c>
      <c r="C342" s="244"/>
      <c r="D342" s="245">
        <v>57.574874999999999</v>
      </c>
      <c r="E342" s="228">
        <f t="shared" si="30"/>
        <v>6.0488699499863241E-3</v>
      </c>
      <c r="F342" s="228"/>
      <c r="G342" s="245">
        <v>186.60839799999999</v>
      </c>
      <c r="H342" s="228">
        <f t="shared" si="31"/>
        <v>8.5448930825413605E-3</v>
      </c>
      <c r="J342" s="227"/>
      <c r="K342" s="245">
        <v>38.146683000000003</v>
      </c>
      <c r="L342" s="228">
        <f t="shared" si="32"/>
        <v>6.7881367822268945E-3</v>
      </c>
      <c r="M342" s="228"/>
      <c r="N342" s="227"/>
      <c r="O342" s="322">
        <v>58.029998999999997</v>
      </c>
      <c r="P342" s="228">
        <f t="shared" si="33"/>
        <v>1.6821429823024259E-2</v>
      </c>
      <c r="Q342" s="228"/>
      <c r="R342" s="227"/>
      <c r="S342" s="322">
        <v>194.529999</v>
      </c>
      <c r="T342" s="228">
        <f t="shared" si="34"/>
        <v>2.3464996242147818E-2</v>
      </c>
      <c r="U342" s="228"/>
      <c r="V342" s="228"/>
      <c r="W342" s="228"/>
      <c r="X342" s="322">
        <v>113.010002</v>
      </c>
      <c r="Y342" s="228">
        <f t="shared" si="35"/>
        <v>1.6185621942142125E-2</v>
      </c>
      <c r="Z342" s="228"/>
      <c r="AA342" s="202"/>
    </row>
    <row r="343" spans="2:27" x14ac:dyDescent="0.15">
      <c r="B343" s="241">
        <v>43164</v>
      </c>
      <c r="C343" s="244"/>
      <c r="D343" s="245">
        <v>58.248486</v>
      </c>
      <c r="E343" s="228">
        <f t="shared" si="30"/>
        <v>1.1699738818364835E-2</v>
      </c>
      <c r="F343" s="228"/>
      <c r="G343" s="245">
        <v>191.216476</v>
      </c>
      <c r="H343" s="228">
        <f t="shared" si="31"/>
        <v>2.4693840413334556E-2</v>
      </c>
      <c r="J343" s="227"/>
      <c r="K343" s="245">
        <v>38.572414000000002</v>
      </c>
      <c r="L343" s="228">
        <f t="shared" si="32"/>
        <v>1.116036746890936E-2</v>
      </c>
      <c r="M343" s="228"/>
      <c r="N343" s="227"/>
      <c r="O343" s="322">
        <v>57.630001</v>
      </c>
      <c r="P343" s="228">
        <f t="shared" si="33"/>
        <v>-6.8929520402024602E-3</v>
      </c>
      <c r="Q343" s="228"/>
      <c r="R343" s="227"/>
      <c r="S343" s="322">
        <v>198.699997</v>
      </c>
      <c r="T343" s="228">
        <f t="shared" si="34"/>
        <v>2.1436272150497482E-2</v>
      </c>
      <c r="U343" s="228"/>
      <c r="V343" s="228"/>
      <c r="W343" s="228"/>
      <c r="X343" s="322">
        <v>113.83000199999999</v>
      </c>
      <c r="Y343" s="228">
        <f t="shared" si="35"/>
        <v>7.2559949162729342E-3</v>
      </c>
      <c r="Z343" s="228"/>
      <c r="AA343" s="202"/>
    </row>
    <row r="344" spans="2:27" x14ac:dyDescent="0.15">
      <c r="B344" s="241">
        <v>43165</v>
      </c>
      <c r="C344" s="244"/>
      <c r="D344" s="245">
        <v>58.473022</v>
      </c>
      <c r="E344" s="228">
        <f t="shared" si="30"/>
        <v>3.8547954705638876E-3</v>
      </c>
      <c r="F344" s="228"/>
      <c r="G344" s="245">
        <v>195.544983</v>
      </c>
      <c r="H344" s="228">
        <f t="shared" si="31"/>
        <v>2.2636684299108145E-2</v>
      </c>
      <c r="J344" s="227"/>
      <c r="K344" s="245">
        <v>38.616759999999999</v>
      </c>
      <c r="L344" s="228">
        <f t="shared" si="32"/>
        <v>1.149681738871644E-3</v>
      </c>
      <c r="M344" s="228"/>
      <c r="N344" s="227"/>
      <c r="O344" s="322">
        <v>59.990001999999997</v>
      </c>
      <c r="P344" s="228">
        <f t="shared" si="33"/>
        <v>4.095091027327924E-2</v>
      </c>
      <c r="Q344" s="228"/>
      <c r="R344" s="227"/>
      <c r="S344" s="322">
        <v>207.94000199999999</v>
      </c>
      <c r="T344" s="228">
        <f t="shared" si="34"/>
        <v>4.6502290586345696E-2</v>
      </c>
      <c r="U344" s="228"/>
      <c r="V344" s="228"/>
      <c r="W344" s="228"/>
      <c r="X344" s="322">
        <v>116.07</v>
      </c>
      <c r="Y344" s="228">
        <f t="shared" si="35"/>
        <v>1.967844997490209E-2</v>
      </c>
      <c r="Z344" s="228"/>
      <c r="AA344" s="202"/>
    </row>
    <row r="345" spans="2:27" x14ac:dyDescent="0.15">
      <c r="B345" s="241">
        <v>43166</v>
      </c>
      <c r="C345" s="244"/>
      <c r="D345" s="245">
        <v>58.501080000000002</v>
      </c>
      <c r="E345" s="228">
        <f t="shared" si="30"/>
        <v>4.7984521819310899E-4</v>
      </c>
      <c r="F345" s="228"/>
      <c r="G345" s="245">
        <v>198.63954200000001</v>
      </c>
      <c r="H345" s="228">
        <f t="shared" si="31"/>
        <v>1.5825305014345536E-2</v>
      </c>
      <c r="J345" s="227"/>
      <c r="K345" s="245">
        <v>39.202128999999999</v>
      </c>
      <c r="L345" s="228">
        <f t="shared" si="32"/>
        <v>1.515841826191533E-2</v>
      </c>
      <c r="M345" s="228"/>
      <c r="N345" s="227"/>
      <c r="O345" s="322">
        <v>59.419998</v>
      </c>
      <c r="P345" s="228">
        <f t="shared" si="33"/>
        <v>-9.5016499582712965E-3</v>
      </c>
      <c r="Q345" s="228"/>
      <c r="R345" s="227"/>
      <c r="S345" s="322">
        <v>211.740005</v>
      </c>
      <c r="T345" s="228">
        <f t="shared" si="34"/>
        <v>1.8274516511738836E-2</v>
      </c>
      <c r="U345" s="228"/>
      <c r="V345" s="228"/>
      <c r="W345" s="228"/>
      <c r="X345" s="322">
        <v>117.449997</v>
      </c>
      <c r="Y345" s="228">
        <f t="shared" si="35"/>
        <v>1.1889351253553837E-2</v>
      </c>
      <c r="Z345" s="228"/>
      <c r="AA345" s="202"/>
    </row>
    <row r="346" spans="2:27" x14ac:dyDescent="0.15">
      <c r="B346" s="241">
        <v>43167</v>
      </c>
      <c r="C346" s="244"/>
      <c r="D346" s="245">
        <v>58.734977999999998</v>
      </c>
      <c r="E346" s="228">
        <f t="shared" si="30"/>
        <v>3.9981825976544982E-3</v>
      </c>
      <c r="F346" s="228"/>
      <c r="G346" s="245">
        <v>197.64660599999999</v>
      </c>
      <c r="H346" s="228">
        <f t="shared" si="31"/>
        <v>-4.9986824879006964E-3</v>
      </c>
      <c r="J346" s="227"/>
      <c r="K346" s="245">
        <v>38.847363000000001</v>
      </c>
      <c r="L346" s="228">
        <f t="shared" si="32"/>
        <v>-9.0496615630237809E-3</v>
      </c>
      <c r="M346" s="228"/>
      <c r="N346" s="227"/>
      <c r="O346" s="322">
        <v>59.369999</v>
      </c>
      <c r="P346" s="228">
        <f t="shared" si="33"/>
        <v>-8.4145071832553153E-4</v>
      </c>
      <c r="Q346" s="228"/>
      <c r="R346" s="227"/>
      <c r="S346" s="322">
        <v>212.740005</v>
      </c>
      <c r="T346" s="228">
        <f t="shared" si="34"/>
        <v>4.722773100907407E-3</v>
      </c>
      <c r="U346" s="228"/>
      <c r="V346" s="228"/>
      <c r="W346" s="228"/>
      <c r="X346" s="322">
        <v>117</v>
      </c>
      <c r="Y346" s="228">
        <f t="shared" si="35"/>
        <v>-3.8313921796012673E-3</v>
      </c>
      <c r="Z346" s="228"/>
      <c r="AA346" s="202"/>
    </row>
    <row r="347" spans="2:27" x14ac:dyDescent="0.15">
      <c r="B347" s="241">
        <v>43168</v>
      </c>
      <c r="C347" s="244"/>
      <c r="D347" s="245">
        <v>59.717323</v>
      </c>
      <c r="E347" s="228">
        <f t="shared" si="30"/>
        <v>1.6725042444044158E-2</v>
      </c>
      <c r="F347" s="228"/>
      <c r="G347" s="245">
        <v>201.87870799999999</v>
      </c>
      <c r="H347" s="228">
        <f t="shared" si="31"/>
        <v>2.1412469890831343E-2</v>
      </c>
      <c r="J347" s="227"/>
      <c r="K347" s="245">
        <v>39.548026999999998</v>
      </c>
      <c r="L347" s="228">
        <f t="shared" si="32"/>
        <v>1.8036333637369228E-2</v>
      </c>
      <c r="M347" s="228"/>
      <c r="N347" s="227"/>
      <c r="O347" s="322">
        <v>61.610000999999997</v>
      </c>
      <c r="P347" s="228">
        <f t="shared" si="33"/>
        <v>3.7729527332483137E-2</v>
      </c>
      <c r="Q347" s="228"/>
      <c r="R347" s="227"/>
      <c r="S347" s="322">
        <v>224.949997</v>
      </c>
      <c r="T347" s="228">
        <f t="shared" si="34"/>
        <v>5.7393963114741764E-2</v>
      </c>
      <c r="U347" s="228"/>
      <c r="V347" s="228"/>
      <c r="W347" s="228"/>
      <c r="X347" s="322">
        <v>121.150002</v>
      </c>
      <c r="Y347" s="228">
        <f t="shared" si="35"/>
        <v>3.5470102564102657E-2</v>
      </c>
      <c r="Z347" s="228"/>
      <c r="AA347" s="202"/>
    </row>
    <row r="348" spans="2:27" x14ac:dyDescent="0.15">
      <c r="B348" s="241">
        <v>43171</v>
      </c>
      <c r="C348" s="244"/>
      <c r="D348" s="245">
        <v>59.679912999999999</v>
      </c>
      <c r="E348" s="228">
        <f t="shared" si="30"/>
        <v>-6.2645138999284367E-4</v>
      </c>
      <c r="F348" s="228"/>
      <c r="G348" s="245">
        <v>203.70074500000001</v>
      </c>
      <c r="H348" s="228">
        <f t="shared" si="31"/>
        <v>9.0254045017963413E-3</v>
      </c>
      <c r="J348" s="227"/>
      <c r="K348" s="245">
        <v>40.106796000000003</v>
      </c>
      <c r="L348" s="228">
        <f t="shared" si="32"/>
        <v>1.4128871713372737E-2</v>
      </c>
      <c r="M348" s="228"/>
      <c r="N348" s="227"/>
      <c r="O348" s="322">
        <v>60.970001000000003</v>
      </c>
      <c r="P348" s="228">
        <f t="shared" si="33"/>
        <v>-1.0387923869697557E-2</v>
      </c>
      <c r="Q348" s="228"/>
      <c r="R348" s="227"/>
      <c r="S348" s="322">
        <v>228.64999399999999</v>
      </c>
      <c r="T348" s="228">
        <f t="shared" si="34"/>
        <v>1.6448086460743472E-2</v>
      </c>
      <c r="U348" s="228"/>
      <c r="V348" s="228"/>
      <c r="W348" s="228"/>
      <c r="X348" s="322">
        <v>122.389999</v>
      </c>
      <c r="Y348" s="228">
        <f t="shared" si="35"/>
        <v>1.0235220631692687E-2</v>
      </c>
      <c r="Z348" s="228"/>
      <c r="AA348" s="202"/>
    </row>
    <row r="349" spans="2:27" x14ac:dyDescent="0.15">
      <c r="B349" s="241">
        <v>43172</v>
      </c>
      <c r="C349" s="244"/>
      <c r="D349" s="245">
        <v>59.296309999999998</v>
      </c>
      <c r="E349" s="228">
        <f t="shared" si="30"/>
        <v>-6.4276735792158091E-3</v>
      </c>
      <c r="F349" s="228"/>
      <c r="G349" s="245">
        <v>200.538681</v>
      </c>
      <c r="H349" s="228">
        <f t="shared" si="31"/>
        <v>-1.5523085102118861E-2</v>
      </c>
      <c r="J349" s="227"/>
      <c r="K349" s="245">
        <v>39.902802000000001</v>
      </c>
      <c r="L349" s="228">
        <f t="shared" si="32"/>
        <v>-5.0862701672804711E-3</v>
      </c>
      <c r="M349" s="228"/>
      <c r="N349" s="227"/>
      <c r="O349" s="322">
        <v>59.689999</v>
      </c>
      <c r="P349" s="228">
        <f t="shared" si="33"/>
        <v>-2.0993963900377888E-2</v>
      </c>
      <c r="Q349" s="228"/>
      <c r="R349" s="227"/>
      <c r="S349" s="322">
        <v>223.970001</v>
      </c>
      <c r="T349" s="228">
        <f t="shared" si="34"/>
        <v>-2.0467934059950177E-2</v>
      </c>
      <c r="U349" s="228"/>
      <c r="V349" s="228"/>
      <c r="W349" s="228"/>
      <c r="X349" s="322">
        <v>120.480003</v>
      </c>
      <c r="Y349" s="228">
        <f t="shared" si="35"/>
        <v>-1.5605817596256455E-2</v>
      </c>
      <c r="Z349" s="228"/>
      <c r="AA349" s="202"/>
    </row>
    <row r="350" spans="2:27" x14ac:dyDescent="0.15">
      <c r="B350" s="241">
        <v>43173</v>
      </c>
      <c r="C350" s="244"/>
      <c r="D350" s="245">
        <v>59.015644000000002</v>
      </c>
      <c r="E350" s="228">
        <f t="shared" si="30"/>
        <v>-4.7332793558316766E-3</v>
      </c>
      <c r="F350" s="228"/>
      <c r="G350" s="245">
        <v>203.92243999999999</v>
      </c>
      <c r="H350" s="228">
        <f t="shared" si="31"/>
        <v>1.6873348239484942E-2</v>
      </c>
      <c r="J350" s="227"/>
      <c r="K350" s="245">
        <v>40.044708</v>
      </c>
      <c r="L350" s="228">
        <f t="shared" si="32"/>
        <v>3.5562916107996223E-3</v>
      </c>
      <c r="M350" s="228"/>
      <c r="N350" s="227"/>
      <c r="O350" s="322">
        <v>60.23</v>
      </c>
      <c r="P350" s="228">
        <f t="shared" si="33"/>
        <v>9.0467584025255565E-3</v>
      </c>
      <c r="Q350" s="228"/>
      <c r="R350" s="227"/>
      <c r="S350" s="322">
        <v>222.63999899999999</v>
      </c>
      <c r="T350" s="228">
        <f t="shared" si="34"/>
        <v>-5.938304210660772E-3</v>
      </c>
      <c r="U350" s="228"/>
      <c r="V350" s="228"/>
      <c r="W350" s="228"/>
      <c r="X350" s="322">
        <v>120.44000200000001</v>
      </c>
      <c r="Y350" s="228">
        <f t="shared" si="35"/>
        <v>-3.3201360395040957E-4</v>
      </c>
      <c r="Z350" s="228"/>
      <c r="AA350" s="202"/>
    </row>
    <row r="351" spans="2:27" x14ac:dyDescent="0.15">
      <c r="B351" s="241">
        <v>43174</v>
      </c>
      <c r="C351" s="244"/>
      <c r="D351" s="245">
        <v>58.931449999999998</v>
      </c>
      <c r="E351" s="228">
        <f t="shared" si="30"/>
        <v>-1.4266386722816549E-3</v>
      </c>
      <c r="F351" s="228"/>
      <c r="G351" s="245">
        <v>206.727814</v>
      </c>
      <c r="H351" s="228">
        <f t="shared" si="31"/>
        <v>1.3757063715008622E-2</v>
      </c>
      <c r="J351" s="227"/>
      <c r="K351" s="245">
        <v>40.186619</v>
      </c>
      <c r="L351" s="228">
        <f t="shared" si="32"/>
        <v>3.5438140790038375E-3</v>
      </c>
      <c r="M351" s="228"/>
      <c r="N351" s="227"/>
      <c r="O351" s="322">
        <v>60.279998999999997</v>
      </c>
      <c r="P351" s="228">
        <f t="shared" si="33"/>
        <v>8.3013448447610827E-4</v>
      </c>
      <c r="Q351" s="228"/>
      <c r="R351" s="227"/>
      <c r="S351" s="322">
        <v>223.08000200000001</v>
      </c>
      <c r="T351" s="228">
        <f t="shared" si="34"/>
        <v>1.9762980685245068E-3</v>
      </c>
      <c r="U351" s="228"/>
      <c r="V351" s="228"/>
      <c r="W351" s="228"/>
      <c r="X351" s="322">
        <v>120.80999799999999</v>
      </c>
      <c r="Y351" s="228">
        <f t="shared" si="35"/>
        <v>3.0720358174685103E-3</v>
      </c>
      <c r="Z351" s="228"/>
      <c r="AA351" s="202"/>
    </row>
    <row r="352" spans="2:27" x14ac:dyDescent="0.15">
      <c r="B352" s="241">
        <v>43175</v>
      </c>
      <c r="C352" s="244"/>
      <c r="D352" s="245">
        <v>58.987583000000001</v>
      </c>
      <c r="E352" s="228">
        <f t="shared" si="30"/>
        <v>9.525134711600991E-4</v>
      </c>
      <c r="F352" s="228"/>
      <c r="G352" s="245">
        <v>206.361481</v>
      </c>
      <c r="H352" s="228">
        <f t="shared" si="31"/>
        <v>-1.7720547269948206E-3</v>
      </c>
      <c r="J352" s="227"/>
      <c r="K352" s="245">
        <v>39.885071000000003</v>
      </c>
      <c r="L352" s="228">
        <f t="shared" si="32"/>
        <v>-7.5036917139009729E-3</v>
      </c>
      <c r="M352" s="228"/>
      <c r="N352" s="227"/>
      <c r="O352" s="322">
        <v>59.439999</v>
      </c>
      <c r="P352" s="228">
        <f t="shared" si="33"/>
        <v>-1.3934970370520383E-2</v>
      </c>
      <c r="Q352" s="228"/>
      <c r="R352" s="227"/>
      <c r="S352" s="322">
        <v>221.91999799999999</v>
      </c>
      <c r="T352" s="228">
        <f t="shared" si="34"/>
        <v>-5.1999461610190423E-3</v>
      </c>
      <c r="U352" s="228"/>
      <c r="V352" s="228"/>
      <c r="W352" s="228"/>
      <c r="X352" s="322">
        <v>120.620003</v>
      </c>
      <c r="Y352" s="228">
        <f t="shared" si="35"/>
        <v>-1.5726761290071334E-3</v>
      </c>
      <c r="Z352" s="228"/>
      <c r="AA352" s="202"/>
    </row>
    <row r="353" spans="2:27" x14ac:dyDescent="0.15">
      <c r="B353" s="241">
        <v>43178</v>
      </c>
      <c r="C353" s="244"/>
      <c r="D353" s="245">
        <v>58.27655</v>
      </c>
      <c r="E353" s="228">
        <f t="shared" si="30"/>
        <v>-1.2053943624033558E-2</v>
      </c>
      <c r="F353" s="228"/>
      <c r="G353" s="245">
        <v>205.09858700000001</v>
      </c>
      <c r="H353" s="228">
        <f t="shared" si="31"/>
        <v>-6.1198145791557801E-3</v>
      </c>
      <c r="J353" s="227"/>
      <c r="K353" s="245">
        <v>39.556904000000003</v>
      </c>
      <c r="L353" s="228">
        <f t="shared" si="32"/>
        <v>-8.2278153648015495E-3</v>
      </c>
      <c r="M353" s="228"/>
      <c r="N353" s="227"/>
      <c r="O353" s="322">
        <v>58.5</v>
      </c>
      <c r="P353" s="228">
        <f t="shared" si="33"/>
        <v>-1.5814249929580249E-2</v>
      </c>
      <c r="Q353" s="228"/>
      <c r="R353" s="227"/>
      <c r="S353" s="322">
        <v>217.58000200000001</v>
      </c>
      <c r="T353" s="228">
        <f t="shared" si="34"/>
        <v>-1.9556579123617301E-2</v>
      </c>
      <c r="U353" s="228"/>
      <c r="V353" s="228"/>
      <c r="W353" s="228"/>
      <c r="X353" s="322">
        <v>115.980003</v>
      </c>
      <c r="Y353" s="228">
        <f t="shared" si="35"/>
        <v>-3.8467914811774584E-2</v>
      </c>
      <c r="Z353" s="228"/>
      <c r="AA353" s="202"/>
    </row>
    <row r="354" spans="2:27" x14ac:dyDescent="0.15">
      <c r="B354" s="241">
        <v>43179</v>
      </c>
      <c r="C354" s="244"/>
      <c r="D354" s="245">
        <v>58.360743999999997</v>
      </c>
      <c r="E354" s="228">
        <f t="shared" si="30"/>
        <v>1.4447320577486433E-3</v>
      </c>
      <c r="F354" s="228"/>
      <c r="G354" s="245">
        <v>204.95401000000001</v>
      </c>
      <c r="H354" s="228">
        <f t="shared" si="31"/>
        <v>-7.0491465648170326E-4</v>
      </c>
      <c r="J354" s="227"/>
      <c r="K354" s="245">
        <v>39.760894999999998</v>
      </c>
      <c r="L354" s="228">
        <f t="shared" si="32"/>
        <v>5.1569000445534918E-3</v>
      </c>
      <c r="M354" s="228"/>
      <c r="N354" s="227"/>
      <c r="O354" s="322">
        <v>59.23</v>
      </c>
      <c r="P354" s="228">
        <f t="shared" si="33"/>
        <v>1.2478632478632345E-2</v>
      </c>
      <c r="Q354" s="228"/>
      <c r="R354" s="227"/>
      <c r="S354" s="322">
        <v>219.13000500000001</v>
      </c>
      <c r="T354" s="228">
        <f t="shared" si="34"/>
        <v>7.1238302498040085E-3</v>
      </c>
      <c r="U354" s="228"/>
      <c r="V354" s="228"/>
      <c r="W354" s="228"/>
      <c r="X354" s="322">
        <v>117.19000200000001</v>
      </c>
      <c r="Y354" s="228">
        <f t="shared" si="35"/>
        <v>1.0432824355074422E-2</v>
      </c>
      <c r="Z354" s="228"/>
      <c r="AA354" s="202"/>
    </row>
    <row r="355" spans="2:27" x14ac:dyDescent="0.15">
      <c r="B355" s="241">
        <v>43180</v>
      </c>
      <c r="C355" s="244"/>
      <c r="D355" s="245">
        <v>58.313965000000003</v>
      </c>
      <c r="E355" s="228">
        <f t="shared" si="30"/>
        <v>-8.0154906866836129E-4</v>
      </c>
      <c r="F355" s="228"/>
      <c r="G355" s="245">
        <v>206.04333500000001</v>
      </c>
      <c r="H355" s="228">
        <f t="shared" si="31"/>
        <v>5.3149728565935472E-3</v>
      </c>
      <c r="J355" s="227"/>
      <c r="K355" s="245">
        <v>39.645587999999996</v>
      </c>
      <c r="L355" s="228">
        <f t="shared" si="32"/>
        <v>-2.9000101733123174E-3</v>
      </c>
      <c r="M355" s="228"/>
      <c r="N355" s="227"/>
      <c r="O355" s="322">
        <v>60.779998999999997</v>
      </c>
      <c r="P355" s="228">
        <f t="shared" si="33"/>
        <v>2.6169154144858986E-2</v>
      </c>
      <c r="Q355" s="228"/>
      <c r="R355" s="227"/>
      <c r="S355" s="322">
        <v>224.279999</v>
      </c>
      <c r="T355" s="228">
        <f t="shared" si="34"/>
        <v>2.3502002840733782E-2</v>
      </c>
      <c r="U355" s="228"/>
      <c r="V355" s="228"/>
      <c r="W355" s="228"/>
      <c r="X355" s="322">
        <v>118.05999799999999</v>
      </c>
      <c r="Y355" s="228">
        <f t="shared" si="35"/>
        <v>7.423807365409818E-3</v>
      </c>
      <c r="Z355" s="228"/>
      <c r="AA355" s="202"/>
    </row>
    <row r="356" spans="2:27" x14ac:dyDescent="0.15">
      <c r="B356" s="241">
        <v>43181</v>
      </c>
      <c r="C356" s="244"/>
      <c r="D356" s="245">
        <v>56.875869999999999</v>
      </c>
      <c r="E356" s="228">
        <f t="shared" si="30"/>
        <v>-2.466124538093073E-2</v>
      </c>
      <c r="F356" s="228"/>
      <c r="G356" s="245">
        <v>197.35739100000001</v>
      </c>
      <c r="H356" s="228">
        <f t="shared" si="31"/>
        <v>-4.2155908610196025E-2</v>
      </c>
      <c r="J356" s="227"/>
      <c r="K356" s="245">
        <v>38.749797999999998</v>
      </c>
      <c r="L356" s="228">
        <f t="shared" si="32"/>
        <v>-2.2594948017923167E-2</v>
      </c>
      <c r="M356" s="228"/>
      <c r="N356" s="227"/>
      <c r="O356" s="322">
        <v>58.959999000000003</v>
      </c>
      <c r="P356" s="228">
        <f t="shared" si="33"/>
        <v>-2.9944061038895242E-2</v>
      </c>
      <c r="Q356" s="228"/>
      <c r="R356" s="227"/>
      <c r="S356" s="322">
        <v>214.820007</v>
      </c>
      <c r="T356" s="228">
        <f t="shared" si="34"/>
        <v>-4.2179383102280088E-2</v>
      </c>
      <c r="U356" s="228"/>
      <c r="V356" s="228"/>
      <c r="W356" s="228"/>
      <c r="X356" s="322">
        <v>112.91999800000001</v>
      </c>
      <c r="Y356" s="228">
        <f t="shared" si="35"/>
        <v>-4.3537185220009822E-2</v>
      </c>
      <c r="Z356" s="228"/>
      <c r="AA356" s="202"/>
    </row>
    <row r="357" spans="2:27" x14ac:dyDescent="0.15">
      <c r="B357" s="241">
        <v>43182</v>
      </c>
      <c r="C357" s="244"/>
      <c r="D357" s="245">
        <v>55.682938</v>
      </c>
      <c r="E357" s="228">
        <f t="shared" si="30"/>
        <v>-2.0974307733666264E-2</v>
      </c>
      <c r="F357" s="228"/>
      <c r="G357" s="245">
        <v>191.94914199999999</v>
      </c>
      <c r="H357" s="228">
        <f t="shared" si="31"/>
        <v>-2.7403326384670357E-2</v>
      </c>
      <c r="J357" s="227"/>
      <c r="K357" s="245">
        <v>37.765312000000002</v>
      </c>
      <c r="L357" s="228">
        <f t="shared" si="32"/>
        <v>-2.5406222762761166E-2</v>
      </c>
      <c r="M357" s="228"/>
      <c r="N357" s="227"/>
      <c r="O357" s="322">
        <v>55.380001</v>
      </c>
      <c r="P357" s="228">
        <f t="shared" si="33"/>
        <v>-6.0719098723186926E-2</v>
      </c>
      <c r="Q357" s="228"/>
      <c r="R357" s="227"/>
      <c r="S357" s="322">
        <v>202.63000500000001</v>
      </c>
      <c r="T357" s="228">
        <f t="shared" si="34"/>
        <v>-5.6745189473902169E-2</v>
      </c>
      <c r="U357" s="228"/>
      <c r="V357" s="228"/>
      <c r="W357" s="228"/>
      <c r="X357" s="322">
        <v>108.18</v>
      </c>
      <c r="Y357" s="228">
        <f t="shared" si="35"/>
        <v>-4.1976603648186339E-2</v>
      </c>
      <c r="Z357" s="228"/>
      <c r="AA357" s="202"/>
    </row>
    <row r="358" spans="2:27" x14ac:dyDescent="0.15">
      <c r="B358" s="241">
        <v>43185</v>
      </c>
      <c r="C358" s="244"/>
      <c r="D358" s="245">
        <v>57.157657999999998</v>
      </c>
      <c r="E358" s="228">
        <f t="shared" si="30"/>
        <v>2.6484234721953825E-2</v>
      </c>
      <c r="F358" s="228"/>
      <c r="G358" s="245">
        <v>199.98919699999999</v>
      </c>
      <c r="H358" s="228">
        <f t="shared" si="31"/>
        <v>4.1886381549962826E-2</v>
      </c>
      <c r="J358" s="227"/>
      <c r="K358" s="245">
        <v>39.264214000000003</v>
      </c>
      <c r="L358" s="228">
        <f t="shared" si="32"/>
        <v>3.968991438492564E-2</v>
      </c>
      <c r="M358" s="228"/>
      <c r="N358" s="227"/>
      <c r="O358" s="322">
        <v>58.470001000000003</v>
      </c>
      <c r="P358" s="228">
        <f t="shared" si="33"/>
        <v>5.5796315352179215E-2</v>
      </c>
      <c r="Q358" s="228"/>
      <c r="R358" s="227"/>
      <c r="S358" s="322">
        <v>214.96000699999999</v>
      </c>
      <c r="T358" s="228">
        <f t="shared" si="34"/>
        <v>6.0849833172535117E-2</v>
      </c>
      <c r="U358" s="228"/>
      <c r="V358" s="228"/>
      <c r="W358" s="228"/>
      <c r="X358" s="322">
        <v>113.360001</v>
      </c>
      <c r="Y358" s="228">
        <f t="shared" si="35"/>
        <v>4.7883166943982092E-2</v>
      </c>
      <c r="Z358" s="228"/>
      <c r="AA358" s="202"/>
    </row>
    <row r="359" spans="2:27" x14ac:dyDescent="0.15">
      <c r="B359" s="241">
        <v>43186</v>
      </c>
      <c r="C359" s="244"/>
      <c r="D359" s="245">
        <v>56.1432</v>
      </c>
      <c r="E359" s="228">
        <f t="shared" si="30"/>
        <v>-1.7748417893539314E-2</v>
      </c>
      <c r="F359" s="228"/>
      <c r="G359" s="245">
        <v>193.08668499999999</v>
      </c>
      <c r="H359" s="228">
        <f t="shared" si="31"/>
        <v>-3.4514424296628432E-2</v>
      </c>
      <c r="J359" s="227"/>
      <c r="K359" s="245">
        <v>38.395026999999999</v>
      </c>
      <c r="L359" s="228">
        <f t="shared" si="32"/>
        <v>-2.2136875068987871E-2</v>
      </c>
      <c r="M359" s="228"/>
      <c r="N359" s="227"/>
      <c r="O359" s="322">
        <v>55.439999</v>
      </c>
      <c r="P359" s="228">
        <f t="shared" si="33"/>
        <v>-5.182148021512778E-2</v>
      </c>
      <c r="Q359" s="228"/>
      <c r="R359" s="227"/>
      <c r="S359" s="322">
        <v>202.61999499999999</v>
      </c>
      <c r="T359" s="228">
        <f t="shared" si="34"/>
        <v>-5.7406082983612827E-2</v>
      </c>
      <c r="U359" s="228"/>
      <c r="V359" s="228"/>
      <c r="W359" s="228"/>
      <c r="X359" s="322">
        <v>107.80999799999999</v>
      </c>
      <c r="Y359" s="228">
        <f t="shared" si="35"/>
        <v>-4.8959094486952237E-2</v>
      </c>
      <c r="Z359" s="228"/>
      <c r="AA359" s="202"/>
    </row>
    <row r="360" spans="2:27" x14ac:dyDescent="0.15">
      <c r="B360" s="241">
        <v>43187</v>
      </c>
      <c r="C360" s="244"/>
      <c r="D360" s="245">
        <v>56.002299999999998</v>
      </c>
      <c r="E360" s="228">
        <f t="shared" si="30"/>
        <v>-2.5096538850654104E-3</v>
      </c>
      <c r="F360" s="228"/>
      <c r="G360" s="245">
        <v>187.53385900000001</v>
      </c>
      <c r="H360" s="228">
        <f t="shared" si="31"/>
        <v>-2.8758202565857816E-2</v>
      </c>
      <c r="J360" s="227"/>
      <c r="K360" s="245">
        <v>37.862869000000003</v>
      </c>
      <c r="L360" s="228">
        <f t="shared" si="32"/>
        <v>-1.3860076202055982E-2</v>
      </c>
      <c r="M360" s="228"/>
      <c r="N360" s="227"/>
      <c r="O360" s="322">
        <v>54.060001</v>
      </c>
      <c r="P360" s="228">
        <f t="shared" si="33"/>
        <v>-2.4891739265723967E-2</v>
      </c>
      <c r="Q360" s="228"/>
      <c r="R360" s="227"/>
      <c r="S360" s="322">
        <v>196.21000699999999</v>
      </c>
      <c r="T360" s="228">
        <f t="shared" si="34"/>
        <v>-3.1635515537348669E-2</v>
      </c>
      <c r="U360" s="228"/>
      <c r="V360" s="228"/>
      <c r="W360" s="228"/>
      <c r="X360" s="322">
        <v>106.57</v>
      </c>
      <c r="Y360" s="228">
        <f t="shared" si="35"/>
        <v>-1.1501697644034858E-2</v>
      </c>
      <c r="Z360" s="228"/>
      <c r="AA360" s="202"/>
    </row>
    <row r="361" spans="2:27" x14ac:dyDescent="0.15">
      <c r="B361" s="241">
        <v>43188</v>
      </c>
      <c r="C361" s="244"/>
      <c r="D361" s="245">
        <v>56.791331999999997</v>
      </c>
      <c r="E361" s="228">
        <f t="shared" si="30"/>
        <v>1.4089278476062672E-2</v>
      </c>
      <c r="F361" s="228"/>
      <c r="G361" s="245">
        <v>191.418915</v>
      </c>
      <c r="H361" s="228">
        <f t="shared" si="31"/>
        <v>2.0716557643065459E-2</v>
      </c>
      <c r="J361" s="227"/>
      <c r="K361" s="245">
        <v>38.811878</v>
      </c>
      <c r="L361" s="228">
        <f t="shared" si="32"/>
        <v>2.5064371112500705E-2</v>
      </c>
      <c r="M361" s="228"/>
      <c r="N361" s="227"/>
      <c r="O361" s="322">
        <v>55.610000999999997</v>
      </c>
      <c r="P361" s="228">
        <f t="shared" si="33"/>
        <v>2.867184556655844E-2</v>
      </c>
      <c r="Q361" s="228"/>
      <c r="R361" s="227"/>
      <c r="S361" s="322">
        <v>203.16000399999999</v>
      </c>
      <c r="T361" s="228">
        <f t="shared" si="34"/>
        <v>3.5421215799660954E-2</v>
      </c>
      <c r="U361" s="228"/>
      <c r="V361" s="228"/>
      <c r="W361" s="228"/>
      <c r="X361" s="322">
        <v>109.010002</v>
      </c>
      <c r="Y361" s="228">
        <f t="shared" si="35"/>
        <v>2.2895768039786102E-2</v>
      </c>
      <c r="Z361" s="228"/>
      <c r="AA361" s="202"/>
    </row>
    <row r="362" spans="2:27" x14ac:dyDescent="0.15">
      <c r="B362" s="241">
        <v>43192</v>
      </c>
      <c r="C362" s="244"/>
      <c r="D362" s="245">
        <v>55.476287999999997</v>
      </c>
      <c r="E362" s="228">
        <f t="shared" si="30"/>
        <v>-2.3155716791428693E-2</v>
      </c>
      <c r="F362" s="228"/>
      <c r="G362" s="245">
        <v>186.10708600000001</v>
      </c>
      <c r="H362" s="228">
        <f t="shared" si="31"/>
        <v>-2.774976025749587E-2</v>
      </c>
      <c r="J362" s="227"/>
      <c r="K362" s="245">
        <v>37.694350999999997</v>
      </c>
      <c r="L362" s="228">
        <f t="shared" si="32"/>
        <v>-2.8793427620276479E-2</v>
      </c>
      <c r="M362" s="228"/>
      <c r="N362" s="227"/>
      <c r="O362" s="322">
        <v>52.889999000000003</v>
      </c>
      <c r="P362" s="228">
        <f t="shared" si="33"/>
        <v>-4.8912101260346952E-2</v>
      </c>
      <c r="Q362" s="228"/>
      <c r="R362" s="227"/>
      <c r="S362" s="322">
        <v>193.86999499999999</v>
      </c>
      <c r="T362" s="228">
        <f t="shared" si="34"/>
        <v>-4.5727548814184948E-2</v>
      </c>
      <c r="U362" s="228"/>
      <c r="V362" s="228"/>
      <c r="W362" s="228"/>
      <c r="X362" s="322">
        <v>105.33000199999999</v>
      </c>
      <c r="Y362" s="228">
        <f t="shared" si="35"/>
        <v>-3.3758370172307761E-2</v>
      </c>
      <c r="Z362" s="228"/>
      <c r="AA362" s="202"/>
    </row>
    <row r="363" spans="2:27" x14ac:dyDescent="0.15">
      <c r="B363" s="241">
        <v>43193</v>
      </c>
      <c r="C363" s="244"/>
      <c r="D363" s="245">
        <v>56.161991</v>
      </c>
      <c r="E363" s="228">
        <f t="shared" si="30"/>
        <v>1.2360289859336016E-2</v>
      </c>
      <c r="F363" s="228"/>
      <c r="G363" s="245">
        <v>192.25761399999999</v>
      </c>
      <c r="H363" s="228">
        <f t="shared" si="31"/>
        <v>3.3048327885806472E-2</v>
      </c>
      <c r="J363" s="227"/>
      <c r="K363" s="245">
        <v>38.563544999999998</v>
      </c>
      <c r="L363" s="228">
        <f t="shared" si="32"/>
        <v>2.3058998946553055E-2</v>
      </c>
      <c r="M363" s="228"/>
      <c r="N363" s="227"/>
      <c r="O363" s="322">
        <v>53.98</v>
      </c>
      <c r="P363" s="228">
        <f t="shared" si="33"/>
        <v>2.0608830036090486E-2</v>
      </c>
      <c r="Q363" s="228"/>
      <c r="R363" s="227"/>
      <c r="S363" s="322">
        <v>197.970001</v>
      </c>
      <c r="T363" s="228">
        <f t="shared" si="34"/>
        <v>2.1148223581477943E-2</v>
      </c>
      <c r="U363" s="228"/>
      <c r="V363" s="228"/>
      <c r="W363" s="228"/>
      <c r="X363" s="322">
        <v>107.57</v>
      </c>
      <c r="Y363" s="228">
        <f t="shared" si="35"/>
        <v>2.1266476383433375E-2</v>
      </c>
      <c r="Z363" s="228"/>
      <c r="AA363" s="202"/>
    </row>
    <row r="364" spans="2:27" x14ac:dyDescent="0.15">
      <c r="B364" s="241">
        <v>43194</v>
      </c>
      <c r="C364" s="244"/>
      <c r="D364" s="245">
        <v>56.847687000000001</v>
      </c>
      <c r="E364" s="228">
        <f t="shared" si="30"/>
        <v>1.2209253763813432E-2</v>
      </c>
      <c r="F364" s="228"/>
      <c r="G364" s="245">
        <v>191.129715</v>
      </c>
      <c r="H364" s="228">
        <f t="shared" si="31"/>
        <v>-5.8666025055319482E-3</v>
      </c>
      <c r="J364" s="227"/>
      <c r="K364" s="245">
        <v>38.971522999999998</v>
      </c>
      <c r="L364" s="228">
        <f t="shared" si="32"/>
        <v>1.0579369713028308E-2</v>
      </c>
      <c r="M364" s="228"/>
      <c r="N364" s="227"/>
      <c r="O364" s="322">
        <v>55.560001</v>
      </c>
      <c r="P364" s="228">
        <f t="shared" si="33"/>
        <v>2.9270118562430669E-2</v>
      </c>
      <c r="Q364" s="228"/>
      <c r="R364" s="227"/>
      <c r="S364" s="322">
        <v>201.66999799999999</v>
      </c>
      <c r="T364" s="228">
        <f t="shared" si="34"/>
        <v>1.868968521144776E-2</v>
      </c>
      <c r="U364" s="228"/>
      <c r="V364" s="228"/>
      <c r="W364" s="228"/>
      <c r="X364" s="322">
        <v>109.25</v>
      </c>
      <c r="Y364" s="228">
        <f t="shared" si="35"/>
        <v>1.5617737287347833E-2</v>
      </c>
      <c r="Z364" s="228"/>
      <c r="AA364" s="202"/>
    </row>
    <row r="365" spans="2:27" x14ac:dyDescent="0.15">
      <c r="B365" s="241">
        <v>43195</v>
      </c>
      <c r="C365" s="244"/>
      <c r="D365" s="245">
        <v>57.214030999999999</v>
      </c>
      <c r="E365" s="228">
        <f t="shared" si="30"/>
        <v>6.4443079276030879E-3</v>
      </c>
      <c r="F365" s="228"/>
      <c r="G365" s="245">
        <v>191.534592</v>
      </c>
      <c r="H365" s="228">
        <f t="shared" si="31"/>
        <v>2.1183362304495468E-3</v>
      </c>
      <c r="J365" s="227"/>
      <c r="K365" s="245">
        <v>38.421630999999998</v>
      </c>
      <c r="L365" s="228">
        <f t="shared" si="32"/>
        <v>-1.4110097775752783E-2</v>
      </c>
      <c r="M365" s="228"/>
      <c r="N365" s="227"/>
      <c r="O365" s="322">
        <v>54.290000999999997</v>
      </c>
      <c r="P365" s="228">
        <f t="shared" si="33"/>
        <v>-2.2858170934878186E-2</v>
      </c>
      <c r="Q365" s="228"/>
      <c r="R365" s="227"/>
      <c r="S365" s="322">
        <v>195.020004</v>
      </c>
      <c r="T365" s="228">
        <f t="shared" si="34"/>
        <v>-3.2974632151283045E-2</v>
      </c>
      <c r="U365" s="228"/>
      <c r="V365" s="228"/>
      <c r="W365" s="228"/>
      <c r="X365" s="322">
        <v>108.709999</v>
      </c>
      <c r="Y365" s="228">
        <f t="shared" si="35"/>
        <v>-4.9428009153318353E-3</v>
      </c>
      <c r="Z365" s="228"/>
      <c r="AA365" s="202"/>
    </row>
    <row r="366" spans="2:27" x14ac:dyDescent="0.15">
      <c r="B366" s="241">
        <v>43196</v>
      </c>
      <c r="C366" s="244"/>
      <c r="D366" s="245">
        <v>56.002299999999998</v>
      </c>
      <c r="E366" s="228">
        <f t="shared" si="30"/>
        <v>-2.117891326342658E-2</v>
      </c>
      <c r="F366" s="228"/>
      <c r="G366" s="245">
        <v>187.63024899999999</v>
      </c>
      <c r="H366" s="228">
        <f t="shared" si="31"/>
        <v>-2.038453189698497E-2</v>
      </c>
      <c r="J366" s="227"/>
      <c r="K366" s="245">
        <v>37.623398000000002</v>
      </c>
      <c r="L366" s="228">
        <f t="shared" si="32"/>
        <v>-2.0775614653110286E-2</v>
      </c>
      <c r="M366" s="228"/>
      <c r="N366" s="227"/>
      <c r="O366" s="322">
        <v>52.34</v>
      </c>
      <c r="P366" s="228">
        <f t="shared" si="33"/>
        <v>-3.5918234740868638E-2</v>
      </c>
      <c r="Q366" s="228"/>
      <c r="R366" s="227"/>
      <c r="S366" s="322">
        <v>190.64999399999999</v>
      </c>
      <c r="T366" s="228">
        <f t="shared" si="34"/>
        <v>-2.2408008975325466E-2</v>
      </c>
      <c r="U366" s="228"/>
      <c r="V366" s="228"/>
      <c r="W366" s="228"/>
      <c r="X366" s="322">
        <v>104.07</v>
      </c>
      <c r="Y366" s="228">
        <f t="shared" si="35"/>
        <v>-4.2682357121537673E-2</v>
      </c>
      <c r="Z366" s="228"/>
      <c r="AA366" s="202"/>
    </row>
    <row r="367" spans="2:27" x14ac:dyDescent="0.15">
      <c r="B367" s="241">
        <v>43199</v>
      </c>
      <c r="C367" s="244"/>
      <c r="D367" s="245">
        <v>56.152591999999999</v>
      </c>
      <c r="E367" s="228">
        <f t="shared" si="30"/>
        <v>2.6836754918995176E-3</v>
      </c>
      <c r="F367" s="228"/>
      <c r="G367" s="245">
        <v>191.389984</v>
      </c>
      <c r="H367" s="228">
        <f t="shared" si="31"/>
        <v>2.00380003759415E-2</v>
      </c>
      <c r="J367" s="227"/>
      <c r="K367" s="245">
        <v>38.199905000000001</v>
      </c>
      <c r="L367" s="228">
        <f t="shared" si="32"/>
        <v>1.532309761069417E-2</v>
      </c>
      <c r="M367" s="228"/>
      <c r="N367" s="227"/>
      <c r="O367" s="322">
        <v>53.02</v>
      </c>
      <c r="P367" s="228">
        <f t="shared" si="33"/>
        <v>1.2991975544516698E-2</v>
      </c>
      <c r="Q367" s="228"/>
      <c r="R367" s="227"/>
      <c r="S367" s="322">
        <v>193.11999499999999</v>
      </c>
      <c r="T367" s="228">
        <f t="shared" si="34"/>
        <v>1.2955683596821865E-2</v>
      </c>
      <c r="U367" s="228"/>
      <c r="V367" s="228"/>
      <c r="W367" s="228"/>
      <c r="X367" s="322">
        <v>103.790001</v>
      </c>
      <c r="Y367" s="228">
        <f t="shared" si="35"/>
        <v>-2.6904871720956347E-3</v>
      </c>
      <c r="Z367" s="228"/>
      <c r="AA367" s="202"/>
    </row>
    <row r="368" spans="2:27" x14ac:dyDescent="0.15">
      <c r="B368" s="241">
        <v>43200</v>
      </c>
      <c r="C368" s="244"/>
      <c r="D368" s="245">
        <v>57.110703000000001</v>
      </c>
      <c r="E368" s="228">
        <f t="shared" si="30"/>
        <v>1.7062631765956571E-2</v>
      </c>
      <c r="F368" s="228"/>
      <c r="G368" s="245">
        <v>198.15754699999999</v>
      </c>
      <c r="H368" s="228">
        <f t="shared" si="31"/>
        <v>3.5360068790224686E-2</v>
      </c>
      <c r="J368" s="227"/>
      <c r="K368" s="245">
        <v>38.652240999999997</v>
      </c>
      <c r="L368" s="228">
        <f t="shared" si="32"/>
        <v>1.1841285992726824E-2</v>
      </c>
      <c r="M368" s="228"/>
      <c r="N368" s="227"/>
      <c r="O368" s="322">
        <v>54.799999</v>
      </c>
      <c r="P368" s="228">
        <f t="shared" si="33"/>
        <v>3.3572218030931689E-2</v>
      </c>
      <c r="Q368" s="228"/>
      <c r="R368" s="227"/>
      <c r="S368" s="322">
        <v>200.16999799999999</v>
      </c>
      <c r="T368" s="228">
        <f t="shared" si="34"/>
        <v>3.6505815982441403E-2</v>
      </c>
      <c r="U368" s="228"/>
      <c r="V368" s="228"/>
      <c r="W368" s="228"/>
      <c r="X368" s="322">
        <v>108.57</v>
      </c>
      <c r="Y368" s="228">
        <f t="shared" si="35"/>
        <v>4.6054523113454815E-2</v>
      </c>
      <c r="Z368" s="228"/>
      <c r="AA368" s="202"/>
    </row>
    <row r="369" spans="2:27" x14ac:dyDescent="0.15">
      <c r="B369" s="241">
        <v>43201</v>
      </c>
      <c r="C369" s="244"/>
      <c r="D369" s="245">
        <v>56.866478000000001</v>
      </c>
      <c r="E369" s="228">
        <f t="shared" si="30"/>
        <v>-4.276343787958603E-3</v>
      </c>
      <c r="F369" s="228"/>
      <c r="G369" s="245">
        <v>198.15754699999999</v>
      </c>
      <c r="H369" s="228">
        <f t="shared" si="31"/>
        <v>0</v>
      </c>
      <c r="J369" s="227"/>
      <c r="K369" s="245">
        <v>38.474857</v>
      </c>
      <c r="L369" s="228">
        <f t="shared" si="32"/>
        <v>-4.5892293799988382E-3</v>
      </c>
      <c r="M369" s="228"/>
      <c r="N369" s="227"/>
      <c r="O369" s="322">
        <v>54.950001</v>
      </c>
      <c r="P369" s="228">
        <f t="shared" si="33"/>
        <v>2.7372628236725927E-3</v>
      </c>
      <c r="Q369" s="228"/>
      <c r="R369" s="227"/>
      <c r="S369" s="322">
        <v>200.86000100000001</v>
      </c>
      <c r="T369" s="228">
        <f t="shared" si="34"/>
        <v>3.4470850122105823E-3</v>
      </c>
      <c r="U369" s="228"/>
      <c r="V369" s="228"/>
      <c r="W369" s="228"/>
      <c r="X369" s="322">
        <v>106.639999</v>
      </c>
      <c r="Y369" s="228">
        <f t="shared" si="35"/>
        <v>-1.7776558902090733E-2</v>
      </c>
      <c r="Z369" s="228"/>
      <c r="AA369" s="202"/>
    </row>
    <row r="370" spans="2:27" x14ac:dyDescent="0.15">
      <c r="B370" s="241">
        <v>43202</v>
      </c>
      <c r="C370" s="244"/>
      <c r="D370" s="245">
        <v>57.307952999999998</v>
      </c>
      <c r="E370" s="228">
        <f t="shared" si="30"/>
        <v>7.7633610437417566E-3</v>
      </c>
      <c r="F370" s="228"/>
      <c r="G370" s="245">
        <v>198.82270800000001</v>
      </c>
      <c r="H370" s="228">
        <f t="shared" si="31"/>
        <v>3.35672806850007E-3</v>
      </c>
      <c r="J370" s="227"/>
      <c r="K370" s="245">
        <v>38.891708000000001</v>
      </c>
      <c r="L370" s="228">
        <f t="shared" si="32"/>
        <v>1.0834374251215584E-2</v>
      </c>
      <c r="M370" s="228"/>
      <c r="N370" s="227"/>
      <c r="O370" s="322">
        <v>56.43</v>
      </c>
      <c r="P370" s="228">
        <f t="shared" si="33"/>
        <v>2.6933557289653187E-2</v>
      </c>
      <c r="Q370" s="228"/>
      <c r="R370" s="227"/>
      <c r="S370" s="322">
        <v>206.020004</v>
      </c>
      <c r="T370" s="228">
        <f t="shared" si="34"/>
        <v>2.5689549807380363E-2</v>
      </c>
      <c r="U370" s="228"/>
      <c r="V370" s="228"/>
      <c r="W370" s="228"/>
      <c r="X370" s="322">
        <v>109.120003</v>
      </c>
      <c r="Y370" s="228">
        <f t="shared" si="35"/>
        <v>2.3255851680943795E-2</v>
      </c>
      <c r="Z370" s="228"/>
      <c r="AA370" s="202"/>
    </row>
    <row r="371" spans="2:27" x14ac:dyDescent="0.15">
      <c r="B371" s="241">
        <v>43203</v>
      </c>
      <c r="C371" s="244"/>
      <c r="D371" s="245">
        <v>57.148266</v>
      </c>
      <c r="E371" s="228">
        <f t="shared" si="30"/>
        <v>-2.7864718881164263E-3</v>
      </c>
      <c r="F371" s="228"/>
      <c r="G371" s="245">
        <v>198.25393700000001</v>
      </c>
      <c r="H371" s="228">
        <f t="shared" si="31"/>
        <v>-2.8606943629396753E-3</v>
      </c>
      <c r="J371" s="227"/>
      <c r="K371" s="245">
        <v>37.827396</v>
      </c>
      <c r="L371" s="228">
        <f t="shared" si="32"/>
        <v>-2.7366039053877578E-2</v>
      </c>
      <c r="M371" s="228"/>
      <c r="N371" s="227"/>
      <c r="O371" s="322">
        <v>56.07</v>
      </c>
      <c r="P371" s="228">
        <f t="shared" si="33"/>
        <v>-6.3795853269537073E-3</v>
      </c>
      <c r="Q371" s="228"/>
      <c r="R371" s="227"/>
      <c r="S371" s="322">
        <v>203.740005</v>
      </c>
      <c r="T371" s="228">
        <f t="shared" si="34"/>
        <v>-1.1066881641260462E-2</v>
      </c>
      <c r="U371" s="228"/>
      <c r="V371" s="228"/>
      <c r="W371" s="228"/>
      <c r="X371" s="322">
        <v>107.589996</v>
      </c>
      <c r="Y371" s="228">
        <f t="shared" si="35"/>
        <v>-1.4021324761143927E-2</v>
      </c>
      <c r="Z371" s="228"/>
      <c r="AA371" s="202"/>
    </row>
    <row r="372" spans="2:27" x14ac:dyDescent="0.15">
      <c r="B372" s="241">
        <v>43206</v>
      </c>
      <c r="C372" s="244"/>
      <c r="D372" s="245">
        <v>57.608536000000001</v>
      </c>
      <c r="E372" s="228">
        <f t="shared" si="30"/>
        <v>8.0539626521651808E-3</v>
      </c>
      <c r="F372" s="228"/>
      <c r="G372" s="245">
        <v>199.26617400000001</v>
      </c>
      <c r="H372" s="228">
        <f t="shared" si="31"/>
        <v>5.1057598921731007E-3</v>
      </c>
      <c r="J372" s="227"/>
      <c r="K372" s="245">
        <v>38.022517999999998</v>
      </c>
      <c r="L372" s="228">
        <f t="shared" si="32"/>
        <v>5.1582191911914155E-3</v>
      </c>
      <c r="M372" s="228"/>
      <c r="N372" s="227"/>
      <c r="O372" s="322">
        <v>56.869999</v>
      </c>
      <c r="P372" s="228">
        <f t="shared" si="33"/>
        <v>1.4267861601569454E-2</v>
      </c>
      <c r="Q372" s="228"/>
      <c r="R372" s="227"/>
      <c r="S372" s="322">
        <v>203.550003</v>
      </c>
      <c r="T372" s="228">
        <f t="shared" si="34"/>
        <v>-9.3257090083997962E-4</v>
      </c>
      <c r="U372" s="228"/>
      <c r="V372" s="228"/>
      <c r="W372" s="228"/>
      <c r="X372" s="322">
        <v>108.849998</v>
      </c>
      <c r="Y372" s="228">
        <f t="shared" si="35"/>
        <v>1.1711144593778089E-2</v>
      </c>
      <c r="Z372" s="228"/>
      <c r="AA372" s="202"/>
    </row>
    <row r="373" spans="2:27" x14ac:dyDescent="0.15">
      <c r="B373" s="241">
        <v>43207</v>
      </c>
      <c r="C373" s="244"/>
      <c r="D373" s="245">
        <v>58.237884999999999</v>
      </c>
      <c r="E373" s="228">
        <f t="shared" si="30"/>
        <v>1.0924578954757624E-2</v>
      </c>
      <c r="F373" s="228"/>
      <c r="G373" s="245">
        <v>205.0504</v>
      </c>
      <c r="H373" s="228">
        <f t="shared" si="31"/>
        <v>2.902763617070292E-2</v>
      </c>
      <c r="J373" s="227"/>
      <c r="K373" s="245">
        <v>37.525841</v>
      </c>
      <c r="L373" s="228">
        <f t="shared" si="32"/>
        <v>-1.306270668344478E-2</v>
      </c>
      <c r="M373" s="228"/>
      <c r="N373" s="227"/>
      <c r="O373" s="322">
        <v>57.860000999999997</v>
      </c>
      <c r="P373" s="228">
        <f t="shared" si="33"/>
        <v>1.7408159265133838E-2</v>
      </c>
      <c r="Q373" s="228"/>
      <c r="R373" s="227"/>
      <c r="S373" s="322">
        <v>212.33000200000001</v>
      </c>
      <c r="T373" s="228">
        <f t="shared" si="34"/>
        <v>4.3134359472350337E-2</v>
      </c>
      <c r="U373" s="228"/>
      <c r="V373" s="228"/>
      <c r="W373" s="228"/>
      <c r="X373" s="322">
        <v>110.620003</v>
      </c>
      <c r="Y373" s="228">
        <f t="shared" si="35"/>
        <v>1.6260955742047889E-2</v>
      </c>
      <c r="Z373" s="228"/>
      <c r="AA373" s="202"/>
    </row>
    <row r="374" spans="2:27" x14ac:dyDescent="0.15">
      <c r="B374" s="241">
        <v>43208</v>
      </c>
      <c r="C374" s="244"/>
      <c r="D374" s="245">
        <v>58.313026000000001</v>
      </c>
      <c r="E374" s="228">
        <f t="shared" si="30"/>
        <v>1.2902425972372011E-3</v>
      </c>
      <c r="F374" s="228"/>
      <c r="G374" s="245">
        <v>198.899857</v>
      </c>
      <c r="H374" s="228">
        <f t="shared" si="31"/>
        <v>-2.9995274332554334E-2</v>
      </c>
      <c r="J374" s="227"/>
      <c r="K374" s="245">
        <v>37.179935</v>
      </c>
      <c r="L374" s="228">
        <f t="shared" si="32"/>
        <v>-9.2178080699110154E-3</v>
      </c>
      <c r="M374" s="228"/>
      <c r="N374" s="227"/>
      <c r="O374" s="322">
        <v>54.73</v>
      </c>
      <c r="P374" s="228">
        <f t="shared" si="33"/>
        <v>-5.409611036819717E-2</v>
      </c>
      <c r="Q374" s="228"/>
      <c r="R374" s="227"/>
      <c r="S374" s="322">
        <v>203.770004</v>
      </c>
      <c r="T374" s="228">
        <f t="shared" si="34"/>
        <v>-4.0314594825840988E-2</v>
      </c>
      <c r="U374" s="228"/>
      <c r="V374" s="228"/>
      <c r="W374" s="228"/>
      <c r="X374" s="322">
        <v>108.239998</v>
      </c>
      <c r="Y374" s="228">
        <f t="shared" si="35"/>
        <v>-2.1515141343830924E-2</v>
      </c>
      <c r="Z374" s="228"/>
      <c r="AA374" s="202"/>
    </row>
    <row r="375" spans="2:27" x14ac:dyDescent="0.15">
      <c r="B375" s="241">
        <v>43209</v>
      </c>
      <c r="C375" s="244"/>
      <c r="D375" s="245">
        <v>57.993664000000003</v>
      </c>
      <c r="E375" s="228">
        <f t="shared" si="30"/>
        <v>-5.4766837172881555E-3</v>
      </c>
      <c r="F375" s="228"/>
      <c r="G375" s="245">
        <v>188.08337399999999</v>
      </c>
      <c r="H375" s="228">
        <f t="shared" si="31"/>
        <v>-5.4381552421126189E-2</v>
      </c>
      <c r="J375" s="227"/>
      <c r="K375" s="245">
        <v>35.060184</v>
      </c>
      <c r="L375" s="228">
        <f t="shared" si="32"/>
        <v>-5.7013305698355832E-2</v>
      </c>
      <c r="M375" s="228"/>
      <c r="N375" s="227"/>
      <c r="O375" s="322">
        <v>51.189999</v>
      </c>
      <c r="P375" s="228">
        <f t="shared" si="33"/>
        <v>-6.4681180339850153E-2</v>
      </c>
      <c r="Q375" s="228"/>
      <c r="R375" s="227"/>
      <c r="S375" s="322">
        <v>190.38999899999999</v>
      </c>
      <c r="T375" s="228">
        <f t="shared" si="34"/>
        <v>-6.5662289529130113E-2</v>
      </c>
      <c r="U375" s="228"/>
      <c r="V375" s="228"/>
      <c r="W375" s="228"/>
      <c r="X375" s="322">
        <v>102.290001</v>
      </c>
      <c r="Y375" s="228">
        <f t="shared" si="35"/>
        <v>-5.4970409367524176E-2</v>
      </c>
      <c r="Z375" s="228"/>
      <c r="AA375" s="202"/>
    </row>
    <row r="376" spans="2:27" x14ac:dyDescent="0.15">
      <c r="B376" s="241">
        <v>43210</v>
      </c>
      <c r="C376" s="244"/>
      <c r="D376" s="245">
        <v>57.523997999999999</v>
      </c>
      <c r="E376" s="228">
        <f t="shared" si="30"/>
        <v>-8.0985743546053701E-3</v>
      </c>
      <c r="F376" s="228"/>
      <c r="G376" s="245">
        <v>186.078171</v>
      </c>
      <c r="H376" s="228">
        <f t="shared" si="31"/>
        <v>-1.0661245368769223E-2</v>
      </c>
      <c r="J376" s="227"/>
      <c r="K376" s="245">
        <v>34.545765000000003</v>
      </c>
      <c r="L376" s="228">
        <f t="shared" si="32"/>
        <v>-1.4672455797721917E-2</v>
      </c>
      <c r="M376" s="228"/>
      <c r="N376" s="227"/>
      <c r="O376" s="322">
        <v>51.09</v>
      </c>
      <c r="P376" s="228">
        <f t="shared" si="33"/>
        <v>-1.9534870473428834E-3</v>
      </c>
      <c r="Q376" s="228"/>
      <c r="R376" s="227"/>
      <c r="S376" s="322">
        <v>191.91000399999999</v>
      </c>
      <c r="T376" s="228">
        <f t="shared" si="34"/>
        <v>7.9836388885110576E-3</v>
      </c>
      <c r="U376" s="228"/>
      <c r="V376" s="228"/>
      <c r="W376" s="228"/>
      <c r="X376" s="322">
        <v>101.480003</v>
      </c>
      <c r="Y376" s="228">
        <f t="shared" si="35"/>
        <v>-7.9186429962005978E-3</v>
      </c>
      <c r="Z376" s="228"/>
      <c r="AA376" s="202"/>
    </row>
    <row r="377" spans="2:27" x14ac:dyDescent="0.15">
      <c r="B377" s="241">
        <v>43213</v>
      </c>
      <c r="C377" s="244"/>
      <c r="D377" s="245">
        <v>57.495815</v>
      </c>
      <c r="E377" s="228">
        <f t="shared" si="30"/>
        <v>-4.8993465301205852E-4</v>
      </c>
      <c r="F377" s="228"/>
      <c r="G377" s="245">
        <v>184.43931599999999</v>
      </c>
      <c r="H377" s="228">
        <f t="shared" si="31"/>
        <v>-8.8073468864867666E-3</v>
      </c>
      <c r="J377" s="227"/>
      <c r="K377" s="245">
        <v>34.368385000000004</v>
      </c>
      <c r="L377" s="228">
        <f t="shared" si="32"/>
        <v>-5.1346380663447322E-3</v>
      </c>
      <c r="M377" s="228"/>
      <c r="N377" s="227"/>
      <c r="O377" s="322">
        <v>50.18</v>
      </c>
      <c r="P377" s="228">
        <f t="shared" si="33"/>
        <v>-1.7811704834605702E-2</v>
      </c>
      <c r="Q377" s="228"/>
      <c r="R377" s="227"/>
      <c r="S377" s="322">
        <v>191.86000100000001</v>
      </c>
      <c r="T377" s="228">
        <f t="shared" si="34"/>
        <v>-2.6055442112327132E-4</v>
      </c>
      <c r="U377" s="228"/>
      <c r="V377" s="228"/>
      <c r="W377" s="228"/>
      <c r="X377" s="322">
        <v>101</v>
      </c>
      <c r="Y377" s="228">
        <f t="shared" si="35"/>
        <v>-4.7300254809806708E-3</v>
      </c>
      <c r="Z377" s="228"/>
      <c r="AA377" s="202"/>
    </row>
    <row r="378" spans="2:27" x14ac:dyDescent="0.15">
      <c r="B378" s="241">
        <v>43214</v>
      </c>
      <c r="C378" s="244"/>
      <c r="D378" s="245">
        <v>56.781936999999999</v>
      </c>
      <c r="E378" s="228">
        <f t="shared" si="30"/>
        <v>-1.2416173246696305E-2</v>
      </c>
      <c r="F378" s="228"/>
      <c r="G378" s="245">
        <v>187.07110599999999</v>
      </c>
      <c r="H378" s="228">
        <f t="shared" si="31"/>
        <v>1.4269137714650881E-2</v>
      </c>
      <c r="J378" s="227"/>
      <c r="K378" s="245">
        <v>34.368385000000004</v>
      </c>
      <c r="L378" s="228">
        <f t="shared" si="32"/>
        <v>0</v>
      </c>
      <c r="M378" s="228"/>
      <c r="N378" s="227"/>
      <c r="O378" s="322">
        <v>48.720001000000003</v>
      </c>
      <c r="P378" s="228">
        <f t="shared" si="33"/>
        <v>-2.9095237146273378E-2</v>
      </c>
      <c r="Q378" s="228"/>
      <c r="R378" s="227"/>
      <c r="S378" s="322">
        <v>185.820007</v>
      </c>
      <c r="T378" s="228">
        <f t="shared" si="34"/>
        <v>-3.1481257002599516E-2</v>
      </c>
      <c r="U378" s="228"/>
      <c r="V378" s="228"/>
      <c r="W378" s="228"/>
      <c r="X378" s="322">
        <v>99.559997999999993</v>
      </c>
      <c r="Y378" s="228">
        <f t="shared" si="35"/>
        <v>-1.4257445544554548E-2</v>
      </c>
      <c r="Z378" s="228"/>
      <c r="AA378" s="202"/>
    </row>
    <row r="379" spans="2:27" x14ac:dyDescent="0.15">
      <c r="B379" s="241">
        <v>43215</v>
      </c>
      <c r="C379" s="244"/>
      <c r="D379" s="245">
        <v>56.866478000000001</v>
      </c>
      <c r="E379" s="228">
        <f t="shared" si="30"/>
        <v>1.4888713641452167E-3</v>
      </c>
      <c r="F379" s="228"/>
      <c r="G379" s="245">
        <v>184.76707500000001</v>
      </c>
      <c r="H379" s="228">
        <f t="shared" si="31"/>
        <v>-1.231633815218891E-2</v>
      </c>
      <c r="J379" s="227"/>
      <c r="K379" s="245">
        <v>33.853962000000003</v>
      </c>
      <c r="L379" s="228">
        <f t="shared" si="32"/>
        <v>-1.4967913098040575E-2</v>
      </c>
      <c r="M379" s="228"/>
      <c r="N379" s="227"/>
      <c r="O379" s="322">
        <v>49.139999000000003</v>
      </c>
      <c r="P379" s="228">
        <f t="shared" si="33"/>
        <v>8.6206484273265716E-3</v>
      </c>
      <c r="Q379" s="228"/>
      <c r="R379" s="227"/>
      <c r="S379" s="322">
        <v>186.66999799999999</v>
      </c>
      <c r="T379" s="228">
        <f t="shared" si="34"/>
        <v>4.5742706273819156E-3</v>
      </c>
      <c r="U379" s="228"/>
      <c r="V379" s="228"/>
      <c r="W379" s="228"/>
      <c r="X379" s="322">
        <v>98.650002000000001</v>
      </c>
      <c r="Y379" s="228">
        <f t="shared" si="35"/>
        <v>-9.1401769614337658E-3</v>
      </c>
      <c r="Z379" s="228"/>
      <c r="AA379" s="202"/>
    </row>
    <row r="380" spans="2:27" x14ac:dyDescent="0.15">
      <c r="B380" s="241">
        <v>43216</v>
      </c>
      <c r="C380" s="244"/>
      <c r="D380" s="245">
        <v>57.420665999999997</v>
      </c>
      <c r="E380" s="228">
        <f t="shared" si="30"/>
        <v>9.7454250639541495E-3</v>
      </c>
      <c r="F380" s="228"/>
      <c r="G380" s="245">
        <v>188.642471</v>
      </c>
      <c r="H380" s="228">
        <f t="shared" si="31"/>
        <v>2.0974494508829489E-2</v>
      </c>
      <c r="J380" s="227"/>
      <c r="K380" s="245">
        <v>33.853962000000003</v>
      </c>
      <c r="L380" s="228">
        <f t="shared" si="32"/>
        <v>0</v>
      </c>
      <c r="M380" s="228"/>
      <c r="N380" s="227"/>
      <c r="O380" s="322">
        <v>50.490001999999997</v>
      </c>
      <c r="P380" s="228">
        <f t="shared" si="33"/>
        <v>2.7472589081656063E-2</v>
      </c>
      <c r="Q380" s="228"/>
      <c r="R380" s="227"/>
      <c r="S380" s="322">
        <v>190.39999399999999</v>
      </c>
      <c r="T380" s="228">
        <f t="shared" si="34"/>
        <v>1.9981764825432791E-2</v>
      </c>
      <c r="U380" s="228"/>
      <c r="V380" s="228"/>
      <c r="W380" s="228"/>
      <c r="X380" s="322">
        <v>100.83000199999999</v>
      </c>
      <c r="Y380" s="228">
        <f t="shared" si="35"/>
        <v>2.2098326972157523E-2</v>
      </c>
      <c r="Z380" s="228"/>
      <c r="AA380" s="202"/>
    </row>
    <row r="381" spans="2:27" x14ac:dyDescent="0.15">
      <c r="B381" s="241">
        <v>43217</v>
      </c>
      <c r="C381" s="244"/>
      <c r="D381" s="245">
        <v>57.439464999999998</v>
      </c>
      <c r="E381" s="228">
        <f t="shared" si="30"/>
        <v>3.2739083869204322E-4</v>
      </c>
      <c r="F381" s="228"/>
      <c r="G381" s="245">
        <v>186.491165</v>
      </c>
      <c r="H381" s="228">
        <f t="shared" si="31"/>
        <v>-1.1404144509960301E-2</v>
      </c>
      <c r="J381" s="227"/>
      <c r="K381" s="245">
        <v>33.853962000000003</v>
      </c>
      <c r="L381" s="228">
        <f t="shared" si="32"/>
        <v>0</v>
      </c>
      <c r="M381" s="228"/>
      <c r="N381" s="227"/>
      <c r="O381" s="322">
        <v>49.400002000000001</v>
      </c>
      <c r="P381" s="228">
        <f t="shared" si="33"/>
        <v>-2.1588432497982368E-2</v>
      </c>
      <c r="Q381" s="228"/>
      <c r="R381" s="227"/>
      <c r="S381" s="322">
        <v>187.259995</v>
      </c>
      <c r="T381" s="228">
        <f t="shared" si="34"/>
        <v>-1.6491591906247605E-2</v>
      </c>
      <c r="U381" s="228"/>
      <c r="V381" s="228"/>
      <c r="W381" s="228"/>
      <c r="X381" s="322">
        <v>102.18</v>
      </c>
      <c r="Y381" s="228">
        <f t="shared" si="35"/>
        <v>1.3388852258477746E-2</v>
      </c>
      <c r="Z381" s="228"/>
      <c r="AA381" s="202"/>
    </row>
    <row r="382" spans="2:27" x14ac:dyDescent="0.15">
      <c r="B382" s="241">
        <v>43220</v>
      </c>
      <c r="C382" s="244"/>
      <c r="D382" s="245">
        <v>56.969799000000002</v>
      </c>
      <c r="E382" s="228">
        <f t="shared" si="30"/>
        <v>-8.1767126486989028E-3</v>
      </c>
      <c r="F382" s="228"/>
      <c r="G382" s="245">
        <v>183.28166200000001</v>
      </c>
      <c r="H382" s="228">
        <f t="shared" si="31"/>
        <v>-1.7209946648142682E-2</v>
      </c>
      <c r="J382" s="227"/>
      <c r="K382" s="245">
        <v>34.102305999999999</v>
      </c>
      <c r="L382" s="228">
        <f t="shared" si="32"/>
        <v>7.335744040830372E-3</v>
      </c>
      <c r="M382" s="228"/>
      <c r="N382" s="227"/>
      <c r="O382" s="322">
        <v>49.669998</v>
      </c>
      <c r="P382" s="228">
        <f t="shared" si="33"/>
        <v>5.4655058515988841E-3</v>
      </c>
      <c r="Q382" s="228"/>
      <c r="R382" s="227"/>
      <c r="S382" s="322">
        <v>185.05999800000001</v>
      </c>
      <c r="T382" s="228">
        <f t="shared" si="34"/>
        <v>-1.174835554171616E-2</v>
      </c>
      <c r="U382" s="228"/>
      <c r="V382" s="228"/>
      <c r="W382" s="228"/>
      <c r="X382" s="322">
        <v>101.739998</v>
      </c>
      <c r="Y382" s="228">
        <f t="shared" si="35"/>
        <v>-4.3061460168331012E-3</v>
      </c>
      <c r="Z382" s="228"/>
      <c r="AA382" s="202"/>
    </row>
    <row r="383" spans="2:27" x14ac:dyDescent="0.15">
      <c r="B383" s="241">
        <v>43221</v>
      </c>
      <c r="C383" s="244"/>
      <c r="D383" s="245">
        <v>57.101311000000003</v>
      </c>
      <c r="E383" s="228">
        <f t="shared" si="30"/>
        <v>2.3084511848110445E-3</v>
      </c>
      <c r="F383" s="228"/>
      <c r="G383" s="245">
        <v>186.189682</v>
      </c>
      <c r="H383" s="228">
        <f t="shared" si="31"/>
        <v>1.5866399116350127E-2</v>
      </c>
      <c r="J383" s="227"/>
      <c r="K383" s="245">
        <v>34.528027000000002</v>
      </c>
      <c r="L383" s="228">
        <f t="shared" si="32"/>
        <v>1.2483642601764267E-2</v>
      </c>
      <c r="M383" s="228"/>
      <c r="N383" s="227"/>
      <c r="O383" s="322">
        <v>50.91</v>
      </c>
      <c r="P383" s="228">
        <f t="shared" si="33"/>
        <v>2.4964808736251509E-2</v>
      </c>
      <c r="Q383" s="228"/>
      <c r="R383" s="227"/>
      <c r="S383" s="322">
        <v>190.38999899999999</v>
      </c>
      <c r="T383" s="228">
        <f t="shared" si="34"/>
        <v>2.8801475508499541E-2</v>
      </c>
      <c r="U383" s="228"/>
      <c r="V383" s="228"/>
      <c r="W383" s="228"/>
      <c r="X383" s="322">
        <v>102.33000199999999</v>
      </c>
      <c r="Y383" s="228">
        <f t="shared" si="35"/>
        <v>5.7991351641268896E-3</v>
      </c>
      <c r="Z383" s="228"/>
      <c r="AA383" s="202"/>
    </row>
    <row r="384" spans="2:27" x14ac:dyDescent="0.15">
      <c r="B384" s="241">
        <v>43222</v>
      </c>
      <c r="C384" s="244"/>
      <c r="D384" s="245">
        <v>56.781936999999999</v>
      </c>
      <c r="E384" s="228">
        <f t="shared" si="30"/>
        <v>-5.5931115136743648E-3</v>
      </c>
      <c r="F384" s="228"/>
      <c r="G384" s="245">
        <v>185.11982699999999</v>
      </c>
      <c r="H384" s="228">
        <f t="shared" si="31"/>
        <v>-5.7460488062921478E-3</v>
      </c>
      <c r="J384" s="227"/>
      <c r="K384" s="245">
        <v>33.481456999999999</v>
      </c>
      <c r="L384" s="228">
        <f t="shared" si="32"/>
        <v>-3.0310738577677854E-2</v>
      </c>
      <c r="M384" s="228"/>
      <c r="N384" s="227"/>
      <c r="O384" s="322">
        <v>50.529998999999997</v>
      </c>
      <c r="P384" s="228">
        <f t="shared" si="33"/>
        <v>-7.4641720683559232E-3</v>
      </c>
      <c r="Q384" s="228"/>
      <c r="R384" s="227"/>
      <c r="S384" s="322">
        <v>189.520004</v>
      </c>
      <c r="T384" s="228">
        <f t="shared" si="34"/>
        <v>-4.5695414915148946E-3</v>
      </c>
      <c r="U384" s="228"/>
      <c r="V384" s="228"/>
      <c r="W384" s="228"/>
      <c r="X384" s="322">
        <v>102.16999800000001</v>
      </c>
      <c r="Y384" s="228">
        <f t="shared" si="35"/>
        <v>-1.5636079045516782E-3</v>
      </c>
      <c r="Z384" s="228"/>
      <c r="AA384" s="202"/>
    </row>
    <row r="385" spans="2:27" x14ac:dyDescent="0.15">
      <c r="B385" s="241">
        <v>43223</v>
      </c>
      <c r="C385" s="244"/>
      <c r="D385" s="245">
        <v>56.641029000000003</v>
      </c>
      <c r="E385" s="228">
        <f t="shared" si="30"/>
        <v>-2.4815638113929728E-3</v>
      </c>
      <c r="F385" s="228"/>
      <c r="G385" s="245">
        <v>187.46373</v>
      </c>
      <c r="H385" s="228">
        <f t="shared" si="31"/>
        <v>1.266154489221738E-2</v>
      </c>
      <c r="J385" s="227"/>
      <c r="K385" s="245">
        <v>33.791877999999997</v>
      </c>
      <c r="L385" s="228">
        <f t="shared" si="32"/>
        <v>9.2714304517871327E-3</v>
      </c>
      <c r="M385" s="228"/>
      <c r="N385" s="227"/>
      <c r="O385" s="322">
        <v>50.709999000000003</v>
      </c>
      <c r="P385" s="228">
        <f t="shared" si="33"/>
        <v>3.5622403238124711E-3</v>
      </c>
      <c r="Q385" s="228"/>
      <c r="R385" s="227"/>
      <c r="S385" s="322">
        <v>189.429993</v>
      </c>
      <c r="T385" s="228">
        <f t="shared" si="34"/>
        <v>-4.7494194860819849E-4</v>
      </c>
      <c r="U385" s="228"/>
      <c r="V385" s="228"/>
      <c r="W385" s="228"/>
      <c r="X385" s="322">
        <v>102.989998</v>
      </c>
      <c r="Y385" s="228">
        <f t="shared" si="35"/>
        <v>8.0258394445695824E-3</v>
      </c>
      <c r="Z385" s="228"/>
      <c r="AA385" s="202"/>
    </row>
    <row r="386" spans="2:27" x14ac:dyDescent="0.15">
      <c r="B386" s="241">
        <v>43224</v>
      </c>
      <c r="C386" s="244"/>
      <c r="D386" s="245">
        <v>57.383099000000001</v>
      </c>
      <c r="E386" s="228">
        <f t="shared" si="30"/>
        <v>1.3101280345736654E-2</v>
      </c>
      <c r="F386" s="228"/>
      <c r="G386" s="245">
        <v>190.14804100000001</v>
      </c>
      <c r="H386" s="228">
        <f t="shared" si="31"/>
        <v>1.4319095219112565E-2</v>
      </c>
      <c r="J386" s="227"/>
      <c r="K386" s="245">
        <v>34.226478999999998</v>
      </c>
      <c r="L386" s="228">
        <f t="shared" si="32"/>
        <v>1.2861108222514295E-2</v>
      </c>
      <c r="M386" s="228"/>
      <c r="N386" s="227"/>
      <c r="O386" s="322">
        <v>52.560001</v>
      </c>
      <c r="P386" s="228">
        <f t="shared" si="33"/>
        <v>3.6481996381029225E-2</v>
      </c>
      <c r="Q386" s="228"/>
      <c r="R386" s="227"/>
      <c r="S386" s="322">
        <v>195.470001</v>
      </c>
      <c r="T386" s="228">
        <f t="shared" si="34"/>
        <v>3.1885172481635582E-2</v>
      </c>
      <c r="U386" s="228"/>
      <c r="V386" s="228"/>
      <c r="W386" s="228"/>
      <c r="X386" s="322">
        <v>106.660004</v>
      </c>
      <c r="Y386" s="228">
        <f t="shared" si="35"/>
        <v>3.5634586574125438E-2</v>
      </c>
      <c r="Z386" s="228"/>
      <c r="AA386" s="202"/>
    </row>
    <row r="387" spans="2:27" x14ac:dyDescent="0.15">
      <c r="B387" s="241">
        <v>43227</v>
      </c>
      <c r="C387" s="244"/>
      <c r="D387" s="245">
        <v>57.636718999999999</v>
      </c>
      <c r="E387" s="228">
        <f t="shared" si="30"/>
        <v>4.4197682666109461E-3</v>
      </c>
      <c r="F387" s="228"/>
      <c r="G387" s="245">
        <v>189.535324</v>
      </c>
      <c r="H387" s="228">
        <f t="shared" si="31"/>
        <v>-3.2223156061860214E-3</v>
      </c>
      <c r="J387" s="227"/>
      <c r="K387" s="245">
        <v>34.102305999999999</v>
      </c>
      <c r="L387" s="228">
        <f t="shared" si="32"/>
        <v>-3.6279805468741877E-3</v>
      </c>
      <c r="M387" s="228"/>
      <c r="N387" s="227"/>
      <c r="O387" s="322">
        <v>52.59</v>
      </c>
      <c r="P387" s="228">
        <f t="shared" si="33"/>
        <v>5.707572189734833E-4</v>
      </c>
      <c r="Q387" s="228"/>
      <c r="R387" s="227"/>
      <c r="S387" s="322">
        <v>193.479996</v>
      </c>
      <c r="T387" s="228">
        <f t="shared" si="34"/>
        <v>-1.0180615899214152E-2</v>
      </c>
      <c r="U387" s="228"/>
      <c r="V387" s="228"/>
      <c r="W387" s="228"/>
      <c r="X387" s="322">
        <v>106.709999</v>
      </c>
      <c r="Y387" s="228">
        <f t="shared" si="35"/>
        <v>4.687324031977802E-4</v>
      </c>
      <c r="Z387" s="228"/>
      <c r="AA387" s="202"/>
    </row>
    <row r="388" spans="2:27" x14ac:dyDescent="0.15">
      <c r="B388" s="241">
        <v>43228</v>
      </c>
      <c r="C388" s="244"/>
      <c r="D388" s="245">
        <v>57.65551</v>
      </c>
      <c r="E388" s="228">
        <f t="shared" si="30"/>
        <v>3.2602480373666864E-4</v>
      </c>
      <c r="F388" s="228"/>
      <c r="G388" s="245">
        <v>188.553009</v>
      </c>
      <c r="H388" s="228">
        <f t="shared" si="31"/>
        <v>-5.1827542184168518E-3</v>
      </c>
      <c r="J388" s="227"/>
      <c r="K388" s="245">
        <v>34.749760000000002</v>
      </c>
      <c r="L388" s="228">
        <f t="shared" si="32"/>
        <v>1.8985636924377047E-2</v>
      </c>
      <c r="M388" s="228"/>
      <c r="N388" s="227"/>
      <c r="O388" s="322">
        <v>53.450001</v>
      </c>
      <c r="P388" s="228">
        <f t="shared" si="33"/>
        <v>1.6352937820878433E-2</v>
      </c>
      <c r="Q388" s="228"/>
      <c r="R388" s="227"/>
      <c r="S388" s="322">
        <v>194.86000100000001</v>
      </c>
      <c r="T388" s="228">
        <f t="shared" si="34"/>
        <v>7.1325461470446161E-3</v>
      </c>
      <c r="U388" s="228"/>
      <c r="V388" s="228"/>
      <c r="W388" s="228"/>
      <c r="X388" s="322">
        <v>106.900002</v>
      </c>
      <c r="Y388" s="228">
        <f t="shared" si="35"/>
        <v>1.780554791308786E-3</v>
      </c>
      <c r="Z388" s="228"/>
      <c r="AA388" s="202"/>
    </row>
    <row r="389" spans="2:27" x14ac:dyDescent="0.15">
      <c r="B389" s="241">
        <v>43229</v>
      </c>
      <c r="C389" s="244"/>
      <c r="D389" s="245">
        <v>58.181519000000002</v>
      </c>
      <c r="E389" s="228">
        <f t="shared" si="30"/>
        <v>9.123308422733567E-3</v>
      </c>
      <c r="F389" s="228"/>
      <c r="G389" s="245">
        <v>192.521118</v>
      </c>
      <c r="H389" s="228">
        <f t="shared" si="31"/>
        <v>2.1045057944421242E-2</v>
      </c>
      <c r="J389" s="227"/>
      <c r="K389" s="245">
        <v>34.900531999999998</v>
      </c>
      <c r="L389" s="228">
        <f t="shared" si="32"/>
        <v>4.3387925556894746E-3</v>
      </c>
      <c r="M389" s="228"/>
      <c r="N389" s="227"/>
      <c r="O389" s="322">
        <v>54.130001</v>
      </c>
      <c r="P389" s="228">
        <f t="shared" si="33"/>
        <v>1.2722170014552558E-2</v>
      </c>
      <c r="Q389" s="228"/>
      <c r="R389" s="227"/>
      <c r="S389" s="322">
        <v>199.720001</v>
      </c>
      <c r="T389" s="228">
        <f t="shared" si="34"/>
        <v>2.4940983142045514E-2</v>
      </c>
      <c r="U389" s="228"/>
      <c r="V389" s="228"/>
      <c r="W389" s="228"/>
      <c r="X389" s="322">
        <v>109.16999800000001</v>
      </c>
      <c r="Y389" s="228">
        <f t="shared" si="35"/>
        <v>2.1234761062025154E-2</v>
      </c>
      <c r="Z389" s="228"/>
      <c r="AA389" s="202"/>
    </row>
    <row r="390" spans="2:27" x14ac:dyDescent="0.15">
      <c r="B390" s="241">
        <v>43230</v>
      </c>
      <c r="C390" s="244"/>
      <c r="D390" s="245">
        <v>58.698157999999999</v>
      </c>
      <c r="E390" s="228">
        <f t="shared" si="30"/>
        <v>8.8797784739857999E-3</v>
      </c>
      <c r="F390" s="228"/>
      <c r="G390" s="245">
        <v>195.555588</v>
      </c>
      <c r="H390" s="228">
        <f t="shared" si="31"/>
        <v>1.5761751393943202E-2</v>
      </c>
      <c r="J390" s="227"/>
      <c r="K390" s="245">
        <v>35.273045000000003</v>
      </c>
      <c r="L390" s="228">
        <f t="shared" si="32"/>
        <v>1.0673562225355315E-2</v>
      </c>
      <c r="M390" s="228"/>
      <c r="N390" s="227"/>
      <c r="O390" s="322">
        <v>55.529998999999997</v>
      </c>
      <c r="P390" s="228">
        <f t="shared" si="33"/>
        <v>2.5863624129620844E-2</v>
      </c>
      <c r="Q390" s="228"/>
      <c r="R390" s="227"/>
      <c r="S390" s="322">
        <v>204.009995</v>
      </c>
      <c r="T390" s="228">
        <f t="shared" si="34"/>
        <v>2.1480041951331685E-2</v>
      </c>
      <c r="U390" s="228"/>
      <c r="V390" s="228"/>
      <c r="W390" s="228"/>
      <c r="X390" s="322">
        <v>111.05999799999999</v>
      </c>
      <c r="Y390" s="228">
        <f t="shared" si="35"/>
        <v>1.7312448792020652E-2</v>
      </c>
      <c r="Z390" s="228"/>
      <c r="AA390" s="202"/>
    </row>
    <row r="391" spans="2:27" x14ac:dyDescent="0.15">
      <c r="B391" s="241">
        <v>43231</v>
      </c>
      <c r="C391" s="244"/>
      <c r="D391" s="245">
        <v>58.829658999999999</v>
      </c>
      <c r="E391" s="228">
        <f t="shared" si="30"/>
        <v>2.2402917652033505E-3</v>
      </c>
      <c r="F391" s="228"/>
      <c r="G391" s="245">
        <v>193.34780900000001</v>
      </c>
      <c r="H391" s="228">
        <f t="shared" si="31"/>
        <v>-1.1289777104195986E-2</v>
      </c>
      <c r="J391" s="227"/>
      <c r="K391" s="245">
        <v>35.397216999999998</v>
      </c>
      <c r="L391" s="228">
        <f t="shared" si="32"/>
        <v>3.5203084961901165E-3</v>
      </c>
      <c r="M391" s="228"/>
      <c r="N391" s="227"/>
      <c r="O391" s="322">
        <v>54.84</v>
      </c>
      <c r="P391" s="228">
        <f t="shared" si="33"/>
        <v>-1.2425698044763012E-2</v>
      </c>
      <c r="Q391" s="228"/>
      <c r="R391" s="227"/>
      <c r="S391" s="322">
        <v>201.550003</v>
      </c>
      <c r="T391" s="228">
        <f t="shared" si="34"/>
        <v>-1.2058193521351734E-2</v>
      </c>
      <c r="U391" s="228"/>
      <c r="V391" s="228"/>
      <c r="W391" s="228"/>
      <c r="X391" s="322">
        <v>111.07</v>
      </c>
      <c r="Y391" s="228">
        <f t="shared" si="35"/>
        <v>9.0059428958344512E-5</v>
      </c>
      <c r="Z391" s="228"/>
      <c r="AA391" s="202"/>
    </row>
    <row r="392" spans="2:27" x14ac:dyDescent="0.15">
      <c r="B392" s="241">
        <v>43234</v>
      </c>
      <c r="C392" s="244"/>
      <c r="D392" s="245">
        <v>58.848446000000003</v>
      </c>
      <c r="E392" s="228">
        <f t="shared" si="30"/>
        <v>3.1934572321756782E-4</v>
      </c>
      <c r="F392" s="228"/>
      <c r="G392" s="245">
        <v>196.401703</v>
      </c>
      <c r="H392" s="228">
        <f t="shared" si="31"/>
        <v>1.5794820824682754E-2</v>
      </c>
      <c r="J392" s="227"/>
      <c r="K392" s="245">
        <v>35.432701000000002</v>
      </c>
      <c r="L392" s="228">
        <f t="shared" si="32"/>
        <v>1.0024516899167502E-3</v>
      </c>
      <c r="M392" s="228"/>
      <c r="N392" s="227"/>
      <c r="O392" s="322">
        <v>55.259998000000003</v>
      </c>
      <c r="P392" s="228">
        <f t="shared" si="33"/>
        <v>7.6586068563091469E-3</v>
      </c>
      <c r="Q392" s="228"/>
      <c r="R392" s="227"/>
      <c r="S392" s="322">
        <v>204.029999</v>
      </c>
      <c r="T392" s="228">
        <f t="shared" si="34"/>
        <v>1.2304619018040919E-2</v>
      </c>
      <c r="U392" s="228"/>
      <c r="V392" s="228"/>
      <c r="W392" s="228"/>
      <c r="X392" s="322">
        <v>112.730003</v>
      </c>
      <c r="Y392" s="228">
        <f t="shared" si="35"/>
        <v>1.4945556856036823E-2</v>
      </c>
      <c r="Z392" s="228"/>
      <c r="AA392" s="202"/>
    </row>
    <row r="393" spans="2:27" x14ac:dyDescent="0.15">
      <c r="B393" s="241">
        <v>43235</v>
      </c>
      <c r="C393" s="244"/>
      <c r="D393" s="245">
        <v>58.482109000000001</v>
      </c>
      <c r="E393" s="228">
        <f t="shared" ref="E393:E456" si="36">D393/D392-1</f>
        <v>-6.2250921630114808E-3</v>
      </c>
      <c r="F393" s="228"/>
      <c r="G393" s="245">
        <v>194.44682299999999</v>
      </c>
      <c r="H393" s="228">
        <f t="shared" ref="H393:H456" si="37">G393/G392-1</f>
        <v>-9.9534778473892027E-3</v>
      </c>
      <c r="J393" s="227"/>
      <c r="K393" s="245">
        <v>34.856189999999998</v>
      </c>
      <c r="L393" s="228">
        <f t="shared" ref="L393:L456" si="38">K393/K392-1</f>
        <v>-1.6270591395220024E-2</v>
      </c>
      <c r="M393" s="228"/>
      <c r="N393" s="227"/>
      <c r="O393" s="322">
        <v>54.09</v>
      </c>
      <c r="P393" s="228">
        <f t="shared" ref="P393:P456" si="39">O393/O392-1</f>
        <v>-2.1172603010228164E-2</v>
      </c>
      <c r="Q393" s="228"/>
      <c r="R393" s="227"/>
      <c r="S393" s="322">
        <v>202.19000199999999</v>
      </c>
      <c r="T393" s="228">
        <f t="shared" ref="T393:T456" si="40">S393/S392-1</f>
        <v>-9.0182669657319359E-3</v>
      </c>
      <c r="U393" s="228"/>
      <c r="V393" s="228"/>
      <c r="W393" s="228"/>
      <c r="X393" s="322">
        <v>111.33000199999999</v>
      </c>
      <c r="Y393" s="228">
        <f t="shared" ref="Y393:Y456" si="41">X393/X392-1</f>
        <v>-1.2419062917970458E-2</v>
      </c>
      <c r="Z393" s="228"/>
      <c r="AA393" s="202"/>
    </row>
    <row r="394" spans="2:27" x14ac:dyDescent="0.15">
      <c r="B394" s="241">
        <v>43236</v>
      </c>
      <c r="C394" s="244"/>
      <c r="D394" s="245">
        <v>58.773299999999999</v>
      </c>
      <c r="E394" s="228">
        <f t="shared" si="36"/>
        <v>4.9791466993778233E-3</v>
      </c>
      <c r="F394" s="228"/>
      <c r="G394" s="245">
        <v>197.31591800000001</v>
      </c>
      <c r="H394" s="228">
        <f t="shared" si="37"/>
        <v>1.4755165220673216E-2</v>
      </c>
      <c r="J394" s="227"/>
      <c r="K394" s="245">
        <v>35.290790999999999</v>
      </c>
      <c r="L394" s="228">
        <f t="shared" si="38"/>
        <v>1.2468402312473037E-2</v>
      </c>
      <c r="M394" s="228"/>
      <c r="N394" s="227"/>
      <c r="O394" s="322">
        <v>55.169998</v>
      </c>
      <c r="P394" s="228">
        <f t="shared" si="39"/>
        <v>1.9966685154372277E-2</v>
      </c>
      <c r="Q394" s="228"/>
      <c r="R394" s="227"/>
      <c r="S394" s="322">
        <v>206.91000399999999</v>
      </c>
      <c r="T394" s="228">
        <f t="shared" si="40"/>
        <v>2.3344388710179631E-2</v>
      </c>
      <c r="U394" s="228"/>
      <c r="V394" s="228"/>
      <c r="W394" s="228"/>
      <c r="X394" s="322">
        <v>113.66999800000001</v>
      </c>
      <c r="Y394" s="228">
        <f t="shared" si="41"/>
        <v>2.1018557064249599E-2</v>
      </c>
      <c r="Z394" s="228"/>
      <c r="AA394" s="202"/>
    </row>
    <row r="395" spans="2:27" x14ac:dyDescent="0.15">
      <c r="B395" s="241">
        <v>43237</v>
      </c>
      <c r="C395" s="244"/>
      <c r="D395" s="245">
        <v>58.782688</v>
      </c>
      <c r="E395" s="228">
        <f t="shared" si="36"/>
        <v>1.5973239549249563E-4</v>
      </c>
      <c r="F395" s="228"/>
      <c r="G395" s="245">
        <v>196.82965100000001</v>
      </c>
      <c r="H395" s="228">
        <f t="shared" si="37"/>
        <v>-2.4644083707427988E-3</v>
      </c>
      <c r="J395" s="227"/>
      <c r="K395" s="245">
        <v>34.554634</v>
      </c>
      <c r="L395" s="228">
        <f t="shared" si="38"/>
        <v>-2.0859747802195683E-2</v>
      </c>
      <c r="M395" s="228"/>
      <c r="N395" s="227"/>
      <c r="O395" s="322">
        <v>53.959999000000003</v>
      </c>
      <c r="P395" s="228">
        <f t="shared" si="39"/>
        <v>-2.1932192203450773E-2</v>
      </c>
      <c r="Q395" s="228"/>
      <c r="R395" s="227"/>
      <c r="S395" s="322">
        <v>203.33000200000001</v>
      </c>
      <c r="T395" s="228">
        <f t="shared" si="40"/>
        <v>-1.7302218021318927E-2</v>
      </c>
      <c r="U395" s="228"/>
      <c r="V395" s="228"/>
      <c r="W395" s="228"/>
      <c r="X395" s="322">
        <v>113.239998</v>
      </c>
      <c r="Y395" s="228">
        <f t="shared" si="41"/>
        <v>-3.7828803339998718E-3</v>
      </c>
      <c r="Z395" s="228"/>
      <c r="AA395" s="202"/>
    </row>
    <row r="396" spans="2:27" x14ac:dyDescent="0.15">
      <c r="B396" s="241">
        <v>43238</v>
      </c>
      <c r="C396" s="244"/>
      <c r="D396" s="245">
        <v>58.651184000000001</v>
      </c>
      <c r="E396" s="228">
        <f t="shared" si="36"/>
        <v>-2.2371212422269693E-3</v>
      </c>
      <c r="F396" s="228"/>
      <c r="G396" s="245">
        <v>191.927841</v>
      </c>
      <c r="H396" s="228">
        <f t="shared" si="37"/>
        <v>-2.4903818988125992E-2</v>
      </c>
      <c r="J396" s="227"/>
      <c r="K396" s="245">
        <v>34.075690999999999</v>
      </c>
      <c r="L396" s="228">
        <f t="shared" si="38"/>
        <v>-1.386045645860412E-2</v>
      </c>
      <c r="M396" s="228"/>
      <c r="N396" s="227"/>
      <c r="O396" s="322">
        <v>49.509998000000003</v>
      </c>
      <c r="P396" s="228">
        <f t="shared" si="39"/>
        <v>-8.24685152421889E-2</v>
      </c>
      <c r="Q396" s="228"/>
      <c r="R396" s="227"/>
      <c r="S396" s="322">
        <v>195.490005</v>
      </c>
      <c r="T396" s="228">
        <f t="shared" si="40"/>
        <v>-3.855799401408555E-2</v>
      </c>
      <c r="U396" s="228"/>
      <c r="V396" s="228"/>
      <c r="W396" s="228"/>
      <c r="X396" s="322">
        <v>109.389999</v>
      </c>
      <c r="Y396" s="228">
        <f t="shared" si="41"/>
        <v>-3.3998578841373694E-2</v>
      </c>
      <c r="Z396" s="228"/>
      <c r="AA396" s="202"/>
    </row>
    <row r="397" spans="2:27" x14ac:dyDescent="0.15">
      <c r="B397" s="241">
        <v>43241</v>
      </c>
      <c r="C397" s="244"/>
      <c r="D397" s="245">
        <v>59.064487</v>
      </c>
      <c r="E397" s="228">
        <f t="shared" si="36"/>
        <v>7.0467972138466006E-3</v>
      </c>
      <c r="F397" s="228"/>
      <c r="G397" s="245">
        <v>196.95607000000001</v>
      </c>
      <c r="H397" s="228">
        <f t="shared" si="37"/>
        <v>2.6198538856069487E-2</v>
      </c>
      <c r="J397" s="227"/>
      <c r="K397" s="245">
        <v>35.006968999999998</v>
      </c>
      <c r="L397" s="228">
        <f t="shared" si="38"/>
        <v>2.7329687899799282E-2</v>
      </c>
      <c r="M397" s="228"/>
      <c r="N397" s="227"/>
      <c r="O397" s="322">
        <v>50</v>
      </c>
      <c r="P397" s="228">
        <f t="shared" si="39"/>
        <v>9.8970313026471857E-3</v>
      </c>
      <c r="Q397" s="228"/>
      <c r="R397" s="227"/>
      <c r="S397" s="322">
        <v>199.86999499999999</v>
      </c>
      <c r="T397" s="228">
        <f t="shared" si="40"/>
        <v>2.2405186393033238E-2</v>
      </c>
      <c r="U397" s="228"/>
      <c r="V397" s="228"/>
      <c r="W397" s="228"/>
      <c r="X397" s="322">
        <v>111.44000200000001</v>
      </c>
      <c r="Y397" s="228">
        <f t="shared" si="41"/>
        <v>1.874031464247472E-2</v>
      </c>
      <c r="Z397" s="228"/>
      <c r="AA397" s="202"/>
    </row>
    <row r="398" spans="2:27" x14ac:dyDescent="0.15">
      <c r="B398" s="241">
        <v>43242</v>
      </c>
      <c r="C398" s="244"/>
      <c r="D398" s="245">
        <v>58.867218000000001</v>
      </c>
      <c r="E398" s="228">
        <f t="shared" si="36"/>
        <v>-3.3398918710662029E-3</v>
      </c>
      <c r="F398" s="228"/>
      <c r="G398" s="245">
        <v>196.985229</v>
      </c>
      <c r="H398" s="228">
        <f t="shared" si="37"/>
        <v>1.4804824243297432E-4</v>
      </c>
      <c r="J398" s="227"/>
      <c r="K398" s="245">
        <v>35.157744999999998</v>
      </c>
      <c r="L398" s="228">
        <f t="shared" si="38"/>
        <v>4.3070281234574015E-3</v>
      </c>
      <c r="M398" s="228"/>
      <c r="N398" s="227"/>
      <c r="O398" s="322">
        <v>50.25</v>
      </c>
      <c r="P398" s="228">
        <f t="shared" si="39"/>
        <v>4.9999999999998934E-3</v>
      </c>
      <c r="Q398" s="228"/>
      <c r="R398" s="227"/>
      <c r="S398" s="322">
        <v>202.979996</v>
      </c>
      <c r="T398" s="228">
        <f t="shared" si="40"/>
        <v>1.5560119466656364E-2</v>
      </c>
      <c r="U398" s="228"/>
      <c r="V398" s="228"/>
      <c r="W398" s="228"/>
      <c r="X398" s="322">
        <v>113.620003</v>
      </c>
      <c r="Y398" s="228">
        <f t="shared" si="41"/>
        <v>1.9562104817621773E-2</v>
      </c>
      <c r="Z398" s="228"/>
      <c r="AA398" s="202"/>
    </row>
    <row r="399" spans="2:27" x14ac:dyDescent="0.15">
      <c r="B399" s="241">
        <v>43243</v>
      </c>
      <c r="C399" s="244"/>
      <c r="D399" s="245">
        <v>59.017516999999998</v>
      </c>
      <c r="E399" s="228">
        <f t="shared" si="36"/>
        <v>2.5531867328942859E-3</v>
      </c>
      <c r="F399" s="228"/>
      <c r="G399" s="245">
        <v>194.70941199999999</v>
      </c>
      <c r="H399" s="228">
        <f t="shared" si="37"/>
        <v>-1.1553236816553514E-2</v>
      </c>
      <c r="J399" s="227"/>
      <c r="K399" s="245">
        <v>35.166618</v>
      </c>
      <c r="L399" s="228">
        <f t="shared" si="38"/>
        <v>2.5237682337131417E-4</v>
      </c>
      <c r="M399" s="228"/>
      <c r="N399" s="227"/>
      <c r="O399" s="322">
        <v>50.34</v>
      </c>
      <c r="P399" s="228">
        <f t="shared" si="39"/>
        <v>1.7910447761195769E-3</v>
      </c>
      <c r="Q399" s="228"/>
      <c r="R399" s="227"/>
      <c r="S399" s="322">
        <v>203.30999800000001</v>
      </c>
      <c r="T399" s="228">
        <f t="shared" si="40"/>
        <v>1.6257858237420653E-3</v>
      </c>
      <c r="U399" s="228"/>
      <c r="V399" s="228"/>
      <c r="W399" s="228"/>
      <c r="X399" s="322">
        <v>113.300003</v>
      </c>
      <c r="Y399" s="228">
        <f t="shared" si="41"/>
        <v>-2.816405488037077E-3</v>
      </c>
      <c r="Z399" s="228"/>
      <c r="AA399" s="202"/>
    </row>
    <row r="400" spans="2:27" x14ac:dyDescent="0.15">
      <c r="B400" s="241">
        <v>43244</v>
      </c>
      <c r="C400" s="244"/>
      <c r="D400" s="245">
        <v>58.942383</v>
      </c>
      <c r="E400" s="228">
        <f t="shared" si="36"/>
        <v>-1.2730796519276888E-3</v>
      </c>
      <c r="F400" s="228"/>
      <c r="G400" s="245">
        <v>195.32212799999999</v>
      </c>
      <c r="H400" s="228">
        <f t="shared" si="37"/>
        <v>3.1468227124018533E-3</v>
      </c>
      <c r="J400" s="227"/>
      <c r="K400" s="245">
        <v>34.829590000000003</v>
      </c>
      <c r="L400" s="228">
        <f t="shared" si="38"/>
        <v>-9.5837478599732906E-3</v>
      </c>
      <c r="M400" s="228"/>
      <c r="N400" s="227"/>
      <c r="O400" s="322">
        <v>50.77</v>
      </c>
      <c r="P400" s="228">
        <f t="shared" si="39"/>
        <v>8.5419149781484904E-3</v>
      </c>
      <c r="Q400" s="228"/>
      <c r="R400" s="227"/>
      <c r="S400" s="322">
        <v>204.36999499999999</v>
      </c>
      <c r="T400" s="228">
        <f t="shared" si="40"/>
        <v>5.2136983445347784E-3</v>
      </c>
      <c r="U400" s="228"/>
      <c r="V400" s="228"/>
      <c r="W400" s="228"/>
      <c r="X400" s="322">
        <v>113.529999</v>
      </c>
      <c r="Y400" s="228">
        <f t="shared" si="41"/>
        <v>2.0299734678737025E-3</v>
      </c>
      <c r="Z400" s="228"/>
      <c r="AA400" s="202"/>
    </row>
    <row r="401" spans="2:27" x14ac:dyDescent="0.15">
      <c r="B401" s="241">
        <v>43245</v>
      </c>
      <c r="C401" s="244"/>
      <c r="D401" s="245">
        <v>58.820262999999997</v>
      </c>
      <c r="E401" s="228">
        <f t="shared" si="36"/>
        <v>-2.0718537966135653E-3</v>
      </c>
      <c r="F401" s="228"/>
      <c r="G401" s="245">
        <v>195.584732</v>
      </c>
      <c r="H401" s="228">
        <f t="shared" si="37"/>
        <v>1.3444662040544841E-3</v>
      </c>
      <c r="J401" s="227"/>
      <c r="K401" s="245">
        <v>34.856189999999998</v>
      </c>
      <c r="L401" s="228">
        <f t="shared" si="38"/>
        <v>7.6371843596190203E-4</v>
      </c>
      <c r="M401" s="228"/>
      <c r="N401" s="227"/>
      <c r="O401" s="322">
        <v>50.849997999999999</v>
      </c>
      <c r="P401" s="228">
        <f t="shared" si="39"/>
        <v>1.5756943076619123E-3</v>
      </c>
      <c r="Q401" s="228"/>
      <c r="R401" s="227"/>
      <c r="S401" s="322">
        <v>202.029999</v>
      </c>
      <c r="T401" s="228">
        <f t="shared" si="40"/>
        <v>-1.1449802110138463E-2</v>
      </c>
      <c r="U401" s="228"/>
      <c r="V401" s="228"/>
      <c r="W401" s="228"/>
      <c r="X401" s="322">
        <v>114.32</v>
      </c>
      <c r="Y401" s="228">
        <f t="shared" si="41"/>
        <v>6.9585220378622914E-3</v>
      </c>
      <c r="Z401" s="228"/>
      <c r="AA401" s="202"/>
    </row>
    <row r="402" spans="2:27" x14ac:dyDescent="0.15">
      <c r="B402" s="241">
        <v>43249</v>
      </c>
      <c r="C402" s="244"/>
      <c r="D402" s="245">
        <v>58.228489000000003</v>
      </c>
      <c r="E402" s="228">
        <f t="shared" si="36"/>
        <v>-1.0060716661535407E-2</v>
      </c>
      <c r="F402" s="228"/>
      <c r="G402" s="245">
        <v>190.23558</v>
      </c>
      <c r="H402" s="228">
        <f t="shared" si="37"/>
        <v>-2.7349537692952453E-2</v>
      </c>
      <c r="J402" s="227"/>
      <c r="K402" s="245">
        <v>33.845097000000003</v>
      </c>
      <c r="L402" s="228">
        <f t="shared" si="38"/>
        <v>-2.9007559345986866E-2</v>
      </c>
      <c r="M402" s="228"/>
      <c r="N402" s="227"/>
      <c r="O402" s="322">
        <v>52.02</v>
      </c>
      <c r="P402" s="228">
        <f t="shared" si="39"/>
        <v>2.3008889793860066E-2</v>
      </c>
      <c r="Q402" s="228"/>
      <c r="R402" s="227"/>
      <c r="S402" s="322">
        <v>200.279999</v>
      </c>
      <c r="T402" s="228">
        <f t="shared" si="40"/>
        <v>-8.6620799320006325E-3</v>
      </c>
      <c r="U402" s="228"/>
      <c r="V402" s="228"/>
      <c r="W402" s="228"/>
      <c r="X402" s="322">
        <v>113.650002</v>
      </c>
      <c r="Y402" s="228">
        <f t="shared" si="41"/>
        <v>-5.8607242827151129E-3</v>
      </c>
      <c r="Z402" s="228"/>
      <c r="AA402" s="202"/>
    </row>
    <row r="403" spans="2:27" x14ac:dyDescent="0.15">
      <c r="B403" s="241">
        <v>43250</v>
      </c>
      <c r="C403" s="244"/>
      <c r="D403" s="245">
        <v>58.989333999999999</v>
      </c>
      <c r="E403" s="228">
        <f t="shared" si="36"/>
        <v>1.3066542049545493E-2</v>
      </c>
      <c r="F403" s="228"/>
      <c r="G403" s="245">
        <v>191.69444300000001</v>
      </c>
      <c r="H403" s="228">
        <f t="shared" si="37"/>
        <v>7.668717912810985E-3</v>
      </c>
      <c r="J403" s="227"/>
      <c r="K403" s="245">
        <v>34.004748999999997</v>
      </c>
      <c r="L403" s="228">
        <f t="shared" si="38"/>
        <v>4.7171382017310304E-3</v>
      </c>
      <c r="M403" s="228"/>
      <c r="N403" s="227"/>
      <c r="O403" s="322">
        <v>51.59</v>
      </c>
      <c r="P403" s="228">
        <f t="shared" si="39"/>
        <v>-8.2660515186466776E-3</v>
      </c>
      <c r="Q403" s="228"/>
      <c r="R403" s="227"/>
      <c r="S403" s="322">
        <v>201.83000200000001</v>
      </c>
      <c r="T403" s="228">
        <f t="shared" si="40"/>
        <v>7.7391801864348242E-3</v>
      </c>
      <c r="U403" s="228"/>
      <c r="V403" s="228"/>
      <c r="W403" s="228"/>
      <c r="X403" s="322">
        <v>114.010002</v>
      </c>
      <c r="Y403" s="228">
        <f t="shared" si="41"/>
        <v>3.1676198298702385E-3</v>
      </c>
      <c r="Z403" s="228"/>
      <c r="AA403" s="202"/>
    </row>
    <row r="404" spans="2:27" x14ac:dyDescent="0.15">
      <c r="B404" s="241">
        <v>43251</v>
      </c>
      <c r="C404" s="244"/>
      <c r="D404" s="245">
        <v>58.566647000000003</v>
      </c>
      <c r="E404" s="228">
        <f t="shared" si="36"/>
        <v>-7.1654818140512999E-3</v>
      </c>
      <c r="F404" s="228"/>
      <c r="G404" s="245">
        <v>191.25676000000001</v>
      </c>
      <c r="H404" s="228">
        <f t="shared" si="37"/>
        <v>-2.2832325921935404E-3</v>
      </c>
      <c r="J404" s="227"/>
      <c r="K404" s="245">
        <v>34.324036</v>
      </c>
      <c r="L404" s="228">
        <f t="shared" si="38"/>
        <v>9.3894826278531074E-3</v>
      </c>
      <c r="M404" s="228"/>
      <c r="N404" s="227"/>
      <c r="O404" s="322">
        <v>50.779998999999997</v>
      </c>
      <c r="P404" s="228">
        <f t="shared" si="39"/>
        <v>-1.5700736576856111E-2</v>
      </c>
      <c r="Q404" s="228"/>
      <c r="R404" s="227"/>
      <c r="S404" s="322">
        <v>198.179993</v>
      </c>
      <c r="T404" s="228">
        <f t="shared" si="40"/>
        <v>-1.8084570994554183E-2</v>
      </c>
      <c r="U404" s="228"/>
      <c r="V404" s="228"/>
      <c r="W404" s="228"/>
      <c r="X404" s="322">
        <v>113.230003</v>
      </c>
      <c r="Y404" s="228">
        <f t="shared" si="41"/>
        <v>-6.8414962399527823E-3</v>
      </c>
      <c r="Z404" s="228"/>
      <c r="AA404" s="202"/>
    </row>
    <row r="405" spans="2:27" x14ac:dyDescent="0.15">
      <c r="B405" s="241">
        <v>43252</v>
      </c>
      <c r="C405" s="244"/>
      <c r="D405" s="245">
        <v>59.186591999999997</v>
      </c>
      <c r="E405" s="228">
        <f t="shared" si="36"/>
        <v>1.0585290976278694E-2</v>
      </c>
      <c r="F405" s="228"/>
      <c r="G405" s="245">
        <v>196.61567700000001</v>
      </c>
      <c r="H405" s="228">
        <f t="shared" si="37"/>
        <v>2.8019490657480439E-2</v>
      </c>
      <c r="J405" s="227"/>
      <c r="K405" s="245">
        <v>34.767502</v>
      </c>
      <c r="L405" s="228">
        <f t="shared" si="38"/>
        <v>1.2919984118417771E-2</v>
      </c>
      <c r="M405" s="228"/>
      <c r="N405" s="227"/>
      <c r="O405" s="322">
        <v>52.240001999999997</v>
      </c>
      <c r="P405" s="228">
        <f t="shared" si="39"/>
        <v>2.875153660400831E-2</v>
      </c>
      <c r="Q405" s="228"/>
      <c r="R405" s="227"/>
      <c r="S405" s="322">
        <v>202.679993</v>
      </c>
      <c r="T405" s="228">
        <f t="shared" si="40"/>
        <v>2.2706631138088795E-2</v>
      </c>
      <c r="U405" s="228"/>
      <c r="V405" s="228"/>
      <c r="W405" s="228"/>
      <c r="X405" s="322">
        <v>115.839996</v>
      </c>
      <c r="Y405" s="228">
        <f t="shared" si="41"/>
        <v>2.3050365899928593E-2</v>
      </c>
      <c r="Z405" s="228"/>
      <c r="AA405" s="202"/>
    </row>
    <row r="406" spans="2:27" x14ac:dyDescent="0.15">
      <c r="B406" s="241">
        <v>43255</v>
      </c>
      <c r="C406" s="244"/>
      <c r="D406" s="245">
        <v>59.468395000000001</v>
      </c>
      <c r="E406" s="228">
        <f t="shared" si="36"/>
        <v>4.7612641728045357E-3</v>
      </c>
      <c r="F406" s="228"/>
      <c r="G406" s="245">
        <v>198.32737700000001</v>
      </c>
      <c r="H406" s="228">
        <f t="shared" si="37"/>
        <v>8.7058164746445232E-3</v>
      </c>
      <c r="J406" s="227"/>
      <c r="K406" s="245">
        <v>35.450436000000003</v>
      </c>
      <c r="L406" s="228">
        <f t="shared" si="38"/>
        <v>1.9642883748162365E-2</v>
      </c>
      <c r="M406" s="228"/>
      <c r="N406" s="227"/>
      <c r="O406" s="322">
        <v>52.290000999999997</v>
      </c>
      <c r="P406" s="228">
        <f t="shared" si="39"/>
        <v>9.5710180102970277E-4</v>
      </c>
      <c r="Q406" s="228"/>
      <c r="R406" s="227"/>
      <c r="S406" s="322">
        <v>204.58999600000001</v>
      </c>
      <c r="T406" s="228">
        <f t="shared" si="40"/>
        <v>9.4237372506718042E-3</v>
      </c>
      <c r="U406" s="228"/>
      <c r="V406" s="228"/>
      <c r="W406" s="228"/>
      <c r="X406" s="322">
        <v>116.239998</v>
      </c>
      <c r="Y406" s="228">
        <f t="shared" si="41"/>
        <v>3.4530560584618009E-3</v>
      </c>
      <c r="Z406" s="228"/>
      <c r="AA406" s="202"/>
    </row>
    <row r="407" spans="2:27" x14ac:dyDescent="0.15">
      <c r="B407" s="241">
        <v>43256</v>
      </c>
      <c r="C407" s="244"/>
      <c r="D407" s="245">
        <v>59.534145000000002</v>
      </c>
      <c r="E407" s="228">
        <f t="shared" si="36"/>
        <v>1.105629301076716E-3</v>
      </c>
      <c r="F407" s="228"/>
      <c r="G407" s="245">
        <v>203.57929999999999</v>
      </c>
      <c r="H407" s="228">
        <f t="shared" si="37"/>
        <v>2.6481079311607036E-2</v>
      </c>
      <c r="J407" s="227"/>
      <c r="K407" s="245">
        <v>35.069054000000001</v>
      </c>
      <c r="L407" s="228">
        <f t="shared" si="38"/>
        <v>-1.0758175160384575E-2</v>
      </c>
      <c r="M407" s="228"/>
      <c r="N407" s="227"/>
      <c r="O407" s="322">
        <v>52.91</v>
      </c>
      <c r="P407" s="228">
        <f t="shared" si="39"/>
        <v>1.1856932265118969E-2</v>
      </c>
      <c r="Q407" s="228"/>
      <c r="R407" s="227"/>
      <c r="S407" s="322">
        <v>201.83999600000001</v>
      </c>
      <c r="T407" s="228">
        <f t="shared" si="40"/>
        <v>-1.3441517443501971E-2</v>
      </c>
      <c r="U407" s="228"/>
      <c r="V407" s="228"/>
      <c r="W407" s="228"/>
      <c r="X407" s="322">
        <v>118.129997</v>
      </c>
      <c r="Y407" s="228">
        <f t="shared" si="41"/>
        <v>1.6259454856494493E-2</v>
      </c>
      <c r="Z407" s="228"/>
      <c r="AA407" s="202"/>
    </row>
    <row r="408" spans="2:27" x14ac:dyDescent="0.15">
      <c r="B408" s="241">
        <v>43257</v>
      </c>
      <c r="C408" s="244"/>
      <c r="D408" s="245">
        <v>60.060164999999998</v>
      </c>
      <c r="E408" s="228">
        <f t="shared" si="36"/>
        <v>8.8356018214421628E-3</v>
      </c>
      <c r="F408" s="228"/>
      <c r="G408" s="245">
        <v>207.75166300000001</v>
      </c>
      <c r="H408" s="228">
        <f t="shared" si="37"/>
        <v>2.049502577128437E-2</v>
      </c>
      <c r="J408" s="227"/>
      <c r="K408" s="245">
        <v>35.086796</v>
      </c>
      <c r="L408" s="228">
        <f t="shared" si="38"/>
        <v>5.0591612764905314E-4</v>
      </c>
      <c r="M408" s="228"/>
      <c r="N408" s="227"/>
      <c r="O408" s="322">
        <v>52.529998999999997</v>
      </c>
      <c r="P408" s="228">
        <f t="shared" si="39"/>
        <v>-7.1820260820261161E-3</v>
      </c>
      <c r="Q408" s="228"/>
      <c r="R408" s="227"/>
      <c r="S408" s="322">
        <v>199.61000100000001</v>
      </c>
      <c r="T408" s="228">
        <f t="shared" si="40"/>
        <v>-1.1048330579633947E-2</v>
      </c>
      <c r="U408" s="228"/>
      <c r="V408" s="228"/>
      <c r="W408" s="228"/>
      <c r="X408" s="322">
        <v>117.43</v>
      </c>
      <c r="Y408" s="228">
        <f t="shared" si="41"/>
        <v>-5.9256498584351336E-3</v>
      </c>
      <c r="Z408" s="228"/>
      <c r="AA408" s="202"/>
    </row>
    <row r="409" spans="2:27" x14ac:dyDescent="0.15">
      <c r="B409" s="241">
        <v>43258</v>
      </c>
      <c r="C409" s="244"/>
      <c r="D409" s="245">
        <v>60.013202999999997</v>
      </c>
      <c r="E409" s="228">
        <f t="shared" si="36"/>
        <v>-7.8191593379739466E-4</v>
      </c>
      <c r="F409" s="228"/>
      <c r="G409" s="245">
        <v>201.867569</v>
      </c>
      <c r="H409" s="228">
        <f t="shared" si="37"/>
        <v>-2.8322728757170013E-2</v>
      </c>
      <c r="J409" s="227"/>
      <c r="K409" s="245">
        <v>35.051310999999998</v>
      </c>
      <c r="L409" s="228">
        <f t="shared" si="38"/>
        <v>-1.0113491126405583E-3</v>
      </c>
      <c r="M409" s="228"/>
      <c r="N409" s="227"/>
      <c r="O409" s="322">
        <v>51.25</v>
      </c>
      <c r="P409" s="228">
        <f t="shared" si="39"/>
        <v>-2.4367009791871452E-2</v>
      </c>
      <c r="Q409" s="228"/>
      <c r="R409" s="227"/>
      <c r="S409" s="322">
        <v>188.83000200000001</v>
      </c>
      <c r="T409" s="228">
        <f t="shared" si="40"/>
        <v>-5.4005305074869447E-2</v>
      </c>
      <c r="U409" s="228"/>
      <c r="V409" s="228"/>
      <c r="W409" s="228"/>
      <c r="X409" s="322">
        <v>115.93</v>
      </c>
      <c r="Y409" s="228">
        <f t="shared" si="41"/>
        <v>-1.2773567231542216E-2</v>
      </c>
      <c r="Z409" s="228"/>
      <c r="AA409" s="202"/>
    </row>
    <row r="410" spans="2:27" x14ac:dyDescent="0.15">
      <c r="B410" s="241">
        <v>43259</v>
      </c>
      <c r="C410" s="244"/>
      <c r="D410" s="245">
        <v>60.191676999999999</v>
      </c>
      <c r="E410" s="228">
        <f t="shared" si="36"/>
        <v>2.9739122572745025E-3</v>
      </c>
      <c r="F410" s="228"/>
      <c r="G410" s="245">
        <v>201.76059000000001</v>
      </c>
      <c r="H410" s="228">
        <f t="shared" si="37"/>
        <v>-5.2994644226378451E-4</v>
      </c>
      <c r="J410" s="227"/>
      <c r="K410" s="245">
        <v>34.528027000000002</v>
      </c>
      <c r="L410" s="228">
        <f t="shared" si="38"/>
        <v>-1.4929084963469563E-2</v>
      </c>
      <c r="M410" s="228"/>
      <c r="N410" s="227"/>
      <c r="O410" s="322">
        <v>51.150002000000001</v>
      </c>
      <c r="P410" s="228">
        <f t="shared" si="39"/>
        <v>-1.9511804878048489E-3</v>
      </c>
      <c r="Q410" s="228"/>
      <c r="R410" s="227"/>
      <c r="S410" s="322">
        <v>188.029999</v>
      </c>
      <c r="T410" s="228">
        <f t="shared" si="40"/>
        <v>-4.2366307870927988E-3</v>
      </c>
      <c r="U410" s="228"/>
      <c r="V410" s="228"/>
      <c r="W410" s="228"/>
      <c r="X410" s="322">
        <v>114.199997</v>
      </c>
      <c r="Y410" s="228">
        <f t="shared" si="41"/>
        <v>-1.4922824118002387E-2</v>
      </c>
      <c r="Z410" s="228"/>
      <c r="AA410" s="202"/>
    </row>
    <row r="411" spans="2:27" x14ac:dyDescent="0.15">
      <c r="B411" s="241">
        <v>43262</v>
      </c>
      <c r="C411" s="244"/>
      <c r="D411" s="245">
        <v>60.276211000000004</v>
      </c>
      <c r="E411" s="228">
        <f t="shared" si="36"/>
        <v>1.4044134374260331E-3</v>
      </c>
      <c r="F411" s="228"/>
      <c r="G411" s="245">
        <v>204.10449199999999</v>
      </c>
      <c r="H411" s="228">
        <f t="shared" si="37"/>
        <v>1.1617243982087855E-2</v>
      </c>
      <c r="J411" s="227"/>
      <c r="K411" s="245">
        <v>34.377254000000001</v>
      </c>
      <c r="L411" s="228">
        <f t="shared" si="38"/>
        <v>-4.3666844908341051E-3</v>
      </c>
      <c r="M411" s="228"/>
      <c r="N411" s="227"/>
      <c r="O411" s="322">
        <v>49.889999000000003</v>
      </c>
      <c r="P411" s="228">
        <f t="shared" si="39"/>
        <v>-2.4633488772884071E-2</v>
      </c>
      <c r="Q411" s="228"/>
      <c r="R411" s="227"/>
      <c r="S411" s="322">
        <v>183.71000699999999</v>
      </c>
      <c r="T411" s="228">
        <f t="shared" si="40"/>
        <v>-2.2975014747513844E-2</v>
      </c>
      <c r="U411" s="228"/>
      <c r="V411" s="228"/>
      <c r="W411" s="228"/>
      <c r="X411" s="322">
        <v>112.470001</v>
      </c>
      <c r="Y411" s="228">
        <f t="shared" si="41"/>
        <v>-1.5148827017920197E-2</v>
      </c>
      <c r="Z411" s="228"/>
      <c r="AA411" s="202"/>
    </row>
    <row r="412" spans="2:27" x14ac:dyDescent="0.15">
      <c r="B412" s="241">
        <v>43263</v>
      </c>
      <c r="C412" s="244"/>
      <c r="D412" s="245">
        <v>60.388930999999999</v>
      </c>
      <c r="E412" s="228">
        <f t="shared" si="36"/>
        <v>1.8700578243047161E-3</v>
      </c>
      <c r="F412" s="228"/>
      <c r="G412" s="245">
        <v>203.59875500000001</v>
      </c>
      <c r="H412" s="228">
        <f t="shared" si="37"/>
        <v>-2.4778337558586383E-3</v>
      </c>
      <c r="J412" s="227"/>
      <c r="K412" s="245">
        <v>34.767502</v>
      </c>
      <c r="L412" s="228">
        <f t="shared" si="38"/>
        <v>1.1351924734884333E-2</v>
      </c>
      <c r="M412" s="228"/>
      <c r="N412" s="227"/>
      <c r="O412" s="322">
        <v>50.860000999999997</v>
      </c>
      <c r="P412" s="228">
        <f t="shared" si="39"/>
        <v>1.944281458093422E-2</v>
      </c>
      <c r="Q412" s="228"/>
      <c r="R412" s="227"/>
      <c r="S412" s="322">
        <v>186.929993</v>
      </c>
      <c r="T412" s="228">
        <f t="shared" si="40"/>
        <v>1.752754818631086E-2</v>
      </c>
      <c r="U412" s="228"/>
      <c r="V412" s="228"/>
      <c r="W412" s="228"/>
      <c r="X412" s="322">
        <v>113.589996</v>
      </c>
      <c r="Y412" s="228">
        <f t="shared" si="41"/>
        <v>9.9581665336696545E-3</v>
      </c>
      <c r="Z412" s="228"/>
      <c r="AA412" s="202"/>
    </row>
    <row r="413" spans="2:27" x14ac:dyDescent="0.15">
      <c r="B413" s="241">
        <v>43264</v>
      </c>
      <c r="C413" s="244"/>
      <c r="D413" s="245">
        <v>60.144711000000001</v>
      </c>
      <c r="E413" s="228">
        <f t="shared" si="36"/>
        <v>-4.0441186150488306E-3</v>
      </c>
      <c r="F413" s="228"/>
      <c r="G413" s="245">
        <v>207.88780199999999</v>
      </c>
      <c r="H413" s="228">
        <f t="shared" si="37"/>
        <v>2.1066174987170116E-2</v>
      </c>
      <c r="J413" s="227"/>
      <c r="K413" s="245">
        <v>34.634459999999997</v>
      </c>
      <c r="L413" s="228">
        <f t="shared" si="38"/>
        <v>-3.8266194678008292E-3</v>
      </c>
      <c r="M413" s="228"/>
      <c r="N413" s="227"/>
      <c r="O413" s="322">
        <v>50.98</v>
      </c>
      <c r="P413" s="228">
        <f t="shared" si="39"/>
        <v>2.3593983020173681E-3</v>
      </c>
      <c r="Q413" s="228"/>
      <c r="R413" s="227"/>
      <c r="S413" s="322">
        <v>184.58999600000001</v>
      </c>
      <c r="T413" s="228">
        <f t="shared" si="40"/>
        <v>-1.2518039306832818E-2</v>
      </c>
      <c r="U413" s="228"/>
      <c r="V413" s="228"/>
      <c r="W413" s="228"/>
      <c r="X413" s="322">
        <v>112.959999</v>
      </c>
      <c r="Y413" s="228">
        <f t="shared" si="41"/>
        <v>-5.546236659784709E-3</v>
      </c>
      <c r="Z413" s="228"/>
      <c r="AA413" s="202"/>
    </row>
    <row r="414" spans="2:27" x14ac:dyDescent="0.15">
      <c r="B414" s="241">
        <v>43265</v>
      </c>
      <c r="C414" s="244"/>
      <c r="D414" s="245">
        <v>60.351357</v>
      </c>
      <c r="E414" s="228">
        <f t="shared" si="36"/>
        <v>3.435813333611426E-3</v>
      </c>
      <c r="F414" s="228"/>
      <c r="G414" s="245">
        <v>209.96911600000001</v>
      </c>
      <c r="H414" s="228">
        <f t="shared" si="37"/>
        <v>1.0011717763027006E-2</v>
      </c>
      <c r="J414" s="227"/>
      <c r="K414" s="245">
        <v>34.235343999999998</v>
      </c>
      <c r="L414" s="228">
        <f t="shared" si="38"/>
        <v>-1.1523667468757992E-2</v>
      </c>
      <c r="M414" s="228"/>
      <c r="N414" s="227"/>
      <c r="O414" s="322">
        <v>49.689999</v>
      </c>
      <c r="P414" s="228">
        <f t="shared" si="39"/>
        <v>-2.5304060415849317E-2</v>
      </c>
      <c r="Q414" s="228"/>
      <c r="R414" s="227"/>
      <c r="S414" s="322">
        <v>181.16999799999999</v>
      </c>
      <c r="T414" s="228">
        <f t="shared" si="40"/>
        <v>-1.8527537104448655E-2</v>
      </c>
      <c r="U414" s="228"/>
      <c r="V414" s="228"/>
      <c r="W414" s="228"/>
      <c r="X414" s="322">
        <v>113.129997</v>
      </c>
      <c r="Y414" s="228">
        <f t="shared" si="41"/>
        <v>1.5049398150226434E-3</v>
      </c>
      <c r="Z414" s="228"/>
      <c r="AA414" s="202"/>
    </row>
    <row r="415" spans="2:27" x14ac:dyDescent="0.15">
      <c r="B415" s="241">
        <v>43266</v>
      </c>
      <c r="C415" s="244"/>
      <c r="D415" s="245">
        <v>60.285603000000002</v>
      </c>
      <c r="E415" s="228">
        <f t="shared" si="36"/>
        <v>-1.0895198263727313E-3</v>
      </c>
      <c r="F415" s="228"/>
      <c r="G415" s="245">
        <v>208.92846700000001</v>
      </c>
      <c r="H415" s="228">
        <f t="shared" si="37"/>
        <v>-4.9562003204318694E-3</v>
      </c>
      <c r="J415" s="227"/>
      <c r="K415" s="245">
        <v>34.315165999999998</v>
      </c>
      <c r="L415" s="228">
        <f t="shared" si="38"/>
        <v>2.3315670495380747E-3</v>
      </c>
      <c r="M415" s="228"/>
      <c r="N415" s="227"/>
      <c r="O415" s="322">
        <v>49.310001</v>
      </c>
      <c r="P415" s="228">
        <f t="shared" si="39"/>
        <v>-7.6473738709473826E-3</v>
      </c>
      <c r="Q415" s="228"/>
      <c r="R415" s="227"/>
      <c r="S415" s="322">
        <v>178.41000399999999</v>
      </c>
      <c r="T415" s="228">
        <f t="shared" si="40"/>
        <v>-1.5234277366388271E-2</v>
      </c>
      <c r="U415" s="228"/>
      <c r="V415" s="228"/>
      <c r="W415" s="228"/>
      <c r="X415" s="322">
        <v>112.839996</v>
      </c>
      <c r="Y415" s="228">
        <f t="shared" si="41"/>
        <v>-2.5634315185211198E-3</v>
      </c>
      <c r="Z415" s="228"/>
      <c r="AA415" s="202"/>
    </row>
    <row r="416" spans="2:27" x14ac:dyDescent="0.15">
      <c r="B416" s="241">
        <v>43269</v>
      </c>
      <c r="C416" s="244"/>
      <c r="D416" s="245">
        <v>60.238639999999997</v>
      </c>
      <c r="E416" s="228">
        <f t="shared" si="36"/>
        <v>-7.7900854703250033E-4</v>
      </c>
      <c r="F416" s="228"/>
      <c r="G416" s="245">
        <v>205.310486</v>
      </c>
      <c r="H416" s="228">
        <f t="shared" si="37"/>
        <v>-1.7316840792212407E-2</v>
      </c>
      <c r="J416" s="227"/>
      <c r="K416" s="245">
        <v>33.924919000000003</v>
      </c>
      <c r="L416" s="228">
        <f t="shared" si="38"/>
        <v>-1.1372435150102334E-2</v>
      </c>
      <c r="M416" s="228"/>
      <c r="N416" s="227"/>
      <c r="O416" s="322">
        <v>48.32</v>
      </c>
      <c r="P416" s="228">
        <f t="shared" si="39"/>
        <v>-2.0077083348669977E-2</v>
      </c>
      <c r="Q416" s="228"/>
      <c r="R416" s="227"/>
      <c r="S416" s="322">
        <v>174.199997</v>
      </c>
      <c r="T416" s="228">
        <f t="shared" si="40"/>
        <v>-2.359737069452672E-2</v>
      </c>
      <c r="U416" s="228"/>
      <c r="V416" s="228"/>
      <c r="W416" s="228"/>
      <c r="X416" s="322">
        <v>112.050003</v>
      </c>
      <c r="Y416" s="228">
        <f t="shared" si="41"/>
        <v>-7.0010016661112839E-3</v>
      </c>
      <c r="Z416" s="228"/>
      <c r="AA416" s="202"/>
    </row>
    <row r="417" spans="2:27" x14ac:dyDescent="0.15">
      <c r="B417" s="241">
        <v>43270</v>
      </c>
      <c r="C417" s="244"/>
      <c r="D417" s="245">
        <v>60.013202999999997</v>
      </c>
      <c r="E417" s="228">
        <f t="shared" si="36"/>
        <v>-3.7423985667670578E-3</v>
      </c>
      <c r="F417" s="228"/>
      <c r="G417" s="245">
        <v>200.52542099999999</v>
      </c>
      <c r="H417" s="228">
        <f t="shared" si="37"/>
        <v>-2.3306481287078573E-2</v>
      </c>
      <c r="J417" s="227"/>
      <c r="K417" s="245">
        <v>33.312939</v>
      </c>
      <c r="L417" s="228">
        <f t="shared" si="38"/>
        <v>-1.8039247197613184E-2</v>
      </c>
      <c r="M417" s="228"/>
      <c r="N417" s="227"/>
      <c r="O417" s="322">
        <v>48.549999</v>
      </c>
      <c r="P417" s="228">
        <f t="shared" si="39"/>
        <v>4.7599130794702127E-3</v>
      </c>
      <c r="Q417" s="228"/>
      <c r="R417" s="227"/>
      <c r="S417" s="322">
        <v>173.35000600000001</v>
      </c>
      <c r="T417" s="228">
        <f t="shared" si="40"/>
        <v>-4.8793973285773395E-3</v>
      </c>
      <c r="U417" s="228"/>
      <c r="V417" s="228"/>
      <c r="W417" s="228"/>
      <c r="X417" s="322">
        <v>110.58000199999999</v>
      </c>
      <c r="Y417" s="228">
        <f t="shared" si="41"/>
        <v>-1.3119151812963414E-2</v>
      </c>
      <c r="Z417" s="228"/>
      <c r="AA417" s="202"/>
    </row>
    <row r="418" spans="2:27" x14ac:dyDescent="0.15">
      <c r="B418" s="241">
        <v>43271</v>
      </c>
      <c r="C418" s="244"/>
      <c r="D418" s="245">
        <v>60.182277999999997</v>
      </c>
      <c r="E418" s="228">
        <f t="shared" si="36"/>
        <v>2.8172967205233324E-3</v>
      </c>
      <c r="F418" s="228"/>
      <c r="G418" s="245">
        <v>199.864059</v>
      </c>
      <c r="H418" s="228">
        <f t="shared" si="37"/>
        <v>-3.2981454256615361E-3</v>
      </c>
      <c r="J418" s="227"/>
      <c r="K418" s="245">
        <v>34.013603000000003</v>
      </c>
      <c r="L418" s="228">
        <f t="shared" si="38"/>
        <v>2.1032788490982446E-2</v>
      </c>
      <c r="M418" s="228"/>
      <c r="N418" s="227"/>
      <c r="O418" s="322">
        <v>48.580002</v>
      </c>
      <c r="P418" s="228">
        <f t="shared" si="39"/>
        <v>6.1798147513858481E-4</v>
      </c>
      <c r="Q418" s="228"/>
      <c r="R418" s="227"/>
      <c r="S418" s="322">
        <v>174.53999300000001</v>
      </c>
      <c r="T418" s="228">
        <f t="shared" si="40"/>
        <v>6.8646493153279309E-3</v>
      </c>
      <c r="U418" s="228"/>
      <c r="V418" s="228"/>
      <c r="W418" s="228"/>
      <c r="X418" s="322">
        <v>109.769997</v>
      </c>
      <c r="Y418" s="228">
        <f t="shared" si="41"/>
        <v>-7.3250586484886471E-3</v>
      </c>
      <c r="Z418" s="228"/>
      <c r="AA418" s="202"/>
    </row>
    <row r="419" spans="2:27" x14ac:dyDescent="0.15">
      <c r="B419" s="241">
        <v>43272</v>
      </c>
      <c r="C419" s="244"/>
      <c r="D419" s="245">
        <v>59.759585999999999</v>
      </c>
      <c r="E419" s="228">
        <f t="shared" si="36"/>
        <v>-7.0235294184111119E-3</v>
      </c>
      <c r="F419" s="228"/>
      <c r="G419" s="245">
        <v>198.63862599999999</v>
      </c>
      <c r="H419" s="228">
        <f t="shared" si="37"/>
        <v>-6.1313324973552019E-3</v>
      </c>
      <c r="J419" s="227"/>
      <c r="K419" s="245">
        <v>33.366149999999998</v>
      </c>
      <c r="L419" s="228">
        <f t="shared" si="38"/>
        <v>-1.903511956672177E-2</v>
      </c>
      <c r="M419" s="228"/>
      <c r="N419" s="227"/>
      <c r="O419" s="322">
        <v>48.990001999999997</v>
      </c>
      <c r="P419" s="228">
        <f t="shared" si="39"/>
        <v>8.4396867665834652E-3</v>
      </c>
      <c r="Q419" s="228"/>
      <c r="R419" s="227"/>
      <c r="S419" s="322">
        <v>176.050003</v>
      </c>
      <c r="T419" s="228">
        <f t="shared" si="40"/>
        <v>8.6513696605912127E-3</v>
      </c>
      <c r="U419" s="228"/>
      <c r="V419" s="228"/>
      <c r="W419" s="228"/>
      <c r="X419" s="322">
        <v>110.30999799999999</v>
      </c>
      <c r="Y419" s="228">
        <f t="shared" si="41"/>
        <v>4.9193861233318703E-3</v>
      </c>
      <c r="Z419" s="228"/>
      <c r="AA419" s="202"/>
    </row>
    <row r="420" spans="2:27" x14ac:dyDescent="0.15">
      <c r="B420" s="241">
        <v>43273</v>
      </c>
      <c r="C420" s="244"/>
      <c r="D420" s="245">
        <v>59.806553000000001</v>
      </c>
      <c r="E420" s="228">
        <f t="shared" si="36"/>
        <v>7.8593248621228184E-4</v>
      </c>
      <c r="F420" s="228"/>
      <c r="G420" s="245">
        <v>200.710205</v>
      </c>
      <c r="H420" s="228">
        <f t="shared" si="37"/>
        <v>1.0428883051174509E-2</v>
      </c>
      <c r="J420" s="227"/>
      <c r="K420" s="245">
        <v>33.809623999999999</v>
      </c>
      <c r="L420" s="228">
        <f t="shared" si="38"/>
        <v>1.329113487771294E-2</v>
      </c>
      <c r="M420" s="228"/>
      <c r="N420" s="227"/>
      <c r="O420" s="322">
        <v>47.959999000000003</v>
      </c>
      <c r="P420" s="228">
        <f t="shared" si="39"/>
        <v>-2.1024759296804918E-2</v>
      </c>
      <c r="Q420" s="228"/>
      <c r="R420" s="227"/>
      <c r="S420" s="322">
        <v>174.699997</v>
      </c>
      <c r="T420" s="228">
        <f t="shared" si="40"/>
        <v>-7.6683100084923295E-3</v>
      </c>
      <c r="U420" s="228"/>
      <c r="V420" s="228"/>
      <c r="W420" s="228"/>
      <c r="X420" s="322">
        <v>106.55999799999999</v>
      </c>
      <c r="Y420" s="228">
        <f t="shared" si="41"/>
        <v>-3.3995105321278363E-2</v>
      </c>
      <c r="Z420" s="228"/>
      <c r="AA420" s="202"/>
    </row>
    <row r="421" spans="2:27" x14ac:dyDescent="0.15">
      <c r="B421" s="241">
        <v>43276</v>
      </c>
      <c r="C421" s="244"/>
      <c r="D421" s="245">
        <v>58.989333999999999</v>
      </c>
      <c r="E421" s="228">
        <f t="shared" si="36"/>
        <v>-1.3664372196805941E-2</v>
      </c>
      <c r="F421" s="228"/>
      <c r="G421" s="245">
        <v>191.25676000000001</v>
      </c>
      <c r="H421" s="228">
        <f t="shared" si="37"/>
        <v>-4.7099971822558762E-2</v>
      </c>
      <c r="J421" s="227"/>
      <c r="K421" s="245">
        <v>33.565983000000003</v>
      </c>
      <c r="L421" s="228">
        <f t="shared" si="38"/>
        <v>-7.2062617436975396E-3</v>
      </c>
      <c r="M421" s="228"/>
      <c r="N421" s="227"/>
      <c r="O421" s="322">
        <v>46.709999000000003</v>
      </c>
      <c r="P421" s="228">
        <f t="shared" si="39"/>
        <v>-2.6063386698569335E-2</v>
      </c>
      <c r="Q421" s="228"/>
      <c r="R421" s="227"/>
      <c r="S421" s="322">
        <v>171.009995</v>
      </c>
      <c r="T421" s="228">
        <f t="shared" si="40"/>
        <v>-2.1121935107989653E-2</v>
      </c>
      <c r="U421" s="228"/>
      <c r="V421" s="228"/>
      <c r="W421" s="228"/>
      <c r="X421" s="322">
        <v>104.139999</v>
      </c>
      <c r="Y421" s="228">
        <f t="shared" si="41"/>
        <v>-2.2710201252068241E-2</v>
      </c>
      <c r="Z421" s="228"/>
      <c r="AA421" s="202"/>
    </row>
    <row r="422" spans="2:27" x14ac:dyDescent="0.15">
      <c r="B422" s="241">
        <v>43277</v>
      </c>
      <c r="C422" s="244"/>
      <c r="D422" s="245">
        <v>59.120449000000001</v>
      </c>
      <c r="E422" s="228">
        <f t="shared" si="36"/>
        <v>2.2226899527293398E-3</v>
      </c>
      <c r="F422" s="228"/>
      <c r="G422" s="245">
        <v>192.540558</v>
      </c>
      <c r="H422" s="228">
        <f t="shared" si="37"/>
        <v>6.7124320207034849E-3</v>
      </c>
      <c r="J422" s="227"/>
      <c r="K422" s="245">
        <v>33.520015999999998</v>
      </c>
      <c r="L422" s="228">
        <f t="shared" si="38"/>
        <v>-1.3694519239911829E-3</v>
      </c>
      <c r="M422" s="228"/>
      <c r="N422" s="227"/>
      <c r="O422" s="322">
        <v>46.669998</v>
      </c>
      <c r="P422" s="228">
        <f t="shared" si="39"/>
        <v>-8.5636910418263046E-4</v>
      </c>
      <c r="Q422" s="228"/>
      <c r="R422" s="227"/>
      <c r="S422" s="322">
        <v>173.929993</v>
      </c>
      <c r="T422" s="228">
        <f t="shared" si="40"/>
        <v>1.7075013656365545E-2</v>
      </c>
      <c r="U422" s="228"/>
      <c r="V422" s="228"/>
      <c r="W422" s="228"/>
      <c r="X422" s="322">
        <v>104.589996</v>
      </c>
      <c r="Y422" s="228">
        <f t="shared" si="41"/>
        <v>4.3210774373063643E-3</v>
      </c>
      <c r="Z422" s="228"/>
      <c r="AA422" s="202"/>
    </row>
    <row r="423" spans="2:27" x14ac:dyDescent="0.15">
      <c r="B423" s="241">
        <v>43278</v>
      </c>
      <c r="C423" s="244"/>
      <c r="D423" s="245">
        <v>58.57338</v>
      </c>
      <c r="E423" s="228">
        <f t="shared" si="36"/>
        <v>-9.2534649051803086E-3</v>
      </c>
      <c r="F423" s="228"/>
      <c r="G423" s="245">
        <v>188.582199</v>
      </c>
      <c r="H423" s="228">
        <f t="shared" si="37"/>
        <v>-2.0558572391797036E-2</v>
      </c>
      <c r="J423" s="227"/>
      <c r="K423" s="245">
        <v>32.646617999999997</v>
      </c>
      <c r="L423" s="228">
        <f t="shared" si="38"/>
        <v>-2.6056013815745294E-2</v>
      </c>
      <c r="M423" s="228"/>
      <c r="N423" s="227"/>
      <c r="O423" s="322">
        <v>45.25</v>
      </c>
      <c r="P423" s="228">
        <f t="shared" si="39"/>
        <v>-3.0426356564232093E-2</v>
      </c>
      <c r="Q423" s="228"/>
      <c r="R423" s="227"/>
      <c r="S423" s="322">
        <v>169.800003</v>
      </c>
      <c r="T423" s="228">
        <f t="shared" si="40"/>
        <v>-2.3745128305731611E-2</v>
      </c>
      <c r="U423" s="228"/>
      <c r="V423" s="228"/>
      <c r="W423" s="228"/>
      <c r="X423" s="322">
        <v>100.639999</v>
      </c>
      <c r="Y423" s="228">
        <f t="shared" si="41"/>
        <v>-3.7766489636350986E-2</v>
      </c>
      <c r="Z423" s="228"/>
      <c r="AA423" s="202"/>
    </row>
    <row r="424" spans="2:27" x14ac:dyDescent="0.15">
      <c r="B424" s="241">
        <v>43279</v>
      </c>
      <c r="C424" s="244"/>
      <c r="D424" s="245">
        <v>58.922381999999999</v>
      </c>
      <c r="E424" s="228">
        <f t="shared" si="36"/>
        <v>5.9583722161842267E-3</v>
      </c>
      <c r="F424" s="228"/>
      <c r="G424" s="245">
        <v>188.27098100000001</v>
      </c>
      <c r="H424" s="228">
        <f t="shared" si="37"/>
        <v>-1.6503042262222545E-3</v>
      </c>
      <c r="J424" s="227"/>
      <c r="K424" s="245">
        <v>33.041946000000003</v>
      </c>
      <c r="L424" s="228">
        <f t="shared" si="38"/>
        <v>1.2109309454351624E-2</v>
      </c>
      <c r="M424" s="228"/>
      <c r="N424" s="227"/>
      <c r="O424" s="322">
        <v>45.290000999999997</v>
      </c>
      <c r="P424" s="228">
        <f t="shared" si="39"/>
        <v>8.8399999999988488E-4</v>
      </c>
      <c r="Q424" s="228"/>
      <c r="R424" s="227"/>
      <c r="S424" s="322">
        <v>170.86999499999999</v>
      </c>
      <c r="T424" s="228">
        <f t="shared" si="40"/>
        <v>6.3014839876061046E-3</v>
      </c>
      <c r="U424" s="228"/>
      <c r="V424" s="228"/>
      <c r="W424" s="228"/>
      <c r="X424" s="322">
        <v>101.80999799999999</v>
      </c>
      <c r="Y424" s="228">
        <f t="shared" si="41"/>
        <v>1.1625586363529283E-2</v>
      </c>
      <c r="Z424" s="228"/>
      <c r="AA424" s="202"/>
    </row>
    <row r="425" spans="2:27" x14ac:dyDescent="0.15">
      <c r="B425" s="241">
        <v>43280</v>
      </c>
      <c r="C425" s="244"/>
      <c r="D425" s="245">
        <v>58.969540000000002</v>
      </c>
      <c r="E425" s="228">
        <f t="shared" si="36"/>
        <v>8.0034103169834836E-4</v>
      </c>
      <c r="F425" s="228"/>
      <c r="G425" s="245">
        <v>192.540558</v>
      </c>
      <c r="H425" s="228">
        <f t="shared" si="37"/>
        <v>2.2677828400968547E-2</v>
      </c>
      <c r="J425" s="227"/>
      <c r="K425" s="245">
        <v>33.611953999999997</v>
      </c>
      <c r="L425" s="228">
        <f t="shared" si="38"/>
        <v>1.7251042054241994E-2</v>
      </c>
      <c r="M425" s="228"/>
      <c r="N425" s="227"/>
      <c r="O425" s="322">
        <v>46.189999</v>
      </c>
      <c r="P425" s="228">
        <f t="shared" si="39"/>
        <v>1.987189181117488E-2</v>
      </c>
      <c r="Q425" s="228"/>
      <c r="R425" s="227"/>
      <c r="S425" s="322">
        <v>172.85000600000001</v>
      </c>
      <c r="T425" s="228">
        <f t="shared" si="40"/>
        <v>1.1587821489665417E-2</v>
      </c>
      <c r="U425" s="228"/>
      <c r="V425" s="228"/>
      <c r="W425" s="228"/>
      <c r="X425" s="322">
        <v>102.529999</v>
      </c>
      <c r="Y425" s="228">
        <f t="shared" si="41"/>
        <v>7.0720068180338824E-3</v>
      </c>
      <c r="Z425" s="228"/>
      <c r="AA425" s="202"/>
    </row>
    <row r="426" spans="2:27" x14ac:dyDescent="0.15">
      <c r="B426" s="241">
        <v>43283</v>
      </c>
      <c r="C426" s="244"/>
      <c r="D426" s="245">
        <v>59.158180000000002</v>
      </c>
      <c r="E426" s="228">
        <f t="shared" si="36"/>
        <v>3.1989396559648497E-3</v>
      </c>
      <c r="F426" s="228"/>
      <c r="G426" s="245">
        <v>189.895172</v>
      </c>
      <c r="H426" s="228">
        <f t="shared" si="37"/>
        <v>-1.3739370174672527E-2</v>
      </c>
      <c r="J426" s="227"/>
      <c r="K426" s="245">
        <v>33.593567</v>
      </c>
      <c r="L426" s="228">
        <f t="shared" si="38"/>
        <v>-5.4703752123419491E-4</v>
      </c>
      <c r="M426" s="228"/>
      <c r="N426" s="227"/>
      <c r="O426" s="322">
        <v>45.68</v>
      </c>
      <c r="P426" s="228">
        <f t="shared" si="39"/>
        <v>-1.1041329531096156E-2</v>
      </c>
      <c r="Q426" s="228"/>
      <c r="R426" s="227"/>
      <c r="S426" s="322">
        <v>173.050003</v>
      </c>
      <c r="T426" s="228">
        <f t="shared" si="40"/>
        <v>1.1570552100530485E-3</v>
      </c>
      <c r="U426" s="228"/>
      <c r="V426" s="228"/>
      <c r="W426" s="228"/>
      <c r="X426" s="322">
        <v>103.800003</v>
      </c>
      <c r="Y426" s="228">
        <f t="shared" si="41"/>
        <v>1.238665768445002E-2</v>
      </c>
      <c r="Z426" s="228"/>
      <c r="AA426" s="202"/>
    </row>
    <row r="427" spans="2:27" x14ac:dyDescent="0.15">
      <c r="B427" s="241">
        <v>43284</v>
      </c>
      <c r="C427" s="244"/>
      <c r="D427" s="245">
        <v>58.960098000000002</v>
      </c>
      <c r="E427" s="228">
        <f t="shared" si="36"/>
        <v>-3.3483450640300338E-3</v>
      </c>
      <c r="F427" s="228"/>
      <c r="G427" s="245">
        <v>186.218842</v>
      </c>
      <c r="H427" s="228">
        <f t="shared" si="37"/>
        <v>-1.9359786566874981E-2</v>
      </c>
      <c r="J427" s="227"/>
      <c r="K427" s="245">
        <v>33.455666000000001</v>
      </c>
      <c r="L427" s="228">
        <f t="shared" si="38"/>
        <v>-4.104982361652687E-3</v>
      </c>
      <c r="M427" s="228"/>
      <c r="N427" s="227"/>
      <c r="O427" s="322">
        <v>44.799999</v>
      </c>
      <c r="P427" s="228">
        <f t="shared" si="39"/>
        <v>-1.9264470227670749E-2</v>
      </c>
      <c r="Q427" s="228"/>
      <c r="R427" s="227"/>
      <c r="S427" s="322">
        <v>167.25</v>
      </c>
      <c r="T427" s="228">
        <f t="shared" si="40"/>
        <v>-3.3516341516619308E-2</v>
      </c>
      <c r="U427" s="228"/>
      <c r="V427" s="228"/>
      <c r="W427" s="228"/>
      <c r="X427" s="322">
        <v>101.599998</v>
      </c>
      <c r="Y427" s="228">
        <f t="shared" si="41"/>
        <v>-2.1194652566628558E-2</v>
      </c>
      <c r="Z427" s="228"/>
      <c r="AA427" s="202"/>
    </row>
    <row r="428" spans="2:27" x14ac:dyDescent="0.15">
      <c r="B428" s="241">
        <v>43286</v>
      </c>
      <c r="C428" s="244"/>
      <c r="D428" s="245">
        <v>59.450569000000002</v>
      </c>
      <c r="E428" s="228">
        <f t="shared" si="36"/>
        <v>8.3186937715062914E-3</v>
      </c>
      <c r="F428" s="228"/>
      <c r="G428" s="245">
        <v>190.61488299999999</v>
      </c>
      <c r="H428" s="228">
        <f t="shared" si="37"/>
        <v>2.3606853918681336E-2</v>
      </c>
      <c r="J428" s="227"/>
      <c r="K428" s="245">
        <v>33.639541999999999</v>
      </c>
      <c r="L428" s="228">
        <f t="shared" si="38"/>
        <v>5.4961093884664525E-3</v>
      </c>
      <c r="M428" s="228"/>
      <c r="N428" s="227"/>
      <c r="O428" s="322">
        <v>45.439999</v>
      </c>
      <c r="P428" s="228">
        <f t="shared" si="39"/>
        <v>1.4285714604591826E-2</v>
      </c>
      <c r="Q428" s="228"/>
      <c r="R428" s="227"/>
      <c r="S428" s="322">
        <v>171.820007</v>
      </c>
      <c r="T428" s="228">
        <f t="shared" si="40"/>
        <v>2.7324406576980653E-2</v>
      </c>
      <c r="U428" s="228"/>
      <c r="V428" s="228"/>
      <c r="W428" s="228"/>
      <c r="X428" s="322">
        <v>103.43</v>
      </c>
      <c r="Y428" s="228">
        <f t="shared" si="41"/>
        <v>1.8011831063225126E-2</v>
      </c>
      <c r="Z428" s="228"/>
      <c r="AA428" s="202"/>
    </row>
    <row r="429" spans="2:27" x14ac:dyDescent="0.15">
      <c r="B429" s="241">
        <v>43287</v>
      </c>
      <c r="C429" s="244"/>
      <c r="D429" s="245">
        <v>59.969337000000003</v>
      </c>
      <c r="E429" s="228">
        <f t="shared" si="36"/>
        <v>8.7260392747461335E-3</v>
      </c>
      <c r="F429" s="228"/>
      <c r="G429" s="245">
        <v>191.90841699999999</v>
      </c>
      <c r="H429" s="228">
        <f t="shared" si="37"/>
        <v>6.7861122890389147E-3</v>
      </c>
      <c r="J429" s="227"/>
      <c r="K429" s="245">
        <v>34.264705999999997</v>
      </c>
      <c r="L429" s="228">
        <f t="shared" si="38"/>
        <v>1.8584200700473286E-2</v>
      </c>
      <c r="M429" s="228"/>
      <c r="N429" s="227"/>
      <c r="O429" s="322">
        <v>46.130001</v>
      </c>
      <c r="P429" s="228">
        <f t="shared" si="39"/>
        <v>1.5184903503188796E-2</v>
      </c>
      <c r="Q429" s="228"/>
      <c r="R429" s="227"/>
      <c r="S429" s="322">
        <v>173.86000100000001</v>
      </c>
      <c r="T429" s="228">
        <f t="shared" si="40"/>
        <v>1.1872854829996671E-2</v>
      </c>
      <c r="U429" s="228"/>
      <c r="V429" s="228"/>
      <c r="W429" s="228"/>
      <c r="X429" s="322">
        <v>104.870003</v>
      </c>
      <c r="Y429" s="228">
        <f t="shared" si="41"/>
        <v>1.3922488639659614E-2</v>
      </c>
      <c r="Z429" s="228"/>
      <c r="AA429" s="202"/>
    </row>
    <row r="430" spans="2:27" x14ac:dyDescent="0.15">
      <c r="B430" s="241">
        <v>43290</v>
      </c>
      <c r="C430" s="244"/>
      <c r="D430" s="245">
        <v>60.535263</v>
      </c>
      <c r="E430" s="228">
        <f t="shared" si="36"/>
        <v>9.4369227393658051E-3</v>
      </c>
      <c r="F430" s="228"/>
      <c r="G430" s="245">
        <v>193.64930699999999</v>
      </c>
      <c r="H430" s="228">
        <f t="shared" si="37"/>
        <v>9.0714624570114033E-3</v>
      </c>
      <c r="J430" s="227"/>
      <c r="K430" s="245">
        <v>34.779544999999999</v>
      </c>
      <c r="L430" s="228">
        <f t="shared" si="38"/>
        <v>1.5025344154419473E-2</v>
      </c>
      <c r="M430" s="228"/>
      <c r="N430" s="227"/>
      <c r="O430" s="322">
        <v>46.52</v>
      </c>
      <c r="P430" s="228">
        <f t="shared" si="39"/>
        <v>8.4543462290409543E-3</v>
      </c>
      <c r="Q430" s="228"/>
      <c r="R430" s="227"/>
      <c r="S430" s="322">
        <v>177.020004</v>
      </c>
      <c r="T430" s="228">
        <f t="shared" si="40"/>
        <v>1.817556069150128E-2</v>
      </c>
      <c r="U430" s="228"/>
      <c r="V430" s="228"/>
      <c r="W430" s="228"/>
      <c r="X430" s="322">
        <v>105.959999</v>
      </c>
      <c r="Y430" s="228">
        <f t="shared" si="41"/>
        <v>1.0393782481344926E-2</v>
      </c>
      <c r="Z430" s="228"/>
      <c r="AA430" s="202"/>
    </row>
    <row r="431" spans="2:27" x14ac:dyDescent="0.15">
      <c r="B431" s="241">
        <v>43291</v>
      </c>
      <c r="C431" s="244"/>
      <c r="D431" s="245">
        <v>60.657879000000001</v>
      </c>
      <c r="E431" s="228">
        <f t="shared" si="36"/>
        <v>2.0255301443061757E-3</v>
      </c>
      <c r="F431" s="228"/>
      <c r="G431" s="245">
        <v>193.96054100000001</v>
      </c>
      <c r="H431" s="228">
        <f t="shared" si="37"/>
        <v>1.6072043056678531E-3</v>
      </c>
      <c r="J431" s="227"/>
      <c r="K431" s="245">
        <v>34.871490000000001</v>
      </c>
      <c r="L431" s="228">
        <f t="shared" si="38"/>
        <v>2.6436516061381088E-3</v>
      </c>
      <c r="M431" s="228"/>
      <c r="N431" s="227"/>
      <c r="O431" s="322">
        <v>46.740001999999997</v>
      </c>
      <c r="P431" s="228">
        <f t="shared" si="39"/>
        <v>4.7291917454856947E-3</v>
      </c>
      <c r="Q431" s="228"/>
      <c r="R431" s="227"/>
      <c r="S431" s="322">
        <v>176.39999399999999</v>
      </c>
      <c r="T431" s="228">
        <f t="shared" si="40"/>
        <v>-3.5024855157047563E-3</v>
      </c>
      <c r="U431" s="228"/>
      <c r="V431" s="228"/>
      <c r="W431" s="228"/>
      <c r="X431" s="322">
        <v>106.05999799999999</v>
      </c>
      <c r="Y431" s="228">
        <f t="shared" si="41"/>
        <v>9.4374293076393556E-4</v>
      </c>
      <c r="Z431" s="228"/>
      <c r="AA431" s="202"/>
    </row>
    <row r="432" spans="2:27" x14ac:dyDescent="0.15">
      <c r="B432" s="241">
        <v>43292</v>
      </c>
      <c r="C432" s="244"/>
      <c r="D432" s="245">
        <v>60.242866999999997</v>
      </c>
      <c r="E432" s="228">
        <f t="shared" si="36"/>
        <v>-6.8418481958461008E-3</v>
      </c>
      <c r="F432" s="228"/>
      <c r="G432" s="245">
        <v>188.28068500000001</v>
      </c>
      <c r="H432" s="228">
        <f t="shared" si="37"/>
        <v>-2.928356443386082E-2</v>
      </c>
      <c r="J432" s="227"/>
      <c r="K432" s="245">
        <v>33.988894999999999</v>
      </c>
      <c r="L432" s="228">
        <f t="shared" si="38"/>
        <v>-2.5309930834615968E-2</v>
      </c>
      <c r="M432" s="228"/>
      <c r="N432" s="227"/>
      <c r="O432" s="322">
        <v>45.200001</v>
      </c>
      <c r="P432" s="228">
        <f t="shared" si="39"/>
        <v>-3.2948244204182853E-2</v>
      </c>
      <c r="Q432" s="228"/>
      <c r="R432" s="227"/>
      <c r="S432" s="322">
        <v>169.259995</v>
      </c>
      <c r="T432" s="228">
        <f t="shared" si="40"/>
        <v>-4.0476186183997176E-2</v>
      </c>
      <c r="U432" s="228"/>
      <c r="V432" s="228"/>
      <c r="W432" s="228"/>
      <c r="X432" s="322">
        <v>103.260002</v>
      </c>
      <c r="Y432" s="228">
        <f t="shared" si="41"/>
        <v>-2.6400113641337208E-2</v>
      </c>
      <c r="Z432" s="228"/>
      <c r="AA432" s="202"/>
    </row>
    <row r="433" spans="2:27" x14ac:dyDescent="0.15">
      <c r="B433" s="241">
        <v>43293</v>
      </c>
      <c r="C433" s="244"/>
      <c r="D433" s="245">
        <v>60.733333999999999</v>
      </c>
      <c r="E433" s="228">
        <f t="shared" si="36"/>
        <v>8.1414949922620217E-3</v>
      </c>
      <c r="F433" s="228"/>
      <c r="G433" s="245">
        <v>193.86326600000001</v>
      </c>
      <c r="H433" s="228">
        <f t="shared" si="37"/>
        <v>2.9650311714130462E-2</v>
      </c>
      <c r="J433" s="227"/>
      <c r="K433" s="245">
        <v>34.301479</v>
      </c>
      <c r="L433" s="228">
        <f t="shared" si="38"/>
        <v>9.1966508472840491E-3</v>
      </c>
      <c r="M433" s="228"/>
      <c r="N433" s="227"/>
      <c r="O433" s="322">
        <v>45.68</v>
      </c>
      <c r="P433" s="228">
        <f t="shared" si="39"/>
        <v>1.0619446667711419E-2</v>
      </c>
      <c r="Q433" s="228"/>
      <c r="R433" s="227"/>
      <c r="S433" s="322">
        <v>171.320007</v>
      </c>
      <c r="T433" s="228">
        <f t="shared" si="40"/>
        <v>1.2170696330222608E-2</v>
      </c>
      <c r="U433" s="228"/>
      <c r="V433" s="228"/>
      <c r="W433" s="228"/>
      <c r="X433" s="322">
        <v>104.550003</v>
      </c>
      <c r="Y433" s="228">
        <f t="shared" si="41"/>
        <v>1.2492746223266682E-2</v>
      </c>
      <c r="Z433" s="228"/>
      <c r="AA433" s="202"/>
    </row>
    <row r="434" spans="2:27" x14ac:dyDescent="0.15">
      <c r="B434" s="241">
        <v>43294</v>
      </c>
      <c r="C434" s="244"/>
      <c r="D434" s="245">
        <v>60.789928000000003</v>
      </c>
      <c r="E434" s="228">
        <f t="shared" si="36"/>
        <v>9.3184411710378612E-4</v>
      </c>
      <c r="F434" s="228"/>
      <c r="G434" s="245">
        <v>193.72711200000001</v>
      </c>
      <c r="H434" s="228">
        <f t="shared" si="37"/>
        <v>-7.0231974736256753E-4</v>
      </c>
      <c r="J434" s="227"/>
      <c r="K434" s="245">
        <v>34.724384000000001</v>
      </c>
      <c r="L434" s="228">
        <f t="shared" si="38"/>
        <v>1.2329060213409404E-2</v>
      </c>
      <c r="M434" s="228"/>
      <c r="N434" s="227"/>
      <c r="O434" s="322">
        <v>46.130001</v>
      </c>
      <c r="P434" s="228">
        <f t="shared" si="39"/>
        <v>9.8511602451838431E-3</v>
      </c>
      <c r="Q434" s="228"/>
      <c r="R434" s="227"/>
      <c r="S434" s="322">
        <v>171.78999300000001</v>
      </c>
      <c r="T434" s="228">
        <f t="shared" si="40"/>
        <v>2.743322325453823E-3</v>
      </c>
      <c r="U434" s="228"/>
      <c r="V434" s="228"/>
      <c r="W434" s="228"/>
      <c r="X434" s="322">
        <v>104.860001</v>
      </c>
      <c r="Y434" s="228">
        <f t="shared" si="41"/>
        <v>2.9650692597300576E-3</v>
      </c>
      <c r="Z434" s="228"/>
      <c r="AA434" s="202"/>
    </row>
    <row r="435" spans="2:27" x14ac:dyDescent="0.15">
      <c r="B435" s="241">
        <v>43297</v>
      </c>
      <c r="C435" s="244"/>
      <c r="D435" s="245">
        <v>60.667316</v>
      </c>
      <c r="E435" s="228">
        <f t="shared" si="36"/>
        <v>-2.0169788653147114E-3</v>
      </c>
      <c r="F435" s="228"/>
      <c r="G435" s="245">
        <v>194.59269699999999</v>
      </c>
      <c r="H435" s="228">
        <f t="shared" si="37"/>
        <v>4.468063303395553E-3</v>
      </c>
      <c r="J435" s="227"/>
      <c r="K435" s="245">
        <v>34.742778999999999</v>
      </c>
      <c r="L435" s="228">
        <f t="shared" si="38"/>
        <v>5.2974301862329654E-4</v>
      </c>
      <c r="M435" s="228"/>
      <c r="N435" s="227"/>
      <c r="O435" s="322">
        <v>46.310001</v>
      </c>
      <c r="P435" s="228">
        <f t="shared" si="39"/>
        <v>3.9020159570342106E-3</v>
      </c>
      <c r="Q435" s="228"/>
      <c r="R435" s="227"/>
      <c r="S435" s="322">
        <v>171.78999300000001</v>
      </c>
      <c r="T435" s="228">
        <f t="shared" si="40"/>
        <v>0</v>
      </c>
      <c r="U435" s="228"/>
      <c r="V435" s="228"/>
      <c r="W435" s="228"/>
      <c r="X435" s="322">
        <v>104.160004</v>
      </c>
      <c r="Y435" s="228">
        <f t="shared" si="41"/>
        <v>-6.6755387499948249E-3</v>
      </c>
      <c r="Z435" s="228"/>
      <c r="AA435" s="202"/>
    </row>
    <row r="436" spans="2:27" x14ac:dyDescent="0.15">
      <c r="B436" s="241">
        <v>43298</v>
      </c>
      <c r="C436" s="244"/>
      <c r="D436" s="245">
        <v>60.931407999999998</v>
      </c>
      <c r="E436" s="228">
        <f t="shared" si="36"/>
        <v>4.3531182424487724E-3</v>
      </c>
      <c r="F436" s="228"/>
      <c r="G436" s="245">
        <v>198.73587000000001</v>
      </c>
      <c r="H436" s="228">
        <f t="shared" si="37"/>
        <v>2.1291513319228184E-2</v>
      </c>
      <c r="J436" s="227"/>
      <c r="K436" s="245">
        <v>34.972610000000003</v>
      </c>
      <c r="L436" s="228">
        <f t="shared" si="38"/>
        <v>6.6152163590600388E-3</v>
      </c>
      <c r="M436" s="228"/>
      <c r="N436" s="227"/>
      <c r="O436" s="322">
        <v>47.299999</v>
      </c>
      <c r="P436" s="228">
        <f t="shared" si="39"/>
        <v>2.1377628560189432E-2</v>
      </c>
      <c r="Q436" s="228"/>
      <c r="R436" s="227"/>
      <c r="S436" s="322">
        <v>177.240005</v>
      </c>
      <c r="T436" s="228">
        <f t="shared" si="40"/>
        <v>3.1724851400395604E-2</v>
      </c>
      <c r="U436" s="228"/>
      <c r="V436" s="228"/>
      <c r="W436" s="228"/>
      <c r="X436" s="322">
        <v>105.889999</v>
      </c>
      <c r="Y436" s="228">
        <f t="shared" si="41"/>
        <v>1.6609014339131534E-2</v>
      </c>
      <c r="Z436" s="228"/>
      <c r="AA436" s="202"/>
    </row>
    <row r="437" spans="2:27" x14ac:dyDescent="0.15">
      <c r="B437" s="241">
        <v>43299</v>
      </c>
      <c r="C437" s="244"/>
      <c r="D437" s="245">
        <v>61.082335999999998</v>
      </c>
      <c r="E437" s="228">
        <f t="shared" si="36"/>
        <v>2.4770148098334221E-3</v>
      </c>
      <c r="F437" s="228"/>
      <c r="G437" s="245">
        <v>211.923981</v>
      </c>
      <c r="H437" s="228">
        <f t="shared" si="37"/>
        <v>6.6359993291598585E-2</v>
      </c>
      <c r="J437" s="227"/>
      <c r="K437" s="245">
        <v>35.312781999999999</v>
      </c>
      <c r="L437" s="228">
        <f t="shared" si="38"/>
        <v>9.7268119251034957E-3</v>
      </c>
      <c r="M437" s="228"/>
      <c r="N437" s="227"/>
      <c r="O437" s="322">
        <v>48.279998999999997</v>
      </c>
      <c r="P437" s="228">
        <f t="shared" si="39"/>
        <v>2.071881650568308E-2</v>
      </c>
      <c r="Q437" s="228"/>
      <c r="R437" s="227"/>
      <c r="S437" s="322">
        <v>181.320007</v>
      </c>
      <c r="T437" s="228">
        <f t="shared" si="40"/>
        <v>2.3019645028784508E-2</v>
      </c>
      <c r="U437" s="228"/>
      <c r="V437" s="228"/>
      <c r="W437" s="228"/>
      <c r="X437" s="322">
        <v>110.230003</v>
      </c>
      <c r="Y437" s="228">
        <f t="shared" si="41"/>
        <v>4.0985966956142761E-2</v>
      </c>
      <c r="Z437" s="228"/>
      <c r="AA437" s="202"/>
    </row>
    <row r="438" spans="2:27" x14ac:dyDescent="0.15">
      <c r="B438" s="241">
        <v>43300</v>
      </c>
      <c r="C438" s="244"/>
      <c r="D438" s="245">
        <v>60.931407999999998</v>
      </c>
      <c r="E438" s="228">
        <f t="shared" si="36"/>
        <v>-2.4708943678906081E-3</v>
      </c>
      <c r="F438" s="228"/>
      <c r="G438" s="245">
        <v>209.35640000000001</v>
      </c>
      <c r="H438" s="228">
        <f t="shared" si="37"/>
        <v>-1.2115575537437584E-2</v>
      </c>
      <c r="J438" s="227"/>
      <c r="K438" s="245">
        <v>36.599888</v>
      </c>
      <c r="L438" s="228">
        <f t="shared" si="38"/>
        <v>3.6448728395287677E-2</v>
      </c>
      <c r="M438" s="228"/>
      <c r="N438" s="227"/>
      <c r="O438" s="322">
        <v>46.669998</v>
      </c>
      <c r="P438" s="228">
        <f t="shared" si="39"/>
        <v>-3.3347163076784647E-2</v>
      </c>
      <c r="Q438" s="228"/>
      <c r="R438" s="227"/>
      <c r="S438" s="322">
        <v>178.229996</v>
      </c>
      <c r="T438" s="228">
        <f t="shared" si="40"/>
        <v>-1.7041754250538999E-2</v>
      </c>
      <c r="U438" s="228"/>
      <c r="V438" s="228"/>
      <c r="W438" s="228"/>
      <c r="X438" s="322">
        <v>108.489998</v>
      </c>
      <c r="Y438" s="228">
        <f t="shared" si="41"/>
        <v>-1.5785221379337133E-2</v>
      </c>
      <c r="Z438" s="228"/>
      <c r="AA438" s="202"/>
    </row>
    <row r="439" spans="2:27" x14ac:dyDescent="0.15">
      <c r="B439" s="241">
        <v>43301</v>
      </c>
      <c r="C439" s="244"/>
      <c r="D439" s="245">
        <v>60.837085999999999</v>
      </c>
      <c r="E439" s="228">
        <f t="shared" si="36"/>
        <v>-1.5480029609687973E-3</v>
      </c>
      <c r="F439" s="228"/>
      <c r="G439" s="245">
        <v>213.78161600000001</v>
      </c>
      <c r="H439" s="228">
        <f t="shared" si="37"/>
        <v>2.1137237743866555E-2</v>
      </c>
      <c r="J439" s="227"/>
      <c r="K439" s="245">
        <v>37.445704999999997</v>
      </c>
      <c r="L439" s="228">
        <f t="shared" si="38"/>
        <v>2.310982481695012E-2</v>
      </c>
      <c r="M439" s="228"/>
      <c r="N439" s="227"/>
      <c r="O439" s="322">
        <v>46.759998000000003</v>
      </c>
      <c r="P439" s="228">
        <f t="shared" si="39"/>
        <v>1.9284337659497552E-3</v>
      </c>
      <c r="Q439" s="228"/>
      <c r="R439" s="227"/>
      <c r="S439" s="322">
        <v>177.80999800000001</v>
      </c>
      <c r="T439" s="228">
        <f t="shared" si="40"/>
        <v>-2.3564944702124668E-3</v>
      </c>
      <c r="U439" s="228"/>
      <c r="V439" s="228"/>
      <c r="W439" s="228"/>
      <c r="X439" s="322">
        <v>106.91999800000001</v>
      </c>
      <c r="Y439" s="228">
        <f t="shared" si="41"/>
        <v>-1.4471380117455523E-2</v>
      </c>
      <c r="Z439" s="228"/>
      <c r="AA439" s="202"/>
    </row>
    <row r="440" spans="2:27" x14ac:dyDescent="0.15">
      <c r="B440" s="241">
        <v>43304</v>
      </c>
      <c r="C440" s="244"/>
      <c r="D440" s="245">
        <v>60.921982</v>
      </c>
      <c r="E440" s="228">
        <f t="shared" si="36"/>
        <v>1.3954646019700423E-3</v>
      </c>
      <c r="F440" s="228"/>
      <c r="G440" s="245">
        <v>214.72500600000001</v>
      </c>
      <c r="H440" s="228">
        <f t="shared" si="37"/>
        <v>4.4128677556634077E-3</v>
      </c>
      <c r="J440" s="227"/>
      <c r="K440" s="245">
        <v>37.454895</v>
      </c>
      <c r="L440" s="228">
        <f t="shared" si="38"/>
        <v>2.4542200500698996E-4</v>
      </c>
      <c r="M440" s="228"/>
      <c r="N440" s="227"/>
      <c r="O440" s="322">
        <v>46.43</v>
      </c>
      <c r="P440" s="228">
        <f t="shared" si="39"/>
        <v>-7.0572714737926479E-3</v>
      </c>
      <c r="Q440" s="228"/>
      <c r="R440" s="227"/>
      <c r="S440" s="322">
        <v>174.83999600000001</v>
      </c>
      <c r="T440" s="228">
        <f t="shared" si="40"/>
        <v>-1.6703233976753107E-2</v>
      </c>
      <c r="U440" s="228"/>
      <c r="V440" s="228"/>
      <c r="W440" s="228"/>
      <c r="X440" s="322">
        <v>106.94000200000001</v>
      </c>
      <c r="Y440" s="228">
        <f t="shared" si="41"/>
        <v>1.8709315725939923E-4</v>
      </c>
      <c r="Z440" s="228"/>
      <c r="AA440" s="202"/>
    </row>
    <row r="441" spans="2:27" x14ac:dyDescent="0.15">
      <c r="B441" s="241">
        <v>43305</v>
      </c>
      <c r="C441" s="244"/>
      <c r="D441" s="245">
        <v>61.063454</v>
      </c>
      <c r="E441" s="228">
        <f t="shared" si="36"/>
        <v>2.3221831489330658E-3</v>
      </c>
      <c r="F441" s="228"/>
      <c r="G441" s="245">
        <v>207.83917199999999</v>
      </c>
      <c r="H441" s="228">
        <f t="shared" si="37"/>
        <v>-3.2068151391738797E-2</v>
      </c>
      <c r="J441" s="227"/>
      <c r="K441" s="245">
        <v>37.133121000000003</v>
      </c>
      <c r="L441" s="228">
        <f t="shared" si="38"/>
        <v>-8.5909732225920576E-3</v>
      </c>
      <c r="M441" s="228"/>
      <c r="N441" s="227"/>
      <c r="O441" s="322">
        <v>45.91</v>
      </c>
      <c r="P441" s="228">
        <f t="shared" si="39"/>
        <v>-1.1199655395218722E-2</v>
      </c>
      <c r="Q441" s="228"/>
      <c r="R441" s="227"/>
      <c r="S441" s="322">
        <v>173.38999899999999</v>
      </c>
      <c r="T441" s="228">
        <f t="shared" si="40"/>
        <v>-8.2932797596267926E-3</v>
      </c>
      <c r="U441" s="228"/>
      <c r="V441" s="228"/>
      <c r="W441" s="228"/>
      <c r="X441" s="322">
        <v>103.949997</v>
      </c>
      <c r="Y441" s="228">
        <f t="shared" si="41"/>
        <v>-2.7959649748276694E-2</v>
      </c>
      <c r="Z441" s="228"/>
      <c r="AA441" s="202"/>
    </row>
    <row r="442" spans="2:27" x14ac:dyDescent="0.15">
      <c r="B442" s="241">
        <v>43306</v>
      </c>
      <c r="C442" s="244"/>
      <c r="D442" s="245">
        <v>61.563366000000002</v>
      </c>
      <c r="E442" s="228">
        <f t="shared" si="36"/>
        <v>8.1867625765159602E-3</v>
      </c>
      <c r="F442" s="228"/>
      <c r="G442" s="245">
        <v>212.96466100000001</v>
      </c>
      <c r="H442" s="228">
        <f t="shared" si="37"/>
        <v>2.4660842086110746E-2</v>
      </c>
      <c r="J442" s="227"/>
      <c r="K442" s="245">
        <v>37.592799999999997</v>
      </c>
      <c r="L442" s="228">
        <f t="shared" si="38"/>
        <v>1.237921800324826E-2</v>
      </c>
      <c r="M442" s="228"/>
      <c r="N442" s="227"/>
      <c r="O442" s="322">
        <v>45.959999000000003</v>
      </c>
      <c r="P442" s="228">
        <f t="shared" si="39"/>
        <v>1.0890655630582113E-3</v>
      </c>
      <c r="Q442" s="228"/>
      <c r="R442" s="227"/>
      <c r="S442" s="322">
        <v>172.800003</v>
      </c>
      <c r="T442" s="228">
        <f t="shared" si="40"/>
        <v>-3.4027106719112243E-3</v>
      </c>
      <c r="U442" s="228"/>
      <c r="V442" s="228"/>
      <c r="W442" s="228"/>
      <c r="X442" s="322">
        <v>104.44000200000001</v>
      </c>
      <c r="Y442" s="228">
        <f t="shared" si="41"/>
        <v>4.7138529498949033E-3</v>
      </c>
      <c r="Z442" s="228"/>
      <c r="AA442" s="202"/>
    </row>
    <row r="443" spans="2:27" x14ac:dyDescent="0.15">
      <c r="B443" s="241">
        <v>43307</v>
      </c>
      <c r="C443" s="244"/>
      <c r="D443" s="245">
        <v>61.450175999999999</v>
      </c>
      <c r="E443" s="228">
        <f t="shared" si="36"/>
        <v>-1.8385934258371428E-3</v>
      </c>
      <c r="F443" s="228"/>
      <c r="G443" s="245">
        <v>210.70825199999999</v>
      </c>
      <c r="H443" s="228">
        <f t="shared" si="37"/>
        <v>-1.0595227346193448E-2</v>
      </c>
      <c r="J443" s="227"/>
      <c r="K443" s="245">
        <v>37.528449999999999</v>
      </c>
      <c r="L443" s="228">
        <f t="shared" si="38"/>
        <v>-1.7117639547997721E-3</v>
      </c>
      <c r="M443" s="228"/>
      <c r="N443" s="227"/>
      <c r="O443" s="322">
        <v>47.169998</v>
      </c>
      <c r="P443" s="228">
        <f t="shared" si="39"/>
        <v>2.6327219893977682E-2</v>
      </c>
      <c r="Q443" s="228"/>
      <c r="R443" s="227"/>
      <c r="S443" s="322">
        <v>177.259995</v>
      </c>
      <c r="T443" s="228">
        <f t="shared" si="40"/>
        <v>2.5810138440796271E-2</v>
      </c>
      <c r="U443" s="228"/>
      <c r="V443" s="228"/>
      <c r="W443" s="228"/>
      <c r="X443" s="322">
        <v>105.230003</v>
      </c>
      <c r="Y443" s="228">
        <f t="shared" si="41"/>
        <v>7.5641610960519579E-3</v>
      </c>
      <c r="Z443" s="228"/>
      <c r="AA443" s="202"/>
    </row>
    <row r="444" spans="2:27" x14ac:dyDescent="0.15">
      <c r="B444" s="241">
        <v>43308</v>
      </c>
      <c r="C444" s="244"/>
      <c r="D444" s="245">
        <v>60.969143000000003</v>
      </c>
      <c r="E444" s="228">
        <f t="shared" si="36"/>
        <v>-7.8280166357863612E-3</v>
      </c>
      <c r="F444" s="228"/>
      <c r="G444" s="245">
        <v>207.45015000000001</v>
      </c>
      <c r="H444" s="228">
        <f t="shared" si="37"/>
        <v>-1.5462621748672523E-2</v>
      </c>
      <c r="J444" s="227"/>
      <c r="K444" s="245">
        <v>38.107650999999997</v>
      </c>
      <c r="L444" s="228">
        <f t="shared" si="38"/>
        <v>1.5433651003438742E-2</v>
      </c>
      <c r="M444" s="228"/>
      <c r="N444" s="227"/>
      <c r="O444" s="322">
        <v>48.299999</v>
      </c>
      <c r="P444" s="228">
        <f t="shared" si="39"/>
        <v>2.3955926392025706E-2</v>
      </c>
      <c r="Q444" s="228"/>
      <c r="R444" s="227"/>
      <c r="S444" s="322">
        <v>190.020004</v>
      </c>
      <c r="T444" s="228">
        <f t="shared" si="40"/>
        <v>7.1984708111946016E-2</v>
      </c>
      <c r="U444" s="228"/>
      <c r="V444" s="228"/>
      <c r="W444" s="228"/>
      <c r="X444" s="322">
        <v>107.57</v>
      </c>
      <c r="Y444" s="228">
        <f t="shared" si="41"/>
        <v>2.2236975513532986E-2</v>
      </c>
      <c r="Z444" s="228"/>
      <c r="AA444" s="202"/>
    </row>
    <row r="445" spans="2:27" x14ac:dyDescent="0.15">
      <c r="B445" s="241">
        <v>43311</v>
      </c>
      <c r="C445" s="244"/>
      <c r="D445" s="245">
        <v>60.601287999999997</v>
      </c>
      <c r="E445" s="228">
        <f t="shared" si="36"/>
        <v>-6.033461877592794E-3</v>
      </c>
      <c r="F445" s="228"/>
      <c r="G445" s="245">
        <v>208.617233</v>
      </c>
      <c r="H445" s="228">
        <f t="shared" si="37"/>
        <v>5.625847944674911E-3</v>
      </c>
      <c r="J445" s="227"/>
      <c r="K445" s="245">
        <v>37.776676000000002</v>
      </c>
      <c r="L445" s="228">
        <f t="shared" si="38"/>
        <v>-8.6852637545147271E-3</v>
      </c>
      <c r="M445" s="228"/>
      <c r="N445" s="227"/>
      <c r="O445" s="322">
        <v>47.91</v>
      </c>
      <c r="P445" s="228">
        <f t="shared" si="39"/>
        <v>-8.0745136247312166E-3</v>
      </c>
      <c r="Q445" s="228"/>
      <c r="R445" s="227"/>
      <c r="S445" s="322">
        <v>187.83999600000001</v>
      </c>
      <c r="T445" s="228">
        <f t="shared" si="40"/>
        <v>-1.1472518440742596E-2</v>
      </c>
      <c r="U445" s="228"/>
      <c r="V445" s="228"/>
      <c r="W445" s="228"/>
      <c r="X445" s="322">
        <v>106.300003</v>
      </c>
      <c r="Y445" s="228">
        <f t="shared" si="41"/>
        <v>-1.1806237798642649E-2</v>
      </c>
      <c r="Z445" s="228"/>
      <c r="AA445" s="202"/>
    </row>
    <row r="446" spans="2:27" x14ac:dyDescent="0.15">
      <c r="B446" s="241">
        <v>43312</v>
      </c>
      <c r="C446" s="244"/>
      <c r="D446" s="245">
        <v>60.912556000000002</v>
      </c>
      <c r="E446" s="228">
        <f t="shared" si="36"/>
        <v>5.1363264754373805E-3</v>
      </c>
      <c r="F446" s="228"/>
      <c r="G446" s="245">
        <v>208.13093599999999</v>
      </c>
      <c r="H446" s="228">
        <f t="shared" si="37"/>
        <v>-2.3310490365865411E-3</v>
      </c>
      <c r="J446" s="227"/>
      <c r="K446" s="245">
        <v>37.886997000000001</v>
      </c>
      <c r="L446" s="228">
        <f t="shared" si="38"/>
        <v>2.9203469357652612E-3</v>
      </c>
      <c r="M446" s="228"/>
      <c r="N446" s="227"/>
      <c r="O446" s="322">
        <v>48.630001</v>
      </c>
      <c r="P446" s="228">
        <f t="shared" si="39"/>
        <v>1.5028198705906881E-2</v>
      </c>
      <c r="Q446" s="228"/>
      <c r="R446" s="227"/>
      <c r="S446" s="322">
        <v>190.63999899999999</v>
      </c>
      <c r="T446" s="228">
        <f t="shared" si="40"/>
        <v>1.4906319525262113E-2</v>
      </c>
      <c r="U446" s="228"/>
      <c r="V446" s="228"/>
      <c r="W446" s="228"/>
      <c r="X446" s="322">
        <v>117.41999800000001</v>
      </c>
      <c r="Y446" s="228">
        <f t="shared" si="41"/>
        <v>0.10460954549549739</v>
      </c>
      <c r="Z446" s="228"/>
      <c r="AA446" s="202"/>
    </row>
    <row r="447" spans="2:27" x14ac:dyDescent="0.15">
      <c r="B447" s="241">
        <v>43313</v>
      </c>
      <c r="C447" s="244"/>
      <c r="D447" s="245">
        <v>60.884250999999999</v>
      </c>
      <c r="E447" s="228">
        <f t="shared" si="36"/>
        <v>-4.6468251964348894E-4</v>
      </c>
      <c r="F447" s="228"/>
      <c r="G447" s="245">
        <v>208.04342700000001</v>
      </c>
      <c r="H447" s="228">
        <f t="shared" si="37"/>
        <v>-4.2045167182636067E-4</v>
      </c>
      <c r="J447" s="227"/>
      <c r="K447" s="245">
        <v>38.346676000000002</v>
      </c>
      <c r="L447" s="228">
        <f t="shared" si="38"/>
        <v>1.213289614904034E-2</v>
      </c>
      <c r="M447" s="228"/>
      <c r="N447" s="227"/>
      <c r="O447" s="322">
        <v>47.970001000000003</v>
      </c>
      <c r="P447" s="228">
        <f t="shared" si="39"/>
        <v>-1.3571868937448661E-2</v>
      </c>
      <c r="Q447" s="228"/>
      <c r="R447" s="227"/>
      <c r="S447" s="322">
        <v>186.28999300000001</v>
      </c>
      <c r="T447" s="228">
        <f t="shared" si="40"/>
        <v>-2.2817908218725758E-2</v>
      </c>
      <c r="U447" s="228"/>
      <c r="V447" s="228"/>
      <c r="W447" s="228"/>
      <c r="X447" s="322">
        <v>116.709999</v>
      </c>
      <c r="Y447" s="228">
        <f t="shared" si="41"/>
        <v>-6.046661659796726E-3</v>
      </c>
      <c r="Z447" s="228"/>
      <c r="AA447" s="202"/>
    </row>
    <row r="448" spans="2:27" x14ac:dyDescent="0.15">
      <c r="B448" s="241">
        <v>43314</v>
      </c>
      <c r="C448" s="244"/>
      <c r="D448" s="245">
        <v>61.242683</v>
      </c>
      <c r="E448" s="228">
        <f t="shared" si="36"/>
        <v>5.887105353402422E-3</v>
      </c>
      <c r="F448" s="228"/>
      <c r="G448" s="245">
        <v>209.90103099999999</v>
      </c>
      <c r="H448" s="228">
        <f t="shared" si="37"/>
        <v>8.9289242481089826E-3</v>
      </c>
      <c r="J448" s="227"/>
      <c r="K448" s="245">
        <v>38.199581000000002</v>
      </c>
      <c r="L448" s="228">
        <f t="shared" si="38"/>
        <v>-3.8359257005744496E-3</v>
      </c>
      <c r="M448" s="228"/>
      <c r="N448" s="227"/>
      <c r="O448" s="322">
        <v>48.110000999999997</v>
      </c>
      <c r="P448" s="228">
        <f t="shared" si="39"/>
        <v>2.9184906625288054E-3</v>
      </c>
      <c r="Q448" s="228"/>
      <c r="R448" s="227"/>
      <c r="S448" s="322">
        <v>187.10000600000001</v>
      </c>
      <c r="T448" s="228">
        <f t="shared" si="40"/>
        <v>4.3481294242144752E-3</v>
      </c>
      <c r="U448" s="228"/>
      <c r="V448" s="228"/>
      <c r="W448" s="228"/>
      <c r="X448" s="322">
        <v>118.470001</v>
      </c>
      <c r="Y448" s="228">
        <f t="shared" si="41"/>
        <v>1.5080130366550648E-2</v>
      </c>
      <c r="Z448" s="228"/>
      <c r="AA448" s="202"/>
    </row>
    <row r="449" spans="2:27" x14ac:dyDescent="0.15">
      <c r="B449" s="241">
        <v>43315</v>
      </c>
      <c r="C449" s="244"/>
      <c r="D449" s="245">
        <v>61.440750000000001</v>
      </c>
      <c r="E449" s="228">
        <f t="shared" si="36"/>
        <v>3.2341332922987132E-3</v>
      </c>
      <c r="F449" s="228"/>
      <c r="G449" s="245">
        <v>208.88954200000001</v>
      </c>
      <c r="H449" s="228">
        <f t="shared" si="37"/>
        <v>-4.8188853345840776E-3</v>
      </c>
      <c r="J449" s="227"/>
      <c r="K449" s="245">
        <v>38.328288999999998</v>
      </c>
      <c r="L449" s="228">
        <f t="shared" si="38"/>
        <v>3.36935632880353E-3</v>
      </c>
      <c r="M449" s="228"/>
      <c r="N449" s="227"/>
      <c r="O449" s="322">
        <v>48.84</v>
      </c>
      <c r="P449" s="228">
        <f t="shared" si="39"/>
        <v>1.5173539489221843E-2</v>
      </c>
      <c r="Q449" s="228"/>
      <c r="R449" s="227"/>
      <c r="S449" s="322">
        <v>187.28999300000001</v>
      </c>
      <c r="T449" s="228">
        <f t="shared" si="40"/>
        <v>1.0154302186393682E-3</v>
      </c>
      <c r="U449" s="228"/>
      <c r="V449" s="228"/>
      <c r="W449" s="228"/>
      <c r="X449" s="322">
        <v>119.589996</v>
      </c>
      <c r="Y449" s="228">
        <f t="shared" si="41"/>
        <v>9.4538278935272224E-3</v>
      </c>
      <c r="Z449" s="228"/>
      <c r="AA449" s="202"/>
    </row>
    <row r="450" spans="2:27" x14ac:dyDescent="0.15">
      <c r="B450" s="241">
        <v>43318</v>
      </c>
      <c r="C450" s="244"/>
      <c r="D450" s="245">
        <v>61.723712999999996</v>
      </c>
      <c r="E450" s="228">
        <f t="shared" si="36"/>
        <v>4.6054613591142157E-3</v>
      </c>
      <c r="F450" s="228"/>
      <c r="G450" s="245">
        <v>207.71275299999999</v>
      </c>
      <c r="H450" s="228">
        <f t="shared" si="37"/>
        <v>-5.6335467478788592E-3</v>
      </c>
      <c r="J450" s="227"/>
      <c r="K450" s="245">
        <v>37.758285999999998</v>
      </c>
      <c r="L450" s="228">
        <f t="shared" si="38"/>
        <v>-1.4871600451561995E-2</v>
      </c>
      <c r="M450" s="228"/>
      <c r="N450" s="227"/>
      <c r="O450" s="322">
        <v>49.48</v>
      </c>
      <c r="P450" s="228">
        <f t="shared" si="39"/>
        <v>1.310401310401299E-2</v>
      </c>
      <c r="Q450" s="228"/>
      <c r="R450" s="227"/>
      <c r="S450" s="322">
        <v>188.30999800000001</v>
      </c>
      <c r="T450" s="228">
        <f t="shared" si="40"/>
        <v>5.4461265317042873E-3</v>
      </c>
      <c r="U450" s="228"/>
      <c r="V450" s="228"/>
      <c r="W450" s="228"/>
      <c r="X450" s="322">
        <v>118.269997</v>
      </c>
      <c r="Y450" s="228">
        <f t="shared" si="41"/>
        <v>-1.1037704190574593E-2</v>
      </c>
      <c r="Z450" s="228"/>
      <c r="AA450" s="202"/>
    </row>
    <row r="451" spans="2:27" x14ac:dyDescent="0.15">
      <c r="B451" s="241">
        <v>43319</v>
      </c>
      <c r="C451" s="244"/>
      <c r="D451" s="245">
        <v>61.893497000000004</v>
      </c>
      <c r="E451" s="228">
        <f t="shared" si="36"/>
        <v>2.7507094396606036E-3</v>
      </c>
      <c r="F451" s="228"/>
      <c r="G451" s="245">
        <v>207.703003</v>
      </c>
      <c r="H451" s="228">
        <f t="shared" si="37"/>
        <v>-4.6939823670766323E-5</v>
      </c>
      <c r="J451" s="227"/>
      <c r="K451" s="245">
        <v>37.914585000000002</v>
      </c>
      <c r="L451" s="228">
        <f t="shared" si="38"/>
        <v>4.1394622626673705E-3</v>
      </c>
      <c r="M451" s="228"/>
      <c r="N451" s="227"/>
      <c r="O451" s="322">
        <v>49.630001</v>
      </c>
      <c r="P451" s="228">
        <f t="shared" si="39"/>
        <v>3.0315481002425315E-3</v>
      </c>
      <c r="Q451" s="228"/>
      <c r="R451" s="227"/>
      <c r="S451" s="322">
        <v>185.91000399999999</v>
      </c>
      <c r="T451" s="228">
        <f t="shared" si="40"/>
        <v>-1.2744910124209197E-2</v>
      </c>
      <c r="U451" s="228"/>
      <c r="V451" s="228"/>
      <c r="W451" s="228"/>
      <c r="X451" s="322">
        <v>118.160004</v>
      </c>
      <c r="Y451" s="228">
        <f t="shared" si="41"/>
        <v>-9.3001608852671946E-4</v>
      </c>
      <c r="Z451" s="228"/>
      <c r="AA451" s="202"/>
    </row>
    <row r="452" spans="2:27" x14ac:dyDescent="0.15">
      <c r="B452" s="241">
        <v>43320</v>
      </c>
      <c r="C452" s="244"/>
      <c r="D452" s="245">
        <v>61.874622000000002</v>
      </c>
      <c r="E452" s="228">
        <f t="shared" si="36"/>
        <v>-3.0495934007412906E-4</v>
      </c>
      <c r="F452" s="228"/>
      <c r="G452" s="245">
        <v>207.158356</v>
      </c>
      <c r="H452" s="228">
        <f t="shared" si="37"/>
        <v>-2.6222394097979995E-3</v>
      </c>
      <c r="J452" s="227"/>
      <c r="K452" s="245">
        <v>38.585720000000002</v>
      </c>
      <c r="L452" s="228">
        <f t="shared" si="38"/>
        <v>1.7701235553547523E-2</v>
      </c>
      <c r="M452" s="228"/>
      <c r="N452" s="227"/>
      <c r="O452" s="322">
        <v>50.18</v>
      </c>
      <c r="P452" s="228">
        <f t="shared" si="39"/>
        <v>1.108198647829961E-2</v>
      </c>
      <c r="Q452" s="228"/>
      <c r="R452" s="227"/>
      <c r="S452" s="322">
        <v>190.020004</v>
      </c>
      <c r="T452" s="228">
        <f t="shared" si="40"/>
        <v>2.2107470881448821E-2</v>
      </c>
      <c r="U452" s="228"/>
      <c r="V452" s="228"/>
      <c r="W452" s="228"/>
      <c r="X452" s="322">
        <v>118.16999800000001</v>
      </c>
      <c r="Y452" s="228">
        <f t="shared" si="41"/>
        <v>8.4580227333042046E-5</v>
      </c>
      <c r="Z452" s="228"/>
      <c r="AA452" s="202"/>
    </row>
    <row r="453" spans="2:27" x14ac:dyDescent="0.15">
      <c r="B453" s="241">
        <v>43321</v>
      </c>
      <c r="C453" s="244"/>
      <c r="D453" s="245">
        <v>61.827469000000001</v>
      </c>
      <c r="E453" s="228">
        <f t="shared" si="36"/>
        <v>-7.6207334244404734E-4</v>
      </c>
      <c r="F453" s="228"/>
      <c r="G453" s="245">
        <v>203.433426</v>
      </c>
      <c r="H453" s="228">
        <f t="shared" si="37"/>
        <v>-1.7981075308398431E-2</v>
      </c>
      <c r="J453" s="227"/>
      <c r="K453" s="245">
        <v>38.466194000000002</v>
      </c>
      <c r="L453" s="228">
        <f t="shared" si="38"/>
        <v>-3.0976744764643627E-3</v>
      </c>
      <c r="M453" s="228"/>
      <c r="N453" s="227"/>
      <c r="O453" s="322">
        <v>49.16</v>
      </c>
      <c r="P453" s="228">
        <f t="shared" si="39"/>
        <v>-2.0326823435631747E-2</v>
      </c>
      <c r="Q453" s="228"/>
      <c r="R453" s="227"/>
      <c r="S453" s="322">
        <v>184.490005</v>
      </c>
      <c r="T453" s="228">
        <f t="shared" si="40"/>
        <v>-2.9102193893228212E-2</v>
      </c>
      <c r="U453" s="228"/>
      <c r="V453" s="228"/>
      <c r="W453" s="228"/>
      <c r="X453" s="322">
        <v>116.769997</v>
      </c>
      <c r="Y453" s="228">
        <f t="shared" si="41"/>
        <v>-1.1847347242910145E-2</v>
      </c>
      <c r="Z453" s="228"/>
      <c r="AA453" s="202"/>
    </row>
    <row r="454" spans="2:27" x14ac:dyDescent="0.15">
      <c r="B454" s="241">
        <v>43322</v>
      </c>
      <c r="C454" s="244"/>
      <c r="D454" s="245">
        <v>61.450175999999999</v>
      </c>
      <c r="E454" s="228">
        <f t="shared" si="36"/>
        <v>-6.1023523379228894E-3</v>
      </c>
      <c r="F454" s="228"/>
      <c r="G454" s="245">
        <v>198.29823300000001</v>
      </c>
      <c r="H454" s="228">
        <f t="shared" si="37"/>
        <v>-2.5242621632887374E-2</v>
      </c>
      <c r="J454" s="227"/>
      <c r="K454" s="245">
        <v>37.721508</v>
      </c>
      <c r="L454" s="228">
        <f t="shared" si="38"/>
        <v>-1.9359492649571819E-2</v>
      </c>
      <c r="M454" s="228"/>
      <c r="N454" s="227"/>
      <c r="O454" s="322">
        <v>48.130001</v>
      </c>
      <c r="P454" s="228">
        <f t="shared" si="39"/>
        <v>-2.0951973148901515E-2</v>
      </c>
      <c r="Q454" s="228"/>
      <c r="R454" s="227"/>
      <c r="S454" s="322">
        <v>178.10000600000001</v>
      </c>
      <c r="T454" s="228">
        <f t="shared" si="40"/>
        <v>-3.4636017273672826E-2</v>
      </c>
      <c r="U454" s="228"/>
      <c r="V454" s="228"/>
      <c r="W454" s="228"/>
      <c r="X454" s="322">
        <v>114.230003</v>
      </c>
      <c r="Y454" s="228">
        <f t="shared" si="41"/>
        <v>-2.1752111546256225E-2</v>
      </c>
      <c r="Z454" s="228"/>
      <c r="AA454" s="202"/>
    </row>
    <row r="455" spans="2:27" x14ac:dyDescent="0.15">
      <c r="B455" s="241">
        <v>43325</v>
      </c>
      <c r="C455" s="244"/>
      <c r="D455" s="245">
        <v>61.176647000000003</v>
      </c>
      <c r="E455" s="228">
        <f t="shared" si="36"/>
        <v>-4.4512321657141918E-3</v>
      </c>
      <c r="F455" s="228"/>
      <c r="G455" s="245">
        <v>199.08599899999999</v>
      </c>
      <c r="H455" s="228">
        <f t="shared" si="37"/>
        <v>3.9726324742388464E-3</v>
      </c>
      <c r="J455" s="227"/>
      <c r="K455" s="245">
        <v>37.427318999999997</v>
      </c>
      <c r="L455" s="228">
        <f t="shared" si="38"/>
        <v>-7.7989724058752374E-3</v>
      </c>
      <c r="M455" s="228"/>
      <c r="N455" s="227"/>
      <c r="O455" s="322">
        <v>48.25</v>
      </c>
      <c r="P455" s="228">
        <f t="shared" si="39"/>
        <v>2.4932266259458657E-3</v>
      </c>
      <c r="Q455" s="228"/>
      <c r="R455" s="227"/>
      <c r="S455" s="322">
        <v>178.14999399999999</v>
      </c>
      <c r="T455" s="228">
        <f t="shared" si="40"/>
        <v>2.8067376932017218E-4</v>
      </c>
      <c r="U455" s="228"/>
      <c r="V455" s="228"/>
      <c r="W455" s="228"/>
      <c r="X455" s="322">
        <v>116.150002</v>
      </c>
      <c r="Y455" s="228">
        <f t="shared" si="41"/>
        <v>1.6808184798874581E-2</v>
      </c>
      <c r="Z455" s="228"/>
      <c r="AA455" s="202"/>
    </row>
    <row r="456" spans="2:27" x14ac:dyDescent="0.15">
      <c r="B456" s="241">
        <v>43326</v>
      </c>
      <c r="C456" s="244"/>
      <c r="D456" s="245">
        <v>61.572803</v>
      </c>
      <c r="E456" s="228">
        <f t="shared" si="36"/>
        <v>6.4756082496641998E-3</v>
      </c>
      <c r="F456" s="228"/>
      <c r="G456" s="245">
        <v>199.97103899999999</v>
      </c>
      <c r="H456" s="228">
        <f t="shared" si="37"/>
        <v>4.445516030486818E-3</v>
      </c>
      <c r="J456" s="227"/>
      <c r="K456" s="245">
        <v>37.611190999999998</v>
      </c>
      <c r="L456" s="228">
        <f t="shared" si="38"/>
        <v>4.9127750774775603E-3</v>
      </c>
      <c r="M456" s="228"/>
      <c r="N456" s="227"/>
      <c r="O456" s="322">
        <v>48.380001</v>
      </c>
      <c r="P456" s="228">
        <f t="shared" si="39"/>
        <v>2.6943212435233121E-3</v>
      </c>
      <c r="Q456" s="228"/>
      <c r="R456" s="227"/>
      <c r="S456" s="322">
        <v>176.69000199999999</v>
      </c>
      <c r="T456" s="228">
        <f t="shared" si="40"/>
        <v>-8.1952963748065377E-3</v>
      </c>
      <c r="U456" s="228"/>
      <c r="V456" s="228"/>
      <c r="W456" s="228"/>
      <c r="X456" s="322">
        <v>115.32</v>
      </c>
      <c r="Y456" s="228">
        <f t="shared" si="41"/>
        <v>-7.1459490805692027E-3</v>
      </c>
      <c r="Z456" s="228"/>
      <c r="AA456" s="202"/>
    </row>
    <row r="457" spans="2:27" x14ac:dyDescent="0.15">
      <c r="B457" s="241">
        <v>43327</v>
      </c>
      <c r="C457" s="244"/>
      <c r="D457" s="245">
        <v>61.120055999999998</v>
      </c>
      <c r="E457" s="228">
        <f t="shared" ref="E457:E520" si="42">D457/D456-1</f>
        <v>-7.3530353977876439E-3</v>
      </c>
      <c r="F457" s="228"/>
      <c r="G457" s="245">
        <v>191.73335299999999</v>
      </c>
      <c r="H457" s="228">
        <f t="shared" ref="H457:H520" si="43">G457/G456-1</f>
        <v>-4.1194395154390273E-2</v>
      </c>
      <c r="J457" s="227"/>
      <c r="K457" s="245">
        <v>37.188282000000001</v>
      </c>
      <c r="L457" s="228">
        <f t="shared" ref="L457:L520" si="44">K457/K456-1</f>
        <v>-1.124423313263323E-2</v>
      </c>
      <c r="M457" s="228"/>
      <c r="N457" s="227"/>
      <c r="O457" s="322">
        <v>47.509998000000003</v>
      </c>
      <c r="P457" s="228">
        <f t="shared" ref="P457:P520" si="45">O457/O456-1</f>
        <v>-1.7982699090890786E-2</v>
      </c>
      <c r="Q457" s="228"/>
      <c r="R457" s="227"/>
      <c r="S457" s="322">
        <v>172.83000200000001</v>
      </c>
      <c r="T457" s="228">
        <f t="shared" ref="T457:T520" si="46">S457/S456-1</f>
        <v>-2.1846171013117033E-2</v>
      </c>
      <c r="U457" s="228"/>
      <c r="V457" s="228"/>
      <c r="W457" s="228"/>
      <c r="X457" s="322">
        <v>112.75</v>
      </c>
      <c r="Y457" s="228">
        <f t="shared" ref="Y457:Y520" si="47">X457/X456-1</f>
        <v>-2.2285813388831066E-2</v>
      </c>
      <c r="Z457" s="228"/>
      <c r="AA457" s="202"/>
    </row>
    <row r="458" spans="2:27" x14ac:dyDescent="0.15">
      <c r="B458" s="241">
        <v>43328</v>
      </c>
      <c r="C458" s="244"/>
      <c r="D458" s="245">
        <v>61.610523000000001</v>
      </c>
      <c r="E458" s="228">
        <f t="shared" si="42"/>
        <v>8.0246490611854959E-3</v>
      </c>
      <c r="F458" s="228"/>
      <c r="G458" s="245">
        <v>192.43360899999999</v>
      </c>
      <c r="H458" s="228">
        <f t="shared" si="43"/>
        <v>3.6522388465192179E-3</v>
      </c>
      <c r="J458" s="227"/>
      <c r="K458" s="245">
        <v>37.151505</v>
      </c>
      <c r="L458" s="228">
        <f t="shared" si="44"/>
        <v>-9.8894054853082558E-4</v>
      </c>
      <c r="M458" s="228"/>
      <c r="N458" s="227"/>
      <c r="O458" s="322">
        <v>47.43</v>
      </c>
      <c r="P458" s="228">
        <f t="shared" si="45"/>
        <v>-1.6838140047912287E-3</v>
      </c>
      <c r="Q458" s="228"/>
      <c r="R458" s="227"/>
      <c r="S458" s="322">
        <v>174.28999300000001</v>
      </c>
      <c r="T458" s="228">
        <f t="shared" si="46"/>
        <v>8.447555303505716E-3</v>
      </c>
      <c r="U458" s="228"/>
      <c r="V458" s="228"/>
      <c r="W458" s="228"/>
      <c r="X458" s="322">
        <v>112.239998</v>
      </c>
      <c r="Y458" s="228">
        <f t="shared" si="47"/>
        <v>-4.523299334811548E-3</v>
      </c>
      <c r="Z458" s="228"/>
      <c r="AA458" s="202"/>
    </row>
    <row r="459" spans="2:27" x14ac:dyDescent="0.15">
      <c r="B459" s="241">
        <v>43329</v>
      </c>
      <c r="C459" s="244"/>
      <c r="D459" s="245">
        <v>61.818030999999998</v>
      </c>
      <c r="E459" s="228">
        <f t="shared" si="42"/>
        <v>3.3680610047734927E-3</v>
      </c>
      <c r="F459" s="228"/>
      <c r="G459" s="245">
        <v>191.95701600000001</v>
      </c>
      <c r="H459" s="228">
        <f t="shared" si="43"/>
        <v>-2.4766619639711163E-3</v>
      </c>
      <c r="J459" s="227"/>
      <c r="K459" s="245">
        <v>36.894084999999997</v>
      </c>
      <c r="L459" s="228">
        <f t="shared" si="44"/>
        <v>-6.9289252211990338E-3</v>
      </c>
      <c r="M459" s="228"/>
      <c r="N459" s="227"/>
      <c r="O459" s="322">
        <v>43.77</v>
      </c>
      <c r="P459" s="228">
        <f t="shared" si="45"/>
        <v>-7.7166350411132179E-2</v>
      </c>
      <c r="Q459" s="228"/>
      <c r="R459" s="227"/>
      <c r="S459" s="322">
        <v>169.91000399999999</v>
      </c>
      <c r="T459" s="228">
        <f t="shared" si="46"/>
        <v>-2.5130467473253204E-2</v>
      </c>
      <c r="U459" s="228"/>
      <c r="V459" s="228"/>
      <c r="W459" s="228"/>
      <c r="X459" s="322">
        <v>112.400002</v>
      </c>
      <c r="Y459" s="228">
        <f t="shared" si="47"/>
        <v>1.4255524131423503E-3</v>
      </c>
      <c r="Z459" s="228"/>
      <c r="AA459" s="202"/>
    </row>
    <row r="460" spans="2:27" x14ac:dyDescent="0.15">
      <c r="B460" s="241">
        <v>43332</v>
      </c>
      <c r="C460" s="244"/>
      <c r="D460" s="245">
        <v>61.987811999999998</v>
      </c>
      <c r="E460" s="228">
        <f t="shared" si="42"/>
        <v>2.7464640535057594E-3</v>
      </c>
      <c r="F460" s="228"/>
      <c r="G460" s="245">
        <v>194.01889</v>
      </c>
      <c r="H460" s="228">
        <f t="shared" si="43"/>
        <v>1.0741331798989728E-2</v>
      </c>
      <c r="J460" s="227"/>
      <c r="K460" s="245">
        <v>36.866508000000003</v>
      </c>
      <c r="L460" s="228">
        <f t="shared" si="44"/>
        <v>-7.4746399050129586E-4</v>
      </c>
      <c r="M460" s="228"/>
      <c r="N460" s="227"/>
      <c r="O460" s="322">
        <v>43.529998999999997</v>
      </c>
      <c r="P460" s="228">
        <f t="shared" si="45"/>
        <v>-5.4832305231895528E-3</v>
      </c>
      <c r="Q460" s="228"/>
      <c r="R460" s="227"/>
      <c r="S460" s="322">
        <v>171.279999</v>
      </c>
      <c r="T460" s="228">
        <f t="shared" si="46"/>
        <v>8.0630626081323875E-3</v>
      </c>
      <c r="U460" s="228"/>
      <c r="V460" s="228"/>
      <c r="W460" s="228"/>
      <c r="X460" s="322">
        <v>110.93</v>
      </c>
      <c r="Y460" s="228">
        <f t="shared" si="47"/>
        <v>-1.3078309375830766E-2</v>
      </c>
      <c r="Z460" s="228"/>
      <c r="AA460" s="202"/>
    </row>
    <row r="461" spans="2:27" x14ac:dyDescent="0.15">
      <c r="B461" s="241">
        <v>43333</v>
      </c>
      <c r="C461" s="244"/>
      <c r="D461" s="245">
        <v>62.185893999999998</v>
      </c>
      <c r="E461" s="228">
        <f t="shared" si="42"/>
        <v>3.1954991410245714E-3</v>
      </c>
      <c r="F461" s="228"/>
      <c r="G461" s="245">
        <v>194.991455</v>
      </c>
      <c r="H461" s="228">
        <f t="shared" si="43"/>
        <v>5.0127335539338347E-3</v>
      </c>
      <c r="J461" s="227"/>
      <c r="K461" s="245">
        <v>37.592799999999997</v>
      </c>
      <c r="L461" s="228">
        <f t="shared" si="44"/>
        <v>1.9700591116467825E-2</v>
      </c>
      <c r="M461" s="228"/>
      <c r="N461" s="227"/>
      <c r="O461" s="322">
        <v>43.759998000000003</v>
      </c>
      <c r="P461" s="228">
        <f t="shared" si="45"/>
        <v>5.2836895309831267E-3</v>
      </c>
      <c r="Q461" s="228"/>
      <c r="R461" s="227"/>
      <c r="S461" s="322">
        <v>174.38999899999999</v>
      </c>
      <c r="T461" s="228">
        <f t="shared" si="46"/>
        <v>1.8157403188681531E-2</v>
      </c>
      <c r="U461" s="228"/>
      <c r="V461" s="228"/>
      <c r="W461" s="228"/>
      <c r="X461" s="322">
        <v>113.290001</v>
      </c>
      <c r="Y461" s="228">
        <f t="shared" si="47"/>
        <v>2.1274686739385151E-2</v>
      </c>
      <c r="Z461" s="228"/>
      <c r="AA461" s="202"/>
    </row>
    <row r="462" spans="2:27" x14ac:dyDescent="0.15">
      <c r="B462" s="241">
        <v>43334</v>
      </c>
      <c r="C462" s="244"/>
      <c r="D462" s="245">
        <v>62.195315999999998</v>
      </c>
      <c r="E462" s="228">
        <f t="shared" si="42"/>
        <v>1.5151346059294468E-4</v>
      </c>
      <c r="F462" s="228"/>
      <c r="G462" s="245">
        <v>195.30268899999999</v>
      </c>
      <c r="H462" s="228">
        <f t="shared" si="43"/>
        <v>1.5961417386212151E-3</v>
      </c>
      <c r="J462" s="227"/>
      <c r="K462" s="245">
        <v>37.602001000000001</v>
      </c>
      <c r="L462" s="228">
        <f t="shared" si="44"/>
        <v>2.4475431465620368E-4</v>
      </c>
      <c r="M462" s="228"/>
      <c r="N462" s="227"/>
      <c r="O462" s="322">
        <v>42.990001999999997</v>
      </c>
      <c r="P462" s="228">
        <f t="shared" si="45"/>
        <v>-1.7595887458678683E-2</v>
      </c>
      <c r="Q462" s="228"/>
      <c r="R462" s="227"/>
      <c r="S462" s="322">
        <v>173.08000200000001</v>
      </c>
      <c r="T462" s="228">
        <f t="shared" si="46"/>
        <v>-7.5118814582938453E-3</v>
      </c>
      <c r="U462" s="228"/>
      <c r="V462" s="228"/>
      <c r="W462" s="228"/>
      <c r="X462" s="322">
        <v>114.010002</v>
      </c>
      <c r="Y462" s="228">
        <f t="shared" si="47"/>
        <v>6.3553799421363077E-3</v>
      </c>
      <c r="Z462" s="228"/>
      <c r="AA462" s="202"/>
    </row>
    <row r="463" spans="2:27" x14ac:dyDescent="0.15">
      <c r="B463" s="241">
        <v>43335</v>
      </c>
      <c r="C463" s="244"/>
      <c r="D463" s="245">
        <v>62.053829</v>
      </c>
      <c r="E463" s="228">
        <f t="shared" si="42"/>
        <v>-2.274881921976224E-3</v>
      </c>
      <c r="F463" s="228"/>
      <c r="G463" s="245">
        <v>194.06750500000001</v>
      </c>
      <c r="H463" s="228">
        <f t="shared" si="43"/>
        <v>-6.3244597722870166E-3</v>
      </c>
      <c r="J463" s="227"/>
      <c r="K463" s="245">
        <v>37.399734000000002</v>
      </c>
      <c r="L463" s="228">
        <f t="shared" si="44"/>
        <v>-5.3791552210212812E-3</v>
      </c>
      <c r="M463" s="228"/>
      <c r="N463" s="227"/>
      <c r="O463" s="322">
        <v>42.790000999999997</v>
      </c>
      <c r="P463" s="228">
        <f t="shared" si="45"/>
        <v>-4.6522677528603174E-3</v>
      </c>
      <c r="Q463" s="228"/>
      <c r="R463" s="227"/>
      <c r="S463" s="322">
        <v>172.770004</v>
      </c>
      <c r="T463" s="228">
        <f t="shared" si="46"/>
        <v>-1.7910676936553349E-3</v>
      </c>
      <c r="U463" s="228"/>
      <c r="V463" s="228"/>
      <c r="W463" s="228"/>
      <c r="X463" s="322">
        <v>113.93</v>
      </c>
      <c r="Y463" s="228">
        <f t="shared" si="47"/>
        <v>-7.0171036397304043E-4</v>
      </c>
      <c r="Z463" s="228"/>
      <c r="AA463" s="202"/>
    </row>
    <row r="464" spans="2:27" x14ac:dyDescent="0.15">
      <c r="B464" s="241">
        <v>43336</v>
      </c>
      <c r="C464" s="244"/>
      <c r="D464" s="245">
        <v>62.440548</v>
      </c>
      <c r="E464" s="228">
        <f t="shared" si="42"/>
        <v>6.2319925495653017E-3</v>
      </c>
      <c r="F464" s="228"/>
      <c r="G464" s="245">
        <v>197.41317699999999</v>
      </c>
      <c r="H464" s="228">
        <f t="shared" si="43"/>
        <v>1.723973315367755E-2</v>
      </c>
      <c r="J464" s="227"/>
      <c r="K464" s="245">
        <v>37.914585000000002</v>
      </c>
      <c r="L464" s="228">
        <f t="shared" si="44"/>
        <v>1.3766167427821774E-2</v>
      </c>
      <c r="M464" s="228"/>
      <c r="N464" s="227"/>
      <c r="O464" s="322">
        <v>42.73</v>
      </c>
      <c r="P464" s="228">
        <f t="shared" si="45"/>
        <v>-1.4022201121238753E-3</v>
      </c>
      <c r="Q464" s="228"/>
      <c r="R464" s="227"/>
      <c r="S464" s="322">
        <v>172.46000699999999</v>
      </c>
      <c r="T464" s="228">
        <f t="shared" si="46"/>
        <v>-1.7942755850142156E-3</v>
      </c>
      <c r="U464" s="228"/>
      <c r="V464" s="228"/>
      <c r="W464" s="228"/>
      <c r="X464" s="322">
        <v>115.44000200000001</v>
      </c>
      <c r="Y464" s="228">
        <f t="shared" si="47"/>
        <v>1.3253769858685205E-2</v>
      </c>
      <c r="Z464" s="228"/>
      <c r="AA464" s="202"/>
    </row>
    <row r="465" spans="2:27" x14ac:dyDescent="0.15">
      <c r="B465" s="241">
        <v>43339</v>
      </c>
      <c r="C465" s="244"/>
      <c r="D465" s="245">
        <v>62.902718</v>
      </c>
      <c r="E465" s="228">
        <f t="shared" si="42"/>
        <v>7.4017607917213901E-3</v>
      </c>
      <c r="F465" s="228"/>
      <c r="G465" s="245">
        <v>202.86932400000001</v>
      </c>
      <c r="H465" s="228">
        <f t="shared" si="43"/>
        <v>2.7638210796840701E-2</v>
      </c>
      <c r="J465" s="227"/>
      <c r="K465" s="245">
        <v>38.181198000000002</v>
      </c>
      <c r="L465" s="228">
        <f t="shared" si="44"/>
        <v>7.0319377094592017E-3</v>
      </c>
      <c r="M465" s="228"/>
      <c r="N465" s="227"/>
      <c r="O465" s="322">
        <v>43.75</v>
      </c>
      <c r="P465" s="228">
        <f t="shared" si="45"/>
        <v>2.3870816756377256E-2</v>
      </c>
      <c r="Q465" s="228"/>
      <c r="R465" s="227"/>
      <c r="S465" s="322">
        <v>176.21000699999999</v>
      </c>
      <c r="T465" s="228">
        <f t="shared" si="46"/>
        <v>2.1744171679176638E-2</v>
      </c>
      <c r="U465" s="228"/>
      <c r="V465" s="228"/>
      <c r="W465" s="228"/>
      <c r="X465" s="322">
        <v>117.480003</v>
      </c>
      <c r="Y465" s="228">
        <f t="shared" si="47"/>
        <v>1.7671526027866813E-2</v>
      </c>
      <c r="Z465" s="228"/>
      <c r="AA465" s="202"/>
    </row>
    <row r="466" spans="2:27" x14ac:dyDescent="0.15">
      <c r="B466" s="241">
        <v>43340</v>
      </c>
      <c r="C466" s="244"/>
      <c r="D466" s="245">
        <v>62.902718</v>
      </c>
      <c r="E466" s="228">
        <f t="shared" si="42"/>
        <v>0</v>
      </c>
      <c r="F466" s="228"/>
      <c r="G466" s="245">
        <v>201.021423</v>
      </c>
      <c r="H466" s="228">
        <f t="shared" si="43"/>
        <v>-9.1088241611136933E-3</v>
      </c>
      <c r="J466" s="227"/>
      <c r="K466" s="245">
        <v>38.935074</v>
      </c>
      <c r="L466" s="228">
        <f t="shared" si="44"/>
        <v>1.9744692138785158E-2</v>
      </c>
      <c r="M466" s="228"/>
      <c r="N466" s="227"/>
      <c r="O466" s="322">
        <v>43.400002000000001</v>
      </c>
      <c r="P466" s="228">
        <f t="shared" si="45"/>
        <v>-7.9999542857143169E-3</v>
      </c>
      <c r="Q466" s="228"/>
      <c r="R466" s="227"/>
      <c r="S466" s="322">
        <v>174.13999899999999</v>
      </c>
      <c r="T466" s="228">
        <f t="shared" si="46"/>
        <v>-1.1747391849317612E-2</v>
      </c>
      <c r="U466" s="228"/>
      <c r="V466" s="228"/>
      <c r="W466" s="228"/>
      <c r="X466" s="322">
        <v>117.360001</v>
      </c>
      <c r="Y466" s="228">
        <f t="shared" si="47"/>
        <v>-1.0214674577425642E-3</v>
      </c>
      <c r="Z466" s="228"/>
      <c r="AA466" s="202"/>
    </row>
    <row r="467" spans="2:27" x14ac:dyDescent="0.15">
      <c r="B467" s="241">
        <v>43341</v>
      </c>
      <c r="C467" s="244"/>
      <c r="D467" s="245">
        <v>63.261135000000003</v>
      </c>
      <c r="E467" s="228">
        <f t="shared" si="42"/>
        <v>5.697957280637711E-3</v>
      </c>
      <c r="F467" s="228"/>
      <c r="G467" s="245">
        <v>201.147873</v>
      </c>
      <c r="H467" s="228">
        <f t="shared" si="43"/>
        <v>6.2903743348785568E-4</v>
      </c>
      <c r="J467" s="227"/>
      <c r="K467" s="245">
        <v>40.571545</v>
      </c>
      <c r="L467" s="228">
        <f t="shared" si="44"/>
        <v>4.2030766398440722E-2</v>
      </c>
      <c r="M467" s="228"/>
      <c r="N467" s="227"/>
      <c r="O467" s="322">
        <v>43.099997999999999</v>
      </c>
      <c r="P467" s="228">
        <f t="shared" si="45"/>
        <v>-6.9125342436620052E-3</v>
      </c>
      <c r="Q467" s="228"/>
      <c r="R467" s="227"/>
      <c r="S467" s="322">
        <v>172.61999499999999</v>
      </c>
      <c r="T467" s="228">
        <f t="shared" si="46"/>
        <v>-8.7286321851879345E-3</v>
      </c>
      <c r="U467" s="228"/>
      <c r="V467" s="228"/>
      <c r="W467" s="228"/>
      <c r="X467" s="322">
        <v>116.730003</v>
      </c>
      <c r="Y467" s="228">
        <f t="shared" si="47"/>
        <v>-5.3680810721874472E-3</v>
      </c>
      <c r="Z467" s="228"/>
      <c r="AA467" s="202"/>
    </row>
    <row r="468" spans="2:27" x14ac:dyDescent="0.15">
      <c r="B468" s="241">
        <v>43342</v>
      </c>
      <c r="C468" s="244"/>
      <c r="D468" s="245">
        <v>63.015906999999999</v>
      </c>
      <c r="E468" s="228">
        <f t="shared" si="42"/>
        <v>-3.8764400923253506E-3</v>
      </c>
      <c r="F468" s="228"/>
      <c r="G468" s="245">
        <v>199.572281</v>
      </c>
      <c r="H468" s="228">
        <f t="shared" si="43"/>
        <v>-7.8330035336739989E-3</v>
      </c>
      <c r="J468" s="227"/>
      <c r="K468" s="245">
        <v>39.955570000000002</v>
      </c>
      <c r="L468" s="228">
        <f t="shared" si="44"/>
        <v>-1.5182438825043443E-2</v>
      </c>
      <c r="M468" s="228"/>
      <c r="N468" s="227"/>
      <c r="O468" s="322">
        <v>43.139999000000003</v>
      </c>
      <c r="P468" s="228">
        <f t="shared" si="45"/>
        <v>9.2809749086297799E-4</v>
      </c>
      <c r="Q468" s="228"/>
      <c r="R468" s="227"/>
      <c r="S468" s="322">
        <v>172.470001</v>
      </c>
      <c r="T468" s="228">
        <f t="shared" si="46"/>
        <v>-8.6892598971510804E-4</v>
      </c>
      <c r="U468" s="228"/>
      <c r="V468" s="228"/>
      <c r="W468" s="228"/>
      <c r="X468" s="322">
        <v>116.75</v>
      </c>
      <c r="Y468" s="228">
        <f t="shared" si="47"/>
        <v>1.7130985595881221E-4</v>
      </c>
      <c r="Z468" s="228"/>
      <c r="AA468" s="202"/>
    </row>
    <row r="469" spans="2:27" x14ac:dyDescent="0.15">
      <c r="B469" s="241">
        <v>43343</v>
      </c>
      <c r="C469" s="244"/>
      <c r="D469" s="245">
        <v>63.034785999999997</v>
      </c>
      <c r="E469" s="228">
        <f t="shared" si="42"/>
        <v>2.9959102231114088E-4</v>
      </c>
      <c r="F469" s="228"/>
      <c r="G469" s="245">
        <v>199.42640700000001</v>
      </c>
      <c r="H469" s="228">
        <f t="shared" si="43"/>
        <v>-7.309331700227073E-4</v>
      </c>
      <c r="J469" s="227"/>
      <c r="K469" s="245">
        <v>40.084277999999998</v>
      </c>
      <c r="L469" s="228">
        <f t="shared" si="44"/>
        <v>3.2212780345768355E-3</v>
      </c>
      <c r="M469" s="228"/>
      <c r="N469" s="227"/>
      <c r="O469" s="322">
        <v>43.02</v>
      </c>
      <c r="P469" s="228">
        <f t="shared" si="45"/>
        <v>-2.78161805242505E-3</v>
      </c>
      <c r="Q469" s="228"/>
      <c r="R469" s="227"/>
      <c r="S469" s="322">
        <v>173.08999600000001</v>
      </c>
      <c r="T469" s="228">
        <f t="shared" si="46"/>
        <v>3.5947990746518776E-3</v>
      </c>
      <c r="U469" s="228"/>
      <c r="V469" s="228"/>
      <c r="W469" s="228"/>
      <c r="X469" s="322">
        <v>116.209999</v>
      </c>
      <c r="Y469" s="228">
        <f t="shared" si="47"/>
        <v>-4.6252762312634088E-3</v>
      </c>
      <c r="Z469" s="228"/>
      <c r="AA469" s="202"/>
    </row>
    <row r="470" spans="2:27" x14ac:dyDescent="0.15">
      <c r="B470" s="241">
        <v>43347</v>
      </c>
      <c r="C470" s="244"/>
      <c r="D470" s="245">
        <v>62.93103</v>
      </c>
      <c r="E470" s="228">
        <f t="shared" si="42"/>
        <v>-1.6460117751490033E-3</v>
      </c>
      <c r="F470" s="228"/>
      <c r="G470" s="245">
        <v>194.00914</v>
      </c>
      <c r="H470" s="228">
        <f t="shared" si="43"/>
        <v>-2.7164241092705432E-2</v>
      </c>
      <c r="J470" s="227"/>
      <c r="K470" s="245">
        <v>40.553158000000003</v>
      </c>
      <c r="L470" s="228">
        <f t="shared" si="44"/>
        <v>1.1697354259443182E-2</v>
      </c>
      <c r="M470" s="228"/>
      <c r="N470" s="227"/>
      <c r="O470" s="322">
        <v>42.619999</v>
      </c>
      <c r="P470" s="228">
        <f t="shared" si="45"/>
        <v>-9.2980241748025216E-3</v>
      </c>
      <c r="Q470" s="228"/>
      <c r="R470" s="227"/>
      <c r="S470" s="322">
        <v>171.96000699999999</v>
      </c>
      <c r="T470" s="228">
        <f t="shared" si="46"/>
        <v>-6.5283322324417581E-3</v>
      </c>
      <c r="U470" s="228"/>
      <c r="V470" s="228"/>
      <c r="W470" s="228"/>
      <c r="X470" s="322">
        <v>118.19000200000001</v>
      </c>
      <c r="Y470" s="228">
        <f t="shared" si="47"/>
        <v>1.7038146605611981E-2</v>
      </c>
      <c r="Z470" s="228"/>
      <c r="AA470" s="202"/>
    </row>
    <row r="471" spans="2:27" x14ac:dyDescent="0.15">
      <c r="B471" s="241">
        <v>43348</v>
      </c>
      <c r="C471" s="244"/>
      <c r="D471" s="245">
        <v>62.761242000000003</v>
      </c>
      <c r="E471" s="228">
        <f t="shared" si="42"/>
        <v>-2.6980012880767346E-3</v>
      </c>
      <c r="F471" s="228"/>
      <c r="G471" s="245">
        <v>189.76873800000001</v>
      </c>
      <c r="H471" s="228">
        <f t="shared" si="43"/>
        <v>-2.1856712523956268E-2</v>
      </c>
      <c r="J471" s="227"/>
      <c r="K471" s="245">
        <v>40.654285000000002</v>
      </c>
      <c r="L471" s="228">
        <f t="shared" si="44"/>
        <v>2.4936898872338631E-3</v>
      </c>
      <c r="M471" s="228"/>
      <c r="N471" s="227"/>
      <c r="O471" s="322">
        <v>42.5</v>
      </c>
      <c r="P471" s="228">
        <f t="shared" si="45"/>
        <v>-2.8155561430209808E-3</v>
      </c>
      <c r="Q471" s="228"/>
      <c r="R471" s="227"/>
      <c r="S471" s="322">
        <v>172.03999300000001</v>
      </c>
      <c r="T471" s="228">
        <f t="shared" si="46"/>
        <v>4.6514303759015441E-4</v>
      </c>
      <c r="U471" s="228"/>
      <c r="V471" s="228"/>
      <c r="W471" s="228"/>
      <c r="X471" s="322">
        <v>118.83000199999999</v>
      </c>
      <c r="Y471" s="228">
        <f t="shared" si="47"/>
        <v>5.4150096384633084E-3</v>
      </c>
      <c r="Z471" s="228"/>
      <c r="AA471" s="202"/>
    </row>
    <row r="472" spans="2:27" x14ac:dyDescent="0.15">
      <c r="B472" s="241">
        <v>43349</v>
      </c>
      <c r="C472" s="244"/>
      <c r="D472" s="245">
        <v>62.525435999999999</v>
      </c>
      <c r="E472" s="228">
        <f t="shared" si="42"/>
        <v>-3.7571914207816803E-3</v>
      </c>
      <c r="F472" s="228"/>
      <c r="G472" s="245">
        <v>179.39134200000001</v>
      </c>
      <c r="H472" s="228">
        <f t="shared" si="43"/>
        <v>-5.4684433850216152E-2</v>
      </c>
      <c r="J472" s="227"/>
      <c r="K472" s="245">
        <v>40.497990000000001</v>
      </c>
      <c r="L472" s="228">
        <f t="shared" si="44"/>
        <v>-3.8444901933462061E-3</v>
      </c>
      <c r="M472" s="228"/>
      <c r="N472" s="227"/>
      <c r="O472" s="322">
        <v>40.270000000000003</v>
      </c>
      <c r="P472" s="228">
        <f t="shared" si="45"/>
        <v>-5.2470588235294047E-2</v>
      </c>
      <c r="Q472" s="228"/>
      <c r="R472" s="227"/>
      <c r="S472" s="322">
        <v>160.050003</v>
      </c>
      <c r="T472" s="228">
        <f t="shared" si="46"/>
        <v>-6.9693039338823981E-2</v>
      </c>
      <c r="U472" s="228"/>
      <c r="V472" s="228"/>
      <c r="W472" s="228"/>
      <c r="X472" s="322">
        <v>107.279999</v>
      </c>
      <c r="Y472" s="228">
        <f t="shared" si="47"/>
        <v>-9.719770096444158E-2</v>
      </c>
      <c r="Z472" s="228"/>
      <c r="AA472" s="202"/>
    </row>
    <row r="473" spans="2:27" x14ac:dyDescent="0.15">
      <c r="B473" s="241">
        <v>43350</v>
      </c>
      <c r="C473" s="244"/>
      <c r="D473" s="245">
        <v>62.393394000000001</v>
      </c>
      <c r="E473" s="228">
        <f t="shared" si="42"/>
        <v>-2.1118125429784307E-3</v>
      </c>
      <c r="F473" s="228"/>
      <c r="G473" s="245">
        <v>175.90954600000001</v>
      </c>
      <c r="H473" s="228">
        <f t="shared" si="43"/>
        <v>-1.9408941151686121E-2</v>
      </c>
      <c r="J473" s="227"/>
      <c r="K473" s="245">
        <v>41.261066</v>
      </c>
      <c r="L473" s="228">
        <f t="shared" si="44"/>
        <v>1.8842317853305701E-2</v>
      </c>
      <c r="M473" s="228"/>
      <c r="N473" s="227"/>
      <c r="O473" s="322">
        <v>39.849997999999999</v>
      </c>
      <c r="P473" s="228">
        <f t="shared" si="45"/>
        <v>-1.0429649863421986E-2</v>
      </c>
      <c r="Q473" s="228"/>
      <c r="R473" s="227"/>
      <c r="S473" s="322">
        <v>159.58000200000001</v>
      </c>
      <c r="T473" s="228">
        <f t="shared" si="46"/>
        <v>-2.9365885110292922E-3</v>
      </c>
      <c r="U473" s="228"/>
      <c r="V473" s="228"/>
      <c r="W473" s="228"/>
      <c r="X473" s="322">
        <v>104.18</v>
      </c>
      <c r="Y473" s="228">
        <f t="shared" si="47"/>
        <v>-2.8896336958392332E-2</v>
      </c>
      <c r="Z473" s="228"/>
      <c r="AA473" s="202"/>
    </row>
    <row r="474" spans="2:27" x14ac:dyDescent="0.15">
      <c r="B474" s="241">
        <v>43353</v>
      </c>
      <c r="C474" s="244"/>
      <c r="D474" s="245">
        <v>62.534874000000002</v>
      </c>
      <c r="E474" s="228">
        <f t="shared" si="42"/>
        <v>2.2675477471221228E-3</v>
      </c>
      <c r="F474" s="228"/>
      <c r="G474" s="245">
        <v>180.57789600000001</v>
      </c>
      <c r="H474" s="228">
        <f t="shared" si="43"/>
        <v>2.6538355115759416E-2</v>
      </c>
      <c r="J474" s="227"/>
      <c r="K474" s="245">
        <v>41.022030000000001</v>
      </c>
      <c r="L474" s="228">
        <f t="shared" si="44"/>
        <v>-5.7932579832038478E-3</v>
      </c>
      <c r="M474" s="228"/>
      <c r="N474" s="227"/>
      <c r="O474" s="322">
        <v>39.599997999999999</v>
      </c>
      <c r="P474" s="228">
        <f t="shared" si="45"/>
        <v>-6.2735260363124823E-3</v>
      </c>
      <c r="Q474" s="228"/>
      <c r="R474" s="227"/>
      <c r="S474" s="322">
        <v>159.46000699999999</v>
      </c>
      <c r="T474" s="228">
        <f t="shared" si="46"/>
        <v>-7.5194258989930152E-4</v>
      </c>
      <c r="U474" s="228"/>
      <c r="V474" s="228"/>
      <c r="W474" s="228"/>
      <c r="X474" s="322">
        <v>105.69000200000001</v>
      </c>
      <c r="Y474" s="228">
        <f t="shared" si="47"/>
        <v>1.449416394701486E-2</v>
      </c>
      <c r="Z474" s="228"/>
      <c r="AA474" s="202"/>
    </row>
    <row r="475" spans="2:27" x14ac:dyDescent="0.15">
      <c r="B475" s="241">
        <v>43354</v>
      </c>
      <c r="C475" s="244"/>
      <c r="D475" s="245">
        <v>62.723526</v>
      </c>
      <c r="E475" s="228">
        <f t="shared" si="42"/>
        <v>3.0167487024919115E-3</v>
      </c>
      <c r="F475" s="228"/>
      <c r="G475" s="245">
        <v>178.34098800000001</v>
      </c>
      <c r="H475" s="228">
        <f t="shared" si="43"/>
        <v>-1.2387496197209025E-2</v>
      </c>
      <c r="J475" s="227"/>
      <c r="K475" s="245">
        <v>40.957675999999999</v>
      </c>
      <c r="L475" s="228">
        <f t="shared" si="44"/>
        <v>-1.5687668308955738E-3</v>
      </c>
      <c r="M475" s="228"/>
      <c r="N475" s="227"/>
      <c r="O475" s="322">
        <v>39.18</v>
      </c>
      <c r="P475" s="228">
        <f t="shared" si="45"/>
        <v>-1.0606010636667218E-2</v>
      </c>
      <c r="Q475" s="228"/>
      <c r="R475" s="227"/>
      <c r="S475" s="322">
        <v>155.39999399999999</v>
      </c>
      <c r="T475" s="228">
        <f t="shared" si="46"/>
        <v>-2.5461011048368953E-2</v>
      </c>
      <c r="U475" s="228"/>
      <c r="V475" s="228"/>
      <c r="W475" s="228"/>
      <c r="X475" s="322">
        <v>105.620003</v>
      </c>
      <c r="Y475" s="228">
        <f t="shared" si="47"/>
        <v>-6.6230484128493305E-4</v>
      </c>
      <c r="Z475" s="228"/>
      <c r="AA475" s="202"/>
    </row>
    <row r="476" spans="2:27" x14ac:dyDescent="0.15">
      <c r="B476" s="241">
        <v>43355</v>
      </c>
      <c r="C476" s="244"/>
      <c r="D476" s="245">
        <v>62.742362999999997</v>
      </c>
      <c r="E476" s="228">
        <f t="shared" si="42"/>
        <v>3.0031793812090868E-4</v>
      </c>
      <c r="F476" s="228"/>
      <c r="G476" s="245">
        <v>170.56037900000001</v>
      </c>
      <c r="H476" s="228">
        <f t="shared" si="43"/>
        <v>-4.3627710529449359E-2</v>
      </c>
      <c r="J476" s="227"/>
      <c r="K476" s="245">
        <v>40.396866000000003</v>
      </c>
      <c r="L476" s="228">
        <f t="shared" si="44"/>
        <v>-1.3692427275414643E-2</v>
      </c>
      <c r="M476" s="228"/>
      <c r="N476" s="227"/>
      <c r="O476" s="322">
        <v>38.389999000000003</v>
      </c>
      <c r="P476" s="228">
        <f t="shared" si="45"/>
        <v>-2.0163374170495074E-2</v>
      </c>
      <c r="Q476" s="228"/>
      <c r="R476" s="227"/>
      <c r="S476" s="322">
        <v>150.36999499999999</v>
      </c>
      <c r="T476" s="228">
        <f t="shared" si="46"/>
        <v>-3.2368077182808652E-2</v>
      </c>
      <c r="U476" s="228"/>
      <c r="V476" s="228"/>
      <c r="W476" s="228"/>
      <c r="X476" s="322">
        <v>102.900002</v>
      </c>
      <c r="Y476" s="228">
        <f t="shared" si="47"/>
        <v>-2.5752707089016003E-2</v>
      </c>
      <c r="Z476" s="228"/>
      <c r="AA476" s="202"/>
    </row>
    <row r="477" spans="2:27" x14ac:dyDescent="0.15">
      <c r="B477" s="241">
        <v>43356</v>
      </c>
      <c r="C477" s="244"/>
      <c r="D477" s="245">
        <v>63.053637999999999</v>
      </c>
      <c r="E477" s="228">
        <f t="shared" si="42"/>
        <v>4.9611615679823196E-3</v>
      </c>
      <c r="F477" s="228"/>
      <c r="G477" s="245">
        <v>177.00855999999999</v>
      </c>
      <c r="H477" s="228">
        <f t="shared" si="43"/>
        <v>3.7805855250825804E-2</v>
      </c>
      <c r="J477" s="227"/>
      <c r="K477" s="245">
        <v>39.927990000000001</v>
      </c>
      <c r="L477" s="228">
        <f t="shared" si="44"/>
        <v>-1.1606741968547829E-2</v>
      </c>
      <c r="M477" s="228"/>
      <c r="N477" s="227"/>
      <c r="O477" s="322">
        <v>38.889999000000003</v>
      </c>
      <c r="P477" s="228">
        <f t="shared" si="45"/>
        <v>1.3024225397869849E-2</v>
      </c>
      <c r="Q477" s="228"/>
      <c r="R477" s="227"/>
      <c r="S477" s="322">
        <v>153.11999499999999</v>
      </c>
      <c r="T477" s="228">
        <f t="shared" si="46"/>
        <v>1.8288222992891567E-2</v>
      </c>
      <c r="U477" s="228"/>
      <c r="V477" s="228"/>
      <c r="W477" s="228"/>
      <c r="X477" s="322">
        <v>104.160004</v>
      </c>
      <c r="Y477" s="228">
        <f t="shared" si="47"/>
        <v>1.2244917157533175E-2</v>
      </c>
      <c r="Z477" s="228"/>
      <c r="AA477" s="202"/>
    </row>
    <row r="478" spans="2:27" x14ac:dyDescent="0.15">
      <c r="B478" s="241">
        <v>43357</v>
      </c>
      <c r="C478" s="244"/>
      <c r="D478" s="245">
        <v>63.100796000000003</v>
      </c>
      <c r="E478" s="228">
        <f t="shared" si="42"/>
        <v>7.4790292036763795E-4</v>
      </c>
      <c r="F478" s="228"/>
      <c r="G478" s="245">
        <v>179.294128</v>
      </c>
      <c r="H478" s="228">
        <f t="shared" si="43"/>
        <v>1.2912189105430905E-2</v>
      </c>
      <c r="J478" s="227"/>
      <c r="K478" s="245">
        <v>40.828963999999999</v>
      </c>
      <c r="L478" s="228">
        <f t="shared" si="44"/>
        <v>2.2564972591908594E-2</v>
      </c>
      <c r="M478" s="228"/>
      <c r="N478" s="227"/>
      <c r="O478" s="322">
        <v>39.099997999999999</v>
      </c>
      <c r="P478" s="228">
        <f t="shared" si="45"/>
        <v>5.3998201439910964E-3</v>
      </c>
      <c r="Q478" s="228"/>
      <c r="R478" s="227"/>
      <c r="S478" s="322">
        <v>153.46000699999999</v>
      </c>
      <c r="T478" s="228">
        <f t="shared" si="46"/>
        <v>2.2205591111730261E-3</v>
      </c>
      <c r="U478" s="228"/>
      <c r="V478" s="228"/>
      <c r="W478" s="228"/>
      <c r="X478" s="322">
        <v>104.470001</v>
      </c>
      <c r="Y478" s="228">
        <f t="shared" si="47"/>
        <v>2.9761615600552016E-3</v>
      </c>
      <c r="Z478" s="228"/>
      <c r="AA478" s="202"/>
    </row>
    <row r="479" spans="2:27" x14ac:dyDescent="0.15">
      <c r="B479" s="241">
        <v>43360</v>
      </c>
      <c r="C479" s="244"/>
      <c r="D479" s="245">
        <v>62.685780000000001</v>
      </c>
      <c r="E479" s="228">
        <f t="shared" si="42"/>
        <v>-6.5770327207916868E-3</v>
      </c>
      <c r="F479" s="228"/>
      <c r="G479" s="245">
        <v>178.06866500000001</v>
      </c>
      <c r="H479" s="228">
        <f t="shared" si="43"/>
        <v>-6.8349310357782578E-3</v>
      </c>
      <c r="J479" s="227"/>
      <c r="K479" s="245">
        <v>40.231380000000001</v>
      </c>
      <c r="L479" s="228">
        <f t="shared" si="44"/>
        <v>-1.4636276345390442E-2</v>
      </c>
      <c r="M479" s="228"/>
      <c r="N479" s="227"/>
      <c r="O479" s="322">
        <v>38.700001</v>
      </c>
      <c r="P479" s="228">
        <f t="shared" si="45"/>
        <v>-1.0230102825069198E-2</v>
      </c>
      <c r="Q479" s="228"/>
      <c r="R479" s="227"/>
      <c r="S479" s="322">
        <v>152.10000600000001</v>
      </c>
      <c r="T479" s="228">
        <f t="shared" si="46"/>
        <v>-8.8622503451337709E-3</v>
      </c>
      <c r="U479" s="228"/>
      <c r="V479" s="228"/>
      <c r="W479" s="228"/>
      <c r="X479" s="322">
        <v>103.269997</v>
      </c>
      <c r="Y479" s="228">
        <f t="shared" si="47"/>
        <v>-1.1486589341565989E-2</v>
      </c>
      <c r="Z479" s="228"/>
      <c r="AA479" s="202"/>
    </row>
    <row r="480" spans="2:27" x14ac:dyDescent="0.15">
      <c r="B480" s="241">
        <v>43361</v>
      </c>
      <c r="C480" s="244"/>
      <c r="D480" s="245">
        <v>63.025333000000003</v>
      </c>
      <c r="E480" s="228">
        <f t="shared" si="42"/>
        <v>5.4167468283876641E-3</v>
      </c>
      <c r="F480" s="228"/>
      <c r="G480" s="245">
        <v>181.453247</v>
      </c>
      <c r="H480" s="228">
        <f t="shared" si="43"/>
        <v>1.900717344065006E-2</v>
      </c>
      <c r="J480" s="227"/>
      <c r="K480" s="245">
        <v>40.047504000000004</v>
      </c>
      <c r="L480" s="228">
        <f t="shared" si="44"/>
        <v>-4.5704621616260432E-3</v>
      </c>
      <c r="M480" s="228"/>
      <c r="N480" s="227"/>
      <c r="O480" s="322">
        <v>39.189999</v>
      </c>
      <c r="P480" s="228">
        <f t="shared" si="45"/>
        <v>1.2661446701254686E-2</v>
      </c>
      <c r="Q480" s="228"/>
      <c r="R480" s="227"/>
      <c r="S480" s="322">
        <v>153.64999399999999</v>
      </c>
      <c r="T480" s="228">
        <f t="shared" si="46"/>
        <v>1.0190584739358854E-2</v>
      </c>
      <c r="U480" s="228"/>
      <c r="V480" s="228"/>
      <c r="W480" s="228"/>
      <c r="X480" s="322">
        <v>103.589996</v>
      </c>
      <c r="Y480" s="228">
        <f t="shared" si="47"/>
        <v>3.098663787121092E-3</v>
      </c>
      <c r="Z480" s="228"/>
      <c r="AA480" s="202"/>
    </row>
    <row r="481" spans="2:27" x14ac:dyDescent="0.15">
      <c r="B481" s="241">
        <v>43362</v>
      </c>
      <c r="C481" s="244"/>
      <c r="D481" s="245">
        <v>63.072482999999998</v>
      </c>
      <c r="E481" s="228">
        <f t="shared" si="42"/>
        <v>7.4811187431556014E-4</v>
      </c>
      <c r="F481" s="228"/>
      <c r="G481" s="245">
        <v>183.865219</v>
      </c>
      <c r="H481" s="228">
        <f t="shared" si="43"/>
        <v>1.3292525980535208E-2</v>
      </c>
      <c r="J481" s="227"/>
      <c r="K481" s="245">
        <v>40.470421000000002</v>
      </c>
      <c r="L481" s="228">
        <f t="shared" si="44"/>
        <v>1.0560383488569025E-2</v>
      </c>
      <c r="M481" s="228"/>
      <c r="N481" s="227"/>
      <c r="O481" s="322">
        <v>39.040000999999997</v>
      </c>
      <c r="P481" s="228">
        <f t="shared" si="45"/>
        <v>-3.8274560813335023E-3</v>
      </c>
      <c r="Q481" s="228"/>
      <c r="R481" s="227"/>
      <c r="S481" s="322">
        <v>153.19000199999999</v>
      </c>
      <c r="T481" s="228">
        <f t="shared" si="46"/>
        <v>-2.9937651673451748E-3</v>
      </c>
      <c r="U481" s="228"/>
      <c r="V481" s="228"/>
      <c r="W481" s="228"/>
      <c r="X481" s="322">
        <v>102.449997</v>
      </c>
      <c r="Y481" s="228">
        <f t="shared" si="47"/>
        <v>-1.1004914026640167E-2</v>
      </c>
      <c r="Z481" s="228"/>
      <c r="AA481" s="202"/>
    </row>
    <row r="482" spans="2:27" x14ac:dyDescent="0.15">
      <c r="B482" s="241">
        <v>43363</v>
      </c>
      <c r="C482" s="244"/>
      <c r="D482" s="245">
        <v>63.534683000000001</v>
      </c>
      <c r="E482" s="228">
        <f t="shared" si="42"/>
        <v>7.328076809660411E-3</v>
      </c>
      <c r="F482" s="228"/>
      <c r="G482" s="245">
        <v>186.238327</v>
      </c>
      <c r="H482" s="228">
        <f t="shared" si="43"/>
        <v>1.2906780373725724E-2</v>
      </c>
      <c r="J482" s="227"/>
      <c r="K482" s="245">
        <v>40.608314999999997</v>
      </c>
      <c r="L482" s="228">
        <f t="shared" si="44"/>
        <v>3.4072786146701617E-3</v>
      </c>
      <c r="M482" s="228"/>
      <c r="N482" s="227"/>
      <c r="O482" s="322">
        <v>39.389999000000003</v>
      </c>
      <c r="P482" s="228">
        <f t="shared" si="45"/>
        <v>8.9651124752789801E-3</v>
      </c>
      <c r="Q482" s="228"/>
      <c r="R482" s="227"/>
      <c r="S482" s="322">
        <v>155.279999</v>
      </c>
      <c r="T482" s="228">
        <f t="shared" si="46"/>
        <v>1.3643168436018538E-2</v>
      </c>
      <c r="U482" s="228"/>
      <c r="V482" s="228"/>
      <c r="W482" s="228"/>
      <c r="X482" s="322">
        <v>103.91999800000001</v>
      </c>
      <c r="Y482" s="228">
        <f t="shared" si="47"/>
        <v>1.4348472845733706E-2</v>
      </c>
      <c r="Z482" s="228"/>
      <c r="AA482" s="202"/>
    </row>
    <row r="483" spans="2:27" x14ac:dyDescent="0.15">
      <c r="B483" s="241">
        <v>43364</v>
      </c>
      <c r="C483" s="244"/>
      <c r="D483" s="245">
        <v>63.506382000000002</v>
      </c>
      <c r="E483" s="228">
        <f t="shared" si="42"/>
        <v>-4.4544174399985259E-4</v>
      </c>
      <c r="F483" s="228"/>
      <c r="G483" s="245">
        <v>183.26220699999999</v>
      </c>
      <c r="H483" s="228">
        <f t="shared" si="43"/>
        <v>-1.5980169323578597E-2</v>
      </c>
      <c r="J483" s="227"/>
      <c r="K483" s="245">
        <v>40.507187000000002</v>
      </c>
      <c r="L483" s="228">
        <f t="shared" si="44"/>
        <v>-2.4903274120089414E-3</v>
      </c>
      <c r="M483" s="228"/>
      <c r="N483" s="227"/>
      <c r="O483" s="322">
        <v>39.630001</v>
      </c>
      <c r="P483" s="228">
        <f t="shared" si="45"/>
        <v>6.0929679129972936E-3</v>
      </c>
      <c r="Q483" s="228"/>
      <c r="R483" s="227"/>
      <c r="S483" s="322">
        <v>155.679993</v>
      </c>
      <c r="T483" s="228">
        <f t="shared" si="46"/>
        <v>2.5759531335389774E-3</v>
      </c>
      <c r="U483" s="228"/>
      <c r="V483" s="228"/>
      <c r="W483" s="228"/>
      <c r="X483" s="322">
        <v>104.519997</v>
      </c>
      <c r="Y483" s="228">
        <f t="shared" si="47"/>
        <v>5.7736625437578848E-3</v>
      </c>
      <c r="Z483" s="228"/>
      <c r="AA483" s="202"/>
    </row>
    <row r="484" spans="2:27" x14ac:dyDescent="0.15">
      <c r="B484" s="241">
        <v>43367</v>
      </c>
      <c r="C484" s="244"/>
      <c r="D484" s="245">
        <v>63.279995</v>
      </c>
      <c r="E484" s="228">
        <f t="shared" si="42"/>
        <v>-3.5647913307359502E-3</v>
      </c>
      <c r="F484" s="228"/>
      <c r="G484" s="245">
        <v>186.218842</v>
      </c>
      <c r="H484" s="228">
        <f t="shared" si="43"/>
        <v>1.6133359127340485E-2</v>
      </c>
      <c r="J484" s="227"/>
      <c r="K484" s="245">
        <v>41.27026</v>
      </c>
      <c r="L484" s="228">
        <f t="shared" si="44"/>
        <v>1.8837965717046767E-2</v>
      </c>
      <c r="M484" s="228"/>
      <c r="N484" s="227"/>
      <c r="O484" s="322">
        <v>39.099997999999999</v>
      </c>
      <c r="P484" s="228">
        <f t="shared" si="45"/>
        <v>-1.3373782150548075E-2</v>
      </c>
      <c r="Q484" s="228"/>
      <c r="R484" s="227"/>
      <c r="S484" s="322">
        <v>154.740005</v>
      </c>
      <c r="T484" s="228">
        <f t="shared" si="46"/>
        <v>-6.0379499117783064E-3</v>
      </c>
      <c r="U484" s="228"/>
      <c r="V484" s="228"/>
      <c r="W484" s="228"/>
      <c r="X484" s="322">
        <v>104.379997</v>
      </c>
      <c r="Y484" s="228">
        <f t="shared" si="47"/>
        <v>-1.33945660178314E-3</v>
      </c>
      <c r="Z484" s="228"/>
      <c r="AA484" s="202"/>
    </row>
    <row r="485" spans="2:27" x14ac:dyDescent="0.15">
      <c r="B485" s="241">
        <v>43368</v>
      </c>
      <c r="C485" s="244"/>
      <c r="D485" s="245">
        <v>63.232838000000001</v>
      </c>
      <c r="E485" s="228">
        <f t="shared" si="42"/>
        <v>-7.4521181615139209E-4</v>
      </c>
      <c r="F485" s="228"/>
      <c r="G485" s="245">
        <v>184.99340799999999</v>
      </c>
      <c r="H485" s="228">
        <f t="shared" si="43"/>
        <v>-6.5806122884171092E-3</v>
      </c>
      <c r="J485" s="227"/>
      <c r="K485" s="245">
        <v>40.608314999999997</v>
      </c>
      <c r="L485" s="228">
        <f t="shared" si="44"/>
        <v>-1.6039273801522036E-2</v>
      </c>
      <c r="M485" s="228"/>
      <c r="N485" s="227"/>
      <c r="O485" s="322">
        <v>38.580002</v>
      </c>
      <c r="P485" s="228">
        <f t="shared" si="45"/>
        <v>-1.3299131115044993E-2</v>
      </c>
      <c r="Q485" s="228"/>
      <c r="R485" s="227"/>
      <c r="S485" s="322">
        <v>151.28999300000001</v>
      </c>
      <c r="T485" s="228">
        <f t="shared" si="46"/>
        <v>-2.2295540186908935E-2</v>
      </c>
      <c r="U485" s="228"/>
      <c r="V485" s="228"/>
      <c r="W485" s="228"/>
      <c r="X485" s="322">
        <v>102.360001</v>
      </c>
      <c r="Y485" s="228">
        <f t="shared" si="47"/>
        <v>-1.9352328588398082E-2</v>
      </c>
      <c r="Z485" s="228"/>
      <c r="AA485" s="202"/>
    </row>
    <row r="486" spans="2:27" x14ac:dyDescent="0.15">
      <c r="B486" s="241">
        <v>43369</v>
      </c>
      <c r="C486" s="244"/>
      <c r="D486" s="245">
        <v>62.984642000000001</v>
      </c>
      <c r="E486" s="228">
        <f t="shared" si="42"/>
        <v>-3.9251124550190308E-3</v>
      </c>
      <c r="F486" s="228"/>
      <c r="G486" s="245">
        <v>183.62207000000001</v>
      </c>
      <c r="H486" s="228">
        <f t="shared" si="43"/>
        <v>-7.4129019775666105E-3</v>
      </c>
      <c r="J486" s="227"/>
      <c r="K486" s="245">
        <v>40.700248999999999</v>
      </c>
      <c r="L486" s="228">
        <f t="shared" si="44"/>
        <v>2.2639205788272942E-3</v>
      </c>
      <c r="M486" s="228"/>
      <c r="N486" s="227"/>
      <c r="O486" s="322">
        <v>38.259998000000003</v>
      </c>
      <c r="P486" s="228">
        <f t="shared" si="45"/>
        <v>-8.294556335170622E-3</v>
      </c>
      <c r="Q486" s="228"/>
      <c r="R486" s="227"/>
      <c r="S486" s="322">
        <v>148.80999800000001</v>
      </c>
      <c r="T486" s="228">
        <f t="shared" si="46"/>
        <v>-1.6392326754883224E-2</v>
      </c>
      <c r="U486" s="228"/>
      <c r="V486" s="228"/>
      <c r="W486" s="228"/>
      <c r="X486" s="322">
        <v>100.58000199999999</v>
      </c>
      <c r="Y486" s="228">
        <f t="shared" si="47"/>
        <v>-1.7389595375248201E-2</v>
      </c>
      <c r="Z486" s="228"/>
      <c r="AA486" s="202"/>
    </row>
    <row r="487" spans="2:27" x14ac:dyDescent="0.15">
      <c r="B487" s="241">
        <v>43370</v>
      </c>
      <c r="C487" s="244"/>
      <c r="D487" s="245">
        <v>63.145695000000003</v>
      </c>
      <c r="E487" s="228">
        <f t="shared" si="42"/>
        <v>2.5570201700917394E-3</v>
      </c>
      <c r="F487" s="228"/>
      <c r="G487" s="245">
        <v>183.56372099999999</v>
      </c>
      <c r="H487" s="228">
        <f t="shared" si="43"/>
        <v>-3.1776681310702326E-4</v>
      </c>
      <c r="J487" s="227"/>
      <c r="K487" s="245">
        <v>41.150737999999997</v>
      </c>
      <c r="L487" s="228">
        <f t="shared" si="44"/>
        <v>1.1068458082406307E-2</v>
      </c>
      <c r="M487" s="228"/>
      <c r="N487" s="227"/>
      <c r="O487" s="322">
        <v>38.349997999999999</v>
      </c>
      <c r="P487" s="228">
        <f t="shared" si="45"/>
        <v>2.3523263121967286E-3</v>
      </c>
      <c r="Q487" s="228"/>
      <c r="R487" s="227"/>
      <c r="S487" s="322">
        <v>150.570007</v>
      </c>
      <c r="T487" s="228">
        <f t="shared" si="46"/>
        <v>1.1827222791845005E-2</v>
      </c>
      <c r="U487" s="228"/>
      <c r="V487" s="228"/>
      <c r="W487" s="228"/>
      <c r="X487" s="322">
        <v>100.910004</v>
      </c>
      <c r="Y487" s="228">
        <f t="shared" si="47"/>
        <v>3.2809901912709272E-3</v>
      </c>
      <c r="Z487" s="228"/>
      <c r="AA487" s="202"/>
    </row>
    <row r="488" spans="2:27" x14ac:dyDescent="0.15">
      <c r="B488" s="241">
        <v>43371</v>
      </c>
      <c r="C488" s="244"/>
      <c r="D488" s="245">
        <v>63.126750999999999</v>
      </c>
      <c r="E488" s="228">
        <f t="shared" si="42"/>
        <v>-3.0000461630841357E-4</v>
      </c>
      <c r="F488" s="228"/>
      <c r="G488" s="245">
        <v>182.86348000000001</v>
      </c>
      <c r="H488" s="228">
        <f t="shared" si="43"/>
        <v>-3.8147025794926792E-3</v>
      </c>
      <c r="J488" s="227"/>
      <c r="K488" s="245">
        <v>40.599120999999997</v>
      </c>
      <c r="L488" s="228">
        <f t="shared" si="44"/>
        <v>-1.3404789969987951E-2</v>
      </c>
      <c r="M488" s="228"/>
      <c r="N488" s="227"/>
      <c r="O488" s="322">
        <v>38.650002000000001</v>
      </c>
      <c r="P488" s="228">
        <f t="shared" si="45"/>
        <v>7.8227904992329567E-3</v>
      </c>
      <c r="Q488" s="228"/>
      <c r="R488" s="227"/>
      <c r="S488" s="322">
        <v>151.699997</v>
      </c>
      <c r="T488" s="228">
        <f t="shared" si="46"/>
        <v>7.504748273007511E-3</v>
      </c>
      <c r="U488" s="228"/>
      <c r="V488" s="228"/>
      <c r="W488" s="228"/>
      <c r="X488" s="322">
        <v>101.709999</v>
      </c>
      <c r="Y488" s="228">
        <f t="shared" si="47"/>
        <v>7.9278066424415261E-3</v>
      </c>
      <c r="Z488" s="228"/>
      <c r="AA488" s="202"/>
    </row>
    <row r="489" spans="2:27" x14ac:dyDescent="0.15">
      <c r="B489" s="241">
        <v>43374</v>
      </c>
      <c r="C489" s="244"/>
      <c r="D489" s="245">
        <v>63.249904999999998</v>
      </c>
      <c r="E489" s="228">
        <f t="shared" si="42"/>
        <v>1.9509003401743108E-3</v>
      </c>
      <c r="F489" s="228"/>
      <c r="G489" s="245">
        <v>184.86695900000001</v>
      </c>
      <c r="H489" s="228">
        <f t="shared" si="43"/>
        <v>1.0956146082312435E-2</v>
      </c>
      <c r="J489" s="227"/>
      <c r="K489" s="245">
        <v>41.058807000000002</v>
      </c>
      <c r="L489" s="228">
        <f t="shared" si="44"/>
        <v>1.1322560407157622E-2</v>
      </c>
      <c r="M489" s="228"/>
      <c r="N489" s="227"/>
      <c r="O489" s="322">
        <v>38.340000000000003</v>
      </c>
      <c r="P489" s="228">
        <f t="shared" si="45"/>
        <v>-8.020749908369873E-3</v>
      </c>
      <c r="Q489" s="228"/>
      <c r="R489" s="227"/>
      <c r="S489" s="322">
        <v>150.240005</v>
      </c>
      <c r="T489" s="228">
        <f t="shared" si="46"/>
        <v>-9.6242058594108171E-3</v>
      </c>
      <c r="U489" s="228"/>
      <c r="V489" s="228"/>
      <c r="W489" s="228"/>
      <c r="X489" s="322">
        <v>100.760002</v>
      </c>
      <c r="Y489" s="228">
        <f t="shared" si="47"/>
        <v>-9.3402517878306002E-3</v>
      </c>
      <c r="Z489" s="228"/>
      <c r="AA489" s="202"/>
    </row>
    <row r="490" spans="2:27" x14ac:dyDescent="0.15">
      <c r="B490" s="241">
        <v>43375</v>
      </c>
      <c r="C490" s="244"/>
      <c r="D490" s="245">
        <v>63.164634999999997</v>
      </c>
      <c r="E490" s="228">
        <f t="shared" si="42"/>
        <v>-1.3481443173709584E-3</v>
      </c>
      <c r="F490" s="228"/>
      <c r="G490" s="245">
        <v>184.94476299999999</v>
      </c>
      <c r="H490" s="228">
        <f t="shared" si="43"/>
        <v>4.2086482311853857E-4</v>
      </c>
      <c r="J490" s="227"/>
      <c r="K490" s="245">
        <v>40.102665000000002</v>
      </c>
      <c r="L490" s="228">
        <f t="shared" si="44"/>
        <v>-2.3287135449405527E-2</v>
      </c>
      <c r="M490" s="228"/>
      <c r="N490" s="227"/>
      <c r="O490" s="322">
        <v>38.900002000000001</v>
      </c>
      <c r="P490" s="228">
        <f t="shared" si="45"/>
        <v>1.460620761606668E-2</v>
      </c>
      <c r="Q490" s="228"/>
      <c r="R490" s="227"/>
      <c r="S490" s="322">
        <v>151.08000200000001</v>
      </c>
      <c r="T490" s="228">
        <f t="shared" si="46"/>
        <v>5.5910341589779922E-3</v>
      </c>
      <c r="U490" s="228"/>
      <c r="V490" s="228"/>
      <c r="W490" s="228"/>
      <c r="X490" s="322">
        <v>100.970001</v>
      </c>
      <c r="Y490" s="228">
        <f t="shared" si="47"/>
        <v>2.0841504151616341E-3</v>
      </c>
      <c r="Z490" s="228"/>
      <c r="AA490" s="202"/>
    </row>
    <row r="491" spans="2:27" x14ac:dyDescent="0.15">
      <c r="B491" s="241">
        <v>43376</v>
      </c>
      <c r="C491" s="244"/>
      <c r="D491" s="245">
        <v>63.221477999999998</v>
      </c>
      <c r="E491" s="228">
        <f t="shared" si="42"/>
        <v>8.999181266542422E-4</v>
      </c>
      <c r="F491" s="228"/>
      <c r="G491" s="245">
        <v>186.54951500000001</v>
      </c>
      <c r="H491" s="228">
        <f t="shared" si="43"/>
        <v>8.6769258775931668E-3</v>
      </c>
      <c r="J491" s="227"/>
      <c r="K491" s="245">
        <v>40.415249000000003</v>
      </c>
      <c r="L491" s="228">
        <f t="shared" si="44"/>
        <v>7.7945941996622192E-3</v>
      </c>
      <c r="M491" s="228"/>
      <c r="N491" s="227"/>
      <c r="O491" s="322">
        <v>38.919998</v>
      </c>
      <c r="P491" s="228">
        <f t="shared" si="45"/>
        <v>5.1403596328869483E-4</v>
      </c>
      <c r="Q491" s="228"/>
      <c r="R491" s="227"/>
      <c r="S491" s="322">
        <v>152.16999799999999</v>
      </c>
      <c r="T491" s="228">
        <f t="shared" si="46"/>
        <v>7.2146941062389836E-3</v>
      </c>
      <c r="U491" s="228"/>
      <c r="V491" s="228"/>
      <c r="W491" s="228"/>
      <c r="X491" s="322">
        <v>102.80999799999999</v>
      </c>
      <c r="Y491" s="228">
        <f t="shared" si="47"/>
        <v>1.8223204731868892E-2</v>
      </c>
      <c r="Z491" s="228"/>
      <c r="AA491" s="202"/>
    </row>
    <row r="492" spans="2:27" x14ac:dyDescent="0.15">
      <c r="B492" s="241">
        <v>43377</v>
      </c>
      <c r="C492" s="244"/>
      <c r="D492" s="245">
        <v>62.709868999999998</v>
      </c>
      <c r="E492" s="228">
        <f t="shared" si="42"/>
        <v>-8.0923290024950134E-3</v>
      </c>
      <c r="F492" s="228"/>
      <c r="G492" s="245">
        <v>182.318817</v>
      </c>
      <c r="H492" s="228">
        <f t="shared" si="43"/>
        <v>-2.2678686674688087E-2</v>
      </c>
      <c r="J492" s="227"/>
      <c r="K492" s="245">
        <v>39.008625000000002</v>
      </c>
      <c r="L492" s="228">
        <f t="shared" si="44"/>
        <v>-3.4804288846519316E-2</v>
      </c>
      <c r="M492" s="228"/>
      <c r="N492" s="227"/>
      <c r="O492" s="322">
        <v>37.889999000000003</v>
      </c>
      <c r="P492" s="228">
        <f t="shared" si="45"/>
        <v>-2.6464518317806607E-2</v>
      </c>
      <c r="Q492" s="228"/>
      <c r="R492" s="227"/>
      <c r="S492" s="322">
        <v>149.009995</v>
      </c>
      <c r="T492" s="228">
        <f t="shared" si="46"/>
        <v>-2.0766268262683352E-2</v>
      </c>
      <c r="U492" s="228"/>
      <c r="V492" s="228"/>
      <c r="W492" s="228"/>
      <c r="X492" s="322">
        <v>101.349998</v>
      </c>
      <c r="Y492" s="228">
        <f t="shared" si="47"/>
        <v>-1.4200953490924095E-2</v>
      </c>
      <c r="Z492" s="228"/>
      <c r="AA492" s="202"/>
    </row>
    <row r="493" spans="2:27" x14ac:dyDescent="0.15">
      <c r="B493" s="241">
        <v>43378</v>
      </c>
      <c r="C493" s="244"/>
      <c r="D493" s="245">
        <v>62.283531000000004</v>
      </c>
      <c r="E493" s="228">
        <f t="shared" si="42"/>
        <v>-6.7985790242999222E-3</v>
      </c>
      <c r="F493" s="228"/>
      <c r="G493" s="245">
        <v>178.74945099999999</v>
      </c>
      <c r="H493" s="228">
        <f t="shared" si="43"/>
        <v>-1.9577606188614149E-2</v>
      </c>
      <c r="J493" s="227"/>
      <c r="K493" s="245">
        <v>38.273136000000001</v>
      </c>
      <c r="L493" s="228">
        <f t="shared" si="44"/>
        <v>-1.88545225575113E-2</v>
      </c>
      <c r="M493" s="228"/>
      <c r="N493" s="227"/>
      <c r="O493" s="322">
        <v>37.240001999999997</v>
      </c>
      <c r="P493" s="228">
        <f t="shared" si="45"/>
        <v>-1.7154843419235899E-2</v>
      </c>
      <c r="Q493" s="228"/>
      <c r="R493" s="227"/>
      <c r="S493" s="322">
        <v>147.89999399999999</v>
      </c>
      <c r="T493" s="228">
        <f t="shared" si="46"/>
        <v>-7.4491714465194647E-3</v>
      </c>
      <c r="U493" s="228"/>
      <c r="V493" s="228"/>
      <c r="W493" s="228"/>
      <c r="X493" s="322">
        <v>99.339995999999999</v>
      </c>
      <c r="Y493" s="228">
        <f t="shared" si="47"/>
        <v>-1.9832284555151181E-2</v>
      </c>
      <c r="Z493" s="228"/>
      <c r="AA493" s="202"/>
    </row>
    <row r="494" spans="2:27" x14ac:dyDescent="0.15">
      <c r="B494" s="241">
        <v>43381</v>
      </c>
      <c r="C494" s="244"/>
      <c r="D494" s="245">
        <v>62.236167999999999</v>
      </c>
      <c r="E494" s="228">
        <f t="shared" si="42"/>
        <v>-7.6044179319256777E-4</v>
      </c>
      <c r="F494" s="228"/>
      <c r="G494" s="245">
        <v>176.69734199999999</v>
      </c>
      <c r="H494" s="228">
        <f t="shared" si="43"/>
        <v>-1.1480365329905262E-2</v>
      </c>
      <c r="J494" s="227"/>
      <c r="K494" s="245">
        <v>37.657153999999998</v>
      </c>
      <c r="L494" s="228">
        <f t="shared" si="44"/>
        <v>-1.6094369690531796E-2</v>
      </c>
      <c r="M494" s="228"/>
      <c r="N494" s="227"/>
      <c r="O494" s="322">
        <v>36.590000000000003</v>
      </c>
      <c r="P494" s="228">
        <f t="shared" si="45"/>
        <v>-1.7454402929408919E-2</v>
      </c>
      <c r="Q494" s="228"/>
      <c r="R494" s="227"/>
      <c r="S494" s="322">
        <v>146.08000200000001</v>
      </c>
      <c r="T494" s="228">
        <f t="shared" si="46"/>
        <v>-1.2305558308541853E-2</v>
      </c>
      <c r="U494" s="228"/>
      <c r="V494" s="228"/>
      <c r="W494" s="228"/>
      <c r="X494" s="322">
        <v>99.220000999999996</v>
      </c>
      <c r="Y494" s="228">
        <f t="shared" si="47"/>
        <v>-1.2079223357327473E-3</v>
      </c>
      <c r="Z494" s="228"/>
      <c r="AA494" s="202"/>
    </row>
    <row r="495" spans="2:27" x14ac:dyDescent="0.15">
      <c r="B495" s="241">
        <v>43382</v>
      </c>
      <c r="C495" s="244"/>
      <c r="D495" s="245">
        <v>62.131957999999997</v>
      </c>
      <c r="E495" s="228">
        <f t="shared" si="42"/>
        <v>-1.6744282842092728E-3</v>
      </c>
      <c r="F495" s="228"/>
      <c r="G495" s="245">
        <v>177.93249499999999</v>
      </c>
      <c r="H495" s="228">
        <f t="shared" si="43"/>
        <v>6.9902183361649772E-3</v>
      </c>
      <c r="J495" s="227"/>
      <c r="K495" s="245">
        <v>37.602001000000001</v>
      </c>
      <c r="L495" s="228">
        <f t="shared" si="44"/>
        <v>-1.4646088230670928E-3</v>
      </c>
      <c r="M495" s="228"/>
      <c r="N495" s="227"/>
      <c r="O495" s="322">
        <v>35.720001000000003</v>
      </c>
      <c r="P495" s="228">
        <f t="shared" si="45"/>
        <v>-2.3776960918283629E-2</v>
      </c>
      <c r="Q495" s="228"/>
      <c r="R495" s="227"/>
      <c r="S495" s="322">
        <v>144.470001</v>
      </c>
      <c r="T495" s="228">
        <f t="shared" si="46"/>
        <v>-1.1021364854581606E-2</v>
      </c>
      <c r="U495" s="228"/>
      <c r="V495" s="228"/>
      <c r="W495" s="228"/>
      <c r="X495" s="322">
        <v>99.150002000000001</v>
      </c>
      <c r="Y495" s="228">
        <f t="shared" si="47"/>
        <v>-7.054928370742175E-4</v>
      </c>
      <c r="Z495" s="228"/>
      <c r="AA495" s="202"/>
    </row>
    <row r="496" spans="2:27" x14ac:dyDescent="0.15">
      <c r="B496" s="241">
        <v>43383</v>
      </c>
      <c r="C496" s="244"/>
      <c r="D496" s="245">
        <v>60.132885000000002</v>
      </c>
      <c r="E496" s="228">
        <f t="shared" si="42"/>
        <v>-3.2174633865554303E-2</v>
      </c>
      <c r="F496" s="228"/>
      <c r="G496" s="245">
        <v>167.205017</v>
      </c>
      <c r="H496" s="228">
        <f t="shared" si="43"/>
        <v>-6.0289594657794154E-2</v>
      </c>
      <c r="J496" s="227"/>
      <c r="K496" s="245">
        <v>36.176974999999999</v>
      </c>
      <c r="L496" s="228">
        <f t="shared" si="44"/>
        <v>-3.7897610821296501E-2</v>
      </c>
      <c r="M496" s="228"/>
      <c r="N496" s="227"/>
      <c r="O496" s="322">
        <v>34.43</v>
      </c>
      <c r="P496" s="228">
        <f t="shared" si="45"/>
        <v>-3.6114248709007701E-2</v>
      </c>
      <c r="Q496" s="228"/>
      <c r="R496" s="227"/>
      <c r="S496" s="322">
        <v>139.779999</v>
      </c>
      <c r="T496" s="228">
        <f t="shared" si="46"/>
        <v>-3.2463500848179505E-2</v>
      </c>
      <c r="U496" s="228"/>
      <c r="V496" s="228"/>
      <c r="W496" s="228"/>
      <c r="X496" s="322">
        <v>93.849997999999999</v>
      </c>
      <c r="Y496" s="228">
        <f t="shared" si="47"/>
        <v>-5.3454401342321711E-2</v>
      </c>
      <c r="Z496" s="228"/>
      <c r="AA496" s="202"/>
    </row>
    <row r="497" spans="2:27" x14ac:dyDescent="0.15">
      <c r="B497" s="241">
        <v>43384</v>
      </c>
      <c r="C497" s="244"/>
      <c r="D497" s="245">
        <v>58.882286000000001</v>
      </c>
      <c r="E497" s="228">
        <f t="shared" si="42"/>
        <v>-2.0797255944064563E-2</v>
      </c>
      <c r="F497" s="228"/>
      <c r="G497" s="245">
        <v>167.068848</v>
      </c>
      <c r="H497" s="228">
        <f t="shared" si="43"/>
        <v>-8.1438345836237769E-4</v>
      </c>
      <c r="J497" s="227"/>
      <c r="K497" s="245">
        <v>35.800041</v>
      </c>
      <c r="L497" s="228">
        <f t="shared" si="44"/>
        <v>-1.0419168545739321E-2</v>
      </c>
      <c r="M497" s="228"/>
      <c r="N497" s="227"/>
      <c r="O497" s="322">
        <v>32.790000999999997</v>
      </c>
      <c r="P497" s="228">
        <f t="shared" si="45"/>
        <v>-4.7632849259366949E-2</v>
      </c>
      <c r="Q497" s="228"/>
      <c r="R497" s="227"/>
      <c r="S497" s="322">
        <v>137.61999499999999</v>
      </c>
      <c r="T497" s="228">
        <f t="shared" si="46"/>
        <v>-1.5452883212568991E-2</v>
      </c>
      <c r="U497" s="228"/>
      <c r="V497" s="228"/>
      <c r="W497" s="228"/>
      <c r="X497" s="322">
        <v>91.769997000000004</v>
      </c>
      <c r="Y497" s="228">
        <f t="shared" si="47"/>
        <v>-2.2163037233096095E-2</v>
      </c>
      <c r="Z497" s="228"/>
      <c r="AA497" s="202"/>
    </row>
    <row r="498" spans="2:27" x14ac:dyDescent="0.15">
      <c r="B498" s="241">
        <v>43385</v>
      </c>
      <c r="C498" s="244"/>
      <c r="D498" s="245">
        <v>59.649704</v>
      </c>
      <c r="E498" s="228">
        <f t="shared" si="42"/>
        <v>1.3033087743909988E-2</v>
      </c>
      <c r="F498" s="228"/>
      <c r="G498" s="245">
        <v>169.50029000000001</v>
      </c>
      <c r="H498" s="228">
        <f t="shared" si="43"/>
        <v>1.4553533044053824E-2</v>
      </c>
      <c r="J498" s="227"/>
      <c r="K498" s="245">
        <v>36.461982999999996</v>
      </c>
      <c r="L498" s="228">
        <f t="shared" si="44"/>
        <v>1.8489978824325792E-2</v>
      </c>
      <c r="M498" s="228"/>
      <c r="N498" s="227"/>
      <c r="O498" s="322">
        <v>33.689999</v>
      </c>
      <c r="P498" s="228">
        <f t="shared" si="45"/>
        <v>2.7447330666443115E-2</v>
      </c>
      <c r="Q498" s="228"/>
      <c r="R498" s="227"/>
      <c r="S498" s="322">
        <v>143.61000100000001</v>
      </c>
      <c r="T498" s="228">
        <f t="shared" si="46"/>
        <v>4.3525695521206886E-2</v>
      </c>
      <c r="U498" s="228"/>
      <c r="V498" s="228"/>
      <c r="W498" s="228"/>
      <c r="X498" s="322">
        <v>93.190002000000007</v>
      </c>
      <c r="Y498" s="228">
        <f t="shared" si="47"/>
        <v>1.5473521264253831E-2</v>
      </c>
      <c r="Z498" s="228"/>
      <c r="AA498" s="202"/>
    </row>
    <row r="499" spans="2:27" x14ac:dyDescent="0.15">
      <c r="B499" s="241">
        <v>43388</v>
      </c>
      <c r="C499" s="244"/>
      <c r="D499" s="245">
        <v>59.412838000000001</v>
      </c>
      <c r="E499" s="228">
        <f t="shared" si="42"/>
        <v>-3.9709501324599605E-3</v>
      </c>
      <c r="F499" s="228"/>
      <c r="G499" s="245">
        <v>168.59579500000001</v>
      </c>
      <c r="H499" s="228">
        <f t="shared" si="43"/>
        <v>-5.3362445574576256E-3</v>
      </c>
      <c r="J499" s="227"/>
      <c r="K499" s="245">
        <v>35.625362000000003</v>
      </c>
      <c r="L499" s="228">
        <f t="shared" si="44"/>
        <v>-2.29450219424433E-2</v>
      </c>
      <c r="M499" s="228"/>
      <c r="N499" s="227"/>
      <c r="O499" s="322">
        <v>33.43</v>
      </c>
      <c r="P499" s="228">
        <f t="shared" si="45"/>
        <v>-7.7173941144966784E-3</v>
      </c>
      <c r="Q499" s="228"/>
      <c r="R499" s="227"/>
      <c r="S499" s="322">
        <v>142.509995</v>
      </c>
      <c r="T499" s="228">
        <f t="shared" si="46"/>
        <v>-7.6596754567254122E-3</v>
      </c>
      <c r="U499" s="228"/>
      <c r="V499" s="228"/>
      <c r="W499" s="228"/>
      <c r="X499" s="322">
        <v>91.089995999999999</v>
      </c>
      <c r="Y499" s="228">
        <f t="shared" si="47"/>
        <v>-2.2534670618421182E-2</v>
      </c>
      <c r="Z499" s="228"/>
      <c r="AA499" s="202"/>
    </row>
    <row r="500" spans="2:27" x14ac:dyDescent="0.15">
      <c r="B500" s="241">
        <v>43389</v>
      </c>
      <c r="C500" s="244"/>
      <c r="D500" s="245">
        <v>60.691867999999999</v>
      </c>
      <c r="E500" s="228">
        <f t="shared" si="42"/>
        <v>2.1527838814903832E-2</v>
      </c>
      <c r="F500" s="228"/>
      <c r="G500" s="245">
        <v>176.73623699999999</v>
      </c>
      <c r="H500" s="228">
        <f t="shared" si="43"/>
        <v>4.8283778370628916E-2</v>
      </c>
      <c r="J500" s="227"/>
      <c r="K500" s="245">
        <v>36.783755999999997</v>
      </c>
      <c r="L500" s="228">
        <f t="shared" si="44"/>
        <v>3.2515992398898019E-2</v>
      </c>
      <c r="M500" s="228"/>
      <c r="N500" s="227"/>
      <c r="O500" s="322">
        <v>34.759998000000003</v>
      </c>
      <c r="P500" s="228">
        <f t="shared" si="45"/>
        <v>3.9784564762189722E-2</v>
      </c>
      <c r="Q500" s="228"/>
      <c r="R500" s="227"/>
      <c r="S500" s="322">
        <v>145.270004</v>
      </c>
      <c r="T500" s="228">
        <f t="shared" si="46"/>
        <v>1.9367125793527729E-2</v>
      </c>
      <c r="U500" s="228"/>
      <c r="V500" s="228"/>
      <c r="W500" s="228"/>
      <c r="X500" s="322">
        <v>92.959998999999996</v>
      </c>
      <c r="Y500" s="228">
        <f t="shared" si="47"/>
        <v>2.0529180833425364E-2</v>
      </c>
      <c r="Z500" s="228"/>
      <c r="AA500" s="202"/>
    </row>
    <row r="501" spans="2:27" x14ac:dyDescent="0.15">
      <c r="B501" s="241">
        <v>43390</v>
      </c>
      <c r="C501" s="244"/>
      <c r="D501" s="245">
        <v>60.701332000000001</v>
      </c>
      <c r="E501" s="228">
        <f t="shared" si="42"/>
        <v>1.5593522348011923E-4</v>
      </c>
      <c r="F501" s="228"/>
      <c r="G501" s="245">
        <v>179.93600499999999</v>
      </c>
      <c r="H501" s="228">
        <f t="shared" si="43"/>
        <v>1.8104764785729754E-2</v>
      </c>
      <c r="J501" s="227"/>
      <c r="K501" s="245">
        <v>36.379246000000002</v>
      </c>
      <c r="L501" s="228">
        <f t="shared" si="44"/>
        <v>-1.0996973772879337E-2</v>
      </c>
      <c r="M501" s="228"/>
      <c r="N501" s="227"/>
      <c r="O501" s="322">
        <v>34.959999000000003</v>
      </c>
      <c r="P501" s="228">
        <f t="shared" si="45"/>
        <v>5.7537690307116751E-3</v>
      </c>
      <c r="Q501" s="228"/>
      <c r="R501" s="227"/>
      <c r="S501" s="322">
        <v>147.179993</v>
      </c>
      <c r="T501" s="228">
        <f t="shared" si="46"/>
        <v>1.3147855354915583E-2</v>
      </c>
      <c r="U501" s="228"/>
      <c r="V501" s="228"/>
      <c r="W501" s="228"/>
      <c r="X501" s="322">
        <v>93.82</v>
      </c>
      <c r="Y501" s="228">
        <f t="shared" si="47"/>
        <v>9.2513017346309567E-3</v>
      </c>
      <c r="Z501" s="228"/>
      <c r="AA501" s="202"/>
    </row>
    <row r="502" spans="2:27" x14ac:dyDescent="0.15">
      <c r="B502" s="241">
        <v>43391</v>
      </c>
      <c r="C502" s="244"/>
      <c r="D502" s="245">
        <v>59.782344999999999</v>
      </c>
      <c r="E502" s="228">
        <f t="shared" si="42"/>
        <v>-1.5139486560196147E-2</v>
      </c>
      <c r="F502" s="228"/>
      <c r="G502" s="245">
        <v>171.601044</v>
      </c>
      <c r="H502" s="228">
        <f t="shared" si="43"/>
        <v>-4.6321807578199814E-2</v>
      </c>
      <c r="J502" s="227"/>
      <c r="K502" s="245">
        <v>35.432301000000002</v>
      </c>
      <c r="L502" s="228">
        <f t="shared" si="44"/>
        <v>-2.6029813811974001E-2</v>
      </c>
      <c r="M502" s="228"/>
      <c r="N502" s="227"/>
      <c r="O502" s="322">
        <v>33.919998</v>
      </c>
      <c r="P502" s="228">
        <f t="shared" si="45"/>
        <v>-2.9748313207903831E-2</v>
      </c>
      <c r="Q502" s="228"/>
      <c r="R502" s="227"/>
      <c r="S502" s="322">
        <v>145.08999600000001</v>
      </c>
      <c r="T502" s="228">
        <f t="shared" si="46"/>
        <v>-1.4200279245834557E-2</v>
      </c>
      <c r="U502" s="228"/>
      <c r="V502" s="228"/>
      <c r="W502" s="228"/>
      <c r="X502" s="322">
        <v>91.339995999999999</v>
      </c>
      <c r="Y502" s="228">
        <f t="shared" si="47"/>
        <v>-2.6433638882967347E-2</v>
      </c>
      <c r="Z502" s="228"/>
      <c r="AA502" s="202"/>
    </row>
    <row r="503" spans="2:27" x14ac:dyDescent="0.15">
      <c r="B503" s="241">
        <v>43392</v>
      </c>
      <c r="C503" s="244"/>
      <c r="D503" s="245">
        <v>59.659176000000002</v>
      </c>
      <c r="E503" s="228">
        <f t="shared" si="42"/>
        <v>-2.0602905422997253E-3</v>
      </c>
      <c r="F503" s="228"/>
      <c r="G503" s="245">
        <v>170.939697</v>
      </c>
      <c r="H503" s="228">
        <f t="shared" si="43"/>
        <v>-3.8539800492123355E-3</v>
      </c>
      <c r="J503" s="227"/>
      <c r="K503" s="245">
        <v>35.349559999999997</v>
      </c>
      <c r="L503" s="228">
        <f t="shared" si="44"/>
        <v>-2.3351856262455728E-3</v>
      </c>
      <c r="M503" s="228"/>
      <c r="N503" s="227"/>
      <c r="O503" s="322">
        <v>34.290000999999997</v>
      </c>
      <c r="P503" s="228">
        <f t="shared" si="45"/>
        <v>1.0908107954487489E-2</v>
      </c>
      <c r="Q503" s="228"/>
      <c r="R503" s="227"/>
      <c r="S503" s="322">
        <v>145.199997</v>
      </c>
      <c r="T503" s="228">
        <f t="shared" si="46"/>
        <v>7.5815702689796538E-4</v>
      </c>
      <c r="U503" s="228"/>
      <c r="V503" s="228"/>
      <c r="W503" s="228"/>
      <c r="X503" s="322">
        <v>90.809997999999993</v>
      </c>
      <c r="Y503" s="228">
        <f t="shared" si="47"/>
        <v>-5.8024745260554234E-3</v>
      </c>
      <c r="Z503" s="228"/>
      <c r="AA503" s="202"/>
    </row>
    <row r="504" spans="2:27" x14ac:dyDescent="0.15">
      <c r="B504" s="241">
        <v>43395</v>
      </c>
      <c r="C504" s="244"/>
      <c r="D504" s="245">
        <v>59.422317999999997</v>
      </c>
      <c r="E504" s="228">
        <f t="shared" si="42"/>
        <v>-3.9701855754763482E-3</v>
      </c>
      <c r="F504" s="228"/>
      <c r="G504" s="245">
        <v>171.49408</v>
      </c>
      <c r="H504" s="228">
        <f t="shared" si="43"/>
        <v>3.2431495417941658E-3</v>
      </c>
      <c r="J504" s="227"/>
      <c r="K504" s="245">
        <v>35.597785999999999</v>
      </c>
      <c r="L504" s="228">
        <f t="shared" si="44"/>
        <v>7.0220393125119962E-3</v>
      </c>
      <c r="M504" s="228"/>
      <c r="N504" s="227"/>
      <c r="O504" s="322">
        <v>33.529998999999997</v>
      </c>
      <c r="P504" s="228">
        <f t="shared" si="45"/>
        <v>-2.2163953859318908E-2</v>
      </c>
      <c r="Q504" s="228"/>
      <c r="R504" s="227"/>
      <c r="S504" s="322">
        <v>144.270004</v>
      </c>
      <c r="T504" s="228">
        <f t="shared" si="46"/>
        <v>-6.4049106006524026E-3</v>
      </c>
      <c r="U504" s="228"/>
      <c r="V504" s="228"/>
      <c r="W504" s="228"/>
      <c r="X504" s="322">
        <v>90.279999000000004</v>
      </c>
      <c r="Y504" s="228">
        <f t="shared" si="47"/>
        <v>-5.8363507507178669E-3</v>
      </c>
      <c r="Z504" s="228"/>
      <c r="AA504" s="202"/>
    </row>
    <row r="505" spans="2:27" x14ac:dyDescent="0.15">
      <c r="B505" s="241">
        <v>43396</v>
      </c>
      <c r="C505" s="244"/>
      <c r="D505" s="245">
        <v>59.071770000000001</v>
      </c>
      <c r="E505" s="228">
        <f t="shared" si="42"/>
        <v>-5.8992649865997615E-3</v>
      </c>
      <c r="F505" s="228"/>
      <c r="G505" s="245">
        <v>168.206772</v>
      </c>
      <c r="H505" s="228">
        <f t="shared" si="43"/>
        <v>-1.9168638357662249E-2</v>
      </c>
      <c r="J505" s="227"/>
      <c r="K505" s="245">
        <v>34.935841000000003</v>
      </c>
      <c r="L505" s="228">
        <f t="shared" si="44"/>
        <v>-1.8595117123295091E-2</v>
      </c>
      <c r="M505" s="228"/>
      <c r="N505" s="227"/>
      <c r="O505" s="322">
        <v>33.520000000000003</v>
      </c>
      <c r="P505" s="228">
        <f t="shared" si="45"/>
        <v>-2.9821056660317424E-4</v>
      </c>
      <c r="Q505" s="228"/>
      <c r="R505" s="227"/>
      <c r="S505" s="322">
        <v>146.38999899999999</v>
      </c>
      <c r="T505" s="228">
        <f t="shared" si="46"/>
        <v>1.4694634651843508E-2</v>
      </c>
      <c r="U505" s="228"/>
      <c r="V505" s="228"/>
      <c r="W505" s="228"/>
      <c r="X505" s="322">
        <v>90.489998</v>
      </c>
      <c r="Y505" s="228">
        <f t="shared" si="47"/>
        <v>2.3260855375064615E-3</v>
      </c>
      <c r="Z505" s="228"/>
      <c r="AA505" s="202"/>
    </row>
    <row r="506" spans="2:27" x14ac:dyDescent="0.15">
      <c r="B506" s="241">
        <v>43397</v>
      </c>
      <c r="C506" s="244"/>
      <c r="D506" s="245">
        <v>57.214827999999997</v>
      </c>
      <c r="E506" s="228">
        <f t="shared" si="42"/>
        <v>-3.1435353977035119E-2</v>
      </c>
      <c r="F506" s="228"/>
      <c r="G506" s="245">
        <v>153.82240300000001</v>
      </c>
      <c r="H506" s="228">
        <f t="shared" si="43"/>
        <v>-8.5515992186093404E-2</v>
      </c>
      <c r="J506" s="227"/>
      <c r="K506" s="245">
        <v>33.538406000000002</v>
      </c>
      <c r="L506" s="228">
        <f t="shared" si="44"/>
        <v>-4.0000038928503345E-2</v>
      </c>
      <c r="M506" s="228"/>
      <c r="N506" s="227"/>
      <c r="O506" s="322">
        <v>31.809999000000001</v>
      </c>
      <c r="P506" s="228">
        <f t="shared" si="45"/>
        <v>-5.1014349642004797E-2</v>
      </c>
      <c r="Q506" s="228"/>
      <c r="R506" s="227"/>
      <c r="S506" s="322">
        <v>139.30999800000001</v>
      </c>
      <c r="T506" s="228">
        <f t="shared" si="46"/>
        <v>-4.836396644828167E-2</v>
      </c>
      <c r="U506" s="228"/>
      <c r="V506" s="228"/>
      <c r="W506" s="228"/>
      <c r="X506" s="322">
        <v>86</v>
      </c>
      <c r="Y506" s="228">
        <f t="shared" si="47"/>
        <v>-4.9618721397253207E-2</v>
      </c>
      <c r="Z506" s="228"/>
      <c r="AA506" s="202"/>
    </row>
    <row r="507" spans="2:27" x14ac:dyDescent="0.15">
      <c r="B507" s="241">
        <v>43398</v>
      </c>
      <c r="C507" s="244"/>
      <c r="D507" s="245">
        <v>58.285407999999997</v>
      </c>
      <c r="E507" s="228">
        <f t="shared" si="42"/>
        <v>1.8711582948392369E-2</v>
      </c>
      <c r="F507" s="228"/>
      <c r="G507" s="245">
        <v>164.40399199999999</v>
      </c>
      <c r="H507" s="228">
        <f t="shared" si="43"/>
        <v>6.8790948481021852E-2</v>
      </c>
      <c r="J507" s="227"/>
      <c r="K507" s="245">
        <v>34.375027000000003</v>
      </c>
      <c r="L507" s="228">
        <f t="shared" si="44"/>
        <v>2.4945162867907378E-2</v>
      </c>
      <c r="M507" s="228"/>
      <c r="N507" s="227"/>
      <c r="O507" s="322">
        <v>32.639999000000003</v>
      </c>
      <c r="P507" s="228">
        <f t="shared" si="45"/>
        <v>2.6092424586369845E-2</v>
      </c>
      <c r="Q507" s="228"/>
      <c r="R507" s="227"/>
      <c r="S507" s="322">
        <v>142.55999800000001</v>
      </c>
      <c r="T507" s="228">
        <f t="shared" si="46"/>
        <v>2.3329266001425042E-2</v>
      </c>
      <c r="U507" s="228"/>
      <c r="V507" s="228"/>
      <c r="W507" s="228"/>
      <c r="X507" s="322">
        <v>89.029999000000004</v>
      </c>
      <c r="Y507" s="228">
        <f t="shared" si="47"/>
        <v>3.5232546511627882E-2</v>
      </c>
      <c r="Z507" s="228"/>
      <c r="AA507" s="202"/>
    </row>
    <row r="508" spans="2:27" x14ac:dyDescent="0.15">
      <c r="B508" s="241">
        <v>43399</v>
      </c>
      <c r="C508" s="244"/>
      <c r="D508" s="245">
        <v>57.281146999999997</v>
      </c>
      <c r="E508" s="228">
        <f t="shared" si="42"/>
        <v>-1.7230058679523985E-2</v>
      </c>
      <c r="F508" s="228"/>
      <c r="G508" s="245">
        <v>161.651611</v>
      </c>
      <c r="H508" s="228">
        <f t="shared" si="43"/>
        <v>-1.6741570362841185E-2</v>
      </c>
      <c r="J508" s="227"/>
      <c r="K508" s="245">
        <v>33.713085</v>
      </c>
      <c r="L508" s="228">
        <f t="shared" si="44"/>
        <v>-1.9256479420365347E-2</v>
      </c>
      <c r="M508" s="228"/>
      <c r="N508" s="227"/>
      <c r="O508" s="322">
        <v>32.360000999999997</v>
      </c>
      <c r="P508" s="228">
        <f t="shared" si="45"/>
        <v>-8.5783703608570683E-3</v>
      </c>
      <c r="Q508" s="228"/>
      <c r="R508" s="227"/>
      <c r="S508" s="322">
        <v>139.10000600000001</v>
      </c>
      <c r="T508" s="228">
        <f t="shared" si="46"/>
        <v>-2.4270426827587399E-2</v>
      </c>
      <c r="U508" s="228"/>
      <c r="V508" s="228"/>
      <c r="W508" s="228"/>
      <c r="X508" s="322">
        <v>87.209998999999996</v>
      </c>
      <c r="Y508" s="228">
        <f t="shared" si="47"/>
        <v>-2.0442547685528001E-2</v>
      </c>
      <c r="Z508" s="228"/>
      <c r="AA508" s="202"/>
    </row>
    <row r="509" spans="2:27" x14ac:dyDescent="0.15">
      <c r="B509" s="241">
        <v>43402</v>
      </c>
      <c r="C509" s="244"/>
      <c r="D509" s="245">
        <v>56.968494</v>
      </c>
      <c r="E509" s="228">
        <f t="shared" si="42"/>
        <v>-5.4582182161959647E-3</v>
      </c>
      <c r="F509" s="228"/>
      <c r="G509" s="245">
        <v>158.889511</v>
      </c>
      <c r="H509" s="228">
        <f t="shared" si="43"/>
        <v>-1.7086745890828148E-2</v>
      </c>
      <c r="J509" s="227"/>
      <c r="K509" s="245">
        <v>33.400500999999998</v>
      </c>
      <c r="L509" s="228">
        <f t="shared" si="44"/>
        <v>-9.2718895348794517E-3</v>
      </c>
      <c r="M509" s="228"/>
      <c r="N509" s="227"/>
      <c r="O509" s="322">
        <v>31.120000999999998</v>
      </c>
      <c r="P509" s="228">
        <f t="shared" si="45"/>
        <v>-3.8318911053185634E-2</v>
      </c>
      <c r="Q509" s="228"/>
      <c r="R509" s="227"/>
      <c r="S509" s="322">
        <v>135.779999</v>
      </c>
      <c r="T509" s="228">
        <f t="shared" si="46"/>
        <v>-2.3867770357968277E-2</v>
      </c>
      <c r="U509" s="228"/>
      <c r="V509" s="228"/>
      <c r="W509" s="228"/>
      <c r="X509" s="322">
        <v>85.129997000000003</v>
      </c>
      <c r="Y509" s="228">
        <f t="shared" si="47"/>
        <v>-2.3850499069493103E-2</v>
      </c>
      <c r="Z509" s="228"/>
      <c r="AA509" s="202"/>
    </row>
    <row r="510" spans="2:27" x14ac:dyDescent="0.15">
      <c r="B510" s="241">
        <v>43403</v>
      </c>
      <c r="C510" s="244"/>
      <c r="D510" s="245">
        <v>57.840122000000001</v>
      </c>
      <c r="E510" s="228">
        <f t="shared" si="42"/>
        <v>1.530017626936031E-2</v>
      </c>
      <c r="F510" s="228"/>
      <c r="G510" s="245">
        <v>164.11222799999999</v>
      </c>
      <c r="H510" s="228">
        <f t="shared" si="43"/>
        <v>3.2870118153991879E-2</v>
      </c>
      <c r="J510" s="227"/>
      <c r="K510" s="245">
        <v>34.733584999999998</v>
      </c>
      <c r="L510" s="228">
        <f t="shared" si="44"/>
        <v>3.9912095929339531E-2</v>
      </c>
      <c r="M510" s="228"/>
      <c r="N510" s="227"/>
      <c r="O510" s="322">
        <v>32.419998</v>
      </c>
      <c r="P510" s="228">
        <f t="shared" si="45"/>
        <v>4.1773681176938249E-2</v>
      </c>
      <c r="Q510" s="228"/>
      <c r="R510" s="227"/>
      <c r="S510" s="322">
        <v>139.270004</v>
      </c>
      <c r="T510" s="228">
        <f t="shared" si="46"/>
        <v>2.5703380657706498E-2</v>
      </c>
      <c r="U510" s="228"/>
      <c r="V510" s="228"/>
      <c r="W510" s="228"/>
      <c r="X510" s="322">
        <v>91.599997999999999</v>
      </c>
      <c r="Y510" s="228">
        <f t="shared" si="47"/>
        <v>7.600142403388066E-2</v>
      </c>
      <c r="Z510" s="228"/>
      <c r="AA510" s="202"/>
    </row>
    <row r="511" spans="2:27" x14ac:dyDescent="0.15">
      <c r="B511" s="241">
        <v>43404</v>
      </c>
      <c r="C511" s="244"/>
      <c r="D511" s="245">
        <v>58.484366999999999</v>
      </c>
      <c r="E511" s="228">
        <f t="shared" si="42"/>
        <v>1.1138375538004563E-2</v>
      </c>
      <c r="F511" s="228"/>
      <c r="G511" s="245">
        <v>167.632935</v>
      </c>
      <c r="H511" s="228">
        <f t="shared" si="43"/>
        <v>2.1453044924842679E-2</v>
      </c>
      <c r="J511" s="227"/>
      <c r="K511" s="245">
        <v>35.027774999999998</v>
      </c>
      <c r="L511" s="228">
        <f t="shared" si="44"/>
        <v>8.469900242085604E-3</v>
      </c>
      <c r="M511" s="228"/>
      <c r="N511" s="227"/>
      <c r="O511" s="322">
        <v>32.880001</v>
      </c>
      <c r="P511" s="228">
        <f t="shared" si="45"/>
        <v>1.4188865773526516E-2</v>
      </c>
      <c r="Q511" s="228"/>
      <c r="R511" s="227"/>
      <c r="S511" s="322">
        <v>141.729996</v>
      </c>
      <c r="T511" s="228">
        <f t="shared" si="46"/>
        <v>1.7663473320500556E-2</v>
      </c>
      <c r="U511" s="228"/>
      <c r="V511" s="228"/>
      <c r="W511" s="228"/>
      <c r="X511" s="322">
        <v>91.540001000000004</v>
      </c>
      <c r="Y511" s="228">
        <f t="shared" si="47"/>
        <v>-6.5498909727046417E-4</v>
      </c>
      <c r="Z511" s="228"/>
      <c r="AA511" s="202"/>
    </row>
    <row r="512" spans="2:27" x14ac:dyDescent="0.15">
      <c r="B512" s="241">
        <v>43405</v>
      </c>
      <c r="C512" s="244"/>
      <c r="D512" s="245">
        <v>59.204414</v>
      </c>
      <c r="E512" s="228">
        <f t="shared" si="42"/>
        <v>1.2311785814489662E-2</v>
      </c>
      <c r="F512" s="228"/>
      <c r="G512" s="245">
        <v>170.900803</v>
      </c>
      <c r="H512" s="228">
        <f t="shared" si="43"/>
        <v>1.9494188298975867E-2</v>
      </c>
      <c r="J512" s="227"/>
      <c r="K512" s="245">
        <v>35.901173</v>
      </c>
      <c r="L512" s="228">
        <f t="shared" si="44"/>
        <v>2.4934441311216693E-2</v>
      </c>
      <c r="M512" s="228"/>
      <c r="N512" s="227"/>
      <c r="O512" s="322">
        <v>35.349997999999999</v>
      </c>
      <c r="P512" s="228">
        <f t="shared" si="45"/>
        <v>7.5121560975621504E-2</v>
      </c>
      <c r="Q512" s="228"/>
      <c r="R512" s="227"/>
      <c r="S512" s="322">
        <v>151.86000100000001</v>
      </c>
      <c r="T512" s="228">
        <f t="shared" si="46"/>
        <v>7.1473966597727312E-2</v>
      </c>
      <c r="U512" s="228"/>
      <c r="V512" s="228"/>
      <c r="W512" s="228"/>
      <c r="X512" s="322">
        <v>94.919998000000007</v>
      </c>
      <c r="Y512" s="228">
        <f t="shared" si="47"/>
        <v>3.6923716004766183E-2</v>
      </c>
      <c r="Z512" s="228"/>
      <c r="AA512" s="202"/>
    </row>
    <row r="513" spans="2:27" x14ac:dyDescent="0.15">
      <c r="B513" s="241">
        <v>43406</v>
      </c>
      <c r="C513" s="244"/>
      <c r="D513" s="245">
        <v>58.825439000000003</v>
      </c>
      <c r="E513" s="228">
        <f t="shared" si="42"/>
        <v>-6.4011274564764742E-3</v>
      </c>
      <c r="F513" s="228"/>
      <c r="G513" s="245">
        <v>170.19082599999999</v>
      </c>
      <c r="H513" s="228">
        <f t="shared" si="43"/>
        <v>-4.1543222005809843E-3</v>
      </c>
      <c r="J513" s="227"/>
      <c r="K513" s="245">
        <v>35.652943</v>
      </c>
      <c r="L513" s="228">
        <f t="shared" si="44"/>
        <v>-6.9142587625200536E-3</v>
      </c>
      <c r="M513" s="228"/>
      <c r="N513" s="227"/>
      <c r="O513" s="322">
        <v>35.270000000000003</v>
      </c>
      <c r="P513" s="228">
        <f t="shared" si="45"/>
        <v>-2.2630270021513077E-3</v>
      </c>
      <c r="Q513" s="228"/>
      <c r="R513" s="227"/>
      <c r="S513" s="322">
        <v>151.509995</v>
      </c>
      <c r="T513" s="228">
        <f t="shared" si="46"/>
        <v>-2.3047938739313434E-3</v>
      </c>
      <c r="U513" s="228"/>
      <c r="V513" s="228"/>
      <c r="W513" s="228"/>
      <c r="X513" s="322">
        <v>93.290001000000004</v>
      </c>
      <c r="Y513" s="228">
        <f t="shared" si="47"/>
        <v>-1.7172324424195695E-2</v>
      </c>
      <c r="Z513" s="228"/>
      <c r="AA513" s="202"/>
    </row>
    <row r="514" spans="2:27" x14ac:dyDescent="0.15">
      <c r="B514" s="241">
        <v>43409</v>
      </c>
      <c r="C514" s="244"/>
      <c r="D514" s="245">
        <v>59.147568</v>
      </c>
      <c r="E514" s="228">
        <f t="shared" si="42"/>
        <v>5.4760152321173816E-3</v>
      </c>
      <c r="F514" s="228"/>
      <c r="G514" s="245">
        <v>168.11923200000001</v>
      </c>
      <c r="H514" s="228">
        <f t="shared" si="43"/>
        <v>-1.2172183711006701E-2</v>
      </c>
      <c r="J514" s="227"/>
      <c r="K514" s="245">
        <v>35.377132000000003</v>
      </c>
      <c r="L514" s="228">
        <f t="shared" si="44"/>
        <v>-7.7359953146083349E-3</v>
      </c>
      <c r="M514" s="228"/>
      <c r="N514" s="227"/>
      <c r="O514" s="322">
        <v>34.32</v>
      </c>
      <c r="P514" s="228">
        <f t="shared" si="45"/>
        <v>-2.6935072299404617E-2</v>
      </c>
      <c r="Q514" s="228"/>
      <c r="R514" s="227"/>
      <c r="S514" s="322">
        <v>147.61000100000001</v>
      </c>
      <c r="T514" s="228">
        <f t="shared" si="46"/>
        <v>-2.5740836437886494E-2</v>
      </c>
      <c r="U514" s="228"/>
      <c r="V514" s="228"/>
      <c r="W514" s="228"/>
      <c r="X514" s="322">
        <v>92.510002</v>
      </c>
      <c r="Y514" s="228">
        <f t="shared" si="47"/>
        <v>-8.3610139526100191E-3</v>
      </c>
      <c r="Z514" s="228"/>
      <c r="AA514" s="202"/>
    </row>
    <row r="515" spans="2:27" x14ac:dyDescent="0.15">
      <c r="B515" s="241">
        <v>43410</v>
      </c>
      <c r="C515" s="244"/>
      <c r="D515" s="245">
        <v>59.517063</v>
      </c>
      <c r="E515" s="228">
        <f t="shared" si="42"/>
        <v>6.2470024126775048E-3</v>
      </c>
      <c r="F515" s="228"/>
      <c r="G515" s="245">
        <v>172.56388899999999</v>
      </c>
      <c r="H515" s="228">
        <f t="shared" si="43"/>
        <v>2.6437528574957847E-2</v>
      </c>
      <c r="J515" s="227"/>
      <c r="K515" s="245">
        <v>35.606976000000003</v>
      </c>
      <c r="L515" s="228">
        <f t="shared" si="44"/>
        <v>6.4969653277715533E-3</v>
      </c>
      <c r="M515" s="228"/>
      <c r="N515" s="227"/>
      <c r="O515" s="322">
        <v>34.869999</v>
      </c>
      <c r="P515" s="228">
        <f t="shared" si="45"/>
        <v>1.6025611888111913E-2</v>
      </c>
      <c r="Q515" s="228"/>
      <c r="R515" s="227"/>
      <c r="S515" s="322">
        <v>152.070007</v>
      </c>
      <c r="T515" s="228">
        <f t="shared" si="46"/>
        <v>3.0214795540852268E-2</v>
      </c>
      <c r="U515" s="228"/>
      <c r="V515" s="228"/>
      <c r="W515" s="228"/>
      <c r="X515" s="322">
        <v>95.050003000000004</v>
      </c>
      <c r="Y515" s="228">
        <f t="shared" si="47"/>
        <v>2.7456501406194045E-2</v>
      </c>
      <c r="Z515" s="228"/>
      <c r="AA515" s="202"/>
    </row>
    <row r="516" spans="2:27" x14ac:dyDescent="0.15">
      <c r="B516" s="241">
        <v>43411</v>
      </c>
      <c r="C516" s="244"/>
      <c r="D516" s="245">
        <v>60.720280000000002</v>
      </c>
      <c r="E516" s="228">
        <f t="shared" si="42"/>
        <v>2.0216336951976333E-2</v>
      </c>
      <c r="F516" s="228"/>
      <c r="G516" s="245">
        <v>172.554169</v>
      </c>
      <c r="H516" s="228">
        <f t="shared" si="43"/>
        <v>-5.6326964211983466E-5</v>
      </c>
      <c r="J516" s="227"/>
      <c r="K516" s="245">
        <v>36.020690999999999</v>
      </c>
      <c r="L516" s="228">
        <f t="shared" si="44"/>
        <v>1.1618931076876615E-2</v>
      </c>
      <c r="M516" s="228"/>
      <c r="N516" s="227"/>
      <c r="O516" s="322">
        <v>35.25</v>
      </c>
      <c r="P516" s="228">
        <f t="shared" si="45"/>
        <v>1.0897648720896047E-2</v>
      </c>
      <c r="Q516" s="228"/>
      <c r="R516" s="227"/>
      <c r="S516" s="322">
        <v>151.69000199999999</v>
      </c>
      <c r="T516" s="228">
        <f t="shared" si="46"/>
        <v>-2.4988819787455929E-3</v>
      </c>
      <c r="U516" s="228"/>
      <c r="V516" s="228"/>
      <c r="W516" s="228"/>
      <c r="X516" s="322">
        <v>96.510002</v>
      </c>
      <c r="Y516" s="228">
        <f t="shared" si="47"/>
        <v>1.5360325659326879E-2</v>
      </c>
      <c r="Z516" s="228"/>
      <c r="AA516" s="202"/>
    </row>
    <row r="517" spans="2:27" x14ac:dyDescent="0.15">
      <c r="B517" s="241">
        <v>43412</v>
      </c>
      <c r="C517" s="244"/>
      <c r="D517" s="245">
        <v>60.606597999999998</v>
      </c>
      <c r="E517" s="228">
        <f t="shared" si="42"/>
        <v>-1.8722245681345173E-3</v>
      </c>
      <c r="F517" s="228"/>
      <c r="G517" s="245">
        <v>170.19082599999999</v>
      </c>
      <c r="H517" s="228">
        <f t="shared" si="43"/>
        <v>-1.3696238194047972E-2</v>
      </c>
      <c r="J517" s="227"/>
      <c r="K517" s="245">
        <v>35.579399000000002</v>
      </c>
      <c r="L517" s="228">
        <f t="shared" si="44"/>
        <v>-1.2251069808738468E-2</v>
      </c>
      <c r="M517" s="228"/>
      <c r="N517" s="227"/>
      <c r="O517" s="322">
        <v>34.939999</v>
      </c>
      <c r="P517" s="228">
        <f t="shared" si="45"/>
        <v>-8.7943546099290559E-3</v>
      </c>
      <c r="Q517" s="228"/>
      <c r="R517" s="227"/>
      <c r="S517" s="322">
        <v>151.679993</v>
      </c>
      <c r="T517" s="228">
        <f t="shared" si="46"/>
        <v>-6.598325445339448E-5</v>
      </c>
      <c r="U517" s="228"/>
      <c r="V517" s="228"/>
      <c r="W517" s="228"/>
      <c r="X517" s="322">
        <v>97.050003000000004</v>
      </c>
      <c r="Y517" s="228">
        <f t="shared" si="47"/>
        <v>5.5952853466938457E-3</v>
      </c>
      <c r="Z517" s="228"/>
      <c r="AA517" s="202"/>
    </row>
    <row r="518" spans="2:27" x14ac:dyDescent="0.15">
      <c r="B518" s="241">
        <v>43413</v>
      </c>
      <c r="C518" s="244"/>
      <c r="D518" s="245">
        <v>59.981293000000001</v>
      </c>
      <c r="E518" s="228">
        <f t="shared" si="42"/>
        <v>-1.031744101525045E-2</v>
      </c>
      <c r="F518" s="228"/>
      <c r="G518" s="245">
        <v>170.686813</v>
      </c>
      <c r="H518" s="228">
        <f t="shared" si="43"/>
        <v>2.9142992701616244E-3</v>
      </c>
      <c r="J518" s="227"/>
      <c r="K518" s="245">
        <v>35.000197999999997</v>
      </c>
      <c r="L518" s="228">
        <f t="shared" si="44"/>
        <v>-1.6279111403765034E-2</v>
      </c>
      <c r="M518" s="228"/>
      <c r="N518" s="227"/>
      <c r="O518" s="322">
        <v>34.279998999999997</v>
      </c>
      <c r="P518" s="228">
        <f t="shared" si="45"/>
        <v>-1.8889525440455857E-2</v>
      </c>
      <c r="Q518" s="228"/>
      <c r="R518" s="227"/>
      <c r="S518" s="322">
        <v>147.85000600000001</v>
      </c>
      <c r="T518" s="228">
        <f t="shared" si="46"/>
        <v>-2.5250442884711788E-2</v>
      </c>
      <c r="U518" s="228"/>
      <c r="V518" s="228"/>
      <c r="W518" s="228"/>
      <c r="X518" s="322">
        <v>95.279999000000004</v>
      </c>
      <c r="Y518" s="228">
        <f t="shared" si="47"/>
        <v>-1.8238062290425683E-2</v>
      </c>
      <c r="Z518" s="228"/>
      <c r="AA518" s="202"/>
    </row>
    <row r="519" spans="2:27" x14ac:dyDescent="0.15">
      <c r="B519" s="241">
        <v>43416</v>
      </c>
      <c r="C519" s="244"/>
      <c r="D519" s="245">
        <v>58.825439000000003</v>
      </c>
      <c r="E519" s="228">
        <f t="shared" si="42"/>
        <v>-1.9270241473454019E-2</v>
      </c>
      <c r="F519" s="228"/>
      <c r="G519" s="245">
        <v>164.365082</v>
      </c>
      <c r="H519" s="228">
        <f t="shared" si="43"/>
        <v>-3.7037020545928168E-2</v>
      </c>
      <c r="J519" s="227"/>
      <c r="K519" s="245">
        <v>34.071640000000002</v>
      </c>
      <c r="L519" s="228">
        <f t="shared" si="44"/>
        <v>-2.653007848698441E-2</v>
      </c>
      <c r="M519" s="228"/>
      <c r="N519" s="227"/>
      <c r="O519" s="322">
        <v>32.619999</v>
      </c>
      <c r="P519" s="228">
        <f t="shared" si="45"/>
        <v>-4.8424738868866224E-2</v>
      </c>
      <c r="Q519" s="228"/>
      <c r="R519" s="227"/>
      <c r="S519" s="322">
        <v>142.91000399999999</v>
      </c>
      <c r="T519" s="228">
        <f t="shared" si="46"/>
        <v>-3.3412254308599953E-2</v>
      </c>
      <c r="U519" s="228"/>
      <c r="V519" s="228"/>
      <c r="W519" s="228"/>
      <c r="X519" s="322">
        <v>92.290001000000004</v>
      </c>
      <c r="Y519" s="228">
        <f t="shared" si="47"/>
        <v>-3.138117161399212E-2</v>
      </c>
      <c r="Z519" s="228"/>
      <c r="AA519" s="202"/>
    </row>
    <row r="520" spans="2:27" x14ac:dyDescent="0.15">
      <c r="B520" s="241">
        <v>43417</v>
      </c>
      <c r="C520" s="244"/>
      <c r="D520" s="245">
        <v>58.740172999999999</v>
      </c>
      <c r="E520" s="228">
        <f t="shared" si="42"/>
        <v>-1.4494749456949174E-3</v>
      </c>
      <c r="F520" s="228"/>
      <c r="G520" s="245">
        <v>166.20327800000001</v>
      </c>
      <c r="H520" s="228">
        <f t="shared" si="43"/>
        <v>1.1183616237906424E-2</v>
      </c>
      <c r="J520" s="227"/>
      <c r="K520" s="245">
        <v>34.384224000000003</v>
      </c>
      <c r="L520" s="228">
        <f t="shared" si="44"/>
        <v>9.1743162348509877E-3</v>
      </c>
      <c r="M520" s="228"/>
      <c r="N520" s="227"/>
      <c r="O520" s="322">
        <v>33.490001999999997</v>
      </c>
      <c r="P520" s="228">
        <f t="shared" si="45"/>
        <v>2.6670846924305547E-2</v>
      </c>
      <c r="Q520" s="228"/>
      <c r="R520" s="227"/>
      <c r="S520" s="322">
        <v>143.949997</v>
      </c>
      <c r="T520" s="228">
        <f t="shared" si="46"/>
        <v>7.2772582106988004E-3</v>
      </c>
      <c r="U520" s="228"/>
      <c r="V520" s="228"/>
      <c r="W520" s="228"/>
      <c r="X520" s="322">
        <v>93.419998000000007</v>
      </c>
      <c r="Y520" s="228">
        <f t="shared" si="47"/>
        <v>1.2243980797009613E-2</v>
      </c>
      <c r="Z520" s="228"/>
      <c r="AA520" s="202"/>
    </row>
    <row r="521" spans="2:27" x14ac:dyDescent="0.15">
      <c r="B521" s="241">
        <v>43418</v>
      </c>
      <c r="C521" s="244"/>
      <c r="D521" s="245">
        <v>58.285407999999997</v>
      </c>
      <c r="E521" s="228">
        <f t="shared" ref="E521:E584" si="48">D521/D520-1</f>
        <v>-7.7419758365370184E-3</v>
      </c>
      <c r="F521" s="228"/>
      <c r="G521" s="245">
        <v>167.992783</v>
      </c>
      <c r="H521" s="228">
        <f t="shared" ref="H521:H584" si="49">G521/G520-1</f>
        <v>1.0766965739388068E-2</v>
      </c>
      <c r="J521" s="227"/>
      <c r="K521" s="245">
        <v>34.788738000000002</v>
      </c>
      <c r="L521" s="228">
        <f t="shared" ref="L521:L584" si="50">K521/K520-1</f>
        <v>1.1764523172022034E-2</v>
      </c>
      <c r="M521" s="228"/>
      <c r="N521" s="227"/>
      <c r="O521" s="322">
        <v>33.580002</v>
      </c>
      <c r="P521" s="228">
        <f t="shared" ref="P521:P584" si="51">O521/O520-1</f>
        <v>2.6873692035014329E-3</v>
      </c>
      <c r="Q521" s="228"/>
      <c r="R521" s="227"/>
      <c r="S521" s="322">
        <v>142.740005</v>
      </c>
      <c r="T521" s="228">
        <f t="shared" ref="T521:T584" si="52">S521/S520-1</f>
        <v>-8.4056410226948097E-3</v>
      </c>
      <c r="U521" s="228"/>
      <c r="V521" s="228"/>
      <c r="W521" s="228"/>
      <c r="X521" s="322">
        <v>92.32</v>
      </c>
      <c r="Y521" s="228">
        <f t="shared" ref="Y521:Y584" si="53">X521/X520-1</f>
        <v>-1.1774759404298174E-2</v>
      </c>
      <c r="Z521" s="228"/>
      <c r="AA521" s="202"/>
    </row>
    <row r="522" spans="2:27" x14ac:dyDescent="0.15">
      <c r="B522" s="241">
        <v>43419</v>
      </c>
      <c r="C522" s="244"/>
      <c r="D522" s="245">
        <v>58.967556000000002</v>
      </c>
      <c r="E522" s="228">
        <f t="shared" si="48"/>
        <v>1.1703581109014483E-2</v>
      </c>
      <c r="F522" s="228"/>
      <c r="G522" s="245">
        <v>171.941452</v>
      </c>
      <c r="H522" s="228">
        <f t="shared" si="49"/>
        <v>2.3504991878133152E-2</v>
      </c>
      <c r="J522" s="227"/>
      <c r="K522" s="245">
        <v>35.413910000000001</v>
      </c>
      <c r="L522" s="228">
        <f t="shared" si="50"/>
        <v>1.797052827843304E-2</v>
      </c>
      <c r="M522" s="228"/>
      <c r="N522" s="227"/>
      <c r="O522" s="322">
        <v>35.020000000000003</v>
      </c>
      <c r="P522" s="228">
        <f t="shared" si="51"/>
        <v>4.2882606141595891E-2</v>
      </c>
      <c r="Q522" s="228"/>
      <c r="R522" s="227"/>
      <c r="S522" s="322">
        <v>146.39999399999999</v>
      </c>
      <c r="T522" s="228">
        <f t="shared" si="52"/>
        <v>2.5640947679664183E-2</v>
      </c>
      <c r="U522" s="228"/>
      <c r="V522" s="228"/>
      <c r="W522" s="228"/>
      <c r="X522" s="322">
        <v>94.440002000000007</v>
      </c>
      <c r="Y522" s="228">
        <f t="shared" si="53"/>
        <v>2.2963626516464553E-2</v>
      </c>
      <c r="Z522" s="228"/>
      <c r="AA522" s="202"/>
    </row>
    <row r="523" spans="2:27" x14ac:dyDescent="0.15">
      <c r="B523" s="241">
        <v>43420</v>
      </c>
      <c r="C523" s="244"/>
      <c r="D523" s="245">
        <v>59.090716999999998</v>
      </c>
      <c r="E523" s="228">
        <f t="shared" si="48"/>
        <v>2.0886231065773142E-3</v>
      </c>
      <c r="F523" s="228"/>
      <c r="G523" s="245">
        <v>164.355377</v>
      </c>
      <c r="H523" s="228">
        <f t="shared" si="49"/>
        <v>-4.4120105488000605E-2</v>
      </c>
      <c r="J523" s="227"/>
      <c r="K523" s="245">
        <v>33.896957</v>
      </c>
      <c r="L523" s="228">
        <f t="shared" si="50"/>
        <v>-4.2834948188437805E-2</v>
      </c>
      <c r="M523" s="228"/>
      <c r="N523" s="227"/>
      <c r="O523" s="322">
        <v>35.400002000000001</v>
      </c>
      <c r="P523" s="228">
        <f t="shared" si="51"/>
        <v>1.0850999428897667E-2</v>
      </c>
      <c r="Q523" s="228"/>
      <c r="R523" s="227"/>
      <c r="S523" s="322">
        <v>148</v>
      </c>
      <c r="T523" s="228">
        <f t="shared" si="52"/>
        <v>1.0929003180150554E-2</v>
      </c>
      <c r="U523" s="228"/>
      <c r="V523" s="228"/>
      <c r="W523" s="228"/>
      <c r="X523" s="322">
        <v>96.900002000000001</v>
      </c>
      <c r="Y523" s="228">
        <f t="shared" si="53"/>
        <v>2.604828407352211E-2</v>
      </c>
      <c r="Z523" s="228"/>
      <c r="AA523" s="202"/>
    </row>
    <row r="524" spans="2:27" x14ac:dyDescent="0.15">
      <c r="B524" s="241">
        <v>43423</v>
      </c>
      <c r="C524" s="244"/>
      <c r="D524" s="245">
        <v>58.048557000000002</v>
      </c>
      <c r="E524" s="228">
        <f t="shared" si="48"/>
        <v>-1.763661117870674E-2</v>
      </c>
      <c r="F524" s="228"/>
      <c r="G524" s="245">
        <v>159.103455</v>
      </c>
      <c r="H524" s="228">
        <f t="shared" si="49"/>
        <v>-3.1954671005378854E-2</v>
      </c>
      <c r="J524" s="227"/>
      <c r="K524" s="245">
        <v>33.143078000000003</v>
      </c>
      <c r="L524" s="228">
        <f t="shared" si="50"/>
        <v>-2.2240314963965613E-2</v>
      </c>
      <c r="M524" s="228"/>
      <c r="N524" s="227"/>
      <c r="O524" s="322">
        <v>34.419998</v>
      </c>
      <c r="P524" s="228">
        <f t="shared" si="51"/>
        <v>-2.7683727249506962E-2</v>
      </c>
      <c r="Q524" s="228"/>
      <c r="R524" s="227"/>
      <c r="S524" s="322">
        <v>143.740005</v>
      </c>
      <c r="T524" s="228">
        <f t="shared" si="52"/>
        <v>-2.8783749999999997E-2</v>
      </c>
      <c r="U524" s="228"/>
      <c r="V524" s="228"/>
      <c r="W524" s="228"/>
      <c r="X524" s="322">
        <v>92.330001999999993</v>
      </c>
      <c r="Y524" s="228">
        <f t="shared" si="53"/>
        <v>-4.7162021730402071E-2</v>
      </c>
      <c r="Z524" s="228"/>
      <c r="AA524" s="202"/>
    </row>
    <row r="525" spans="2:27" x14ac:dyDescent="0.15">
      <c r="B525" s="241">
        <v>43424</v>
      </c>
      <c r="C525" s="244"/>
      <c r="D525" s="245">
        <v>57.015864999999998</v>
      </c>
      <c r="E525" s="228">
        <f t="shared" si="48"/>
        <v>-1.7790140760949535E-2</v>
      </c>
      <c r="F525" s="228"/>
      <c r="G525" s="245">
        <v>156.90545700000001</v>
      </c>
      <c r="H525" s="228">
        <f t="shared" si="49"/>
        <v>-1.3814897985716224E-2</v>
      </c>
      <c r="J525" s="227"/>
      <c r="K525" s="245">
        <v>32.76614</v>
      </c>
      <c r="L525" s="228">
        <f t="shared" si="50"/>
        <v>-1.1373053522669263E-2</v>
      </c>
      <c r="M525" s="228"/>
      <c r="N525" s="227"/>
      <c r="O525" s="322">
        <v>35.770000000000003</v>
      </c>
      <c r="P525" s="228">
        <f t="shared" si="51"/>
        <v>3.9221443301652892E-2</v>
      </c>
      <c r="Q525" s="228"/>
      <c r="R525" s="227"/>
      <c r="S525" s="322">
        <v>143.449997</v>
      </c>
      <c r="T525" s="228">
        <f t="shared" si="52"/>
        <v>-2.0175872402398154E-3</v>
      </c>
      <c r="U525" s="228"/>
      <c r="V525" s="228"/>
      <c r="W525" s="228"/>
      <c r="X525" s="322">
        <v>94.480002999999996</v>
      </c>
      <c r="Y525" s="228">
        <f t="shared" si="53"/>
        <v>2.3286049533498332E-2</v>
      </c>
      <c r="Z525" s="228"/>
      <c r="AA525" s="202"/>
    </row>
    <row r="526" spans="2:27" x14ac:dyDescent="0.15">
      <c r="B526" s="241">
        <v>43425</v>
      </c>
      <c r="C526" s="244"/>
      <c r="D526" s="245">
        <v>57.271670999999998</v>
      </c>
      <c r="E526" s="228">
        <f t="shared" si="48"/>
        <v>4.4865757978065357E-3</v>
      </c>
      <c r="F526" s="228"/>
      <c r="G526" s="245">
        <v>159.41468800000001</v>
      </c>
      <c r="H526" s="228">
        <f t="shared" si="49"/>
        <v>1.5991993191160958E-2</v>
      </c>
      <c r="J526" s="227"/>
      <c r="K526" s="245">
        <v>33.253407000000003</v>
      </c>
      <c r="L526" s="228">
        <f t="shared" si="50"/>
        <v>1.487105286127699E-2</v>
      </c>
      <c r="M526" s="228"/>
      <c r="N526" s="227"/>
      <c r="O526" s="322">
        <v>35.189999</v>
      </c>
      <c r="P526" s="228">
        <f t="shared" si="51"/>
        <v>-1.6214733016494343E-2</v>
      </c>
      <c r="Q526" s="228"/>
      <c r="R526" s="227"/>
      <c r="S526" s="322">
        <v>144.520004</v>
      </c>
      <c r="T526" s="228">
        <f t="shared" si="52"/>
        <v>7.4590939168859283E-3</v>
      </c>
      <c r="U526" s="228"/>
      <c r="V526" s="228"/>
      <c r="W526" s="228"/>
      <c r="X526" s="322">
        <v>94.739998</v>
      </c>
      <c r="Y526" s="228">
        <f t="shared" si="53"/>
        <v>2.7518521564822152E-3</v>
      </c>
      <c r="Z526" s="228"/>
      <c r="AA526" s="202"/>
    </row>
    <row r="527" spans="2:27" x14ac:dyDescent="0.15">
      <c r="B527" s="241">
        <v>43427</v>
      </c>
      <c r="C527" s="244"/>
      <c r="D527" s="245">
        <v>56.996913999999997</v>
      </c>
      <c r="E527" s="228">
        <f t="shared" si="48"/>
        <v>-4.7974329228145374E-3</v>
      </c>
      <c r="F527" s="228"/>
      <c r="G527" s="245">
        <v>159.17155500000001</v>
      </c>
      <c r="H527" s="228">
        <f t="shared" si="49"/>
        <v>-1.5251605924794243E-3</v>
      </c>
      <c r="J527" s="227"/>
      <c r="K527" s="245">
        <v>33.060336999999997</v>
      </c>
      <c r="L527" s="228">
        <f t="shared" si="50"/>
        <v>-5.8060216205817472E-3</v>
      </c>
      <c r="M527" s="228"/>
      <c r="N527" s="227"/>
      <c r="O527" s="322">
        <v>35.049999</v>
      </c>
      <c r="P527" s="228">
        <f t="shared" si="51"/>
        <v>-3.9784030684399951E-3</v>
      </c>
      <c r="Q527" s="228"/>
      <c r="R527" s="227"/>
      <c r="S527" s="322">
        <v>143.94000199999999</v>
      </c>
      <c r="T527" s="228">
        <f t="shared" si="52"/>
        <v>-4.0132990862635776E-3</v>
      </c>
      <c r="U527" s="228"/>
      <c r="V527" s="228"/>
      <c r="W527" s="228"/>
      <c r="X527" s="322">
        <v>94.309997999999993</v>
      </c>
      <c r="Y527" s="228">
        <f t="shared" si="53"/>
        <v>-4.5387376934502566E-3</v>
      </c>
      <c r="Z527" s="228"/>
      <c r="AA527" s="202"/>
    </row>
    <row r="528" spans="2:27" x14ac:dyDescent="0.15">
      <c r="B528" s="241">
        <v>43430</v>
      </c>
      <c r="C528" s="244"/>
      <c r="D528" s="245">
        <v>57.859070000000003</v>
      </c>
      <c r="E528" s="228">
        <f t="shared" si="48"/>
        <v>1.5126362806239024E-2</v>
      </c>
      <c r="F528" s="228"/>
      <c r="G528" s="245">
        <v>162.83813499999999</v>
      </c>
      <c r="H528" s="228">
        <f t="shared" si="49"/>
        <v>2.3035397247956668E-2</v>
      </c>
      <c r="J528" s="227"/>
      <c r="K528" s="245">
        <v>33.869380999999997</v>
      </c>
      <c r="L528" s="228">
        <f t="shared" si="50"/>
        <v>2.4471740865799507E-2</v>
      </c>
      <c r="M528" s="228"/>
      <c r="N528" s="227"/>
      <c r="O528" s="322">
        <v>36.009998000000003</v>
      </c>
      <c r="P528" s="228">
        <f t="shared" si="51"/>
        <v>2.7389415902693948E-2</v>
      </c>
      <c r="Q528" s="228"/>
      <c r="R528" s="227"/>
      <c r="S528" s="322">
        <v>146.800003</v>
      </c>
      <c r="T528" s="228">
        <f t="shared" si="52"/>
        <v>1.9869396694881303E-2</v>
      </c>
      <c r="U528" s="228"/>
      <c r="V528" s="228"/>
      <c r="W528" s="228"/>
      <c r="X528" s="322">
        <v>95.830001999999993</v>
      </c>
      <c r="Y528" s="228">
        <f t="shared" si="53"/>
        <v>1.6117103512185427E-2</v>
      </c>
      <c r="Z528" s="228"/>
      <c r="AA528" s="202"/>
    </row>
    <row r="529" spans="2:27" x14ac:dyDescent="0.15">
      <c r="B529" s="241">
        <v>43431</v>
      </c>
      <c r="C529" s="244"/>
      <c r="D529" s="245">
        <v>57.972766999999997</v>
      </c>
      <c r="E529" s="228">
        <f t="shared" si="48"/>
        <v>1.9650678795908316E-3</v>
      </c>
      <c r="F529" s="228"/>
      <c r="G529" s="245">
        <v>162.81871000000001</v>
      </c>
      <c r="H529" s="228">
        <f t="shared" si="49"/>
        <v>-1.1929023873913369E-4</v>
      </c>
      <c r="J529" s="227"/>
      <c r="K529" s="245">
        <v>33.832599999999999</v>
      </c>
      <c r="L529" s="228">
        <f t="shared" si="50"/>
        <v>-1.0859661119876352E-3</v>
      </c>
      <c r="M529" s="228"/>
      <c r="N529" s="227"/>
      <c r="O529" s="322">
        <v>36</v>
      </c>
      <c r="P529" s="228">
        <f t="shared" si="51"/>
        <v>-2.7764511400429903E-4</v>
      </c>
      <c r="Q529" s="228"/>
      <c r="R529" s="227"/>
      <c r="S529" s="322">
        <v>146.83000200000001</v>
      </c>
      <c r="T529" s="228">
        <f t="shared" si="52"/>
        <v>2.0435285685937998E-4</v>
      </c>
      <c r="U529" s="228"/>
      <c r="V529" s="228"/>
      <c r="W529" s="228"/>
      <c r="X529" s="322">
        <v>96.330001999999993</v>
      </c>
      <c r="Y529" s="228">
        <f t="shared" si="53"/>
        <v>5.2175726762480057E-3</v>
      </c>
      <c r="Z529" s="228"/>
      <c r="AA529" s="202"/>
    </row>
    <row r="530" spans="2:27" x14ac:dyDescent="0.15">
      <c r="B530" s="241">
        <v>43432</v>
      </c>
      <c r="C530" s="244"/>
      <c r="D530" s="245">
        <v>59.299156000000004</v>
      </c>
      <c r="E530" s="228">
        <f t="shared" si="48"/>
        <v>2.2879518584993708E-2</v>
      </c>
      <c r="F530" s="228"/>
      <c r="G530" s="245">
        <v>169.52948000000001</v>
      </c>
      <c r="H530" s="228">
        <f t="shared" si="49"/>
        <v>4.1216209119946834E-2</v>
      </c>
      <c r="J530" s="227"/>
      <c r="K530" s="245">
        <v>34.945034</v>
      </c>
      <c r="L530" s="228">
        <f t="shared" si="50"/>
        <v>3.2880535341652806E-2</v>
      </c>
      <c r="M530" s="228"/>
      <c r="N530" s="227"/>
      <c r="O530" s="322">
        <v>37.110000999999997</v>
      </c>
      <c r="P530" s="228">
        <f t="shared" si="51"/>
        <v>3.0833361111111124E-2</v>
      </c>
      <c r="Q530" s="228"/>
      <c r="R530" s="227"/>
      <c r="S530" s="322">
        <v>153.83999600000001</v>
      </c>
      <c r="T530" s="228">
        <f t="shared" si="52"/>
        <v>4.7742245484679646E-2</v>
      </c>
      <c r="U530" s="228"/>
      <c r="V530" s="228"/>
      <c r="W530" s="228"/>
      <c r="X530" s="322">
        <v>98.730002999999996</v>
      </c>
      <c r="Y530" s="228">
        <f t="shared" si="53"/>
        <v>2.4914366761873419E-2</v>
      </c>
      <c r="Z530" s="228"/>
      <c r="AA530" s="202"/>
    </row>
    <row r="531" spans="2:27" x14ac:dyDescent="0.15">
      <c r="B531" s="241">
        <v>43433</v>
      </c>
      <c r="C531" s="244"/>
      <c r="D531" s="245">
        <v>59.194935000000001</v>
      </c>
      <c r="E531" s="228">
        <f t="shared" si="48"/>
        <v>-1.7575460939107668E-3</v>
      </c>
      <c r="F531" s="228"/>
      <c r="G531" s="245">
        <v>166.81601000000001</v>
      </c>
      <c r="H531" s="228">
        <f t="shared" si="49"/>
        <v>-1.6005888769316079E-2</v>
      </c>
      <c r="J531" s="227"/>
      <c r="K531" s="245">
        <v>34.871490000000001</v>
      </c>
      <c r="L531" s="228">
        <f t="shared" si="50"/>
        <v>-2.1045622677029474E-3</v>
      </c>
      <c r="M531" s="228"/>
      <c r="N531" s="227"/>
      <c r="O531" s="322">
        <v>36.540000999999997</v>
      </c>
      <c r="P531" s="228">
        <f t="shared" si="51"/>
        <v>-1.5359740895722451E-2</v>
      </c>
      <c r="Q531" s="228"/>
      <c r="R531" s="227"/>
      <c r="S531" s="322">
        <v>152.75</v>
      </c>
      <c r="T531" s="228">
        <f t="shared" si="52"/>
        <v>-7.0852575945206109E-3</v>
      </c>
      <c r="U531" s="228"/>
      <c r="V531" s="228"/>
      <c r="W531" s="228"/>
      <c r="X531" s="322">
        <v>96.690002000000007</v>
      </c>
      <c r="Y531" s="228">
        <f t="shared" si="53"/>
        <v>-2.0662422141321968E-2</v>
      </c>
      <c r="Z531" s="228"/>
      <c r="AA531" s="202"/>
    </row>
    <row r="532" spans="2:27" x14ac:dyDescent="0.15">
      <c r="B532" s="241">
        <v>43434</v>
      </c>
      <c r="C532" s="244"/>
      <c r="D532" s="245">
        <v>59.602322000000001</v>
      </c>
      <c r="E532" s="228">
        <f t="shared" si="48"/>
        <v>6.8821259791906897E-3</v>
      </c>
      <c r="F532" s="228"/>
      <c r="G532" s="245">
        <v>166.65065000000001</v>
      </c>
      <c r="H532" s="228">
        <f t="shared" si="49"/>
        <v>-9.912717610257582E-4</v>
      </c>
      <c r="J532" s="227"/>
      <c r="K532" s="245">
        <v>34.558903000000001</v>
      </c>
      <c r="L532" s="228">
        <f t="shared" si="50"/>
        <v>-8.9639702805931476E-3</v>
      </c>
      <c r="M532" s="228"/>
      <c r="N532" s="227"/>
      <c r="O532" s="322">
        <v>37.279998999999997</v>
      </c>
      <c r="P532" s="228">
        <f t="shared" si="51"/>
        <v>2.0251723583696757E-2</v>
      </c>
      <c r="Q532" s="228"/>
      <c r="R532" s="227"/>
      <c r="S532" s="322">
        <v>156.96000699999999</v>
      </c>
      <c r="T532" s="228">
        <f t="shared" si="52"/>
        <v>2.7561420621931232E-2</v>
      </c>
      <c r="U532" s="228"/>
      <c r="V532" s="228"/>
      <c r="W532" s="228"/>
      <c r="X532" s="322">
        <v>98.559997999999993</v>
      </c>
      <c r="Y532" s="228">
        <f t="shared" si="53"/>
        <v>1.9340117502531395E-2</v>
      </c>
      <c r="Z532" s="228"/>
      <c r="AA532" s="202"/>
    </row>
    <row r="533" spans="2:27" x14ac:dyDescent="0.15">
      <c r="B533" s="241">
        <v>43437</v>
      </c>
      <c r="C533" s="244"/>
      <c r="D533" s="245">
        <v>60.331840999999997</v>
      </c>
      <c r="E533" s="228">
        <f t="shared" si="48"/>
        <v>1.2239774819511107E-2</v>
      </c>
      <c r="F533" s="228"/>
      <c r="G533" s="245">
        <v>172.78758199999999</v>
      </c>
      <c r="H533" s="228">
        <f t="shared" si="49"/>
        <v>3.6825130895078884E-2</v>
      </c>
      <c r="J533" s="227"/>
      <c r="K533" s="245">
        <v>35.606976000000003</v>
      </c>
      <c r="L533" s="228">
        <f t="shared" si="50"/>
        <v>3.0327148983866792E-2</v>
      </c>
      <c r="M533" s="228"/>
      <c r="N533" s="227"/>
      <c r="O533" s="322">
        <v>38.340000000000003</v>
      </c>
      <c r="P533" s="228">
        <f t="shared" si="51"/>
        <v>2.8433503981585506E-2</v>
      </c>
      <c r="Q533" s="228"/>
      <c r="R533" s="227"/>
      <c r="S533" s="322">
        <v>161.020004</v>
      </c>
      <c r="T533" s="228">
        <f t="shared" si="52"/>
        <v>2.5866442526343736E-2</v>
      </c>
      <c r="U533" s="228"/>
      <c r="V533" s="228"/>
      <c r="W533" s="228"/>
      <c r="X533" s="322">
        <v>101.150002</v>
      </c>
      <c r="Y533" s="228">
        <f t="shared" si="53"/>
        <v>2.6278450208572446E-2</v>
      </c>
      <c r="Z533" s="228"/>
      <c r="AA533" s="202"/>
    </row>
    <row r="534" spans="2:27" x14ac:dyDescent="0.15">
      <c r="B534" s="241">
        <v>43438</v>
      </c>
      <c r="C534" s="244"/>
      <c r="D534" s="245">
        <v>58.370677999999998</v>
      </c>
      <c r="E534" s="228">
        <f t="shared" si="48"/>
        <v>-3.250626812465407E-2</v>
      </c>
      <c r="F534" s="228"/>
      <c r="G534" s="245">
        <v>164.98753400000001</v>
      </c>
      <c r="H534" s="228">
        <f t="shared" si="49"/>
        <v>-4.5142410754957951E-2</v>
      </c>
      <c r="J534" s="227"/>
      <c r="K534" s="245">
        <v>34.420994</v>
      </c>
      <c r="L534" s="228">
        <f t="shared" si="50"/>
        <v>-3.3307574335995405E-2</v>
      </c>
      <c r="M534" s="228"/>
      <c r="N534" s="227"/>
      <c r="O534" s="322">
        <v>35.43</v>
      </c>
      <c r="P534" s="228">
        <f t="shared" si="51"/>
        <v>-7.5899843505477405E-2</v>
      </c>
      <c r="Q534" s="228"/>
      <c r="R534" s="227"/>
      <c r="S534" s="322">
        <v>149.69000199999999</v>
      </c>
      <c r="T534" s="228">
        <f t="shared" si="52"/>
        <v>-7.0363940619452503E-2</v>
      </c>
      <c r="U534" s="228"/>
      <c r="V534" s="228"/>
      <c r="W534" s="228"/>
      <c r="X534" s="322">
        <v>95.919998000000007</v>
      </c>
      <c r="Y534" s="228">
        <f t="shared" si="53"/>
        <v>-5.1705426560446299E-2</v>
      </c>
      <c r="Z534" s="228"/>
      <c r="AA534" s="202"/>
    </row>
    <row r="535" spans="2:27" x14ac:dyDescent="0.15">
      <c r="B535" s="241">
        <v>43440</v>
      </c>
      <c r="C535" s="244"/>
      <c r="D535" s="245">
        <v>58.247509000000001</v>
      </c>
      <c r="E535" s="228">
        <f t="shared" si="48"/>
        <v>-2.1101176861436644E-3</v>
      </c>
      <c r="F535" s="228"/>
      <c r="G535" s="245">
        <v>161.787766</v>
      </c>
      <c r="H535" s="228">
        <f t="shared" si="49"/>
        <v>-1.93939985793109E-2</v>
      </c>
      <c r="J535" s="227"/>
      <c r="K535" s="245">
        <v>33.887768000000001</v>
      </c>
      <c r="L535" s="228">
        <f t="shared" si="50"/>
        <v>-1.5491301616681885E-2</v>
      </c>
      <c r="M535" s="228"/>
      <c r="N535" s="227"/>
      <c r="O535" s="322">
        <v>34.689999</v>
      </c>
      <c r="P535" s="228">
        <f t="shared" si="51"/>
        <v>-2.0886282811176993E-2</v>
      </c>
      <c r="Q535" s="228"/>
      <c r="R535" s="227"/>
      <c r="S535" s="322">
        <v>145.729996</v>
      </c>
      <c r="T535" s="228">
        <f t="shared" si="52"/>
        <v>-2.6454712720225593E-2</v>
      </c>
      <c r="U535" s="228"/>
      <c r="V535" s="228"/>
      <c r="W535" s="228"/>
      <c r="X535" s="322">
        <v>95.559997999999993</v>
      </c>
      <c r="Y535" s="228">
        <f t="shared" si="53"/>
        <v>-3.7531276845941264E-3</v>
      </c>
      <c r="Z535" s="228"/>
      <c r="AA535" s="202"/>
    </row>
    <row r="536" spans="2:27" x14ac:dyDescent="0.15">
      <c r="B536" s="241">
        <v>43441</v>
      </c>
      <c r="C536" s="244"/>
      <c r="D536" s="245">
        <v>56.930594999999997</v>
      </c>
      <c r="E536" s="228">
        <f t="shared" si="48"/>
        <v>-2.2608932512461655E-2</v>
      </c>
      <c r="F536" s="228"/>
      <c r="G536" s="245">
        <v>155.15481600000001</v>
      </c>
      <c r="H536" s="228">
        <f t="shared" si="49"/>
        <v>-4.099784652443994E-2</v>
      </c>
      <c r="J536" s="227"/>
      <c r="K536" s="245">
        <v>33.575184</v>
      </c>
      <c r="L536" s="228">
        <f t="shared" si="50"/>
        <v>-9.2240952546653876E-3</v>
      </c>
      <c r="M536" s="228"/>
      <c r="N536" s="227"/>
      <c r="O536" s="322">
        <v>33.639999000000003</v>
      </c>
      <c r="P536" s="228">
        <f t="shared" si="51"/>
        <v>-3.0268089658924358E-2</v>
      </c>
      <c r="Q536" s="228"/>
      <c r="R536" s="227"/>
      <c r="S536" s="322">
        <v>138.029999</v>
      </c>
      <c r="T536" s="228">
        <f t="shared" si="52"/>
        <v>-5.2837419963972287E-2</v>
      </c>
      <c r="U536" s="228"/>
      <c r="V536" s="228"/>
      <c r="W536" s="228"/>
      <c r="X536" s="322">
        <v>92.190002000000007</v>
      </c>
      <c r="Y536" s="228">
        <f t="shared" si="53"/>
        <v>-3.5265760470191587E-2</v>
      </c>
      <c r="Z536" s="228"/>
      <c r="AA536" s="202"/>
    </row>
    <row r="537" spans="2:27" x14ac:dyDescent="0.15">
      <c r="B537" s="241">
        <v>43444</v>
      </c>
      <c r="C537" s="244"/>
      <c r="D537" s="245">
        <v>56.949547000000003</v>
      </c>
      <c r="E537" s="228">
        <f t="shared" si="48"/>
        <v>3.3289657345059176E-4</v>
      </c>
      <c r="F537" s="228"/>
      <c r="G537" s="245">
        <v>156.983261</v>
      </c>
      <c r="H537" s="228">
        <f t="shared" si="49"/>
        <v>1.1784648695661426E-2</v>
      </c>
      <c r="J537" s="227"/>
      <c r="K537" s="245">
        <v>33.492435</v>
      </c>
      <c r="L537" s="228">
        <f t="shared" si="50"/>
        <v>-2.4645881315199514E-3</v>
      </c>
      <c r="M537" s="228"/>
      <c r="N537" s="227"/>
      <c r="O537" s="322">
        <v>34.169998</v>
      </c>
      <c r="P537" s="228">
        <f t="shared" si="51"/>
        <v>1.5755024249554772E-2</v>
      </c>
      <c r="Q537" s="228"/>
      <c r="R537" s="227"/>
      <c r="S537" s="322">
        <v>137.820007</v>
      </c>
      <c r="T537" s="228">
        <f t="shared" si="52"/>
        <v>-1.5213504420875656E-3</v>
      </c>
      <c r="U537" s="228"/>
      <c r="V537" s="228"/>
      <c r="W537" s="228"/>
      <c r="X537" s="322">
        <v>92.279999000000004</v>
      </c>
      <c r="Y537" s="228">
        <f t="shared" si="53"/>
        <v>9.7621214933907297E-4</v>
      </c>
      <c r="Z537" s="228"/>
      <c r="AA537" s="202"/>
    </row>
    <row r="538" spans="2:27" x14ac:dyDescent="0.15">
      <c r="B538" s="241">
        <v>43445</v>
      </c>
      <c r="C538" s="244"/>
      <c r="D538" s="245">
        <v>56.940066999999999</v>
      </c>
      <c r="E538" s="228">
        <f t="shared" si="48"/>
        <v>-1.664631327094046E-4</v>
      </c>
      <c r="F538" s="228"/>
      <c r="G538" s="245">
        <v>157.04162600000001</v>
      </c>
      <c r="H538" s="228">
        <f t="shared" si="49"/>
        <v>3.7179123193276098E-4</v>
      </c>
      <c r="J538" s="227"/>
      <c r="K538" s="245">
        <v>33.740665</v>
      </c>
      <c r="L538" s="228">
        <f t="shared" si="50"/>
        <v>7.4115244233510236E-3</v>
      </c>
      <c r="M538" s="228"/>
      <c r="N538" s="227"/>
      <c r="O538" s="322">
        <v>34.020000000000003</v>
      </c>
      <c r="P538" s="228">
        <f t="shared" si="51"/>
        <v>-4.3897573538048684E-3</v>
      </c>
      <c r="Q538" s="228"/>
      <c r="R538" s="227"/>
      <c r="S538" s="322">
        <v>138.28999300000001</v>
      </c>
      <c r="T538" s="228">
        <f t="shared" si="52"/>
        <v>3.4101434924467267E-3</v>
      </c>
      <c r="U538" s="228"/>
      <c r="V538" s="228"/>
      <c r="W538" s="228"/>
      <c r="X538" s="322">
        <v>92.730002999999996</v>
      </c>
      <c r="Y538" s="228">
        <f t="shared" si="53"/>
        <v>4.8765063380635798E-3</v>
      </c>
      <c r="Z538" s="228"/>
      <c r="AA538" s="202"/>
    </row>
    <row r="539" spans="2:27" x14ac:dyDescent="0.15">
      <c r="B539" s="241">
        <v>43446</v>
      </c>
      <c r="C539" s="244"/>
      <c r="D539" s="245">
        <v>57.281146999999997</v>
      </c>
      <c r="E539" s="228">
        <f t="shared" si="48"/>
        <v>5.9901580375729679E-3</v>
      </c>
      <c r="F539" s="228"/>
      <c r="G539" s="245">
        <v>160.688751</v>
      </c>
      <c r="H539" s="228">
        <f t="shared" si="49"/>
        <v>2.3223938091420315E-2</v>
      </c>
      <c r="J539" s="227"/>
      <c r="K539" s="245">
        <v>34.365833000000002</v>
      </c>
      <c r="L539" s="228">
        <f t="shared" si="50"/>
        <v>1.8528621175664561E-2</v>
      </c>
      <c r="M539" s="228"/>
      <c r="N539" s="227"/>
      <c r="O539" s="322">
        <v>34.200001</v>
      </c>
      <c r="P539" s="228">
        <f t="shared" si="51"/>
        <v>5.2910346854790902E-3</v>
      </c>
      <c r="Q539" s="228"/>
      <c r="R539" s="227"/>
      <c r="S539" s="322">
        <v>138.449997</v>
      </c>
      <c r="T539" s="228">
        <f t="shared" si="52"/>
        <v>1.1570179195827812E-3</v>
      </c>
      <c r="U539" s="228"/>
      <c r="V539" s="228"/>
      <c r="W539" s="228"/>
      <c r="X539" s="322">
        <v>93.540001000000004</v>
      </c>
      <c r="Y539" s="228">
        <f t="shared" si="53"/>
        <v>8.7350153541998488E-3</v>
      </c>
      <c r="Z539" s="228"/>
      <c r="AA539" s="202"/>
    </row>
    <row r="540" spans="2:27" x14ac:dyDescent="0.15">
      <c r="B540" s="241">
        <v>43447</v>
      </c>
      <c r="C540" s="244"/>
      <c r="D540" s="245">
        <v>57.129555000000003</v>
      </c>
      <c r="E540" s="228">
        <f t="shared" si="48"/>
        <v>-2.6464553860975348E-3</v>
      </c>
      <c r="F540" s="228"/>
      <c r="G540" s="245">
        <v>159.58976699999999</v>
      </c>
      <c r="H540" s="228">
        <f t="shared" si="49"/>
        <v>-6.8392092984779218E-3</v>
      </c>
      <c r="J540" s="227"/>
      <c r="K540" s="245">
        <v>34.319870000000002</v>
      </c>
      <c r="L540" s="228">
        <f t="shared" si="50"/>
        <v>-1.3374621240812568E-3</v>
      </c>
      <c r="M540" s="228"/>
      <c r="N540" s="227"/>
      <c r="O540" s="322">
        <v>33.709999000000003</v>
      </c>
      <c r="P540" s="228">
        <f t="shared" si="51"/>
        <v>-1.4327543440714963E-2</v>
      </c>
      <c r="Q540" s="228"/>
      <c r="R540" s="227"/>
      <c r="S540" s="322">
        <v>138.759995</v>
      </c>
      <c r="T540" s="228">
        <f t="shared" si="52"/>
        <v>2.2390610813809442E-3</v>
      </c>
      <c r="U540" s="228"/>
      <c r="V540" s="228"/>
      <c r="W540" s="228"/>
      <c r="X540" s="322">
        <v>92.68</v>
      </c>
      <c r="Y540" s="228">
        <f t="shared" si="53"/>
        <v>-9.1939383237765737E-3</v>
      </c>
      <c r="Z540" s="228"/>
      <c r="AA540" s="202"/>
    </row>
    <row r="541" spans="2:27" x14ac:dyDescent="0.15">
      <c r="B541" s="241">
        <v>43448</v>
      </c>
      <c r="C541" s="244"/>
      <c r="D541" s="245">
        <v>56.12529</v>
      </c>
      <c r="E541" s="228">
        <f t="shared" si="48"/>
        <v>-1.7578729608518806E-2</v>
      </c>
      <c r="F541" s="228"/>
      <c r="G541" s="245">
        <v>156.61367799999999</v>
      </c>
      <c r="H541" s="228">
        <f t="shared" si="49"/>
        <v>-1.8648369854440627E-2</v>
      </c>
      <c r="J541" s="227"/>
      <c r="K541" s="245">
        <v>33.584372999999999</v>
      </c>
      <c r="L541" s="228">
        <f t="shared" si="50"/>
        <v>-2.1430646444756452E-2</v>
      </c>
      <c r="M541" s="228"/>
      <c r="N541" s="227"/>
      <c r="O541" s="322">
        <v>32.650002000000001</v>
      </c>
      <c r="P541" s="228">
        <f t="shared" si="51"/>
        <v>-3.1444587109005884E-2</v>
      </c>
      <c r="Q541" s="228"/>
      <c r="R541" s="227"/>
      <c r="S541" s="322">
        <v>135.36999499999999</v>
      </c>
      <c r="T541" s="228">
        <f t="shared" si="52"/>
        <v>-2.4430672543624854E-2</v>
      </c>
      <c r="U541" s="228"/>
      <c r="V541" s="228"/>
      <c r="W541" s="228"/>
      <c r="X541" s="322">
        <v>89.510002</v>
      </c>
      <c r="Y541" s="228">
        <f t="shared" si="53"/>
        <v>-3.4203690116530017E-2</v>
      </c>
      <c r="Z541" s="228"/>
      <c r="AA541" s="202"/>
    </row>
    <row r="542" spans="2:27" x14ac:dyDescent="0.15">
      <c r="B542" s="241">
        <v>43451</v>
      </c>
      <c r="C542" s="244"/>
      <c r="D542" s="245">
        <v>54.952098999999997</v>
      </c>
      <c r="E542" s="228">
        <f t="shared" si="48"/>
        <v>-2.0903072393924416E-2</v>
      </c>
      <c r="F542" s="228"/>
      <c r="G542" s="245">
        <v>156.19546500000001</v>
      </c>
      <c r="H542" s="228">
        <f t="shared" si="49"/>
        <v>-2.6703478606765474E-3</v>
      </c>
      <c r="J542" s="227"/>
      <c r="K542" s="245">
        <v>33.299374</v>
      </c>
      <c r="L542" s="228">
        <f t="shared" si="50"/>
        <v>-8.4860598707618973E-3</v>
      </c>
      <c r="M542" s="228"/>
      <c r="N542" s="227"/>
      <c r="O542" s="322">
        <v>32.669998</v>
      </c>
      <c r="P542" s="228">
        <f t="shared" si="51"/>
        <v>6.1243487825812792E-4</v>
      </c>
      <c r="Q542" s="228"/>
      <c r="R542" s="227"/>
      <c r="S542" s="322">
        <v>135.679993</v>
      </c>
      <c r="T542" s="228">
        <f t="shared" si="52"/>
        <v>2.2900052555960837E-3</v>
      </c>
      <c r="U542" s="228"/>
      <c r="V542" s="228"/>
      <c r="W542" s="228"/>
      <c r="X542" s="322">
        <v>88.940002000000007</v>
      </c>
      <c r="Y542" s="228">
        <f t="shared" si="53"/>
        <v>-6.3680034327335822E-3</v>
      </c>
      <c r="Z542" s="228"/>
      <c r="AA542" s="202"/>
    </row>
    <row r="543" spans="2:27" x14ac:dyDescent="0.15">
      <c r="B543" s="241">
        <v>43452</v>
      </c>
      <c r="C543" s="244"/>
      <c r="D543" s="245">
        <v>54.923507999999998</v>
      </c>
      <c r="E543" s="228">
        <f t="shared" si="48"/>
        <v>-5.2028949794979962E-4</v>
      </c>
      <c r="F543" s="228"/>
      <c r="G543" s="245">
        <v>158.12117000000001</v>
      </c>
      <c r="H543" s="228">
        <f t="shared" si="49"/>
        <v>1.2328815052344844E-2</v>
      </c>
      <c r="J543" s="227"/>
      <c r="K543" s="245">
        <v>33.795825999999998</v>
      </c>
      <c r="L543" s="228">
        <f t="shared" si="50"/>
        <v>1.4908748735036115E-2</v>
      </c>
      <c r="M543" s="228"/>
      <c r="N543" s="227"/>
      <c r="O543" s="322">
        <v>33.279998999999997</v>
      </c>
      <c r="P543" s="228">
        <f t="shared" si="51"/>
        <v>1.8671595878273273E-2</v>
      </c>
      <c r="Q543" s="228"/>
      <c r="R543" s="227"/>
      <c r="S543" s="322">
        <v>137.929993</v>
      </c>
      <c r="T543" s="228">
        <f t="shared" si="52"/>
        <v>1.6583137648009671E-2</v>
      </c>
      <c r="U543" s="228"/>
      <c r="V543" s="228"/>
      <c r="W543" s="228"/>
      <c r="X543" s="322">
        <v>90.019997000000004</v>
      </c>
      <c r="Y543" s="228">
        <f t="shared" si="53"/>
        <v>1.2142961274050679E-2</v>
      </c>
      <c r="Z543" s="228"/>
      <c r="AA543" s="202"/>
    </row>
    <row r="544" spans="2:27" x14ac:dyDescent="0.15">
      <c r="B544" s="241">
        <v>43453</v>
      </c>
      <c r="C544" s="244"/>
      <c r="D544" s="245">
        <v>54.075305999999998</v>
      </c>
      <c r="E544" s="228">
        <f t="shared" si="48"/>
        <v>-1.5443332570818313E-2</v>
      </c>
      <c r="F544" s="228"/>
      <c r="G544" s="245">
        <v>149.659775</v>
      </c>
      <c r="H544" s="228">
        <f t="shared" si="49"/>
        <v>-5.3512094553816003E-2</v>
      </c>
      <c r="J544" s="227"/>
      <c r="K544" s="245">
        <v>33.308571000000001</v>
      </c>
      <c r="L544" s="228">
        <f t="shared" si="50"/>
        <v>-1.4417608849092711E-2</v>
      </c>
      <c r="M544" s="228"/>
      <c r="N544" s="227"/>
      <c r="O544" s="322">
        <v>31.530000999999999</v>
      </c>
      <c r="P544" s="228">
        <f t="shared" si="51"/>
        <v>-5.2584076099281063E-2</v>
      </c>
      <c r="Q544" s="228"/>
      <c r="R544" s="227"/>
      <c r="S544" s="322">
        <v>131.11999499999999</v>
      </c>
      <c r="T544" s="228">
        <f t="shared" si="52"/>
        <v>-4.9372858302109912E-2</v>
      </c>
      <c r="U544" s="228"/>
      <c r="V544" s="228"/>
      <c r="W544" s="228"/>
      <c r="X544" s="322">
        <v>86.940002000000007</v>
      </c>
      <c r="Y544" s="228">
        <f t="shared" si="53"/>
        <v>-3.4214564570580919E-2</v>
      </c>
      <c r="Z544" s="228"/>
      <c r="AA544" s="202"/>
    </row>
    <row r="545" spans="2:27" x14ac:dyDescent="0.15">
      <c r="B545" s="241">
        <v>43454</v>
      </c>
      <c r="C545" s="244"/>
      <c r="D545" s="245">
        <v>53.169913999999999</v>
      </c>
      <c r="E545" s="228">
        <f t="shared" si="48"/>
        <v>-1.6743169238838895E-2</v>
      </c>
      <c r="F545" s="228"/>
      <c r="G545" s="245">
        <v>148.49267599999999</v>
      </c>
      <c r="H545" s="228">
        <f t="shared" si="49"/>
        <v>-7.7983479528818123E-3</v>
      </c>
      <c r="J545" s="227"/>
      <c r="K545" s="245">
        <v>32.986797000000003</v>
      </c>
      <c r="L545" s="228">
        <f t="shared" si="50"/>
        <v>-9.6603964186874336E-3</v>
      </c>
      <c r="M545" s="228"/>
      <c r="N545" s="227"/>
      <c r="O545" s="322">
        <v>30.9</v>
      </c>
      <c r="P545" s="228">
        <f t="shared" si="51"/>
        <v>-1.9981001586393821E-2</v>
      </c>
      <c r="Q545" s="228"/>
      <c r="R545" s="227"/>
      <c r="S545" s="322">
        <v>128.30999800000001</v>
      </c>
      <c r="T545" s="228">
        <f t="shared" si="52"/>
        <v>-2.1430728395009369E-2</v>
      </c>
      <c r="U545" s="228"/>
      <c r="V545" s="228"/>
      <c r="W545" s="228"/>
      <c r="X545" s="322">
        <v>85.900002000000001</v>
      </c>
      <c r="Y545" s="228">
        <f t="shared" si="53"/>
        <v>-1.1962272556653608E-2</v>
      </c>
      <c r="Z545" s="228"/>
      <c r="AA545" s="202"/>
    </row>
    <row r="546" spans="2:27" x14ac:dyDescent="0.15">
      <c r="B546" s="241">
        <v>43455</v>
      </c>
      <c r="C546" s="244"/>
      <c r="D546" s="245">
        <v>52.045338000000001</v>
      </c>
      <c r="E546" s="228">
        <f t="shared" si="48"/>
        <v>-2.1150607841870839E-2</v>
      </c>
      <c r="F546" s="228"/>
      <c r="G546" s="245">
        <v>144.37867700000001</v>
      </c>
      <c r="H546" s="228">
        <f t="shared" si="49"/>
        <v>-2.7705063379691364E-2</v>
      </c>
      <c r="J546" s="227"/>
      <c r="K546" s="245">
        <v>32.830502000000003</v>
      </c>
      <c r="L546" s="228">
        <f t="shared" si="50"/>
        <v>-4.7381077950672257E-3</v>
      </c>
      <c r="M546" s="228"/>
      <c r="N546" s="227"/>
      <c r="O546" s="322">
        <v>30.309999000000001</v>
      </c>
      <c r="P546" s="228">
        <f t="shared" si="51"/>
        <v>-1.9093883495145514E-2</v>
      </c>
      <c r="Q546" s="228"/>
      <c r="R546" s="227"/>
      <c r="S546" s="322">
        <v>127.160004</v>
      </c>
      <c r="T546" s="228">
        <f t="shared" si="52"/>
        <v>-8.9626219150904518E-3</v>
      </c>
      <c r="U546" s="228"/>
      <c r="V546" s="228"/>
      <c r="W546" s="228"/>
      <c r="X546" s="322">
        <v>85.669998000000007</v>
      </c>
      <c r="Y546" s="228">
        <f t="shared" si="53"/>
        <v>-2.6775785174020239E-3</v>
      </c>
      <c r="Z546" s="228"/>
      <c r="AA546" s="202"/>
    </row>
    <row r="547" spans="2:27" x14ac:dyDescent="0.15">
      <c r="B547" s="241">
        <v>43458</v>
      </c>
      <c r="C547" s="244"/>
      <c r="D547" s="245">
        <v>50.749209999999998</v>
      </c>
      <c r="E547" s="228">
        <f t="shared" si="48"/>
        <v>-2.4903825199482865E-2</v>
      </c>
      <c r="F547" s="228"/>
      <c r="G547" s="245">
        <v>141.03301999999999</v>
      </c>
      <c r="H547" s="228">
        <f t="shared" si="49"/>
        <v>-2.317279164429531E-2</v>
      </c>
      <c r="J547" s="227"/>
      <c r="K547" s="245">
        <v>32.444366000000002</v>
      </c>
      <c r="L547" s="228">
        <f t="shared" si="50"/>
        <v>-1.1761501545118014E-2</v>
      </c>
      <c r="M547" s="228"/>
      <c r="N547" s="227"/>
      <c r="O547" s="322">
        <v>28.99</v>
      </c>
      <c r="P547" s="228">
        <f t="shared" si="51"/>
        <v>-4.3549951948200438E-2</v>
      </c>
      <c r="Q547" s="228"/>
      <c r="R547" s="227"/>
      <c r="S547" s="322">
        <v>123.279999</v>
      </c>
      <c r="T547" s="228">
        <f t="shared" si="52"/>
        <v>-3.0512778216018277E-2</v>
      </c>
      <c r="U547" s="228"/>
      <c r="V547" s="228"/>
      <c r="W547" s="228"/>
      <c r="X547" s="322">
        <v>81.230002999999996</v>
      </c>
      <c r="Y547" s="228">
        <f t="shared" si="53"/>
        <v>-5.1826720014631178E-2</v>
      </c>
      <c r="Z547" s="228"/>
      <c r="AA547" s="202"/>
    </row>
    <row r="548" spans="2:27" x14ac:dyDescent="0.15">
      <c r="B548" s="241">
        <v>43460</v>
      </c>
      <c r="C548" s="244"/>
      <c r="D548" s="245">
        <v>53.179454999999997</v>
      </c>
      <c r="E548" s="228">
        <f t="shared" si="48"/>
        <v>4.7887346423717725E-2</v>
      </c>
      <c r="F548" s="228"/>
      <c r="G548" s="245">
        <v>148.72610499999999</v>
      </c>
      <c r="H548" s="228">
        <f t="shared" si="49"/>
        <v>5.4548112208048893E-2</v>
      </c>
      <c r="J548" s="227"/>
      <c r="K548" s="245">
        <v>33.795825999999998</v>
      </c>
      <c r="L548" s="228">
        <f t="shared" si="50"/>
        <v>4.165468975414699E-2</v>
      </c>
      <c r="M548" s="228"/>
      <c r="N548" s="227"/>
      <c r="O548" s="322">
        <v>30.639999</v>
      </c>
      <c r="P548" s="228">
        <f t="shared" si="51"/>
        <v>5.6916143497757865E-2</v>
      </c>
      <c r="Q548" s="228"/>
      <c r="R548" s="227"/>
      <c r="S548" s="322">
        <v>130.83999600000001</v>
      </c>
      <c r="T548" s="228">
        <f t="shared" si="52"/>
        <v>6.1323791866675803E-2</v>
      </c>
      <c r="U548" s="228"/>
      <c r="V548" s="228"/>
      <c r="W548" s="228"/>
      <c r="X548" s="322">
        <v>86.050003000000004</v>
      </c>
      <c r="Y548" s="228">
        <f t="shared" si="53"/>
        <v>5.9337680930530157E-2</v>
      </c>
      <c r="Z548" s="228"/>
      <c r="AA548" s="202"/>
    </row>
    <row r="549" spans="2:27" x14ac:dyDescent="0.15">
      <c r="B549" s="241">
        <v>43461</v>
      </c>
      <c r="C549" s="244"/>
      <c r="D549" s="245">
        <v>53.684559</v>
      </c>
      <c r="E549" s="228">
        <f t="shared" si="48"/>
        <v>9.4981041080621775E-3</v>
      </c>
      <c r="F549" s="228"/>
      <c r="G549" s="245">
        <v>150.15576200000001</v>
      </c>
      <c r="H549" s="228">
        <f t="shared" si="49"/>
        <v>9.6126836643777303E-3</v>
      </c>
      <c r="J549" s="227"/>
      <c r="K549" s="245">
        <v>33.814216999999999</v>
      </c>
      <c r="L549" s="228">
        <f t="shared" si="50"/>
        <v>5.441796273895072E-4</v>
      </c>
      <c r="M549" s="228"/>
      <c r="N549" s="227"/>
      <c r="O549" s="322">
        <v>31.549999</v>
      </c>
      <c r="P549" s="228">
        <f t="shared" si="51"/>
        <v>2.9699739872707021E-2</v>
      </c>
      <c r="Q549" s="228"/>
      <c r="R549" s="227"/>
      <c r="S549" s="322">
        <v>133.279999</v>
      </c>
      <c r="T549" s="228">
        <f t="shared" si="52"/>
        <v>1.8648754773731291E-2</v>
      </c>
      <c r="U549" s="228"/>
      <c r="V549" s="228"/>
      <c r="W549" s="228"/>
      <c r="X549" s="322">
        <v>88.300003000000004</v>
      </c>
      <c r="Y549" s="228">
        <f t="shared" si="53"/>
        <v>2.6147587699677288E-2</v>
      </c>
      <c r="Z549" s="228"/>
      <c r="AA549" s="202"/>
    </row>
    <row r="550" spans="2:27" x14ac:dyDescent="0.15">
      <c r="B550" s="241">
        <v>43462</v>
      </c>
      <c r="C550" s="244"/>
      <c r="D550" s="245">
        <v>53.637810000000002</v>
      </c>
      <c r="E550" s="228">
        <f t="shared" si="48"/>
        <v>-8.7080905330705338E-4</v>
      </c>
      <c r="F550" s="228"/>
      <c r="G550" s="245">
        <v>150.83659399999999</v>
      </c>
      <c r="H550" s="228">
        <f t="shared" si="49"/>
        <v>4.534171655697028E-3</v>
      </c>
      <c r="J550" s="227"/>
      <c r="K550" s="245">
        <v>34.145190999999997</v>
      </c>
      <c r="L550" s="228">
        <f t="shared" si="50"/>
        <v>9.7880131306899987E-3</v>
      </c>
      <c r="M550" s="228"/>
      <c r="N550" s="227"/>
      <c r="O550" s="322">
        <v>32.380001</v>
      </c>
      <c r="P550" s="228">
        <f t="shared" si="51"/>
        <v>2.6307512719730974E-2</v>
      </c>
      <c r="Q550" s="228"/>
      <c r="R550" s="227"/>
      <c r="S550" s="322">
        <v>135.41999799999999</v>
      </c>
      <c r="T550" s="228">
        <f t="shared" si="52"/>
        <v>1.6056415186497697E-2</v>
      </c>
      <c r="U550" s="228"/>
      <c r="V550" s="228"/>
      <c r="W550" s="228"/>
      <c r="X550" s="322">
        <v>88.629997000000003</v>
      </c>
      <c r="Y550" s="228">
        <f t="shared" si="53"/>
        <v>3.7371912660071338E-3</v>
      </c>
      <c r="Z550" s="228"/>
      <c r="AA550" s="202"/>
    </row>
    <row r="551" spans="2:27" x14ac:dyDescent="0.15">
      <c r="B551" s="241">
        <v>43465</v>
      </c>
      <c r="C551" s="244"/>
      <c r="D551" s="245">
        <v>54.153004000000003</v>
      </c>
      <c r="E551" s="228">
        <f t="shared" si="48"/>
        <v>9.6050528535747137E-3</v>
      </c>
      <c r="F551" s="228"/>
      <c r="G551" s="245">
        <v>151.352036</v>
      </c>
      <c r="H551" s="228">
        <f t="shared" si="49"/>
        <v>3.4172211552323528E-3</v>
      </c>
      <c r="J551" s="227"/>
      <c r="K551" s="245">
        <v>33.933734999999999</v>
      </c>
      <c r="L551" s="228">
        <f t="shared" si="50"/>
        <v>-6.1928486503414204E-3</v>
      </c>
      <c r="M551" s="228"/>
      <c r="N551" s="227"/>
      <c r="O551" s="322">
        <v>32.740001999999997</v>
      </c>
      <c r="P551" s="228">
        <f t="shared" si="51"/>
        <v>1.1118004597961528E-2</v>
      </c>
      <c r="Q551" s="228"/>
      <c r="R551" s="227"/>
      <c r="S551" s="322">
        <v>136.16999799999999</v>
      </c>
      <c r="T551" s="228">
        <f t="shared" si="52"/>
        <v>5.5383252922511783E-3</v>
      </c>
      <c r="U551" s="228"/>
      <c r="V551" s="228"/>
      <c r="W551" s="228"/>
      <c r="X551" s="322">
        <v>89.489998</v>
      </c>
      <c r="Y551" s="228">
        <f t="shared" si="53"/>
        <v>9.703272358228654E-3</v>
      </c>
      <c r="Z551" s="228"/>
      <c r="AA551" s="202"/>
    </row>
    <row r="552" spans="2:27" x14ac:dyDescent="0.15">
      <c r="B552" s="241">
        <v>43467</v>
      </c>
      <c r="C552" s="244"/>
      <c r="D552" s="245">
        <v>54.124386000000001</v>
      </c>
      <c r="E552" s="228">
        <f t="shared" si="48"/>
        <v>-5.2846560460440006E-4</v>
      </c>
      <c r="F552" s="228"/>
      <c r="G552" s="245">
        <v>152.013397</v>
      </c>
      <c r="H552" s="228">
        <f t="shared" si="49"/>
        <v>4.3696868405522782E-3</v>
      </c>
      <c r="J552" s="227"/>
      <c r="K552" s="245">
        <v>33.575184</v>
      </c>
      <c r="L552" s="228">
        <f t="shared" si="50"/>
        <v>-1.0566210881295501E-2</v>
      </c>
      <c r="M552" s="228"/>
      <c r="N552" s="227"/>
      <c r="O552" s="322">
        <v>33.479999999999997</v>
      </c>
      <c r="P552" s="228">
        <f t="shared" si="51"/>
        <v>2.2602258851419643E-2</v>
      </c>
      <c r="Q552" s="228"/>
      <c r="R552" s="227"/>
      <c r="S552" s="322">
        <v>138.300003</v>
      </c>
      <c r="T552" s="228">
        <f t="shared" si="52"/>
        <v>1.5642248889509602E-2</v>
      </c>
      <c r="U552" s="228"/>
      <c r="V552" s="228"/>
      <c r="W552" s="228"/>
      <c r="X552" s="322">
        <v>90.910004000000001</v>
      </c>
      <c r="Y552" s="228">
        <f t="shared" si="53"/>
        <v>1.5867762115717055E-2</v>
      </c>
      <c r="Z552" s="228"/>
      <c r="AA552" s="202"/>
    </row>
    <row r="553" spans="2:27" x14ac:dyDescent="0.15">
      <c r="B553" s="241">
        <v>43468</v>
      </c>
      <c r="C553" s="244"/>
      <c r="D553" s="245">
        <v>52.903174999999997</v>
      </c>
      <c r="E553" s="228">
        <f t="shared" si="48"/>
        <v>-2.2563045796029968E-2</v>
      </c>
      <c r="F553" s="228"/>
      <c r="G553" s="245">
        <v>143.62977599999999</v>
      </c>
      <c r="H553" s="228">
        <f t="shared" si="49"/>
        <v>-5.5150540448747454E-2</v>
      </c>
      <c r="J553" s="227"/>
      <c r="K553" s="245">
        <v>31.589352000000002</v>
      </c>
      <c r="L553" s="228">
        <f t="shared" si="50"/>
        <v>-5.9145826274548452E-2</v>
      </c>
      <c r="M553" s="228"/>
      <c r="N553" s="227"/>
      <c r="O553" s="322">
        <v>31.540001</v>
      </c>
      <c r="P553" s="228">
        <f t="shared" si="51"/>
        <v>-5.794501194743118E-2</v>
      </c>
      <c r="Q553" s="228"/>
      <c r="R553" s="227"/>
      <c r="S553" s="322">
        <v>131.63000500000001</v>
      </c>
      <c r="T553" s="228">
        <f t="shared" si="52"/>
        <v>-4.8228473284993245E-2</v>
      </c>
      <c r="U553" s="228"/>
      <c r="V553" s="228"/>
      <c r="W553" s="228"/>
      <c r="X553" s="322">
        <v>85.809997999999993</v>
      </c>
      <c r="Y553" s="228">
        <f t="shared" si="53"/>
        <v>-5.6099502536596568E-2</v>
      </c>
      <c r="Z553" s="228"/>
      <c r="AA553" s="202"/>
    </row>
    <row r="554" spans="2:27" x14ac:dyDescent="0.15">
      <c r="B554" s="241">
        <v>43469</v>
      </c>
      <c r="C554" s="244"/>
      <c r="D554" s="245">
        <v>54.706367</v>
      </c>
      <c r="E554" s="228">
        <f t="shared" si="48"/>
        <v>3.4084759563107525E-2</v>
      </c>
      <c r="F554" s="228"/>
      <c r="G554" s="245">
        <v>149.84457399999999</v>
      </c>
      <c r="H554" s="228">
        <f t="shared" si="49"/>
        <v>4.3269565497338069E-2</v>
      </c>
      <c r="J554" s="227"/>
      <c r="K554" s="245">
        <v>32.150165999999999</v>
      </c>
      <c r="L554" s="228">
        <f t="shared" si="50"/>
        <v>1.7753260655679171E-2</v>
      </c>
      <c r="M554" s="228"/>
      <c r="N554" s="227"/>
      <c r="O554" s="322">
        <v>33.700001</v>
      </c>
      <c r="P554" s="228">
        <f t="shared" si="51"/>
        <v>6.8484462001126678E-2</v>
      </c>
      <c r="Q554" s="228"/>
      <c r="R554" s="227"/>
      <c r="S554" s="322">
        <v>138.05999800000001</v>
      </c>
      <c r="T554" s="228">
        <f t="shared" si="52"/>
        <v>4.8848991535022757E-2</v>
      </c>
      <c r="U554" s="228"/>
      <c r="V554" s="228"/>
      <c r="W554" s="228"/>
      <c r="X554" s="322">
        <v>91.300003000000004</v>
      </c>
      <c r="Y554" s="228">
        <f t="shared" si="53"/>
        <v>6.3978617037143026E-2</v>
      </c>
      <c r="Z554" s="228"/>
      <c r="AA554" s="202"/>
    </row>
    <row r="555" spans="2:27" x14ac:dyDescent="0.15">
      <c r="B555" s="241">
        <v>43472</v>
      </c>
      <c r="C555" s="244"/>
      <c r="D555" s="245">
        <v>55.221569000000002</v>
      </c>
      <c r="E555" s="228">
        <f t="shared" si="48"/>
        <v>9.4175875360176242E-3</v>
      </c>
      <c r="F555" s="228"/>
      <c r="G555" s="245">
        <v>153.268021</v>
      </c>
      <c r="H555" s="228">
        <f t="shared" si="49"/>
        <v>2.2846653092690739E-2</v>
      </c>
      <c r="J555" s="227"/>
      <c r="K555" s="245">
        <v>32.389201999999997</v>
      </c>
      <c r="L555" s="228">
        <f t="shared" si="50"/>
        <v>7.4349849391135425E-3</v>
      </c>
      <c r="M555" s="228"/>
      <c r="N555" s="227"/>
      <c r="O555" s="322">
        <v>34.299999</v>
      </c>
      <c r="P555" s="228">
        <f t="shared" si="51"/>
        <v>1.780409442717823E-2</v>
      </c>
      <c r="Q555" s="228"/>
      <c r="R555" s="227"/>
      <c r="S555" s="322">
        <v>139.28999300000001</v>
      </c>
      <c r="T555" s="228">
        <f t="shared" si="52"/>
        <v>8.9091338390430153E-3</v>
      </c>
      <c r="U555" s="228"/>
      <c r="V555" s="228"/>
      <c r="W555" s="228"/>
      <c r="X555" s="322">
        <v>92.599997999999999</v>
      </c>
      <c r="Y555" s="228">
        <f t="shared" si="53"/>
        <v>1.42387180425394E-2</v>
      </c>
      <c r="Z555" s="228"/>
      <c r="AA555" s="202"/>
    </row>
    <row r="556" spans="2:27" x14ac:dyDescent="0.15">
      <c r="B556" s="241">
        <v>43473</v>
      </c>
      <c r="C556" s="244"/>
      <c r="D556" s="245">
        <v>55.784469999999999</v>
      </c>
      <c r="E556" s="228">
        <f t="shared" si="48"/>
        <v>1.0193498848248828E-2</v>
      </c>
      <c r="F556" s="228"/>
      <c r="G556" s="245">
        <v>152.13983200000001</v>
      </c>
      <c r="H556" s="228">
        <f t="shared" si="49"/>
        <v>-7.3608897188017774E-3</v>
      </c>
      <c r="J556" s="227"/>
      <c r="K556" s="245">
        <v>32.122588999999998</v>
      </c>
      <c r="L556" s="228">
        <f t="shared" si="50"/>
        <v>-8.231539634721452E-3</v>
      </c>
      <c r="M556" s="228"/>
      <c r="N556" s="227"/>
      <c r="O556" s="322">
        <v>32.909999999999997</v>
      </c>
      <c r="P556" s="228">
        <f t="shared" si="51"/>
        <v>-4.0524753368068711E-2</v>
      </c>
      <c r="Q556" s="228"/>
      <c r="R556" s="227"/>
      <c r="S556" s="322">
        <v>136.929993</v>
      </c>
      <c r="T556" s="228">
        <f t="shared" si="52"/>
        <v>-1.6943069269879429E-2</v>
      </c>
      <c r="U556" s="228"/>
      <c r="V556" s="228"/>
      <c r="W556" s="228"/>
      <c r="X556" s="322">
        <v>91.129997000000003</v>
      </c>
      <c r="Y556" s="228">
        <f t="shared" si="53"/>
        <v>-1.5874741163601325E-2</v>
      </c>
      <c r="Z556" s="228"/>
      <c r="AA556" s="202"/>
    </row>
    <row r="557" spans="2:27" x14ac:dyDescent="0.15">
      <c r="B557" s="241">
        <v>43474</v>
      </c>
      <c r="C557" s="244"/>
      <c r="D557" s="245">
        <v>56.099311999999998</v>
      </c>
      <c r="E557" s="228">
        <f t="shared" si="48"/>
        <v>5.6439005336073045E-3</v>
      </c>
      <c r="F557" s="228"/>
      <c r="G557" s="245">
        <v>158.45182800000001</v>
      </c>
      <c r="H557" s="228">
        <f t="shared" si="49"/>
        <v>4.148812258449186E-2</v>
      </c>
      <c r="J557" s="227"/>
      <c r="K557" s="245">
        <v>32.738551999999999</v>
      </c>
      <c r="L557" s="228">
        <f t="shared" si="50"/>
        <v>1.9175384649101623E-2</v>
      </c>
      <c r="M557" s="228"/>
      <c r="N557" s="227"/>
      <c r="O557" s="322">
        <v>34.299999</v>
      </c>
      <c r="P557" s="228">
        <f t="shared" si="51"/>
        <v>4.2236371923427551E-2</v>
      </c>
      <c r="Q557" s="228"/>
      <c r="R557" s="227"/>
      <c r="S557" s="322">
        <v>144</v>
      </c>
      <c r="T557" s="228">
        <f t="shared" si="52"/>
        <v>5.1632274603271133E-2</v>
      </c>
      <c r="U557" s="228"/>
      <c r="V557" s="228"/>
      <c r="W557" s="228"/>
      <c r="X557" s="322">
        <v>93.480002999999996</v>
      </c>
      <c r="Y557" s="228">
        <f t="shared" si="53"/>
        <v>2.5787403460574954E-2</v>
      </c>
      <c r="Z557" s="228"/>
      <c r="AA557" s="202"/>
    </row>
    <row r="558" spans="2:27" x14ac:dyDescent="0.15">
      <c r="B558" s="241">
        <v>43475</v>
      </c>
      <c r="C558" s="244"/>
      <c r="D558" s="245">
        <v>56.328288999999998</v>
      </c>
      <c r="E558" s="228">
        <f t="shared" si="48"/>
        <v>4.0816365091964624E-3</v>
      </c>
      <c r="F558" s="228"/>
      <c r="G558" s="245">
        <v>158.15036000000001</v>
      </c>
      <c r="H558" s="228">
        <f t="shared" si="49"/>
        <v>-1.9025845508074957E-3</v>
      </c>
      <c r="J558" s="227"/>
      <c r="K558" s="245">
        <v>33.483246000000001</v>
      </c>
      <c r="L558" s="228">
        <f t="shared" si="50"/>
        <v>2.2746699365323364E-2</v>
      </c>
      <c r="M558" s="228"/>
      <c r="N558" s="227"/>
      <c r="O558" s="322">
        <v>34.759998000000003</v>
      </c>
      <c r="P558" s="228">
        <f t="shared" si="51"/>
        <v>1.3411049953675036E-2</v>
      </c>
      <c r="Q558" s="228"/>
      <c r="R558" s="227"/>
      <c r="S558" s="322">
        <v>144.570007</v>
      </c>
      <c r="T558" s="228">
        <f t="shared" si="52"/>
        <v>3.9583819444444224E-3</v>
      </c>
      <c r="U558" s="228"/>
      <c r="V558" s="228"/>
      <c r="W558" s="228"/>
      <c r="X558" s="322">
        <v>93.709998999999996</v>
      </c>
      <c r="Y558" s="228">
        <f t="shared" si="53"/>
        <v>2.4603764721744525E-3</v>
      </c>
      <c r="Z558" s="228"/>
      <c r="AA558" s="202"/>
    </row>
    <row r="559" spans="2:27" x14ac:dyDescent="0.15">
      <c r="B559" s="241">
        <v>43476</v>
      </c>
      <c r="C559" s="244"/>
      <c r="D559" s="245">
        <v>56.347366000000001</v>
      </c>
      <c r="E559" s="228">
        <f t="shared" si="48"/>
        <v>3.3867529688325071E-4</v>
      </c>
      <c r="F559" s="228"/>
      <c r="G559" s="245">
        <v>157.576538</v>
      </c>
      <c r="H559" s="228">
        <f t="shared" si="49"/>
        <v>-3.6283319241259271E-3</v>
      </c>
      <c r="J559" s="227"/>
      <c r="K559" s="245">
        <v>33.657927999999998</v>
      </c>
      <c r="L559" s="228">
        <f t="shared" si="50"/>
        <v>5.2169971812170424E-3</v>
      </c>
      <c r="M559" s="228"/>
      <c r="N559" s="227"/>
      <c r="O559" s="322">
        <v>34.779998999999997</v>
      </c>
      <c r="P559" s="228">
        <f t="shared" si="51"/>
        <v>5.7540279490209123E-4</v>
      </c>
      <c r="Q559" s="228"/>
      <c r="R559" s="227"/>
      <c r="S559" s="322">
        <v>144.11000100000001</v>
      </c>
      <c r="T559" s="228">
        <f t="shared" si="52"/>
        <v>-3.1818909713409171E-3</v>
      </c>
      <c r="U559" s="228"/>
      <c r="V559" s="228"/>
      <c r="W559" s="228"/>
      <c r="X559" s="322">
        <v>94.029999000000004</v>
      </c>
      <c r="Y559" s="228">
        <f t="shared" si="53"/>
        <v>3.4147903469725627E-3</v>
      </c>
      <c r="Z559" s="228"/>
      <c r="AA559" s="202"/>
    </row>
    <row r="560" spans="2:27" x14ac:dyDescent="0.15">
      <c r="B560" s="241">
        <v>43479</v>
      </c>
      <c r="C560" s="244"/>
      <c r="D560" s="245">
        <v>56.003901999999997</v>
      </c>
      <c r="E560" s="228">
        <f t="shared" si="48"/>
        <v>-6.0954756962375845E-3</v>
      </c>
      <c r="F560" s="228"/>
      <c r="G560" s="245">
        <v>154.33786000000001</v>
      </c>
      <c r="H560" s="228">
        <f t="shared" si="49"/>
        <v>-2.0553047053235796E-2</v>
      </c>
      <c r="J560" s="227"/>
      <c r="K560" s="245">
        <v>32.876460999999999</v>
      </c>
      <c r="L560" s="228">
        <f t="shared" si="50"/>
        <v>-2.3217917632957108E-2</v>
      </c>
      <c r="M560" s="228"/>
      <c r="N560" s="227"/>
      <c r="O560" s="322">
        <v>33.860000999999997</v>
      </c>
      <c r="P560" s="228">
        <f t="shared" si="51"/>
        <v>-2.6451927155029531E-2</v>
      </c>
      <c r="Q560" s="228"/>
      <c r="R560" s="227"/>
      <c r="S560" s="322">
        <v>140.429993</v>
      </c>
      <c r="T560" s="228">
        <f t="shared" si="52"/>
        <v>-2.5536104187522835E-2</v>
      </c>
      <c r="U560" s="228"/>
      <c r="V560" s="228"/>
      <c r="W560" s="228"/>
      <c r="X560" s="322">
        <v>92.43</v>
      </c>
      <c r="Y560" s="228">
        <f t="shared" si="53"/>
        <v>-1.7015835552651626E-2</v>
      </c>
      <c r="Z560" s="228"/>
      <c r="AA560" s="202"/>
    </row>
    <row r="561" spans="2:27" x14ac:dyDescent="0.15">
      <c r="B561" s="241">
        <v>43480</v>
      </c>
      <c r="C561" s="244"/>
      <c r="D561" s="245">
        <v>56.604965</v>
      </c>
      <c r="E561" s="228">
        <f t="shared" si="48"/>
        <v>1.0732520030479309E-2</v>
      </c>
      <c r="F561" s="228"/>
      <c r="G561" s="245">
        <v>154.86305200000001</v>
      </c>
      <c r="H561" s="228">
        <f t="shared" si="49"/>
        <v>3.402872114463662E-3</v>
      </c>
      <c r="J561" s="227"/>
      <c r="K561" s="245">
        <v>33.133884000000002</v>
      </c>
      <c r="L561" s="228">
        <f t="shared" si="50"/>
        <v>7.8300094404930576E-3</v>
      </c>
      <c r="M561" s="228"/>
      <c r="N561" s="227"/>
      <c r="O561" s="322">
        <v>33.75</v>
      </c>
      <c r="P561" s="228">
        <f t="shared" si="51"/>
        <v>-3.2487004356555049E-3</v>
      </c>
      <c r="Q561" s="228"/>
      <c r="R561" s="227"/>
      <c r="S561" s="322">
        <v>140</v>
      </c>
      <c r="T561" s="228">
        <f t="shared" si="52"/>
        <v>-3.0619740898227832E-3</v>
      </c>
      <c r="U561" s="228"/>
      <c r="V561" s="228"/>
      <c r="W561" s="228"/>
      <c r="X561" s="322">
        <v>92.519997000000004</v>
      </c>
      <c r="Y561" s="228">
        <f t="shared" si="53"/>
        <v>9.736773774748908E-4</v>
      </c>
      <c r="Z561" s="228"/>
      <c r="AA561" s="202"/>
    </row>
    <row r="562" spans="2:27" x14ac:dyDescent="0.15">
      <c r="B562" s="241">
        <v>43481</v>
      </c>
      <c r="C562" s="244"/>
      <c r="D562" s="245">
        <v>56.795780000000001</v>
      </c>
      <c r="E562" s="228">
        <f t="shared" si="48"/>
        <v>3.370994046193676E-3</v>
      </c>
      <c r="F562" s="228"/>
      <c r="G562" s="245">
        <v>152.96650700000001</v>
      </c>
      <c r="H562" s="228">
        <f t="shared" si="49"/>
        <v>-1.2246594494340735E-2</v>
      </c>
      <c r="J562" s="227"/>
      <c r="K562" s="245">
        <v>32.76614</v>
      </c>
      <c r="L562" s="228">
        <f t="shared" si="50"/>
        <v>-1.1098729023135356E-2</v>
      </c>
      <c r="M562" s="228"/>
      <c r="N562" s="227"/>
      <c r="O562" s="322">
        <v>33.639999000000003</v>
      </c>
      <c r="P562" s="228">
        <f t="shared" si="51"/>
        <v>-3.2592888888888227E-3</v>
      </c>
      <c r="Q562" s="228"/>
      <c r="R562" s="227"/>
      <c r="S562" s="322">
        <v>138.75</v>
      </c>
      <c r="T562" s="228">
        <f t="shared" si="52"/>
        <v>-8.9285714285713969E-3</v>
      </c>
      <c r="U562" s="228"/>
      <c r="V562" s="228"/>
      <c r="W562" s="228"/>
      <c r="X562" s="322">
        <v>90.959998999999996</v>
      </c>
      <c r="Y562" s="228">
        <f t="shared" si="53"/>
        <v>-1.6861198125633359E-2</v>
      </c>
      <c r="Z562" s="228"/>
      <c r="AA562" s="202"/>
    </row>
    <row r="563" spans="2:27" x14ac:dyDescent="0.15">
      <c r="B563" s="241">
        <v>43482</v>
      </c>
      <c r="C563" s="244"/>
      <c r="D563" s="245">
        <v>57.215569000000002</v>
      </c>
      <c r="E563" s="228">
        <f t="shared" si="48"/>
        <v>7.391200543420684E-3</v>
      </c>
      <c r="F563" s="228"/>
      <c r="G563" s="245">
        <v>153.219391</v>
      </c>
      <c r="H563" s="228">
        <f t="shared" si="49"/>
        <v>1.6531985005057148E-3</v>
      </c>
      <c r="J563" s="227"/>
      <c r="K563" s="245">
        <v>33.363731000000001</v>
      </c>
      <c r="L563" s="228">
        <f t="shared" si="50"/>
        <v>1.8238065271038995E-2</v>
      </c>
      <c r="M563" s="228"/>
      <c r="N563" s="227"/>
      <c r="O563" s="322">
        <v>34.540000999999997</v>
      </c>
      <c r="P563" s="228">
        <f t="shared" si="51"/>
        <v>2.6753924695419595E-2</v>
      </c>
      <c r="Q563" s="228"/>
      <c r="R563" s="227"/>
      <c r="S563" s="322">
        <v>141.759995</v>
      </c>
      <c r="T563" s="228">
        <f t="shared" si="52"/>
        <v>2.1693657657657628E-2</v>
      </c>
      <c r="U563" s="228"/>
      <c r="V563" s="228"/>
      <c r="W563" s="228"/>
      <c r="X563" s="322">
        <v>92.919998000000007</v>
      </c>
      <c r="Y563" s="228">
        <f t="shared" si="53"/>
        <v>2.1547922400483088E-2</v>
      </c>
      <c r="Z563" s="228"/>
      <c r="AA563" s="202"/>
    </row>
    <row r="564" spans="2:27" x14ac:dyDescent="0.15">
      <c r="B564" s="241">
        <v>43483</v>
      </c>
      <c r="C564" s="244"/>
      <c r="D564" s="245">
        <v>57.969287999999999</v>
      </c>
      <c r="E564" s="228">
        <f t="shared" si="48"/>
        <v>1.3173320010153144E-2</v>
      </c>
      <c r="F564" s="228"/>
      <c r="G564" s="245">
        <v>158.23786899999999</v>
      </c>
      <c r="H564" s="228">
        <f t="shared" si="49"/>
        <v>3.2753543577261679E-2</v>
      </c>
      <c r="J564" s="227"/>
      <c r="K564" s="245">
        <v>33.869380999999997</v>
      </c>
      <c r="L564" s="228">
        <f t="shared" si="50"/>
        <v>1.5155679081575002E-2</v>
      </c>
      <c r="M564" s="228"/>
      <c r="N564" s="227"/>
      <c r="O564" s="322">
        <v>35.709999000000003</v>
      </c>
      <c r="P564" s="228">
        <f t="shared" si="51"/>
        <v>3.3873710657970291E-2</v>
      </c>
      <c r="Q564" s="228"/>
      <c r="R564" s="227"/>
      <c r="S564" s="322">
        <v>147.550003</v>
      </c>
      <c r="T564" s="228">
        <f t="shared" si="52"/>
        <v>4.0843737332242336E-2</v>
      </c>
      <c r="U564" s="228"/>
      <c r="V564" s="228"/>
      <c r="W564" s="228"/>
      <c r="X564" s="322">
        <v>95.730002999999996</v>
      </c>
      <c r="Y564" s="228">
        <f t="shared" si="53"/>
        <v>3.0241122045654656E-2</v>
      </c>
      <c r="Z564" s="228"/>
      <c r="AA564" s="202"/>
    </row>
    <row r="565" spans="2:27" x14ac:dyDescent="0.15">
      <c r="B565" s="241">
        <v>43487</v>
      </c>
      <c r="C565" s="244"/>
      <c r="D565" s="245">
        <v>57.196491000000002</v>
      </c>
      <c r="E565" s="228">
        <f t="shared" si="48"/>
        <v>-1.3331145278168588E-2</v>
      </c>
      <c r="F565" s="228"/>
      <c r="G565" s="245">
        <v>155.125641</v>
      </c>
      <c r="H565" s="228">
        <f t="shared" si="49"/>
        <v>-1.9668035342412127E-2</v>
      </c>
      <c r="J565" s="227"/>
      <c r="K565" s="245">
        <v>33.437278999999997</v>
      </c>
      <c r="L565" s="228">
        <f t="shared" si="50"/>
        <v>-1.2757894807702619E-2</v>
      </c>
      <c r="M565" s="228"/>
      <c r="N565" s="227"/>
      <c r="O565" s="322">
        <v>34.439999</v>
      </c>
      <c r="P565" s="228">
        <f t="shared" si="51"/>
        <v>-3.5564268708044522E-2</v>
      </c>
      <c r="Q565" s="228"/>
      <c r="R565" s="227"/>
      <c r="S565" s="322">
        <v>139.88999899999999</v>
      </c>
      <c r="T565" s="228">
        <f t="shared" si="52"/>
        <v>-5.1914631272491518E-2</v>
      </c>
      <c r="U565" s="228"/>
      <c r="V565" s="228"/>
      <c r="W565" s="228"/>
      <c r="X565" s="322">
        <v>93.209998999999996</v>
      </c>
      <c r="Y565" s="228">
        <f t="shared" si="53"/>
        <v>-2.6324077311477789E-2</v>
      </c>
      <c r="Z565" s="228"/>
      <c r="AA565" s="202"/>
    </row>
    <row r="566" spans="2:27" x14ac:dyDescent="0.15">
      <c r="B566" s="241">
        <v>43488</v>
      </c>
      <c r="C566" s="244"/>
      <c r="D566" s="245">
        <v>57.234653000000002</v>
      </c>
      <c r="E566" s="228">
        <f t="shared" si="48"/>
        <v>6.6720876285919495E-4</v>
      </c>
      <c r="F566" s="228"/>
      <c r="G566" s="245">
        <v>157.67378199999999</v>
      </c>
      <c r="H566" s="228">
        <f t="shared" si="49"/>
        <v>1.6426304404440595E-2</v>
      </c>
      <c r="J566" s="227"/>
      <c r="K566" s="245">
        <v>33.547600000000003</v>
      </c>
      <c r="L566" s="228">
        <f t="shared" si="50"/>
        <v>3.2993414326567549E-3</v>
      </c>
      <c r="M566" s="228"/>
      <c r="N566" s="227"/>
      <c r="O566" s="322">
        <v>34.310001</v>
      </c>
      <c r="P566" s="228">
        <f t="shared" si="51"/>
        <v>-3.7746226415396045E-3</v>
      </c>
      <c r="Q566" s="228"/>
      <c r="R566" s="227"/>
      <c r="S566" s="322">
        <v>139.33000200000001</v>
      </c>
      <c r="T566" s="228">
        <f t="shared" si="52"/>
        <v>-4.003123911667017E-3</v>
      </c>
      <c r="U566" s="228"/>
      <c r="V566" s="228"/>
      <c r="W566" s="228"/>
      <c r="X566" s="322">
        <v>91.849997999999999</v>
      </c>
      <c r="Y566" s="228">
        <f t="shared" si="53"/>
        <v>-1.4590720036377181E-2</v>
      </c>
      <c r="Z566" s="228"/>
      <c r="AA566" s="202"/>
    </row>
    <row r="567" spans="2:27" x14ac:dyDescent="0.15">
      <c r="B567" s="241">
        <v>43489</v>
      </c>
      <c r="C567" s="244"/>
      <c r="D567" s="245">
        <v>57.358680999999997</v>
      </c>
      <c r="E567" s="228">
        <f t="shared" si="48"/>
        <v>2.1670088573786384E-3</v>
      </c>
      <c r="F567" s="228"/>
      <c r="G567" s="245">
        <v>164.267853</v>
      </c>
      <c r="H567" s="228">
        <f t="shared" si="49"/>
        <v>4.18209731279231E-2</v>
      </c>
      <c r="J567" s="227"/>
      <c r="K567" s="245">
        <v>34.604869999999998</v>
      </c>
      <c r="L567" s="228">
        <f t="shared" si="50"/>
        <v>3.151551824869725E-2</v>
      </c>
      <c r="M567" s="228"/>
      <c r="N567" s="227"/>
      <c r="O567" s="322">
        <v>37.82</v>
      </c>
      <c r="P567" s="228">
        <f t="shared" si="51"/>
        <v>0.10230250357614379</v>
      </c>
      <c r="Q567" s="228"/>
      <c r="R567" s="227"/>
      <c r="S567" s="322">
        <v>161.199997</v>
      </c>
      <c r="T567" s="228">
        <f t="shared" si="52"/>
        <v>0.15696543950383335</v>
      </c>
      <c r="U567" s="228"/>
      <c r="V567" s="228"/>
      <c r="W567" s="228"/>
      <c r="X567" s="322">
        <v>98.290001000000004</v>
      </c>
      <c r="Y567" s="228">
        <f t="shared" si="53"/>
        <v>7.0114351009566755E-2</v>
      </c>
      <c r="Z567" s="228"/>
      <c r="AA567" s="202"/>
    </row>
    <row r="568" spans="2:27" x14ac:dyDescent="0.15">
      <c r="B568" s="241">
        <v>43490</v>
      </c>
      <c r="C568" s="244"/>
      <c r="D568" s="245">
        <v>57.864333999999999</v>
      </c>
      <c r="E568" s="228">
        <f t="shared" si="48"/>
        <v>8.8156315867864432E-3</v>
      </c>
      <c r="F568" s="228"/>
      <c r="G568" s="245">
        <v>171.81501800000001</v>
      </c>
      <c r="H568" s="228">
        <f t="shared" si="49"/>
        <v>4.594426031732457E-2</v>
      </c>
      <c r="J568" s="227"/>
      <c r="K568" s="245">
        <v>35.064556000000003</v>
      </c>
      <c r="L568" s="228">
        <f t="shared" si="50"/>
        <v>1.3283852821871722E-2</v>
      </c>
      <c r="M568" s="228"/>
      <c r="N568" s="227"/>
      <c r="O568" s="322">
        <v>39.189999</v>
      </c>
      <c r="P568" s="228">
        <f t="shared" si="51"/>
        <v>3.6224193548387129E-2</v>
      </c>
      <c r="Q568" s="228"/>
      <c r="R568" s="227"/>
      <c r="S568" s="322">
        <v>165.490005</v>
      </c>
      <c r="T568" s="228">
        <f t="shared" si="52"/>
        <v>2.6612953348876367E-2</v>
      </c>
      <c r="U568" s="228"/>
      <c r="V568" s="228"/>
      <c r="W568" s="228"/>
      <c r="X568" s="322">
        <v>101.389999</v>
      </c>
      <c r="Y568" s="228">
        <f t="shared" si="53"/>
        <v>3.1539301744436754E-2</v>
      </c>
      <c r="Z568" s="228"/>
      <c r="AA568" s="202"/>
    </row>
    <row r="569" spans="2:27" x14ac:dyDescent="0.15">
      <c r="B569" s="241">
        <v>43493</v>
      </c>
      <c r="C569" s="244"/>
      <c r="D569" s="245">
        <v>57.492249000000001</v>
      </c>
      <c r="E569" s="228">
        <f t="shared" si="48"/>
        <v>-6.4302995347703673E-3</v>
      </c>
      <c r="F569" s="228"/>
      <c r="G569" s="245">
        <v>169.37384</v>
      </c>
      <c r="H569" s="228">
        <f t="shared" si="49"/>
        <v>-1.4208175911607501E-2</v>
      </c>
      <c r="J569" s="227"/>
      <c r="K569" s="245">
        <v>34.420994</v>
      </c>
      <c r="L569" s="228">
        <f t="shared" si="50"/>
        <v>-1.8353633224387655E-2</v>
      </c>
      <c r="M569" s="228"/>
      <c r="N569" s="227"/>
      <c r="O569" s="322">
        <v>38.700001</v>
      </c>
      <c r="P569" s="228">
        <f t="shared" si="51"/>
        <v>-1.2503138874793041E-2</v>
      </c>
      <c r="Q569" s="228"/>
      <c r="R569" s="227"/>
      <c r="S569" s="322">
        <v>166.05999800000001</v>
      </c>
      <c r="T569" s="228">
        <f t="shared" si="52"/>
        <v>3.4442744744616061E-3</v>
      </c>
      <c r="U569" s="228"/>
      <c r="V569" s="228"/>
      <c r="W569" s="228"/>
      <c r="X569" s="322">
        <v>101.68</v>
      </c>
      <c r="Y569" s="228">
        <f t="shared" si="53"/>
        <v>2.8602525185941197E-3</v>
      </c>
      <c r="Z569" s="228"/>
      <c r="AA569" s="202"/>
    </row>
    <row r="570" spans="2:27" x14ac:dyDescent="0.15">
      <c r="B570" s="241">
        <v>43494</v>
      </c>
      <c r="C570" s="244"/>
      <c r="D570" s="245">
        <v>57.406384000000003</v>
      </c>
      <c r="E570" s="228">
        <f t="shared" si="48"/>
        <v>-1.4935056723907048E-3</v>
      </c>
      <c r="F570" s="228"/>
      <c r="G570" s="245">
        <v>169.82124300000001</v>
      </c>
      <c r="H570" s="228">
        <f t="shared" si="49"/>
        <v>2.6415118178817476E-3</v>
      </c>
      <c r="J570" s="227"/>
      <c r="K570" s="245">
        <v>33.400500999999998</v>
      </c>
      <c r="L570" s="228">
        <f t="shared" si="50"/>
        <v>-2.9647400653217693E-2</v>
      </c>
      <c r="M570" s="228"/>
      <c r="N570" s="227"/>
      <c r="O570" s="322">
        <v>38.200001</v>
      </c>
      <c r="P570" s="228">
        <f t="shared" si="51"/>
        <v>-1.2919896306979428E-2</v>
      </c>
      <c r="Q570" s="228"/>
      <c r="R570" s="227"/>
      <c r="S570" s="322">
        <v>164.990005</v>
      </c>
      <c r="T570" s="228">
        <f t="shared" si="52"/>
        <v>-6.4434120973554387E-3</v>
      </c>
      <c r="U570" s="228"/>
      <c r="V570" s="228"/>
      <c r="W570" s="228"/>
      <c r="X570" s="322">
        <v>100.989998</v>
      </c>
      <c r="Y570" s="228">
        <f t="shared" si="53"/>
        <v>-6.7860149488592203E-3</v>
      </c>
      <c r="Z570" s="228"/>
      <c r="AA570" s="202"/>
    </row>
    <row r="571" spans="2:27" x14ac:dyDescent="0.15">
      <c r="B571" s="241">
        <v>43495</v>
      </c>
      <c r="C571" s="244"/>
      <c r="D571" s="245">
        <v>58.245967999999998</v>
      </c>
      <c r="E571" s="228">
        <f t="shared" si="48"/>
        <v>1.4625272339048534E-2</v>
      </c>
      <c r="F571" s="228"/>
      <c r="G571" s="245">
        <v>172.33049</v>
      </c>
      <c r="H571" s="228">
        <f t="shared" si="49"/>
        <v>1.4775813412224226E-2</v>
      </c>
      <c r="J571" s="227"/>
      <c r="K571" s="245">
        <v>34.365833000000002</v>
      </c>
      <c r="L571" s="228">
        <f t="shared" si="50"/>
        <v>2.8901722162790522E-2</v>
      </c>
      <c r="M571" s="228"/>
      <c r="N571" s="227"/>
      <c r="O571" s="322">
        <v>39.599997999999999</v>
      </c>
      <c r="P571" s="228">
        <f t="shared" si="51"/>
        <v>3.6649135166253011E-2</v>
      </c>
      <c r="Q571" s="228"/>
      <c r="R571" s="227"/>
      <c r="S571" s="322">
        <v>170.929993</v>
      </c>
      <c r="T571" s="228">
        <f t="shared" si="52"/>
        <v>3.6002108127701327E-2</v>
      </c>
      <c r="U571" s="228"/>
      <c r="V571" s="228"/>
      <c r="W571" s="228"/>
      <c r="X571" s="322">
        <v>105.980003</v>
      </c>
      <c r="Y571" s="228">
        <f t="shared" si="53"/>
        <v>4.9410883244100923E-2</v>
      </c>
      <c r="Z571" s="228"/>
      <c r="AA571" s="202"/>
    </row>
    <row r="572" spans="2:27" x14ac:dyDescent="0.15">
      <c r="B572" s="241">
        <v>43496</v>
      </c>
      <c r="C572" s="244"/>
      <c r="D572" s="245">
        <v>58.722999999999999</v>
      </c>
      <c r="E572" s="228">
        <f t="shared" si="48"/>
        <v>8.1899574576560497E-3</v>
      </c>
      <c r="F572" s="228"/>
      <c r="G572" s="245">
        <v>170.22972100000001</v>
      </c>
      <c r="H572" s="228">
        <f t="shared" si="49"/>
        <v>-1.2190350065156674E-2</v>
      </c>
      <c r="J572" s="227"/>
      <c r="K572" s="245">
        <v>34.586478999999997</v>
      </c>
      <c r="L572" s="228">
        <f t="shared" si="50"/>
        <v>6.4205049241785606E-3</v>
      </c>
      <c r="M572" s="228"/>
      <c r="N572" s="227"/>
      <c r="O572" s="322">
        <v>39.080002</v>
      </c>
      <c r="P572" s="228">
        <f t="shared" si="51"/>
        <v>-1.3131212784404656E-2</v>
      </c>
      <c r="Q572" s="228"/>
      <c r="R572" s="227"/>
      <c r="S572" s="322">
        <v>169.58000200000001</v>
      </c>
      <c r="T572" s="228">
        <f t="shared" si="52"/>
        <v>-7.8979175995168571E-3</v>
      </c>
      <c r="U572" s="228"/>
      <c r="V572" s="228"/>
      <c r="W572" s="228"/>
      <c r="X572" s="322">
        <v>106.57</v>
      </c>
      <c r="Y572" s="228">
        <f t="shared" si="53"/>
        <v>5.5670596650199133E-3</v>
      </c>
      <c r="Z572" s="228"/>
      <c r="AA572" s="202"/>
    </row>
    <row r="573" spans="2:27" x14ac:dyDescent="0.15">
      <c r="B573" s="241">
        <v>43497</v>
      </c>
      <c r="C573" s="244"/>
      <c r="D573" s="245">
        <v>58.856571000000002</v>
      </c>
      <c r="E573" s="228">
        <f t="shared" si="48"/>
        <v>2.2745942816273512E-3</v>
      </c>
      <c r="F573" s="228"/>
      <c r="G573" s="245">
        <v>173.51702900000001</v>
      </c>
      <c r="H573" s="228">
        <f t="shared" si="49"/>
        <v>1.9311010913305671E-2</v>
      </c>
      <c r="J573" s="227"/>
      <c r="K573" s="245">
        <v>34.540515999999997</v>
      </c>
      <c r="L573" s="228">
        <f t="shared" si="50"/>
        <v>-1.3289297242428111E-3</v>
      </c>
      <c r="M573" s="228"/>
      <c r="N573" s="227"/>
      <c r="O573" s="322">
        <v>39.310001</v>
      </c>
      <c r="P573" s="228">
        <f t="shared" si="51"/>
        <v>5.8853374674852077E-3</v>
      </c>
      <c r="Q573" s="228"/>
      <c r="R573" s="227"/>
      <c r="S573" s="322">
        <v>172.770004</v>
      </c>
      <c r="T573" s="228">
        <f t="shared" si="52"/>
        <v>1.8811192135733013E-2</v>
      </c>
      <c r="U573" s="228"/>
      <c r="V573" s="228"/>
      <c r="W573" s="228"/>
      <c r="X573" s="322">
        <v>106.959999</v>
      </c>
      <c r="Y573" s="228">
        <f t="shared" si="53"/>
        <v>3.6595570986206472E-3</v>
      </c>
      <c r="Z573" s="228"/>
      <c r="AA573" s="202"/>
    </row>
    <row r="574" spans="2:27" x14ac:dyDescent="0.15">
      <c r="B574" s="241">
        <v>43500</v>
      </c>
      <c r="C574" s="244"/>
      <c r="D574" s="245">
        <v>59.276367</v>
      </c>
      <c r="E574" s="228">
        <f t="shared" si="48"/>
        <v>7.1325256104368684E-3</v>
      </c>
      <c r="F574" s="228"/>
      <c r="G574" s="245">
        <v>174.635468</v>
      </c>
      <c r="H574" s="228">
        <f t="shared" si="49"/>
        <v>6.4457016492600605E-3</v>
      </c>
      <c r="J574" s="227"/>
      <c r="K574" s="245">
        <v>34.880671999999997</v>
      </c>
      <c r="L574" s="228">
        <f t="shared" si="50"/>
        <v>9.8480289061113613E-3</v>
      </c>
      <c r="M574" s="228"/>
      <c r="N574" s="227"/>
      <c r="O574" s="322">
        <v>38.900002000000001</v>
      </c>
      <c r="P574" s="228">
        <f t="shared" si="51"/>
        <v>-1.0429890347751436E-2</v>
      </c>
      <c r="Q574" s="228"/>
      <c r="R574" s="227"/>
      <c r="S574" s="322">
        <v>173.16000399999999</v>
      </c>
      <c r="T574" s="228">
        <f t="shared" si="52"/>
        <v>2.257336290852896E-3</v>
      </c>
      <c r="U574" s="228"/>
      <c r="V574" s="228"/>
      <c r="W574" s="228"/>
      <c r="X574" s="322">
        <v>107.029999</v>
      </c>
      <c r="Y574" s="228">
        <f t="shared" si="53"/>
        <v>6.5445026789889837E-4</v>
      </c>
      <c r="Z574" s="228"/>
      <c r="AA574" s="202"/>
    </row>
    <row r="575" spans="2:27" x14ac:dyDescent="0.15">
      <c r="B575" s="241">
        <v>43501</v>
      </c>
      <c r="C575" s="244"/>
      <c r="D575" s="245">
        <v>59.543503000000001</v>
      </c>
      <c r="E575" s="228">
        <f t="shared" si="48"/>
        <v>4.5066189700864179E-3</v>
      </c>
      <c r="F575" s="228"/>
      <c r="G575" s="245">
        <v>176.629257</v>
      </c>
      <c r="H575" s="228">
        <f t="shared" si="49"/>
        <v>1.1416861779761645E-2</v>
      </c>
      <c r="J575" s="227"/>
      <c r="K575" s="245">
        <v>35.165683999999999</v>
      </c>
      <c r="L575" s="228">
        <f t="shared" si="50"/>
        <v>8.1710581722738151E-3</v>
      </c>
      <c r="M575" s="228"/>
      <c r="N575" s="227"/>
      <c r="O575" s="322">
        <v>39.119999</v>
      </c>
      <c r="P575" s="228">
        <f t="shared" si="51"/>
        <v>5.6554495806966365E-3</v>
      </c>
      <c r="Q575" s="228"/>
      <c r="R575" s="227"/>
      <c r="S575" s="322">
        <v>173.69000199999999</v>
      </c>
      <c r="T575" s="228">
        <f t="shared" si="52"/>
        <v>3.0607414400383171E-3</v>
      </c>
      <c r="U575" s="228"/>
      <c r="V575" s="228"/>
      <c r="W575" s="228"/>
      <c r="X575" s="322">
        <v>106.779999</v>
      </c>
      <c r="Y575" s="228">
        <f t="shared" si="53"/>
        <v>-2.3357937245238602E-3</v>
      </c>
      <c r="Z575" s="228"/>
      <c r="AA575" s="202"/>
    </row>
    <row r="576" spans="2:27" x14ac:dyDescent="0.15">
      <c r="B576" s="241">
        <v>43502</v>
      </c>
      <c r="C576" s="244"/>
      <c r="D576" s="245">
        <v>59.409931</v>
      </c>
      <c r="E576" s="228">
        <f t="shared" si="48"/>
        <v>-2.2432674140787645E-3</v>
      </c>
      <c r="F576" s="228"/>
      <c r="G576" s="245">
        <v>181.735275</v>
      </c>
      <c r="H576" s="228">
        <f t="shared" si="49"/>
        <v>2.8908110053364577E-2</v>
      </c>
      <c r="J576" s="227"/>
      <c r="K576" s="245">
        <v>35.616177</v>
      </c>
      <c r="L576" s="228">
        <f t="shared" si="50"/>
        <v>1.281058545598035E-2</v>
      </c>
      <c r="M576" s="228"/>
      <c r="N576" s="227"/>
      <c r="O576" s="322">
        <v>40.279998999999997</v>
      </c>
      <c r="P576" s="228">
        <f t="shared" si="51"/>
        <v>2.9652352496225776E-2</v>
      </c>
      <c r="Q576" s="228"/>
      <c r="R576" s="227"/>
      <c r="S576" s="322">
        <v>177.10000600000001</v>
      </c>
      <c r="T576" s="228">
        <f t="shared" si="52"/>
        <v>1.9632701714172418E-2</v>
      </c>
      <c r="U576" s="228"/>
      <c r="V576" s="228"/>
      <c r="W576" s="228"/>
      <c r="X576" s="322">
        <v>107.82</v>
      </c>
      <c r="Y576" s="228">
        <f t="shared" si="53"/>
        <v>9.7396610764155511E-3</v>
      </c>
      <c r="Z576" s="228"/>
      <c r="AA576" s="202"/>
    </row>
    <row r="577" spans="2:27" x14ac:dyDescent="0.15">
      <c r="B577" s="241">
        <v>43503</v>
      </c>
      <c r="C577" s="244"/>
      <c r="D577" s="245">
        <v>58.913811000000003</v>
      </c>
      <c r="E577" s="228">
        <f t="shared" si="48"/>
        <v>-8.3507923952983454E-3</v>
      </c>
      <c r="F577" s="228"/>
      <c r="G577" s="245">
        <v>176.13325499999999</v>
      </c>
      <c r="H577" s="228">
        <f t="shared" si="49"/>
        <v>-3.0825165890331463E-2</v>
      </c>
      <c r="J577" s="227"/>
      <c r="K577" s="245">
        <v>35.046165000000002</v>
      </c>
      <c r="L577" s="228">
        <f t="shared" si="50"/>
        <v>-1.600430051771129E-2</v>
      </c>
      <c r="M577" s="228"/>
      <c r="N577" s="227"/>
      <c r="O577" s="322">
        <v>39.919998</v>
      </c>
      <c r="P577" s="228">
        <f t="shared" si="51"/>
        <v>-8.9374629825585972E-3</v>
      </c>
      <c r="Q577" s="228"/>
      <c r="R577" s="227"/>
      <c r="S577" s="322">
        <v>175.720001</v>
      </c>
      <c r="T577" s="228">
        <f t="shared" si="52"/>
        <v>-7.7922357608503079E-3</v>
      </c>
      <c r="U577" s="228"/>
      <c r="V577" s="228"/>
      <c r="W577" s="228"/>
      <c r="X577" s="322">
        <v>105.480003</v>
      </c>
      <c r="Y577" s="228">
        <f t="shared" si="53"/>
        <v>-2.1702810239287662E-2</v>
      </c>
      <c r="Z577" s="228"/>
      <c r="AA577" s="202"/>
    </row>
    <row r="578" spans="2:27" x14ac:dyDescent="0.15">
      <c r="B578" s="241">
        <v>43504</v>
      </c>
      <c r="C578" s="244"/>
      <c r="D578" s="245">
        <v>58.980601999999998</v>
      </c>
      <c r="E578" s="228">
        <f t="shared" si="48"/>
        <v>1.1337070012327199E-3</v>
      </c>
      <c r="F578" s="228"/>
      <c r="G578" s="245">
        <v>176.10406499999999</v>
      </c>
      <c r="H578" s="228">
        <f t="shared" si="49"/>
        <v>-1.6572679588533479E-4</v>
      </c>
      <c r="J578" s="227"/>
      <c r="K578" s="245">
        <v>34.742778999999999</v>
      </c>
      <c r="L578" s="228">
        <f t="shared" si="50"/>
        <v>-8.6567531711387868E-3</v>
      </c>
      <c r="M578" s="228"/>
      <c r="N578" s="227"/>
      <c r="O578" s="322">
        <v>39.779998999999997</v>
      </c>
      <c r="P578" s="228">
        <f t="shared" si="51"/>
        <v>-3.5069891536568809E-3</v>
      </c>
      <c r="Q578" s="228"/>
      <c r="R578" s="227"/>
      <c r="S578" s="322">
        <v>175.300003</v>
      </c>
      <c r="T578" s="228">
        <f t="shared" si="52"/>
        <v>-2.3901547781119969E-3</v>
      </c>
      <c r="U578" s="228"/>
      <c r="V578" s="228"/>
      <c r="W578" s="228"/>
      <c r="X578" s="322">
        <v>105.599998</v>
      </c>
      <c r="Y578" s="228">
        <f t="shared" si="53"/>
        <v>1.1376089930523747E-3</v>
      </c>
      <c r="Z578" s="228"/>
      <c r="AA578" s="202"/>
    </row>
    <row r="579" spans="2:27" x14ac:dyDescent="0.15">
      <c r="B579" s="241">
        <v>43507</v>
      </c>
      <c r="C579" s="244"/>
      <c r="D579" s="245">
        <v>59.066471</v>
      </c>
      <c r="E579" s="228">
        <f t="shared" si="48"/>
        <v>1.4558854451842684E-3</v>
      </c>
      <c r="F579" s="228"/>
      <c r="G579" s="245">
        <v>173.624008</v>
      </c>
      <c r="H579" s="228">
        <f t="shared" si="49"/>
        <v>-1.4082906036268938E-2</v>
      </c>
      <c r="J579" s="227"/>
      <c r="K579" s="245">
        <v>35.202457000000003</v>
      </c>
      <c r="L579" s="228">
        <f t="shared" si="50"/>
        <v>1.3230893245471442E-2</v>
      </c>
      <c r="M579" s="228"/>
      <c r="N579" s="227"/>
      <c r="O579" s="322">
        <v>39.900002000000001</v>
      </c>
      <c r="P579" s="228">
        <f t="shared" si="51"/>
        <v>3.0166667425004512E-3</v>
      </c>
      <c r="Q579" s="228"/>
      <c r="R579" s="227"/>
      <c r="S579" s="322">
        <v>175.91999799999999</v>
      </c>
      <c r="T579" s="228">
        <f t="shared" si="52"/>
        <v>3.5367654842537455E-3</v>
      </c>
      <c r="U579" s="228"/>
      <c r="V579" s="228"/>
      <c r="W579" s="228"/>
      <c r="X579" s="322">
        <v>105.620003</v>
      </c>
      <c r="Y579" s="228">
        <f t="shared" si="53"/>
        <v>1.8944129146669653E-4</v>
      </c>
      <c r="Z579" s="228"/>
      <c r="AA579" s="202"/>
    </row>
    <row r="580" spans="2:27" x14ac:dyDescent="0.15">
      <c r="B580" s="241">
        <v>43508</v>
      </c>
      <c r="C580" s="244"/>
      <c r="D580" s="245">
        <v>59.820186999999997</v>
      </c>
      <c r="E580" s="228">
        <f t="shared" si="48"/>
        <v>1.2760471164766196E-2</v>
      </c>
      <c r="F580" s="228"/>
      <c r="G580" s="245">
        <v>177.77690100000001</v>
      </c>
      <c r="H580" s="228">
        <f t="shared" si="49"/>
        <v>2.3918886839658704E-2</v>
      </c>
      <c r="J580" s="227"/>
      <c r="K580" s="245">
        <v>35.524234999999997</v>
      </c>
      <c r="L580" s="228">
        <f t="shared" si="50"/>
        <v>9.1407824175453456E-3</v>
      </c>
      <c r="M580" s="228"/>
      <c r="N580" s="227"/>
      <c r="O580" s="322">
        <v>40.689999</v>
      </c>
      <c r="P580" s="228">
        <f t="shared" si="51"/>
        <v>1.9799422566445068E-2</v>
      </c>
      <c r="Q580" s="228"/>
      <c r="R580" s="227"/>
      <c r="S580" s="322">
        <v>179.25</v>
      </c>
      <c r="T580" s="228">
        <f t="shared" si="52"/>
        <v>1.8929070247033497E-2</v>
      </c>
      <c r="U580" s="228"/>
      <c r="V580" s="228"/>
      <c r="W580" s="228"/>
      <c r="X580" s="322">
        <v>107.199997</v>
      </c>
      <c r="Y580" s="228">
        <f t="shared" si="53"/>
        <v>1.4959230781313337E-2</v>
      </c>
      <c r="Z580" s="228"/>
      <c r="AA580" s="202"/>
    </row>
    <row r="581" spans="2:27" x14ac:dyDescent="0.15">
      <c r="B581" s="241">
        <v>43509</v>
      </c>
      <c r="C581" s="244"/>
      <c r="D581" s="245">
        <v>59.991912999999997</v>
      </c>
      <c r="E581" s="228">
        <f t="shared" si="48"/>
        <v>2.8707031624626289E-3</v>
      </c>
      <c r="F581" s="228"/>
      <c r="G581" s="245">
        <v>177.310059</v>
      </c>
      <c r="H581" s="228">
        <f t="shared" si="49"/>
        <v>-2.625999201099849E-3</v>
      </c>
      <c r="J581" s="227"/>
      <c r="K581" s="245">
        <v>35.055359000000003</v>
      </c>
      <c r="L581" s="228">
        <f t="shared" si="50"/>
        <v>-1.3198764167616672E-2</v>
      </c>
      <c r="M581" s="228"/>
      <c r="N581" s="227"/>
      <c r="O581" s="322">
        <v>40.849997999999999</v>
      </c>
      <c r="P581" s="228">
        <f t="shared" si="51"/>
        <v>3.9321455869290034E-3</v>
      </c>
      <c r="Q581" s="228"/>
      <c r="R581" s="227"/>
      <c r="S581" s="322">
        <v>181.009995</v>
      </c>
      <c r="T581" s="228">
        <f t="shared" si="52"/>
        <v>9.8186610878661096E-3</v>
      </c>
      <c r="U581" s="228"/>
      <c r="V581" s="228"/>
      <c r="W581" s="228"/>
      <c r="X581" s="322">
        <v>107.879997</v>
      </c>
      <c r="Y581" s="228">
        <f t="shared" si="53"/>
        <v>6.3432837596069103E-3</v>
      </c>
      <c r="Z581" s="228"/>
      <c r="AA581" s="202"/>
    </row>
    <row r="582" spans="2:27" x14ac:dyDescent="0.15">
      <c r="B582" s="241">
        <v>43510</v>
      </c>
      <c r="C582" s="244"/>
      <c r="D582" s="245">
        <v>59.886966999999999</v>
      </c>
      <c r="E582" s="228">
        <f t="shared" si="48"/>
        <v>-1.7493357813076482E-3</v>
      </c>
      <c r="F582" s="228"/>
      <c r="G582" s="245">
        <v>179.27465799999999</v>
      </c>
      <c r="H582" s="228">
        <f t="shared" si="49"/>
        <v>1.1080020000444391E-2</v>
      </c>
      <c r="J582" s="227"/>
      <c r="K582" s="245">
        <v>34.991005000000001</v>
      </c>
      <c r="L582" s="228">
        <f t="shared" si="50"/>
        <v>-1.8357820839889349E-3</v>
      </c>
      <c r="M582" s="228"/>
      <c r="N582" s="227"/>
      <c r="O582" s="322">
        <v>40.709999000000003</v>
      </c>
      <c r="P582" s="228">
        <f t="shared" si="51"/>
        <v>-3.4271482706068612E-3</v>
      </c>
      <c r="Q582" s="228"/>
      <c r="R582" s="227"/>
      <c r="S582" s="322">
        <v>181.33000200000001</v>
      </c>
      <c r="T582" s="228">
        <f t="shared" si="52"/>
        <v>1.7678968501160242E-3</v>
      </c>
      <c r="U582" s="228"/>
      <c r="V582" s="228"/>
      <c r="W582" s="228"/>
      <c r="X582" s="322">
        <v>107.139999</v>
      </c>
      <c r="Y582" s="228">
        <f t="shared" si="53"/>
        <v>-6.8594551406967463E-3</v>
      </c>
      <c r="Z582" s="228"/>
      <c r="AA582" s="202"/>
    </row>
    <row r="583" spans="2:27" x14ac:dyDescent="0.15">
      <c r="B583" s="241">
        <v>43511</v>
      </c>
      <c r="C583" s="244"/>
      <c r="D583" s="245">
        <v>60.564357999999999</v>
      </c>
      <c r="E583" s="228">
        <f t="shared" si="48"/>
        <v>1.1311158903739349E-2</v>
      </c>
      <c r="F583" s="228"/>
      <c r="G583" s="245">
        <v>179.31355300000001</v>
      </c>
      <c r="H583" s="228">
        <f t="shared" si="49"/>
        <v>2.1695760256323915E-4</v>
      </c>
      <c r="J583" s="227"/>
      <c r="K583" s="245">
        <v>35.018585000000002</v>
      </c>
      <c r="L583" s="228">
        <f t="shared" si="50"/>
        <v>7.8820256805989253E-4</v>
      </c>
      <c r="M583" s="228"/>
      <c r="N583" s="227"/>
      <c r="O583" s="322">
        <v>39.099997999999999</v>
      </c>
      <c r="P583" s="228">
        <f t="shared" si="51"/>
        <v>-3.9548048134317115E-2</v>
      </c>
      <c r="Q583" s="228"/>
      <c r="R583" s="227"/>
      <c r="S583" s="322">
        <v>181.08999600000001</v>
      </c>
      <c r="T583" s="228">
        <f t="shared" si="52"/>
        <v>-1.3235868160416109E-3</v>
      </c>
      <c r="U583" s="228"/>
      <c r="V583" s="228"/>
      <c r="W583" s="228"/>
      <c r="X583" s="322">
        <v>108.19000200000001</v>
      </c>
      <c r="Y583" s="228">
        <f t="shared" si="53"/>
        <v>9.80028943252087E-3</v>
      </c>
      <c r="Z583" s="228"/>
      <c r="AA583" s="202"/>
    </row>
    <row r="584" spans="2:27" x14ac:dyDescent="0.15">
      <c r="B584" s="241">
        <v>43515</v>
      </c>
      <c r="C584" s="244"/>
      <c r="D584" s="245">
        <v>60.650222999999997</v>
      </c>
      <c r="E584" s="228">
        <f t="shared" si="48"/>
        <v>1.4177480425037192E-3</v>
      </c>
      <c r="F584" s="228"/>
      <c r="G584" s="245">
        <v>177.45594800000001</v>
      </c>
      <c r="H584" s="228">
        <f t="shared" si="49"/>
        <v>-1.0359534842299456E-2</v>
      </c>
      <c r="J584" s="227"/>
      <c r="K584" s="245">
        <v>35.358738000000002</v>
      </c>
      <c r="L584" s="228">
        <f t="shared" si="50"/>
        <v>9.7134992747422988E-3</v>
      </c>
      <c r="M584" s="228"/>
      <c r="N584" s="227"/>
      <c r="O584" s="322">
        <v>39.299999</v>
      </c>
      <c r="P584" s="228">
        <f t="shared" si="51"/>
        <v>5.1151153511568292E-3</v>
      </c>
      <c r="Q584" s="228"/>
      <c r="R584" s="227"/>
      <c r="S584" s="322">
        <v>180.30999800000001</v>
      </c>
      <c r="T584" s="228">
        <f t="shared" si="52"/>
        <v>-4.3072395893145599E-3</v>
      </c>
      <c r="U584" s="228"/>
      <c r="V584" s="228"/>
      <c r="W584" s="228"/>
      <c r="X584" s="322">
        <v>108.260002</v>
      </c>
      <c r="Y584" s="228">
        <f t="shared" si="53"/>
        <v>6.4700987804755528E-4</v>
      </c>
      <c r="Z584" s="228"/>
      <c r="AA584" s="202"/>
    </row>
    <row r="585" spans="2:27" x14ac:dyDescent="0.15">
      <c r="B585" s="241">
        <v>43516</v>
      </c>
      <c r="C585" s="244"/>
      <c r="D585" s="245">
        <v>60.783791000000001</v>
      </c>
      <c r="E585" s="228">
        <f t="shared" ref="E585:E648" si="54">D585/D584-1</f>
        <v>2.2022672529993237E-3</v>
      </c>
      <c r="F585" s="228"/>
      <c r="G585" s="245">
        <v>178.80783099999999</v>
      </c>
      <c r="H585" s="228">
        <f t="shared" ref="H585:H648" si="55">G585/G584-1</f>
        <v>7.6181329238960149E-3</v>
      </c>
      <c r="J585" s="227"/>
      <c r="K585" s="245">
        <v>35.855206000000003</v>
      </c>
      <c r="L585" s="228">
        <f t="shared" ref="L585:L648" si="56">K585/K584-1</f>
        <v>1.4040885735231878E-2</v>
      </c>
      <c r="M585" s="228"/>
      <c r="N585" s="227"/>
      <c r="O585" s="322">
        <v>39</v>
      </c>
      <c r="P585" s="228">
        <f t="shared" ref="P585:P648" si="57">O585/O584-1</f>
        <v>-7.6335625352051961E-3</v>
      </c>
      <c r="Q585" s="228"/>
      <c r="R585" s="227"/>
      <c r="S585" s="322">
        <v>182.21000699999999</v>
      </c>
      <c r="T585" s="228">
        <f t="shared" ref="T585:T648" si="58">S585/S584-1</f>
        <v>1.0537457828600161E-2</v>
      </c>
      <c r="U585" s="228"/>
      <c r="V585" s="228"/>
      <c r="W585" s="228"/>
      <c r="X585" s="322">
        <v>112.870003</v>
      </c>
      <c r="Y585" s="228">
        <f t="shared" ref="Y585:Y648" si="59">X585/X584-1</f>
        <v>4.2582679797105394E-2</v>
      </c>
      <c r="Z585" s="228"/>
      <c r="AA585" s="202"/>
    </row>
    <row r="586" spans="2:27" x14ac:dyDescent="0.15">
      <c r="B586" s="241">
        <v>43517</v>
      </c>
      <c r="C586" s="244"/>
      <c r="D586" s="245">
        <v>60.583438999999998</v>
      </c>
      <c r="E586" s="228">
        <f t="shared" si="54"/>
        <v>-3.2961418941441778E-3</v>
      </c>
      <c r="F586" s="228"/>
      <c r="G586" s="245">
        <v>177.52401699999999</v>
      </c>
      <c r="H586" s="228">
        <f t="shared" si="55"/>
        <v>-7.1798533253277785E-3</v>
      </c>
      <c r="J586" s="227"/>
      <c r="K586" s="245">
        <v>35.836818999999998</v>
      </c>
      <c r="L586" s="228">
        <f t="shared" si="56"/>
        <v>-5.1281256060842217E-4</v>
      </c>
      <c r="M586" s="228"/>
      <c r="N586" s="227"/>
      <c r="O586" s="322">
        <v>38.830002</v>
      </c>
      <c r="P586" s="228">
        <f t="shared" si="57"/>
        <v>-4.3589230769230936E-3</v>
      </c>
      <c r="Q586" s="228"/>
      <c r="R586" s="227"/>
      <c r="S586" s="322">
        <v>178.820007</v>
      </c>
      <c r="T586" s="228">
        <f t="shared" si="58"/>
        <v>-1.8604905711901876E-2</v>
      </c>
      <c r="U586" s="228"/>
      <c r="V586" s="228"/>
      <c r="W586" s="228"/>
      <c r="X586" s="322">
        <v>112.989998</v>
      </c>
      <c r="Y586" s="228">
        <f t="shared" si="59"/>
        <v>1.0631256915976106E-3</v>
      </c>
      <c r="Z586" s="228"/>
      <c r="AA586" s="202"/>
    </row>
    <row r="587" spans="2:27" x14ac:dyDescent="0.15">
      <c r="B587" s="241">
        <v>43518</v>
      </c>
      <c r="C587" s="244"/>
      <c r="D587" s="245">
        <v>60.974606000000001</v>
      </c>
      <c r="E587" s="228">
        <f t="shared" si="54"/>
        <v>6.4566654923634559E-3</v>
      </c>
      <c r="F587" s="228"/>
      <c r="G587" s="245">
        <v>179.81930500000001</v>
      </c>
      <c r="H587" s="228">
        <f t="shared" si="55"/>
        <v>1.2929450554287625E-2</v>
      </c>
      <c r="J587" s="227"/>
      <c r="K587" s="245">
        <v>36.213752999999997</v>
      </c>
      <c r="L587" s="228">
        <f t="shared" si="56"/>
        <v>1.0518065233412477E-2</v>
      </c>
      <c r="M587" s="228"/>
      <c r="N587" s="227"/>
      <c r="O587" s="322">
        <v>39.43</v>
      </c>
      <c r="P587" s="228">
        <f t="shared" si="57"/>
        <v>1.5451917823748662E-2</v>
      </c>
      <c r="Q587" s="228"/>
      <c r="R587" s="227"/>
      <c r="S587" s="322">
        <v>179.220001</v>
      </c>
      <c r="T587" s="228">
        <f t="shared" si="58"/>
        <v>2.2368526134772804E-3</v>
      </c>
      <c r="U587" s="228"/>
      <c r="V587" s="228"/>
      <c r="W587" s="228"/>
      <c r="X587" s="322">
        <v>114.489998</v>
      </c>
      <c r="Y587" s="228">
        <f t="shared" si="59"/>
        <v>1.3275511342163204E-2</v>
      </c>
      <c r="Z587" s="228"/>
      <c r="AA587" s="202"/>
    </row>
    <row r="588" spans="2:27" x14ac:dyDescent="0.15">
      <c r="B588" s="241">
        <v>43521</v>
      </c>
      <c r="C588" s="244"/>
      <c r="D588" s="245">
        <v>61.050933999999998</v>
      </c>
      <c r="E588" s="228">
        <f t="shared" si="54"/>
        <v>1.251799806627707E-3</v>
      </c>
      <c r="F588" s="228"/>
      <c r="G588" s="245">
        <v>181.86170999999999</v>
      </c>
      <c r="H588" s="228">
        <f t="shared" si="55"/>
        <v>1.135809639571228E-2</v>
      </c>
      <c r="J588" s="227"/>
      <c r="K588" s="245">
        <v>36.388435000000001</v>
      </c>
      <c r="L588" s="228">
        <f t="shared" si="56"/>
        <v>4.8236370309369114E-3</v>
      </c>
      <c r="M588" s="228"/>
      <c r="N588" s="227"/>
      <c r="O588" s="322">
        <v>39.659999999999997</v>
      </c>
      <c r="P588" s="228">
        <f t="shared" si="57"/>
        <v>5.8331219883336338E-3</v>
      </c>
      <c r="Q588" s="228"/>
      <c r="R588" s="227"/>
      <c r="S588" s="322">
        <v>179.60000600000001</v>
      </c>
      <c r="T588" s="228">
        <f t="shared" si="58"/>
        <v>2.1203269606053787E-3</v>
      </c>
      <c r="U588" s="228"/>
      <c r="V588" s="228"/>
      <c r="W588" s="228"/>
      <c r="X588" s="322">
        <v>115.760002</v>
      </c>
      <c r="Y588" s="228">
        <f t="shared" si="59"/>
        <v>1.1092706980394995E-2</v>
      </c>
      <c r="Z588" s="228"/>
      <c r="AA588" s="202"/>
    </row>
    <row r="589" spans="2:27" x14ac:dyDescent="0.15">
      <c r="B589" s="241">
        <v>43522</v>
      </c>
      <c r="C589" s="244"/>
      <c r="D589" s="245">
        <v>60.955531999999998</v>
      </c>
      <c r="E589" s="228">
        <f t="shared" si="54"/>
        <v>-1.5626624156150903E-3</v>
      </c>
      <c r="F589" s="228"/>
      <c r="G589" s="245">
        <v>180.27642800000001</v>
      </c>
      <c r="H589" s="228">
        <f t="shared" si="55"/>
        <v>-8.7169641152058386E-3</v>
      </c>
      <c r="J589" s="227"/>
      <c r="K589" s="245">
        <v>36.406821999999998</v>
      </c>
      <c r="L589" s="228">
        <f t="shared" si="56"/>
        <v>5.0529790577691358E-4</v>
      </c>
      <c r="M589" s="228"/>
      <c r="N589" s="227"/>
      <c r="O589" s="322">
        <v>39.580002</v>
      </c>
      <c r="P589" s="228">
        <f t="shared" si="57"/>
        <v>-2.0170953101360523E-3</v>
      </c>
      <c r="Q589" s="228"/>
      <c r="R589" s="227"/>
      <c r="S589" s="322">
        <v>178.55999800000001</v>
      </c>
      <c r="T589" s="228">
        <f t="shared" si="58"/>
        <v>-5.7906902297096829E-3</v>
      </c>
      <c r="U589" s="228"/>
      <c r="V589" s="228"/>
      <c r="W589" s="228"/>
      <c r="X589" s="322">
        <v>116.120003</v>
      </c>
      <c r="Y589" s="228">
        <f t="shared" si="59"/>
        <v>3.1098911003819563E-3</v>
      </c>
      <c r="Z589" s="228"/>
      <c r="AA589" s="202"/>
    </row>
    <row r="590" spans="2:27" x14ac:dyDescent="0.15">
      <c r="B590" s="241">
        <v>43523</v>
      </c>
      <c r="C590" s="244"/>
      <c r="D590" s="245">
        <v>60.98415</v>
      </c>
      <c r="E590" s="228">
        <f t="shared" si="54"/>
        <v>4.6948979134486812E-4</v>
      </c>
      <c r="F590" s="228"/>
      <c r="G590" s="245">
        <v>179.07041899999999</v>
      </c>
      <c r="H590" s="228">
        <f t="shared" si="55"/>
        <v>-6.6897764359965528E-3</v>
      </c>
      <c r="J590" s="227"/>
      <c r="K590" s="245">
        <v>36.268920999999999</v>
      </c>
      <c r="L590" s="228">
        <f t="shared" si="56"/>
        <v>-3.7877791145846107E-3</v>
      </c>
      <c r="M590" s="228"/>
      <c r="N590" s="227"/>
      <c r="O590" s="322">
        <v>38.779998999999997</v>
      </c>
      <c r="P590" s="228">
        <f t="shared" si="57"/>
        <v>-2.0212303172698287E-2</v>
      </c>
      <c r="Q590" s="228"/>
      <c r="R590" s="227"/>
      <c r="S590" s="322">
        <v>177.199997</v>
      </c>
      <c r="T590" s="228">
        <f t="shared" si="58"/>
        <v>-7.6164931408657655E-3</v>
      </c>
      <c r="U590" s="228"/>
      <c r="V590" s="228"/>
      <c r="W590" s="228"/>
      <c r="X590" s="322">
        <v>114.900002</v>
      </c>
      <c r="Y590" s="228">
        <f t="shared" si="59"/>
        <v>-1.0506381058222991E-2</v>
      </c>
      <c r="Z590" s="228"/>
      <c r="AA590" s="202"/>
    </row>
    <row r="591" spans="2:27" x14ac:dyDescent="0.15">
      <c r="B591" s="241">
        <v>43524</v>
      </c>
      <c r="C591" s="244"/>
      <c r="D591" s="245">
        <v>60.793334999999999</v>
      </c>
      <c r="E591" s="228">
        <f t="shared" si="54"/>
        <v>-3.1289277623776091E-3</v>
      </c>
      <c r="F591" s="228"/>
      <c r="G591" s="245">
        <v>177.854691</v>
      </c>
      <c r="H591" s="228">
        <f t="shared" si="55"/>
        <v>-6.7891056869643363E-3</v>
      </c>
      <c r="J591" s="227"/>
      <c r="K591" s="245">
        <v>35.901173</v>
      </c>
      <c r="L591" s="228">
        <f t="shared" si="56"/>
        <v>-1.0139480024784819E-2</v>
      </c>
      <c r="M591" s="228"/>
      <c r="N591" s="227"/>
      <c r="O591" s="322">
        <v>38.340000000000003</v>
      </c>
      <c r="P591" s="228">
        <f t="shared" si="57"/>
        <v>-1.1346029173440519E-2</v>
      </c>
      <c r="Q591" s="228"/>
      <c r="R591" s="227"/>
      <c r="S591" s="322">
        <v>176.08999600000001</v>
      </c>
      <c r="T591" s="228">
        <f t="shared" si="58"/>
        <v>-6.2641141015368218E-3</v>
      </c>
      <c r="U591" s="228"/>
      <c r="V591" s="228"/>
      <c r="W591" s="228"/>
      <c r="X591" s="322">
        <v>115.489998</v>
      </c>
      <c r="Y591" s="228">
        <f t="shared" si="59"/>
        <v>5.1348650107072569E-3</v>
      </c>
      <c r="Z591" s="228"/>
      <c r="AA591" s="202"/>
    </row>
    <row r="592" spans="2:27" x14ac:dyDescent="0.15">
      <c r="B592" s="241">
        <v>43525</v>
      </c>
      <c r="C592" s="244"/>
      <c r="D592" s="245">
        <v>61.241748999999999</v>
      </c>
      <c r="E592" s="228">
        <f t="shared" si="54"/>
        <v>7.3760388371522101E-3</v>
      </c>
      <c r="F592" s="228"/>
      <c r="G592" s="245">
        <v>180.033264</v>
      </c>
      <c r="H592" s="228">
        <f t="shared" si="55"/>
        <v>1.2249173680777492E-2</v>
      </c>
      <c r="J592" s="227"/>
      <c r="K592" s="245">
        <v>36.213752999999997</v>
      </c>
      <c r="L592" s="228">
        <f t="shared" si="56"/>
        <v>8.7066793054364489E-3</v>
      </c>
      <c r="M592" s="228"/>
      <c r="N592" s="227"/>
      <c r="O592" s="322">
        <v>38.560001</v>
      </c>
      <c r="P592" s="228">
        <f t="shared" si="57"/>
        <v>5.7381585811162594E-3</v>
      </c>
      <c r="Q592" s="228"/>
      <c r="R592" s="227"/>
      <c r="S592" s="322">
        <v>176.75</v>
      </c>
      <c r="T592" s="228">
        <f t="shared" si="58"/>
        <v>3.7481061672577365E-3</v>
      </c>
      <c r="U592" s="228"/>
      <c r="V592" s="228"/>
      <c r="W592" s="228"/>
      <c r="X592" s="322">
        <v>115.779999</v>
      </c>
      <c r="Y592" s="228">
        <f t="shared" si="59"/>
        <v>2.5110486191193271E-3</v>
      </c>
      <c r="Z592" s="228"/>
      <c r="AA592" s="202"/>
    </row>
    <row r="593" spans="2:27" x14ac:dyDescent="0.15">
      <c r="B593" s="241">
        <v>43528</v>
      </c>
      <c r="C593" s="244"/>
      <c r="D593" s="245">
        <v>60.965069</v>
      </c>
      <c r="E593" s="228">
        <f t="shared" si="54"/>
        <v>-4.5178330880132345E-3</v>
      </c>
      <c r="F593" s="228"/>
      <c r="G593" s="245">
        <v>180.56819200000001</v>
      </c>
      <c r="H593" s="228">
        <f t="shared" si="55"/>
        <v>2.9712731309476936E-3</v>
      </c>
      <c r="J593" s="227"/>
      <c r="K593" s="245">
        <v>35.993118000000003</v>
      </c>
      <c r="L593" s="228">
        <f t="shared" si="56"/>
        <v>-6.0925748292366411E-3</v>
      </c>
      <c r="M593" s="228"/>
      <c r="N593" s="227"/>
      <c r="O593" s="322">
        <v>39.080002</v>
      </c>
      <c r="P593" s="228">
        <f t="shared" si="57"/>
        <v>1.3485502762305535E-2</v>
      </c>
      <c r="Q593" s="228"/>
      <c r="R593" s="227"/>
      <c r="S593" s="322">
        <v>177.770004</v>
      </c>
      <c r="T593" s="228">
        <f t="shared" si="58"/>
        <v>5.7708854314002522E-3</v>
      </c>
      <c r="U593" s="228"/>
      <c r="V593" s="228"/>
      <c r="W593" s="228"/>
      <c r="X593" s="322">
        <v>116.709999</v>
      </c>
      <c r="Y593" s="228">
        <f t="shared" si="59"/>
        <v>8.0324754537266507E-3</v>
      </c>
      <c r="Z593" s="228"/>
      <c r="AA593" s="202"/>
    </row>
    <row r="594" spans="2:27" x14ac:dyDescent="0.15">
      <c r="B594" s="241">
        <v>43529</v>
      </c>
      <c r="C594" s="244"/>
      <c r="D594" s="245">
        <v>60.831501000000003</v>
      </c>
      <c r="E594" s="228">
        <f t="shared" si="54"/>
        <v>-2.1908939363293189E-3</v>
      </c>
      <c r="F594" s="228"/>
      <c r="G594" s="245">
        <v>179.469177</v>
      </c>
      <c r="H594" s="228">
        <f t="shared" si="55"/>
        <v>-6.0864263402493624E-3</v>
      </c>
      <c r="J594" s="227"/>
      <c r="K594" s="245">
        <v>35.873595999999999</v>
      </c>
      <c r="L594" s="228">
        <f t="shared" si="56"/>
        <v>-3.3206903608630212E-3</v>
      </c>
      <c r="M594" s="228"/>
      <c r="N594" s="227"/>
      <c r="O594" s="322">
        <v>38.93</v>
      </c>
      <c r="P594" s="228">
        <f t="shared" si="57"/>
        <v>-3.8383314309963223E-3</v>
      </c>
      <c r="Q594" s="228"/>
      <c r="R594" s="227"/>
      <c r="S594" s="322">
        <v>173.53999300000001</v>
      </c>
      <c r="T594" s="228">
        <f t="shared" si="58"/>
        <v>-2.3794852364406704E-2</v>
      </c>
      <c r="U594" s="228"/>
      <c r="V594" s="228"/>
      <c r="W594" s="228"/>
      <c r="X594" s="322">
        <v>115.239998</v>
      </c>
      <c r="Y594" s="228">
        <f t="shared" si="59"/>
        <v>-1.2595330413806227E-2</v>
      </c>
      <c r="Z594" s="228"/>
      <c r="AA594" s="202"/>
    </row>
    <row r="595" spans="2:27" x14ac:dyDescent="0.15">
      <c r="B595" s="241">
        <v>43530</v>
      </c>
      <c r="C595" s="244"/>
      <c r="D595" s="245">
        <v>60.383087000000003</v>
      </c>
      <c r="E595" s="228">
        <f t="shared" si="54"/>
        <v>-7.3714110720365378E-3</v>
      </c>
      <c r="F595" s="228"/>
      <c r="G595" s="245">
        <v>176.19160500000001</v>
      </c>
      <c r="H595" s="228">
        <f t="shared" si="55"/>
        <v>-1.8262590015665991E-2</v>
      </c>
      <c r="J595" s="227"/>
      <c r="K595" s="245">
        <v>35.662132</v>
      </c>
      <c r="L595" s="228">
        <f t="shared" si="56"/>
        <v>-5.8946975931823964E-3</v>
      </c>
      <c r="M595" s="228"/>
      <c r="N595" s="227"/>
      <c r="O595" s="322">
        <v>38.07</v>
      </c>
      <c r="P595" s="228">
        <f t="shared" si="57"/>
        <v>-2.2090932442846101E-2</v>
      </c>
      <c r="Q595" s="228"/>
      <c r="R595" s="227"/>
      <c r="S595" s="322">
        <v>169.19000199999999</v>
      </c>
      <c r="T595" s="228">
        <f t="shared" si="58"/>
        <v>-2.5066216292863541E-2</v>
      </c>
      <c r="U595" s="228"/>
      <c r="V595" s="228"/>
      <c r="W595" s="228"/>
      <c r="X595" s="322">
        <v>114.5</v>
      </c>
      <c r="Y595" s="228">
        <f t="shared" si="59"/>
        <v>-6.4213642211274902E-3</v>
      </c>
      <c r="Z595" s="228"/>
      <c r="AA595" s="202"/>
    </row>
    <row r="596" spans="2:27" x14ac:dyDescent="0.15">
      <c r="B596" s="241">
        <v>43531</v>
      </c>
      <c r="C596" s="244"/>
      <c r="D596" s="245">
        <v>59.886966999999999</v>
      </c>
      <c r="E596" s="228">
        <f t="shared" si="54"/>
        <v>-8.2162079590267778E-3</v>
      </c>
      <c r="F596" s="228"/>
      <c r="G596" s="245">
        <v>172.65141299999999</v>
      </c>
      <c r="H596" s="228">
        <f t="shared" si="55"/>
        <v>-2.0092852891600677E-2</v>
      </c>
      <c r="J596" s="227"/>
      <c r="K596" s="245">
        <v>35.515040999999997</v>
      </c>
      <c r="L596" s="228">
        <f t="shared" si="56"/>
        <v>-4.1245711277161368E-3</v>
      </c>
      <c r="M596" s="228"/>
      <c r="N596" s="227"/>
      <c r="O596" s="322">
        <v>37.57</v>
      </c>
      <c r="P596" s="228">
        <f t="shared" si="57"/>
        <v>-1.3133701076963433E-2</v>
      </c>
      <c r="Q596" s="228"/>
      <c r="R596" s="227"/>
      <c r="S596" s="322">
        <v>167.16000399999999</v>
      </c>
      <c r="T596" s="228">
        <f t="shared" si="58"/>
        <v>-1.1998333092992142E-2</v>
      </c>
      <c r="U596" s="228"/>
      <c r="V596" s="228"/>
      <c r="W596" s="228"/>
      <c r="X596" s="322">
        <v>114.629997</v>
      </c>
      <c r="Y596" s="228">
        <f t="shared" si="59"/>
        <v>1.1353449781659197E-3</v>
      </c>
      <c r="Z596" s="228"/>
      <c r="AA596" s="202"/>
    </row>
    <row r="597" spans="2:27" x14ac:dyDescent="0.15">
      <c r="B597" s="241">
        <v>43532</v>
      </c>
      <c r="C597" s="244"/>
      <c r="D597" s="245">
        <v>59.772483999999999</v>
      </c>
      <c r="E597" s="228">
        <f t="shared" si="54"/>
        <v>-1.911651328076136E-3</v>
      </c>
      <c r="F597" s="228"/>
      <c r="G597" s="245">
        <v>173.935226</v>
      </c>
      <c r="H597" s="228">
        <f t="shared" si="55"/>
        <v>7.4358673218619664E-3</v>
      </c>
      <c r="J597" s="227"/>
      <c r="K597" s="245">
        <v>35.119720000000001</v>
      </c>
      <c r="L597" s="228">
        <f t="shared" si="56"/>
        <v>-1.1131086685215896E-2</v>
      </c>
      <c r="M597" s="228"/>
      <c r="N597" s="227"/>
      <c r="O597" s="322">
        <v>37.740001999999997</v>
      </c>
      <c r="P597" s="228">
        <f t="shared" si="57"/>
        <v>4.5249401117912758E-3</v>
      </c>
      <c r="Q597" s="228"/>
      <c r="R597" s="227"/>
      <c r="S597" s="322">
        <v>168.83000200000001</v>
      </c>
      <c r="T597" s="228">
        <f t="shared" si="58"/>
        <v>9.9904161284898318E-3</v>
      </c>
      <c r="U597" s="228"/>
      <c r="V597" s="228"/>
      <c r="W597" s="228"/>
      <c r="X597" s="322">
        <v>113.949997</v>
      </c>
      <c r="Y597" s="228">
        <f t="shared" si="59"/>
        <v>-5.9321296152524683E-3</v>
      </c>
      <c r="Z597" s="228"/>
      <c r="AA597" s="202"/>
    </row>
    <row r="598" spans="2:27" x14ac:dyDescent="0.15">
      <c r="B598" s="241">
        <v>43535</v>
      </c>
      <c r="C598" s="244"/>
      <c r="D598" s="245">
        <v>60.659767000000002</v>
      </c>
      <c r="E598" s="228">
        <f t="shared" si="54"/>
        <v>1.4844338742890484E-2</v>
      </c>
      <c r="F598" s="228"/>
      <c r="G598" s="245">
        <v>176.12350499999999</v>
      </c>
      <c r="H598" s="228">
        <f t="shared" si="55"/>
        <v>1.2580999549797856E-2</v>
      </c>
      <c r="J598" s="227"/>
      <c r="K598" s="245">
        <v>35.524234999999997</v>
      </c>
      <c r="L598" s="228">
        <f t="shared" si="56"/>
        <v>1.151817269613753E-2</v>
      </c>
      <c r="M598" s="228"/>
      <c r="N598" s="227"/>
      <c r="O598" s="322">
        <v>38.509998000000003</v>
      </c>
      <c r="P598" s="228">
        <f t="shared" si="57"/>
        <v>2.0402648627310782E-2</v>
      </c>
      <c r="Q598" s="228"/>
      <c r="R598" s="227"/>
      <c r="S598" s="322">
        <v>172.009995</v>
      </c>
      <c r="T598" s="228">
        <f t="shared" si="58"/>
        <v>1.8835473330149011E-2</v>
      </c>
      <c r="U598" s="228"/>
      <c r="V598" s="228"/>
      <c r="W598" s="228"/>
      <c r="X598" s="322">
        <v>116.93</v>
      </c>
      <c r="Y598" s="228">
        <f t="shared" si="59"/>
        <v>2.6151847989956511E-2</v>
      </c>
      <c r="Z598" s="228"/>
      <c r="AA598" s="202"/>
    </row>
    <row r="599" spans="2:27" x14ac:dyDescent="0.15">
      <c r="B599" s="241">
        <v>43536</v>
      </c>
      <c r="C599" s="244"/>
      <c r="D599" s="245">
        <v>60.821956999999998</v>
      </c>
      <c r="E599" s="228">
        <f t="shared" si="54"/>
        <v>2.673765627883018E-3</v>
      </c>
      <c r="F599" s="228"/>
      <c r="G599" s="245">
        <v>177.50456199999999</v>
      </c>
      <c r="H599" s="228">
        <f t="shared" si="55"/>
        <v>7.8414121953795934E-3</v>
      </c>
      <c r="J599" s="227"/>
      <c r="K599" s="245">
        <v>35.763271000000003</v>
      </c>
      <c r="L599" s="228">
        <f t="shared" si="56"/>
        <v>6.7288148499187184E-3</v>
      </c>
      <c r="M599" s="228"/>
      <c r="N599" s="227"/>
      <c r="O599" s="322">
        <v>38.709999000000003</v>
      </c>
      <c r="P599" s="228">
        <f t="shared" si="57"/>
        <v>5.1934824821335823E-3</v>
      </c>
      <c r="Q599" s="228"/>
      <c r="R599" s="227"/>
      <c r="S599" s="322">
        <v>172.05999800000001</v>
      </c>
      <c r="T599" s="228">
        <f t="shared" si="58"/>
        <v>2.9069822367011611E-4</v>
      </c>
      <c r="U599" s="228"/>
      <c r="V599" s="228"/>
      <c r="W599" s="228"/>
      <c r="X599" s="322">
        <v>116.66999800000001</v>
      </c>
      <c r="Y599" s="228">
        <f t="shared" si="59"/>
        <v>-2.2235696570598318E-3</v>
      </c>
      <c r="Z599" s="228"/>
      <c r="AA599" s="202"/>
    </row>
    <row r="600" spans="2:27" x14ac:dyDescent="0.15">
      <c r="B600" s="241">
        <v>43537</v>
      </c>
      <c r="C600" s="244"/>
      <c r="D600" s="245">
        <v>61.251277999999999</v>
      </c>
      <c r="E600" s="228">
        <f t="shared" si="54"/>
        <v>7.0586515327022425E-3</v>
      </c>
      <c r="F600" s="228"/>
      <c r="G600" s="245">
        <v>177.52401699999999</v>
      </c>
      <c r="H600" s="228">
        <f t="shared" si="55"/>
        <v>1.0960281685612472E-4</v>
      </c>
      <c r="J600" s="227"/>
      <c r="K600" s="245">
        <v>36.048271</v>
      </c>
      <c r="L600" s="228">
        <f t="shared" si="56"/>
        <v>7.9690697196013183E-3</v>
      </c>
      <c r="M600" s="228"/>
      <c r="N600" s="227"/>
      <c r="O600" s="322">
        <v>38.599997999999999</v>
      </c>
      <c r="P600" s="228">
        <f t="shared" si="57"/>
        <v>-2.8416688928357692E-3</v>
      </c>
      <c r="Q600" s="228"/>
      <c r="R600" s="227"/>
      <c r="S600" s="322">
        <v>170.41000399999999</v>
      </c>
      <c r="T600" s="228">
        <f t="shared" si="58"/>
        <v>-9.5896432592078584E-3</v>
      </c>
      <c r="U600" s="228"/>
      <c r="V600" s="228"/>
      <c r="W600" s="228"/>
      <c r="X600" s="322">
        <v>116.879997</v>
      </c>
      <c r="Y600" s="228">
        <f t="shared" si="59"/>
        <v>1.799940032569447E-3</v>
      </c>
      <c r="Z600" s="228"/>
      <c r="AA600" s="202"/>
    </row>
    <row r="601" spans="2:27" x14ac:dyDescent="0.15">
      <c r="B601" s="241">
        <v>43538</v>
      </c>
      <c r="C601" s="244"/>
      <c r="D601" s="245">
        <v>61.213130999999997</v>
      </c>
      <c r="E601" s="228">
        <f t="shared" si="54"/>
        <v>-6.2279516845353822E-4</v>
      </c>
      <c r="F601" s="228"/>
      <c r="G601" s="245">
        <v>178.263184</v>
      </c>
      <c r="H601" s="228">
        <f t="shared" si="55"/>
        <v>4.163757741016072E-3</v>
      </c>
      <c r="J601" s="227"/>
      <c r="K601" s="245">
        <v>35.689712999999998</v>
      </c>
      <c r="L601" s="228">
        <f t="shared" si="56"/>
        <v>-9.9466074253603542E-3</v>
      </c>
      <c r="M601" s="228"/>
      <c r="N601" s="227"/>
      <c r="O601" s="322">
        <v>38.93</v>
      </c>
      <c r="P601" s="228">
        <f t="shared" si="57"/>
        <v>8.5492750543665341E-3</v>
      </c>
      <c r="Q601" s="228"/>
      <c r="R601" s="227"/>
      <c r="S601" s="322">
        <v>176.529999</v>
      </c>
      <c r="T601" s="228">
        <f t="shared" si="58"/>
        <v>3.5913355180720696E-2</v>
      </c>
      <c r="U601" s="228"/>
      <c r="V601" s="228"/>
      <c r="W601" s="228"/>
      <c r="X601" s="322">
        <v>117.19000200000001</v>
      </c>
      <c r="Y601" s="228">
        <f t="shared" si="59"/>
        <v>2.652335797031169E-3</v>
      </c>
      <c r="Z601" s="228"/>
      <c r="AA601" s="202"/>
    </row>
    <row r="602" spans="2:27" x14ac:dyDescent="0.15">
      <c r="B602" s="241">
        <v>43539</v>
      </c>
      <c r="C602" s="244"/>
      <c r="D602" s="245">
        <v>61.451649000000003</v>
      </c>
      <c r="E602" s="228">
        <f t="shared" si="54"/>
        <v>3.896516909092762E-3</v>
      </c>
      <c r="F602" s="228"/>
      <c r="G602" s="245">
        <v>187.52207899999999</v>
      </c>
      <c r="H602" s="228">
        <f t="shared" si="55"/>
        <v>5.1939468331273497E-2</v>
      </c>
      <c r="J602" s="227"/>
      <c r="K602" s="245">
        <v>36.452793</v>
      </c>
      <c r="L602" s="228">
        <f t="shared" si="56"/>
        <v>2.1380950863908676E-2</v>
      </c>
      <c r="M602" s="228"/>
      <c r="N602" s="227"/>
      <c r="O602" s="322">
        <v>40.389999000000003</v>
      </c>
      <c r="P602" s="228">
        <f t="shared" si="57"/>
        <v>3.7503185204212697E-2</v>
      </c>
      <c r="Q602" s="228"/>
      <c r="R602" s="227"/>
      <c r="S602" s="322">
        <v>182.38999899999999</v>
      </c>
      <c r="T602" s="228">
        <f t="shared" si="58"/>
        <v>3.3195491039457847E-2</v>
      </c>
      <c r="U602" s="228"/>
      <c r="V602" s="228"/>
      <c r="W602" s="228"/>
      <c r="X602" s="322">
        <v>119.620003</v>
      </c>
      <c r="Y602" s="228">
        <f t="shared" si="59"/>
        <v>2.0735565820708679E-2</v>
      </c>
      <c r="Z602" s="228"/>
      <c r="AA602" s="202"/>
    </row>
    <row r="603" spans="2:27" x14ac:dyDescent="0.15">
      <c r="B603" s="241">
        <v>43542</v>
      </c>
      <c r="C603" s="244"/>
      <c r="D603" s="245">
        <v>61.737862</v>
      </c>
      <c r="E603" s="228">
        <f t="shared" si="54"/>
        <v>4.6575316473607131E-3</v>
      </c>
      <c r="F603" s="228"/>
      <c r="G603" s="245">
        <v>185.411621</v>
      </c>
      <c r="H603" s="228">
        <f t="shared" si="55"/>
        <v>-1.1254450735905031E-2</v>
      </c>
      <c r="J603" s="227"/>
      <c r="K603" s="245">
        <v>36.636662000000001</v>
      </c>
      <c r="L603" s="228">
        <f t="shared" si="56"/>
        <v>5.0440305081698167E-3</v>
      </c>
      <c r="M603" s="228"/>
      <c r="N603" s="227"/>
      <c r="O603" s="322">
        <v>40</v>
      </c>
      <c r="P603" s="228">
        <f t="shared" si="57"/>
        <v>-9.6558308902162659E-3</v>
      </c>
      <c r="Q603" s="228"/>
      <c r="R603" s="227"/>
      <c r="S603" s="322">
        <v>180.199997</v>
      </c>
      <c r="T603" s="228">
        <f t="shared" si="58"/>
        <v>-1.200724827022992E-2</v>
      </c>
      <c r="U603" s="228"/>
      <c r="V603" s="228"/>
      <c r="W603" s="228"/>
      <c r="X603" s="322">
        <v>119.879997</v>
      </c>
      <c r="Y603" s="228">
        <f t="shared" si="59"/>
        <v>2.1734993603035324E-3</v>
      </c>
      <c r="Z603" s="228"/>
      <c r="AA603" s="202"/>
    </row>
    <row r="604" spans="2:27" x14ac:dyDescent="0.15">
      <c r="B604" s="241">
        <v>43543</v>
      </c>
      <c r="C604" s="244"/>
      <c r="D604" s="245">
        <v>61.699699000000003</v>
      </c>
      <c r="E604" s="228">
        <f t="shared" si="54"/>
        <v>-6.1814579844043926E-4</v>
      </c>
      <c r="F604" s="228"/>
      <c r="G604" s="245">
        <v>185.57693499999999</v>
      </c>
      <c r="H604" s="228">
        <f t="shared" si="55"/>
        <v>8.9160538648225263E-4</v>
      </c>
      <c r="J604" s="227"/>
      <c r="K604" s="245">
        <v>36.553921000000003</v>
      </c>
      <c r="L604" s="228">
        <f t="shared" si="56"/>
        <v>-2.2584208135555395E-3</v>
      </c>
      <c r="M604" s="228"/>
      <c r="N604" s="227"/>
      <c r="O604" s="322">
        <v>40.369999</v>
      </c>
      <c r="P604" s="228">
        <f t="shared" si="57"/>
        <v>9.2499749999999104E-3</v>
      </c>
      <c r="Q604" s="228"/>
      <c r="R604" s="227"/>
      <c r="S604" s="322">
        <v>179.35000600000001</v>
      </c>
      <c r="T604" s="228">
        <f t="shared" si="58"/>
        <v>-4.7169312660976237E-3</v>
      </c>
      <c r="U604" s="228"/>
      <c r="V604" s="228"/>
      <c r="W604" s="228"/>
      <c r="X604" s="322">
        <v>120.160004</v>
      </c>
      <c r="Y604" s="228">
        <f t="shared" si="59"/>
        <v>2.3357274525124261E-3</v>
      </c>
      <c r="Z604" s="228"/>
      <c r="AA604" s="202"/>
    </row>
    <row r="605" spans="2:27" x14ac:dyDescent="0.15">
      <c r="B605" s="241">
        <v>43544</v>
      </c>
      <c r="C605" s="244"/>
      <c r="D605" s="245">
        <v>61.459342999999997</v>
      </c>
      <c r="E605" s="228">
        <f t="shared" si="54"/>
        <v>-3.8955781615725993E-3</v>
      </c>
      <c r="F605" s="228"/>
      <c r="G605" s="245">
        <v>185.89790300000001</v>
      </c>
      <c r="H605" s="228">
        <f t="shared" si="55"/>
        <v>1.729568386287017E-3</v>
      </c>
      <c r="J605" s="227"/>
      <c r="K605" s="245">
        <v>36.636662000000001</v>
      </c>
      <c r="L605" s="228">
        <f t="shared" si="56"/>
        <v>2.2635328231956908E-3</v>
      </c>
      <c r="M605" s="228"/>
      <c r="N605" s="227"/>
      <c r="O605" s="322">
        <v>39.57</v>
      </c>
      <c r="P605" s="228">
        <f t="shared" si="57"/>
        <v>-1.9816671286021048E-2</v>
      </c>
      <c r="Q605" s="228"/>
      <c r="R605" s="227"/>
      <c r="S605" s="322">
        <v>175.740005</v>
      </c>
      <c r="T605" s="228">
        <f t="shared" si="58"/>
        <v>-2.0128245772124576E-2</v>
      </c>
      <c r="U605" s="228"/>
      <c r="V605" s="228"/>
      <c r="W605" s="228"/>
      <c r="X605" s="322">
        <v>119.93</v>
      </c>
      <c r="Y605" s="228">
        <f t="shared" si="59"/>
        <v>-1.9141477392093931E-3</v>
      </c>
      <c r="Z605" s="228"/>
      <c r="AA605" s="202"/>
    </row>
    <row r="606" spans="2:27" x14ac:dyDescent="0.15">
      <c r="B606" s="241">
        <v>43545</v>
      </c>
      <c r="C606" s="244"/>
      <c r="D606" s="245">
        <v>62.167968999999999</v>
      </c>
      <c r="E606" s="228">
        <f t="shared" si="54"/>
        <v>1.1529996342460214E-2</v>
      </c>
      <c r="F606" s="228"/>
      <c r="G606" s="245">
        <v>189.02958699999999</v>
      </c>
      <c r="H606" s="228">
        <f t="shared" si="55"/>
        <v>1.6846257808513121E-2</v>
      </c>
      <c r="J606" s="227"/>
      <c r="K606" s="245">
        <v>37.730708999999997</v>
      </c>
      <c r="L606" s="228">
        <f t="shared" si="56"/>
        <v>2.986208186761119E-2</v>
      </c>
      <c r="M606" s="228"/>
      <c r="N606" s="227"/>
      <c r="O606" s="322">
        <v>41.330002</v>
      </c>
      <c r="P606" s="228">
        <f t="shared" si="57"/>
        <v>4.4478190548395302E-2</v>
      </c>
      <c r="Q606" s="228"/>
      <c r="R606" s="227"/>
      <c r="S606" s="322">
        <v>183.800003</v>
      </c>
      <c r="T606" s="228">
        <f t="shared" si="58"/>
        <v>4.5863194325048484E-2</v>
      </c>
      <c r="U606" s="228"/>
      <c r="V606" s="228"/>
      <c r="W606" s="228"/>
      <c r="X606" s="322">
        <v>123.800003</v>
      </c>
      <c r="Y606" s="228">
        <f t="shared" si="59"/>
        <v>3.2268848494955371E-2</v>
      </c>
      <c r="Z606" s="228"/>
      <c r="AA606" s="202"/>
    </row>
    <row r="607" spans="2:27" x14ac:dyDescent="0.15">
      <c r="B607" s="241">
        <v>43546</v>
      </c>
      <c r="C607" s="244"/>
      <c r="D607" s="245">
        <v>60.894348000000001</v>
      </c>
      <c r="E607" s="228">
        <f t="shared" si="54"/>
        <v>-2.0486771893738376E-2</v>
      </c>
      <c r="F607" s="228"/>
      <c r="G607" s="245">
        <v>182.60086100000001</v>
      </c>
      <c r="H607" s="228">
        <f t="shared" si="55"/>
        <v>-3.4009099326868797E-2</v>
      </c>
      <c r="J607" s="227"/>
      <c r="K607" s="245">
        <v>37.169894999999997</v>
      </c>
      <c r="L607" s="228">
        <f t="shared" si="56"/>
        <v>-1.4863595592651047E-2</v>
      </c>
      <c r="M607" s="228"/>
      <c r="N607" s="227"/>
      <c r="O607" s="322">
        <v>39.860000999999997</v>
      </c>
      <c r="P607" s="228">
        <f t="shared" si="57"/>
        <v>-3.5567406940846591E-2</v>
      </c>
      <c r="Q607" s="228"/>
      <c r="R607" s="227"/>
      <c r="S607" s="322">
        <v>179.449997</v>
      </c>
      <c r="T607" s="228">
        <f t="shared" si="58"/>
        <v>-2.3667061637643205E-2</v>
      </c>
      <c r="U607" s="228"/>
      <c r="V607" s="228"/>
      <c r="W607" s="228"/>
      <c r="X607" s="322">
        <v>120.529999</v>
      </c>
      <c r="Y607" s="228">
        <f t="shared" si="59"/>
        <v>-2.641360194474307E-2</v>
      </c>
      <c r="Z607" s="228"/>
      <c r="AA607" s="202"/>
    </row>
    <row r="608" spans="2:27" x14ac:dyDescent="0.15">
      <c r="B608" s="241">
        <v>43549</v>
      </c>
      <c r="C608" s="244"/>
      <c r="D608" s="245">
        <v>60.817737999999999</v>
      </c>
      <c r="E608" s="228">
        <f t="shared" si="54"/>
        <v>-1.2580806350040996E-3</v>
      </c>
      <c r="F608" s="228"/>
      <c r="G608" s="245">
        <v>181.21983299999999</v>
      </c>
      <c r="H608" s="228">
        <f t="shared" si="55"/>
        <v>-7.5630968684206046E-3</v>
      </c>
      <c r="J608" s="227"/>
      <c r="K608" s="245">
        <v>36.701019000000002</v>
      </c>
      <c r="L608" s="228">
        <f t="shared" si="56"/>
        <v>-1.2614402058439889E-2</v>
      </c>
      <c r="M608" s="228"/>
      <c r="N608" s="227"/>
      <c r="O608" s="322">
        <v>39.400002000000001</v>
      </c>
      <c r="P608" s="228">
        <f t="shared" si="57"/>
        <v>-1.154036599246433E-2</v>
      </c>
      <c r="Q608" s="228"/>
      <c r="R608" s="227"/>
      <c r="S608" s="322">
        <v>179.08999600000001</v>
      </c>
      <c r="T608" s="228">
        <f t="shared" si="58"/>
        <v>-2.0061354473022153E-3</v>
      </c>
      <c r="U608" s="228"/>
      <c r="V608" s="228"/>
      <c r="W608" s="228"/>
      <c r="X608" s="322">
        <v>119.400002</v>
      </c>
      <c r="Y608" s="228">
        <f t="shared" si="59"/>
        <v>-9.375234459265247E-3</v>
      </c>
      <c r="Z608" s="228"/>
      <c r="AA608" s="202"/>
    </row>
    <row r="609" spans="2:27" x14ac:dyDescent="0.15">
      <c r="B609" s="241">
        <v>43550</v>
      </c>
      <c r="C609" s="244"/>
      <c r="D609" s="245">
        <v>61.315700999999997</v>
      </c>
      <c r="E609" s="228">
        <f t="shared" si="54"/>
        <v>8.1877921865491921E-3</v>
      </c>
      <c r="F609" s="228"/>
      <c r="G609" s="245">
        <v>182.15348800000001</v>
      </c>
      <c r="H609" s="228">
        <f t="shared" si="55"/>
        <v>5.1520575013443981E-3</v>
      </c>
      <c r="J609" s="227"/>
      <c r="K609" s="245">
        <v>37.142315000000004</v>
      </c>
      <c r="L609" s="228">
        <f t="shared" si="56"/>
        <v>1.2024080312320606E-2</v>
      </c>
      <c r="M609" s="228"/>
      <c r="N609" s="227"/>
      <c r="O609" s="322">
        <v>39.630001</v>
      </c>
      <c r="P609" s="228">
        <f t="shared" si="57"/>
        <v>5.8375377747441615E-3</v>
      </c>
      <c r="Q609" s="228"/>
      <c r="R609" s="227"/>
      <c r="S609" s="322">
        <v>180.050003</v>
      </c>
      <c r="T609" s="228">
        <f t="shared" si="58"/>
        <v>5.3604725079114957E-3</v>
      </c>
      <c r="U609" s="228"/>
      <c r="V609" s="228"/>
      <c r="W609" s="228"/>
      <c r="X609" s="322">
        <v>120.040001</v>
      </c>
      <c r="Y609" s="228">
        <f t="shared" si="59"/>
        <v>5.3601255383564084E-3</v>
      </c>
      <c r="Z609" s="228"/>
      <c r="AA609" s="202"/>
    </row>
    <row r="610" spans="2:27" x14ac:dyDescent="0.15">
      <c r="B610" s="241">
        <v>43551</v>
      </c>
      <c r="C610" s="244"/>
      <c r="D610" s="245">
        <v>61.018844999999999</v>
      </c>
      <c r="E610" s="228">
        <f t="shared" si="54"/>
        <v>-4.8414353119765607E-3</v>
      </c>
      <c r="F610" s="228"/>
      <c r="G610" s="245">
        <v>179.01208500000001</v>
      </c>
      <c r="H610" s="228">
        <f t="shared" si="55"/>
        <v>-1.7245911865272689E-2</v>
      </c>
      <c r="J610" s="227"/>
      <c r="K610" s="245">
        <v>36.958443000000003</v>
      </c>
      <c r="L610" s="228">
        <f t="shared" si="56"/>
        <v>-4.9504722578547211E-3</v>
      </c>
      <c r="M610" s="228"/>
      <c r="N610" s="227"/>
      <c r="O610" s="322">
        <v>38.93</v>
      </c>
      <c r="P610" s="228">
        <f t="shared" si="57"/>
        <v>-1.7663411111193295E-2</v>
      </c>
      <c r="Q610" s="228"/>
      <c r="R610" s="227"/>
      <c r="S610" s="322">
        <v>177.63999899999999</v>
      </c>
      <c r="T610" s="228">
        <f t="shared" si="58"/>
        <v>-1.3385192778919364E-2</v>
      </c>
      <c r="U610" s="228"/>
      <c r="V610" s="228"/>
      <c r="W610" s="228"/>
      <c r="X610" s="322">
        <v>118.099998</v>
      </c>
      <c r="Y610" s="228">
        <f t="shared" si="59"/>
        <v>-1.6161304430512335E-2</v>
      </c>
      <c r="Z610" s="228"/>
      <c r="AA610" s="202"/>
    </row>
    <row r="611" spans="2:27" x14ac:dyDescent="0.15">
      <c r="B611" s="241">
        <v>43552</v>
      </c>
      <c r="C611" s="244"/>
      <c r="D611" s="245">
        <v>61.306125999999999</v>
      </c>
      <c r="E611" s="228">
        <f t="shared" si="54"/>
        <v>4.7080701052273355E-3</v>
      </c>
      <c r="F611" s="228"/>
      <c r="G611" s="245">
        <v>179.148224</v>
      </c>
      <c r="H611" s="228">
        <f t="shared" si="55"/>
        <v>7.6050172813735273E-4</v>
      </c>
      <c r="J611" s="227"/>
      <c r="K611" s="245">
        <v>37.087153999999998</v>
      </c>
      <c r="L611" s="228">
        <f t="shared" si="56"/>
        <v>3.4825871858290558E-3</v>
      </c>
      <c r="M611" s="228"/>
      <c r="N611" s="227"/>
      <c r="O611" s="322">
        <v>38.509998000000003</v>
      </c>
      <c r="P611" s="228">
        <f t="shared" si="57"/>
        <v>-1.0788646288209525E-2</v>
      </c>
      <c r="Q611" s="228"/>
      <c r="R611" s="227"/>
      <c r="S611" s="322">
        <v>175.679993</v>
      </c>
      <c r="T611" s="228">
        <f t="shared" si="58"/>
        <v>-1.1033584840315136E-2</v>
      </c>
      <c r="U611" s="228"/>
      <c r="V611" s="228"/>
      <c r="W611" s="228"/>
      <c r="X611" s="322">
        <v>117.470001</v>
      </c>
      <c r="Y611" s="228">
        <f t="shared" si="59"/>
        <v>-5.3344370082039072E-3</v>
      </c>
      <c r="Z611" s="228"/>
      <c r="AA611" s="202"/>
    </row>
    <row r="612" spans="2:27" x14ac:dyDescent="0.15">
      <c r="B612" s="241">
        <v>43553</v>
      </c>
      <c r="C612" s="244"/>
      <c r="D612" s="245">
        <v>61.670012999999997</v>
      </c>
      <c r="E612" s="228">
        <f t="shared" si="54"/>
        <v>5.9355732247703408E-3</v>
      </c>
      <c r="F612" s="228"/>
      <c r="G612" s="245">
        <v>182.892639</v>
      </c>
      <c r="H612" s="228">
        <f t="shared" si="55"/>
        <v>2.0901211948380904E-2</v>
      </c>
      <c r="J612" s="227"/>
      <c r="K612" s="245">
        <v>37.657153999999998</v>
      </c>
      <c r="L612" s="228">
        <f t="shared" si="56"/>
        <v>1.5369203039952817E-2</v>
      </c>
      <c r="M612" s="228"/>
      <c r="N612" s="227"/>
      <c r="O612" s="322">
        <v>39.659999999999997</v>
      </c>
      <c r="P612" s="228">
        <f t="shared" si="57"/>
        <v>2.9862426894958327E-2</v>
      </c>
      <c r="Q612" s="228"/>
      <c r="R612" s="227"/>
      <c r="S612" s="322">
        <v>179.009995</v>
      </c>
      <c r="T612" s="228">
        <f t="shared" si="58"/>
        <v>1.8954930172384588E-2</v>
      </c>
      <c r="U612" s="228"/>
      <c r="V612" s="228"/>
      <c r="W612" s="228"/>
      <c r="X612" s="322">
        <v>119.410004</v>
      </c>
      <c r="Y612" s="228">
        <f t="shared" si="59"/>
        <v>1.6514880254406394E-2</v>
      </c>
      <c r="Z612" s="228"/>
      <c r="AA612" s="202"/>
    </row>
    <row r="613" spans="2:27" x14ac:dyDescent="0.15">
      <c r="B613" s="241">
        <v>43556</v>
      </c>
      <c r="C613" s="244"/>
      <c r="D613" s="245">
        <v>62.397796999999997</v>
      </c>
      <c r="E613" s="228">
        <f t="shared" si="54"/>
        <v>1.1801262308798188E-2</v>
      </c>
      <c r="F613" s="228"/>
      <c r="G613" s="245">
        <v>187.20114100000001</v>
      </c>
      <c r="H613" s="228">
        <f t="shared" si="55"/>
        <v>2.355754733245452E-2</v>
      </c>
      <c r="J613" s="227"/>
      <c r="K613" s="245">
        <v>38.034100000000002</v>
      </c>
      <c r="L613" s="228">
        <f t="shared" si="56"/>
        <v>1.0009943927254961E-2</v>
      </c>
      <c r="M613" s="228"/>
      <c r="N613" s="227"/>
      <c r="O613" s="322">
        <v>41.130001</v>
      </c>
      <c r="P613" s="228">
        <f t="shared" si="57"/>
        <v>3.7065078164397525E-2</v>
      </c>
      <c r="Q613" s="228"/>
      <c r="R613" s="227"/>
      <c r="S613" s="322">
        <v>184.699997</v>
      </c>
      <c r="T613" s="228">
        <f t="shared" si="58"/>
        <v>3.1785945807104143E-2</v>
      </c>
      <c r="U613" s="228"/>
      <c r="V613" s="228"/>
      <c r="W613" s="228"/>
      <c r="X613" s="322">
        <v>122.160004</v>
      </c>
      <c r="Y613" s="228">
        <f t="shared" si="59"/>
        <v>2.3029896222095392E-2</v>
      </c>
      <c r="Z613" s="228"/>
      <c r="AA613" s="202"/>
    </row>
    <row r="614" spans="2:27" x14ac:dyDescent="0.15">
      <c r="B614" s="241">
        <v>43557</v>
      </c>
      <c r="C614" s="244"/>
      <c r="D614" s="245">
        <v>62.397796999999997</v>
      </c>
      <c r="E614" s="228">
        <f t="shared" si="54"/>
        <v>0</v>
      </c>
      <c r="F614" s="228"/>
      <c r="G614" s="245">
        <v>188.523865</v>
      </c>
      <c r="H614" s="228">
        <f t="shared" si="55"/>
        <v>7.0657902667377037E-3</v>
      </c>
      <c r="J614" s="227"/>
      <c r="K614" s="245">
        <v>37.942165000000003</v>
      </c>
      <c r="L614" s="228">
        <f t="shared" si="56"/>
        <v>-2.417173010535234E-3</v>
      </c>
      <c r="M614" s="228"/>
      <c r="N614" s="227"/>
      <c r="O614" s="322">
        <v>40.990001999999997</v>
      </c>
      <c r="P614" s="228">
        <f t="shared" si="57"/>
        <v>-3.4038170823288416E-3</v>
      </c>
      <c r="Q614" s="228"/>
      <c r="R614" s="227"/>
      <c r="S614" s="322">
        <v>184.259995</v>
      </c>
      <c r="T614" s="228">
        <f t="shared" si="58"/>
        <v>-2.382252339722557E-3</v>
      </c>
      <c r="U614" s="228"/>
      <c r="V614" s="228"/>
      <c r="W614" s="228"/>
      <c r="X614" s="322">
        <v>121.949997</v>
      </c>
      <c r="Y614" s="228">
        <f t="shared" si="59"/>
        <v>-1.7191142200683185E-3</v>
      </c>
      <c r="Z614" s="228"/>
      <c r="AA614" s="202"/>
    </row>
    <row r="615" spans="2:27" x14ac:dyDescent="0.15">
      <c r="B615" s="241">
        <v>43558</v>
      </c>
      <c r="C615" s="244"/>
      <c r="D615" s="245">
        <v>62.551017999999999</v>
      </c>
      <c r="E615" s="228">
        <f t="shared" si="54"/>
        <v>2.455551435573966E-3</v>
      </c>
      <c r="F615" s="228"/>
      <c r="G615" s="245">
        <v>192.31691000000001</v>
      </c>
      <c r="H615" s="228">
        <f t="shared" si="55"/>
        <v>2.0119707390891861E-2</v>
      </c>
      <c r="J615" s="227"/>
      <c r="K615" s="245">
        <v>38.420234999999998</v>
      </c>
      <c r="L615" s="228">
        <f t="shared" si="56"/>
        <v>1.2599966290800735E-2</v>
      </c>
      <c r="M615" s="228"/>
      <c r="N615" s="227"/>
      <c r="O615" s="322">
        <v>42.43</v>
      </c>
      <c r="P615" s="228">
        <f t="shared" si="57"/>
        <v>3.513046913244855E-2</v>
      </c>
      <c r="Q615" s="228"/>
      <c r="R615" s="227"/>
      <c r="S615" s="322">
        <v>191.53999300000001</v>
      </c>
      <c r="T615" s="228">
        <f t="shared" si="58"/>
        <v>3.9509379124861077E-2</v>
      </c>
      <c r="U615" s="228"/>
      <c r="V615" s="228"/>
      <c r="W615" s="228"/>
      <c r="X615" s="322">
        <v>124.07</v>
      </c>
      <c r="Y615" s="228">
        <f t="shared" si="59"/>
        <v>1.7384198869639933E-2</v>
      </c>
      <c r="Z615" s="228"/>
      <c r="AA615" s="202"/>
    </row>
    <row r="616" spans="2:27" x14ac:dyDescent="0.15">
      <c r="B616" s="241">
        <v>43559</v>
      </c>
      <c r="C616" s="244"/>
      <c r="D616" s="245">
        <v>62.694659999999999</v>
      </c>
      <c r="E616" s="228">
        <f t="shared" si="54"/>
        <v>2.2963974782952423E-3</v>
      </c>
      <c r="F616" s="228"/>
      <c r="G616" s="245">
        <v>192.93933100000001</v>
      </c>
      <c r="H616" s="228">
        <f t="shared" si="55"/>
        <v>3.236434071242078E-3</v>
      </c>
      <c r="J616" s="227"/>
      <c r="K616" s="245">
        <v>38.650078000000001</v>
      </c>
      <c r="L616" s="228">
        <f t="shared" si="56"/>
        <v>5.9823423776559359E-3</v>
      </c>
      <c r="M616" s="228"/>
      <c r="N616" s="227"/>
      <c r="O616" s="322">
        <v>42.619999</v>
      </c>
      <c r="P616" s="228">
        <f t="shared" si="57"/>
        <v>4.4779401366956684E-3</v>
      </c>
      <c r="Q616" s="228"/>
      <c r="R616" s="227"/>
      <c r="S616" s="322">
        <v>191.029999</v>
      </c>
      <c r="T616" s="228">
        <f t="shared" si="58"/>
        <v>-2.6625979880869899E-3</v>
      </c>
      <c r="U616" s="228"/>
      <c r="V616" s="228"/>
      <c r="W616" s="228"/>
      <c r="X616" s="322">
        <v>123.989998</v>
      </c>
      <c r="Y616" s="228">
        <f t="shared" si="59"/>
        <v>-6.4481341178357354E-4</v>
      </c>
      <c r="Z616" s="228"/>
      <c r="AA616" s="202"/>
    </row>
    <row r="617" spans="2:27" x14ac:dyDescent="0.15">
      <c r="B617" s="241">
        <v>43560</v>
      </c>
      <c r="C617" s="244"/>
      <c r="D617" s="245">
        <v>63.020245000000003</v>
      </c>
      <c r="E617" s="228">
        <f t="shared" si="54"/>
        <v>5.1931855121314374E-3</v>
      </c>
      <c r="F617" s="228"/>
      <c r="G617" s="245">
        <v>195.86677599999999</v>
      </c>
      <c r="H617" s="228">
        <f t="shared" si="55"/>
        <v>1.5172878359363429E-2</v>
      </c>
      <c r="J617" s="227"/>
      <c r="K617" s="245">
        <v>38.824748999999997</v>
      </c>
      <c r="L617" s="228">
        <f t="shared" si="56"/>
        <v>4.5192923025925147E-3</v>
      </c>
      <c r="M617" s="228"/>
      <c r="N617" s="227"/>
      <c r="O617" s="322">
        <v>43.040000999999997</v>
      </c>
      <c r="P617" s="228">
        <f t="shared" si="57"/>
        <v>9.8545755479721997E-3</v>
      </c>
      <c r="Q617" s="228"/>
      <c r="R617" s="227"/>
      <c r="S617" s="322">
        <v>195.14999399999999</v>
      </c>
      <c r="T617" s="228">
        <f t="shared" si="58"/>
        <v>2.1567267034325877E-2</v>
      </c>
      <c r="U617" s="228"/>
      <c r="V617" s="228"/>
      <c r="W617" s="228"/>
      <c r="X617" s="322">
        <v>124.339996</v>
      </c>
      <c r="Y617" s="228">
        <f t="shared" si="59"/>
        <v>2.8227922061907496E-3</v>
      </c>
      <c r="Z617" s="228"/>
      <c r="AA617" s="202"/>
    </row>
    <row r="618" spans="2:27" x14ac:dyDescent="0.15">
      <c r="B618" s="241">
        <v>43563</v>
      </c>
      <c r="C618" s="244"/>
      <c r="D618" s="245">
        <v>63.058543999999998</v>
      </c>
      <c r="E618" s="228">
        <f t="shared" si="54"/>
        <v>6.0772534286401836E-4</v>
      </c>
      <c r="F618" s="228"/>
      <c r="G618" s="245">
        <v>197.97726399999999</v>
      </c>
      <c r="H618" s="228">
        <f t="shared" si="55"/>
        <v>1.0775119921308196E-2</v>
      </c>
      <c r="J618" s="227"/>
      <c r="K618" s="245">
        <v>38.971851000000001</v>
      </c>
      <c r="L618" s="228">
        <f t="shared" si="56"/>
        <v>3.7888718868472893E-3</v>
      </c>
      <c r="M618" s="228"/>
      <c r="N618" s="227"/>
      <c r="O618" s="322">
        <v>42.919998</v>
      </c>
      <c r="P618" s="228">
        <f t="shared" si="57"/>
        <v>-2.7881737270405438E-3</v>
      </c>
      <c r="Q618" s="228"/>
      <c r="R618" s="227"/>
      <c r="S618" s="322">
        <v>193.58000200000001</v>
      </c>
      <c r="T618" s="228">
        <f t="shared" si="58"/>
        <v>-8.045052771049499E-3</v>
      </c>
      <c r="U618" s="228"/>
      <c r="V618" s="228"/>
      <c r="W618" s="228"/>
      <c r="X618" s="322">
        <v>124.720001</v>
      </c>
      <c r="Y618" s="228">
        <f t="shared" si="59"/>
        <v>3.0561767108308047E-3</v>
      </c>
      <c r="Z618" s="228"/>
      <c r="AA618" s="202"/>
    </row>
    <row r="619" spans="2:27" x14ac:dyDescent="0.15">
      <c r="B619" s="241">
        <v>43564</v>
      </c>
      <c r="C619" s="244"/>
      <c r="D619" s="245">
        <v>62.656353000000003</v>
      </c>
      <c r="E619" s="228">
        <f t="shared" si="54"/>
        <v>-6.3780571907907646E-3</v>
      </c>
      <c r="F619" s="228"/>
      <c r="G619" s="245">
        <v>196.041855</v>
      </c>
      <c r="H619" s="228">
        <f t="shared" si="55"/>
        <v>-9.775915480880637E-3</v>
      </c>
      <c r="J619" s="227"/>
      <c r="K619" s="245">
        <v>38.806362</v>
      </c>
      <c r="L619" s="228">
        <f t="shared" si="56"/>
        <v>-4.2463725933880037E-3</v>
      </c>
      <c r="M619" s="228"/>
      <c r="N619" s="227"/>
      <c r="O619" s="322">
        <v>42.009998000000003</v>
      </c>
      <c r="P619" s="228">
        <f t="shared" si="57"/>
        <v>-2.1202237707466765E-2</v>
      </c>
      <c r="Q619" s="228"/>
      <c r="R619" s="227"/>
      <c r="S619" s="322">
        <v>190.46000699999999</v>
      </c>
      <c r="T619" s="228">
        <f t="shared" si="58"/>
        <v>-1.6117341501009075E-2</v>
      </c>
      <c r="U619" s="228"/>
      <c r="V619" s="228"/>
      <c r="W619" s="228"/>
      <c r="X619" s="322">
        <v>122.129997</v>
      </c>
      <c r="Y619" s="228">
        <f t="shared" si="59"/>
        <v>-2.076654890341123E-2</v>
      </c>
      <c r="Z619" s="228"/>
      <c r="AA619" s="202"/>
    </row>
    <row r="620" spans="2:27" x14ac:dyDescent="0.15">
      <c r="B620" s="241">
        <v>43565</v>
      </c>
      <c r="C620" s="244"/>
      <c r="D620" s="245">
        <v>62.991508000000003</v>
      </c>
      <c r="E620" s="228">
        <f t="shared" si="54"/>
        <v>5.3490984385893281E-3</v>
      </c>
      <c r="F620" s="228"/>
      <c r="G620" s="245">
        <v>194.31066899999999</v>
      </c>
      <c r="H620" s="228">
        <f t="shared" si="55"/>
        <v>-8.8306958735929753E-3</v>
      </c>
      <c r="J620" s="227"/>
      <c r="K620" s="245">
        <v>38.953453000000003</v>
      </c>
      <c r="L620" s="228">
        <f t="shared" si="56"/>
        <v>3.790383648949236E-3</v>
      </c>
      <c r="M620" s="228"/>
      <c r="N620" s="227"/>
      <c r="O620" s="322">
        <v>42.169998</v>
      </c>
      <c r="P620" s="228">
        <f t="shared" si="57"/>
        <v>3.8086171772728772E-3</v>
      </c>
      <c r="Q620" s="228"/>
      <c r="R620" s="227"/>
      <c r="S620" s="322">
        <v>190.83999600000001</v>
      </c>
      <c r="T620" s="228">
        <f t="shared" si="58"/>
        <v>1.9951117611793912E-3</v>
      </c>
      <c r="U620" s="228"/>
      <c r="V620" s="228"/>
      <c r="W620" s="228"/>
      <c r="X620" s="322">
        <v>123.339996</v>
      </c>
      <c r="Y620" s="228">
        <f t="shared" si="59"/>
        <v>9.9074676960813068E-3</v>
      </c>
      <c r="Z620" s="228"/>
      <c r="AA620" s="202"/>
    </row>
    <row r="621" spans="2:27" x14ac:dyDescent="0.15">
      <c r="B621" s="241">
        <v>43566</v>
      </c>
      <c r="C621" s="244"/>
      <c r="D621" s="245">
        <v>62.962783999999999</v>
      </c>
      <c r="E621" s="228">
        <f t="shared" si="54"/>
        <v>-4.5599797356821181E-4</v>
      </c>
      <c r="F621" s="228"/>
      <c r="G621" s="245">
        <v>192.482224</v>
      </c>
      <c r="H621" s="228">
        <f t="shared" si="55"/>
        <v>-9.4099053305198854E-3</v>
      </c>
      <c r="J621" s="227"/>
      <c r="K621" s="245">
        <v>38.705230999999998</v>
      </c>
      <c r="L621" s="228">
        <f t="shared" si="56"/>
        <v>-6.3722720550603018E-3</v>
      </c>
      <c r="M621" s="228"/>
      <c r="N621" s="227"/>
      <c r="O621" s="322">
        <v>42.470001000000003</v>
      </c>
      <c r="P621" s="228">
        <f t="shared" si="57"/>
        <v>7.1141336074997952E-3</v>
      </c>
      <c r="Q621" s="228"/>
      <c r="R621" s="227"/>
      <c r="S621" s="322">
        <v>191.30999800000001</v>
      </c>
      <c r="T621" s="228">
        <f t="shared" si="58"/>
        <v>2.4628065911298513E-3</v>
      </c>
      <c r="U621" s="228"/>
      <c r="V621" s="228"/>
      <c r="W621" s="228"/>
      <c r="X621" s="322">
        <v>122.910004</v>
      </c>
      <c r="Y621" s="228">
        <f t="shared" si="59"/>
        <v>-3.4862332896459236E-3</v>
      </c>
      <c r="Z621" s="228"/>
      <c r="AA621" s="202"/>
    </row>
    <row r="622" spans="2:27" x14ac:dyDescent="0.15">
      <c r="B622" s="241">
        <v>43567</v>
      </c>
      <c r="C622" s="244"/>
      <c r="D622" s="245">
        <v>63.33625</v>
      </c>
      <c r="E622" s="228">
        <f t="shared" si="54"/>
        <v>5.9315356830473842E-3</v>
      </c>
      <c r="F622" s="228"/>
      <c r="G622" s="245">
        <v>197.257553</v>
      </c>
      <c r="H622" s="228">
        <f t="shared" si="55"/>
        <v>2.4809194848039562E-2</v>
      </c>
      <c r="J622" s="227"/>
      <c r="K622" s="245">
        <v>39.146529999999998</v>
      </c>
      <c r="L622" s="228">
        <f t="shared" si="56"/>
        <v>1.1401533813349518E-2</v>
      </c>
      <c r="M622" s="228"/>
      <c r="N622" s="227"/>
      <c r="O622" s="322">
        <v>42.990001999999997</v>
      </c>
      <c r="P622" s="228">
        <f t="shared" si="57"/>
        <v>1.2243960154368683E-2</v>
      </c>
      <c r="Q622" s="228"/>
      <c r="R622" s="227"/>
      <c r="S622" s="322">
        <v>194.08000200000001</v>
      </c>
      <c r="T622" s="228">
        <f t="shared" si="58"/>
        <v>1.4479138722274243E-2</v>
      </c>
      <c r="U622" s="228"/>
      <c r="V622" s="228"/>
      <c r="W622" s="228"/>
      <c r="X622" s="322">
        <v>123.43</v>
      </c>
      <c r="Y622" s="228">
        <f t="shared" si="59"/>
        <v>4.2307052565062619E-3</v>
      </c>
      <c r="Z622" s="228"/>
      <c r="AA622" s="202"/>
    </row>
    <row r="623" spans="2:27" x14ac:dyDescent="0.15">
      <c r="B623" s="241">
        <v>43570</v>
      </c>
      <c r="C623" s="244"/>
      <c r="D623" s="245">
        <v>63.33625</v>
      </c>
      <c r="E623" s="228">
        <f t="shared" si="54"/>
        <v>0</v>
      </c>
      <c r="F623" s="228"/>
      <c r="G623" s="245">
        <v>194.35926799999999</v>
      </c>
      <c r="H623" s="228">
        <f t="shared" si="55"/>
        <v>-1.4692897462841414E-2</v>
      </c>
      <c r="J623" s="227"/>
      <c r="K623" s="245">
        <v>39.174109999999999</v>
      </c>
      <c r="L623" s="228">
        <f t="shared" si="56"/>
        <v>7.0453243237644791E-4</v>
      </c>
      <c r="M623" s="228"/>
      <c r="N623" s="227"/>
      <c r="O623" s="322">
        <v>42.709999000000003</v>
      </c>
      <c r="P623" s="228">
        <f t="shared" si="57"/>
        <v>-6.513212071960206E-3</v>
      </c>
      <c r="Q623" s="228"/>
      <c r="R623" s="227"/>
      <c r="S623" s="322">
        <v>192.80999800000001</v>
      </c>
      <c r="T623" s="228">
        <f t="shared" si="58"/>
        <v>-6.5437138649658833E-3</v>
      </c>
      <c r="U623" s="228"/>
      <c r="V623" s="228"/>
      <c r="W623" s="228"/>
      <c r="X623" s="322">
        <v>122.25</v>
      </c>
      <c r="Y623" s="228">
        <f t="shared" si="59"/>
        <v>-9.5600745361743567E-3</v>
      </c>
      <c r="Z623" s="228"/>
      <c r="AA623" s="202"/>
    </row>
    <row r="624" spans="2:27" x14ac:dyDescent="0.15">
      <c r="B624" s="241">
        <v>43571</v>
      </c>
      <c r="C624" s="244"/>
      <c r="D624" s="245">
        <v>63.317096999999997</v>
      </c>
      <c r="E624" s="228">
        <f t="shared" si="54"/>
        <v>-3.0240186307217698E-4</v>
      </c>
      <c r="F624" s="228"/>
      <c r="G624" s="245">
        <v>198.03559899999999</v>
      </c>
      <c r="H624" s="228">
        <f t="shared" si="55"/>
        <v>1.8915130921361545E-2</v>
      </c>
      <c r="J624" s="227"/>
      <c r="K624" s="245">
        <v>39.541854999999998</v>
      </c>
      <c r="L624" s="228">
        <f t="shared" si="56"/>
        <v>9.3874500275819006E-3</v>
      </c>
      <c r="M624" s="228"/>
      <c r="N624" s="227"/>
      <c r="O624" s="322">
        <v>43.720001000000003</v>
      </c>
      <c r="P624" s="228">
        <f t="shared" si="57"/>
        <v>2.3647905025706129E-2</v>
      </c>
      <c r="Q624" s="228"/>
      <c r="R624" s="227"/>
      <c r="S624" s="322">
        <v>194.61999499999999</v>
      </c>
      <c r="T624" s="228">
        <f t="shared" si="58"/>
        <v>9.3874644405109731E-3</v>
      </c>
      <c r="U624" s="228"/>
      <c r="V624" s="228"/>
      <c r="W624" s="228"/>
      <c r="X624" s="322">
        <v>124.349998</v>
      </c>
      <c r="Y624" s="228">
        <f t="shared" si="59"/>
        <v>1.7177897750511262E-2</v>
      </c>
      <c r="Z624" s="228"/>
      <c r="AA624" s="202"/>
    </row>
    <row r="625" spans="2:27" x14ac:dyDescent="0.15">
      <c r="B625" s="241">
        <v>43572</v>
      </c>
      <c r="C625" s="244"/>
      <c r="D625" s="245">
        <v>63.135159000000002</v>
      </c>
      <c r="E625" s="228">
        <f t="shared" si="54"/>
        <v>-2.8734419077993678E-3</v>
      </c>
      <c r="F625" s="228"/>
      <c r="G625" s="245">
        <v>197.78276099999999</v>
      </c>
      <c r="H625" s="228">
        <f t="shared" si="55"/>
        <v>-1.2767300489241462E-3</v>
      </c>
      <c r="J625" s="227"/>
      <c r="K625" s="245">
        <v>40.810577000000002</v>
      </c>
      <c r="L625" s="228">
        <f t="shared" si="56"/>
        <v>3.2085545809623861E-2</v>
      </c>
      <c r="M625" s="228"/>
      <c r="N625" s="227"/>
      <c r="O625" s="322">
        <v>43.889999000000003</v>
      </c>
      <c r="P625" s="228">
        <f t="shared" si="57"/>
        <v>3.8883347692513226E-3</v>
      </c>
      <c r="Q625" s="228"/>
      <c r="R625" s="227"/>
      <c r="S625" s="322">
        <v>196.28999300000001</v>
      </c>
      <c r="T625" s="228">
        <f t="shared" si="58"/>
        <v>8.5808141141923144E-3</v>
      </c>
      <c r="U625" s="228"/>
      <c r="V625" s="228"/>
      <c r="W625" s="228"/>
      <c r="X625" s="322">
        <v>123.720001</v>
      </c>
      <c r="Y625" s="228">
        <f t="shared" si="59"/>
        <v>-5.0663209500011464E-3</v>
      </c>
      <c r="Z625" s="228"/>
      <c r="AA625" s="202"/>
    </row>
    <row r="626" spans="2:27" x14ac:dyDescent="0.15">
      <c r="B626" s="241">
        <v>43573</v>
      </c>
      <c r="C626" s="244"/>
      <c r="D626" s="245">
        <v>63.240490000000001</v>
      </c>
      <c r="E626" s="228">
        <f t="shared" si="54"/>
        <v>1.6683414070439717E-3</v>
      </c>
      <c r="F626" s="228"/>
      <c r="G626" s="245">
        <v>200.26280199999999</v>
      </c>
      <c r="H626" s="228">
        <f t="shared" si="55"/>
        <v>1.2539217207105269E-2</v>
      </c>
      <c r="J626" s="227"/>
      <c r="K626" s="245">
        <v>41.739136000000002</v>
      </c>
      <c r="L626" s="228">
        <f t="shared" si="56"/>
        <v>2.2752900553207001E-2</v>
      </c>
      <c r="M626" s="228"/>
      <c r="N626" s="227"/>
      <c r="O626" s="322">
        <v>43.950001</v>
      </c>
      <c r="P626" s="228">
        <f t="shared" si="57"/>
        <v>1.3670995982477674E-3</v>
      </c>
      <c r="Q626" s="228"/>
      <c r="R626" s="227"/>
      <c r="S626" s="322">
        <v>194.770004</v>
      </c>
      <c r="T626" s="228">
        <f t="shared" si="58"/>
        <v>-7.7435888440834377E-3</v>
      </c>
      <c r="U626" s="228"/>
      <c r="V626" s="228"/>
      <c r="W626" s="228"/>
      <c r="X626" s="322">
        <v>124.199997</v>
      </c>
      <c r="Y626" s="228">
        <f t="shared" si="59"/>
        <v>3.8796960565818939E-3</v>
      </c>
      <c r="Z626" s="228"/>
      <c r="AA626" s="202"/>
    </row>
    <row r="627" spans="2:27" x14ac:dyDescent="0.15">
      <c r="B627" s="241">
        <v>43577</v>
      </c>
      <c r="C627" s="244"/>
      <c r="D627" s="245">
        <v>63.250061000000002</v>
      </c>
      <c r="E627" s="228">
        <f t="shared" si="54"/>
        <v>1.5134291337726147E-4</v>
      </c>
      <c r="F627" s="228"/>
      <c r="G627" s="245">
        <v>199.873795</v>
      </c>
      <c r="H627" s="228">
        <f t="shared" si="55"/>
        <v>-1.9424825584932748E-3</v>
      </c>
      <c r="J627" s="227"/>
      <c r="K627" s="245">
        <v>41.509293</v>
      </c>
      <c r="L627" s="228">
        <f t="shared" si="56"/>
        <v>-5.5066544741128043E-3</v>
      </c>
      <c r="M627" s="228"/>
      <c r="N627" s="227"/>
      <c r="O627" s="322">
        <v>43.790000999999997</v>
      </c>
      <c r="P627" s="228">
        <f t="shared" si="57"/>
        <v>-3.6405004859955126E-3</v>
      </c>
      <c r="Q627" s="228"/>
      <c r="R627" s="227"/>
      <c r="S627" s="322">
        <v>195.220001</v>
      </c>
      <c r="T627" s="228">
        <f t="shared" si="58"/>
        <v>2.3104019651813967E-3</v>
      </c>
      <c r="U627" s="228"/>
      <c r="V627" s="228"/>
      <c r="W627" s="228"/>
      <c r="X627" s="322">
        <v>123.07</v>
      </c>
      <c r="Y627" s="228">
        <f t="shared" si="59"/>
        <v>-9.0982047286201073E-3</v>
      </c>
      <c r="Z627" s="228"/>
      <c r="AA627" s="202"/>
    </row>
    <row r="628" spans="2:27" x14ac:dyDescent="0.15">
      <c r="B628" s="241">
        <v>43578</v>
      </c>
      <c r="C628" s="244"/>
      <c r="D628" s="245">
        <v>63.834212999999998</v>
      </c>
      <c r="E628" s="228">
        <f t="shared" si="54"/>
        <v>9.2355958360261781E-3</v>
      </c>
      <c r="F628" s="228"/>
      <c r="G628" s="245">
        <v>199.65983600000001</v>
      </c>
      <c r="H628" s="228">
        <f t="shared" si="55"/>
        <v>-1.0704704936431719E-3</v>
      </c>
      <c r="J628" s="227"/>
      <c r="K628" s="245">
        <v>41.757522999999999</v>
      </c>
      <c r="L628" s="228">
        <f t="shared" si="56"/>
        <v>5.9801066715350348E-3</v>
      </c>
      <c r="M628" s="228"/>
      <c r="N628" s="227"/>
      <c r="O628" s="322">
        <v>43.830002</v>
      </c>
      <c r="P628" s="228">
        <f t="shared" si="57"/>
        <v>9.1347337489211533E-4</v>
      </c>
      <c r="Q628" s="228"/>
      <c r="R628" s="227"/>
      <c r="S628" s="322">
        <v>194.779999</v>
      </c>
      <c r="T628" s="228">
        <f t="shared" si="58"/>
        <v>-2.2538776649222436E-3</v>
      </c>
      <c r="U628" s="228"/>
      <c r="V628" s="228"/>
      <c r="W628" s="228"/>
      <c r="X628" s="322">
        <v>123.160004</v>
      </c>
      <c r="Y628" s="228">
        <f t="shared" si="59"/>
        <v>7.3132363695460612E-4</v>
      </c>
      <c r="Z628" s="228"/>
      <c r="AA628" s="202"/>
    </row>
    <row r="629" spans="2:27" x14ac:dyDescent="0.15">
      <c r="B629" s="241">
        <v>43579</v>
      </c>
      <c r="C629" s="244"/>
      <c r="D629" s="245">
        <v>63.767189000000002</v>
      </c>
      <c r="E629" s="228">
        <f t="shared" si="54"/>
        <v>-1.0499698649061306E-3</v>
      </c>
      <c r="F629" s="228"/>
      <c r="G629" s="245">
        <v>199.776535</v>
      </c>
      <c r="H629" s="228">
        <f t="shared" si="55"/>
        <v>5.844891107693595E-4</v>
      </c>
      <c r="J629" s="227"/>
      <c r="K629" s="245">
        <v>41.748325000000001</v>
      </c>
      <c r="L629" s="228">
        <f t="shared" si="56"/>
        <v>-2.2027168613425463E-4</v>
      </c>
      <c r="M629" s="228"/>
      <c r="N629" s="227"/>
      <c r="O629" s="322">
        <v>44.459999000000003</v>
      </c>
      <c r="P629" s="228">
        <f t="shared" si="57"/>
        <v>1.4373647530292244E-2</v>
      </c>
      <c r="Q629" s="228"/>
      <c r="R629" s="227"/>
      <c r="S629" s="322">
        <v>195.44000199999999</v>
      </c>
      <c r="T629" s="228">
        <f t="shared" si="58"/>
        <v>3.3884536574002588E-3</v>
      </c>
      <c r="U629" s="228"/>
      <c r="V629" s="228"/>
      <c r="W629" s="228"/>
      <c r="X629" s="322">
        <v>125.639999</v>
      </c>
      <c r="Y629" s="228">
        <f t="shared" si="59"/>
        <v>2.0136366673063844E-2</v>
      </c>
      <c r="Z629" s="228"/>
      <c r="AA629" s="202"/>
    </row>
    <row r="630" spans="2:27" x14ac:dyDescent="0.15">
      <c r="B630" s="241">
        <v>43580</v>
      </c>
      <c r="C630" s="244"/>
      <c r="D630" s="245">
        <v>63.671405999999998</v>
      </c>
      <c r="E630" s="228">
        <f t="shared" si="54"/>
        <v>-1.5020734252533252E-3</v>
      </c>
      <c r="F630" s="228"/>
      <c r="G630" s="245">
        <v>200.55458100000001</v>
      </c>
      <c r="H630" s="228">
        <f t="shared" si="55"/>
        <v>3.8945815132893635E-3</v>
      </c>
      <c r="J630" s="227"/>
      <c r="K630" s="245">
        <v>40.893318000000001</v>
      </c>
      <c r="L630" s="228">
        <f t="shared" si="56"/>
        <v>-2.0480031234786034E-2</v>
      </c>
      <c r="M630" s="228"/>
      <c r="N630" s="227"/>
      <c r="O630" s="322">
        <v>44.450001</v>
      </c>
      <c r="P630" s="228">
        <f t="shared" si="57"/>
        <v>-2.2487629835532541E-4</v>
      </c>
      <c r="Q630" s="228"/>
      <c r="R630" s="227"/>
      <c r="S630" s="322">
        <v>205.08000200000001</v>
      </c>
      <c r="T630" s="228">
        <f t="shared" si="58"/>
        <v>4.9324600395777907E-2</v>
      </c>
      <c r="U630" s="228"/>
      <c r="V630" s="228"/>
      <c r="W630" s="228"/>
      <c r="X630" s="322">
        <v>125.410004</v>
      </c>
      <c r="Y630" s="228">
        <f t="shared" si="59"/>
        <v>-1.8305874071202766E-3</v>
      </c>
      <c r="Z630" s="228"/>
      <c r="AA630" s="202"/>
    </row>
    <row r="631" spans="2:27" x14ac:dyDescent="0.15">
      <c r="B631" s="241">
        <v>43581</v>
      </c>
      <c r="C631" s="244"/>
      <c r="D631" s="245">
        <v>63.977862999999999</v>
      </c>
      <c r="E631" s="228">
        <f t="shared" si="54"/>
        <v>4.8131024466462335E-3</v>
      </c>
      <c r="F631" s="228"/>
      <c r="G631" s="245">
        <v>203.87643399999999</v>
      </c>
      <c r="H631" s="228">
        <f t="shared" si="55"/>
        <v>1.6563336441564491E-2</v>
      </c>
      <c r="J631" s="227"/>
      <c r="K631" s="245">
        <v>40.396866000000003</v>
      </c>
      <c r="L631" s="228">
        <f t="shared" si="56"/>
        <v>-1.2140174098858814E-2</v>
      </c>
      <c r="M631" s="228"/>
      <c r="N631" s="227"/>
      <c r="O631" s="322">
        <v>44.66</v>
      </c>
      <c r="P631" s="228">
        <f t="shared" si="57"/>
        <v>4.7243868453454851E-3</v>
      </c>
      <c r="Q631" s="228"/>
      <c r="R631" s="227"/>
      <c r="S631" s="322">
        <v>206.38999899999999</v>
      </c>
      <c r="T631" s="228">
        <f t="shared" si="58"/>
        <v>6.3877364307807216E-3</v>
      </c>
      <c r="U631" s="228"/>
      <c r="V631" s="228"/>
      <c r="W631" s="228"/>
      <c r="X631" s="322">
        <v>125.790001</v>
      </c>
      <c r="Y631" s="228">
        <f t="shared" si="59"/>
        <v>3.030037380431061E-3</v>
      </c>
      <c r="Z631" s="228"/>
      <c r="AA631" s="202"/>
    </row>
    <row r="632" spans="2:27" x14ac:dyDescent="0.15">
      <c r="B632" s="241">
        <v>43584</v>
      </c>
      <c r="C632" s="244"/>
      <c r="D632" s="245">
        <v>64.111908</v>
      </c>
      <c r="E632" s="228">
        <f t="shared" si="54"/>
        <v>2.0951778273681221E-3</v>
      </c>
      <c r="F632" s="228"/>
      <c r="G632" s="245">
        <v>203.099121</v>
      </c>
      <c r="H632" s="228">
        <f t="shared" si="55"/>
        <v>-3.8126672354883429E-3</v>
      </c>
      <c r="J632" s="227"/>
      <c r="K632" s="245">
        <v>40.295734000000003</v>
      </c>
      <c r="L632" s="228">
        <f t="shared" si="56"/>
        <v>-2.5034615309019737E-3</v>
      </c>
      <c r="M632" s="228"/>
      <c r="N632" s="227"/>
      <c r="O632" s="322">
        <v>44.240001999999997</v>
      </c>
      <c r="P632" s="228">
        <f t="shared" si="57"/>
        <v>-9.4043439319301259E-3</v>
      </c>
      <c r="Q632" s="228"/>
      <c r="R632" s="227"/>
      <c r="S632" s="322">
        <v>206.11999499999999</v>
      </c>
      <c r="T632" s="228">
        <f t="shared" si="58"/>
        <v>-1.3082223039305729E-3</v>
      </c>
      <c r="U632" s="228"/>
      <c r="V632" s="228"/>
      <c r="W632" s="228"/>
      <c r="X632" s="322">
        <v>126.050003</v>
      </c>
      <c r="Y632" s="228">
        <f t="shared" si="59"/>
        <v>2.0669528415060423E-3</v>
      </c>
      <c r="Z632" s="228"/>
      <c r="AA632" s="202"/>
    </row>
    <row r="633" spans="2:27" x14ac:dyDescent="0.15">
      <c r="B633" s="241">
        <v>43585</v>
      </c>
      <c r="C633" s="244"/>
      <c r="D633" s="245">
        <v>64.064034000000007</v>
      </c>
      <c r="E633" s="228">
        <f t="shared" si="54"/>
        <v>-7.4672555369892368E-4</v>
      </c>
      <c r="F633" s="228"/>
      <c r="G633" s="245">
        <v>205.47045900000001</v>
      </c>
      <c r="H633" s="228">
        <f t="shared" si="55"/>
        <v>1.1675766927617515E-2</v>
      </c>
      <c r="J633" s="227"/>
      <c r="K633" s="245">
        <v>40.286541</v>
      </c>
      <c r="L633" s="228">
        <f t="shared" si="56"/>
        <v>-2.2813829374601635E-4</v>
      </c>
      <c r="M633" s="228"/>
      <c r="N633" s="227"/>
      <c r="O633" s="322">
        <v>44.07</v>
      </c>
      <c r="P633" s="228">
        <f t="shared" si="57"/>
        <v>-3.8427213452656428E-3</v>
      </c>
      <c r="Q633" s="228"/>
      <c r="R633" s="227"/>
      <c r="S633" s="322">
        <v>207.429993</v>
      </c>
      <c r="T633" s="228">
        <f t="shared" si="58"/>
        <v>6.3555115067803758E-3</v>
      </c>
      <c r="U633" s="228"/>
      <c r="V633" s="228"/>
      <c r="W633" s="228"/>
      <c r="X633" s="322">
        <v>127.480003</v>
      </c>
      <c r="Y633" s="228">
        <f t="shared" si="59"/>
        <v>1.1344704212343348E-2</v>
      </c>
      <c r="Z633" s="228"/>
      <c r="AA633" s="202"/>
    </row>
    <row r="634" spans="2:27" x14ac:dyDescent="0.15">
      <c r="B634" s="241">
        <v>43586</v>
      </c>
      <c r="C634" s="244"/>
      <c r="D634" s="245">
        <v>63.623534999999997</v>
      </c>
      <c r="E634" s="228">
        <f t="shared" si="54"/>
        <v>-6.8759173048642541E-3</v>
      </c>
      <c r="F634" s="228"/>
      <c r="G634" s="245">
        <v>203.07942199999999</v>
      </c>
      <c r="H634" s="228">
        <f t="shared" si="55"/>
        <v>-1.1636889369094239E-2</v>
      </c>
      <c r="J634" s="227"/>
      <c r="K634" s="245">
        <v>40.286541</v>
      </c>
      <c r="L634" s="228">
        <f t="shared" si="56"/>
        <v>0</v>
      </c>
      <c r="M634" s="228"/>
      <c r="N634" s="227"/>
      <c r="O634" s="322">
        <v>43.380001</v>
      </c>
      <c r="P634" s="228">
        <f t="shared" si="57"/>
        <v>-1.5656886771046041E-2</v>
      </c>
      <c r="Q634" s="228"/>
      <c r="R634" s="227"/>
      <c r="S634" s="322">
        <v>203.96000699999999</v>
      </c>
      <c r="T634" s="228">
        <f t="shared" si="58"/>
        <v>-1.6728467999321595E-2</v>
      </c>
      <c r="U634" s="228"/>
      <c r="V634" s="228"/>
      <c r="W634" s="228"/>
      <c r="X634" s="322">
        <v>125.959999</v>
      </c>
      <c r="Y634" s="228">
        <f t="shared" si="59"/>
        <v>-1.1923470067693676E-2</v>
      </c>
      <c r="Z634" s="228"/>
      <c r="AA634" s="202"/>
    </row>
    <row r="635" spans="2:27" x14ac:dyDescent="0.15">
      <c r="B635" s="241">
        <v>43587</v>
      </c>
      <c r="C635" s="244"/>
      <c r="D635" s="245">
        <v>63.546928000000001</v>
      </c>
      <c r="E635" s="228">
        <f t="shared" si="54"/>
        <v>-1.2040670170243573E-3</v>
      </c>
      <c r="F635" s="228"/>
      <c r="G635" s="245">
        <v>202.626801</v>
      </c>
      <c r="H635" s="228">
        <f t="shared" si="55"/>
        <v>-2.2287881043899782E-3</v>
      </c>
      <c r="J635" s="227"/>
      <c r="K635" s="245">
        <v>40.819775</v>
      </c>
      <c r="L635" s="228">
        <f t="shared" si="56"/>
        <v>1.3236033344237619E-2</v>
      </c>
      <c r="M635" s="228"/>
      <c r="N635" s="227"/>
      <c r="O635" s="322">
        <v>43.700001</v>
      </c>
      <c r="P635" s="228">
        <f t="shared" si="57"/>
        <v>7.376671107038435E-3</v>
      </c>
      <c r="Q635" s="228"/>
      <c r="R635" s="227"/>
      <c r="S635" s="322">
        <v>206.83999600000001</v>
      </c>
      <c r="T635" s="228">
        <f t="shared" si="58"/>
        <v>1.4120361351037003E-2</v>
      </c>
      <c r="U635" s="228"/>
      <c r="V635" s="228"/>
      <c r="W635" s="228"/>
      <c r="X635" s="322">
        <v>128.16999799999999</v>
      </c>
      <c r="Y635" s="228">
        <f t="shared" si="59"/>
        <v>1.7545244661362647E-2</v>
      </c>
      <c r="Z635" s="228"/>
      <c r="AA635" s="202"/>
    </row>
    <row r="636" spans="2:27" x14ac:dyDescent="0.15">
      <c r="B636" s="241">
        <v>43588</v>
      </c>
      <c r="C636" s="244"/>
      <c r="D636" s="245">
        <v>64.217247</v>
      </c>
      <c r="E636" s="228">
        <f t="shared" si="54"/>
        <v>1.0548409200834996E-2</v>
      </c>
      <c r="F636" s="228"/>
      <c r="G636" s="245">
        <v>205.332718</v>
      </c>
      <c r="H636" s="228">
        <f t="shared" si="55"/>
        <v>1.3354190988782433E-2</v>
      </c>
      <c r="J636" s="227"/>
      <c r="K636" s="245">
        <v>41.104778000000003</v>
      </c>
      <c r="L636" s="228">
        <f t="shared" si="56"/>
        <v>6.9819836096598475E-3</v>
      </c>
      <c r="M636" s="228"/>
      <c r="N636" s="227"/>
      <c r="O636" s="322">
        <v>43.959999000000003</v>
      </c>
      <c r="P636" s="228">
        <f t="shared" si="57"/>
        <v>5.949610847834963E-3</v>
      </c>
      <c r="Q636" s="228"/>
      <c r="R636" s="227"/>
      <c r="S636" s="322">
        <v>207.779999</v>
      </c>
      <c r="T636" s="228">
        <f t="shared" si="58"/>
        <v>4.5445901091585306E-3</v>
      </c>
      <c r="U636" s="228"/>
      <c r="V636" s="228"/>
      <c r="W636" s="228"/>
      <c r="X636" s="322">
        <v>128.470001</v>
      </c>
      <c r="Y636" s="228">
        <f t="shared" si="59"/>
        <v>2.3406647786636814E-3</v>
      </c>
      <c r="Z636" s="228"/>
      <c r="AA636" s="202"/>
    </row>
    <row r="637" spans="2:27" x14ac:dyDescent="0.15">
      <c r="B637" s="241">
        <v>43591</v>
      </c>
      <c r="C637" s="244"/>
      <c r="D637" s="245">
        <v>64.006568999999999</v>
      </c>
      <c r="E637" s="228">
        <f t="shared" si="54"/>
        <v>-3.2807074398565339E-3</v>
      </c>
      <c r="F637" s="228"/>
      <c r="G637" s="245">
        <v>201.878998</v>
      </c>
      <c r="H637" s="228">
        <f t="shared" si="55"/>
        <v>-1.682011534080019E-2</v>
      </c>
      <c r="J637" s="227"/>
      <c r="K637" s="245">
        <v>40.231380000000001</v>
      </c>
      <c r="L637" s="228">
        <f t="shared" si="56"/>
        <v>-2.1248089455683239E-2</v>
      </c>
      <c r="M637" s="228"/>
      <c r="N637" s="227"/>
      <c r="O637" s="322">
        <v>43.110000999999997</v>
      </c>
      <c r="P637" s="228">
        <f t="shared" si="57"/>
        <v>-1.9335714725562392E-2</v>
      </c>
      <c r="Q637" s="228"/>
      <c r="R637" s="227"/>
      <c r="S637" s="322">
        <v>204.53999300000001</v>
      </c>
      <c r="T637" s="228">
        <f t="shared" si="58"/>
        <v>-1.5593445064940981E-2</v>
      </c>
      <c r="U637" s="228"/>
      <c r="V637" s="228"/>
      <c r="W637" s="228"/>
      <c r="X637" s="322">
        <v>124.610001</v>
      </c>
      <c r="Y637" s="228">
        <f t="shared" si="59"/>
        <v>-3.0045924884829711E-2</v>
      </c>
      <c r="Z637" s="228"/>
      <c r="AA637" s="202"/>
    </row>
    <row r="638" spans="2:27" x14ac:dyDescent="0.15">
      <c r="B638" s="241">
        <v>43592</v>
      </c>
      <c r="C638" s="244"/>
      <c r="D638" s="245">
        <v>62.905330999999997</v>
      </c>
      <c r="E638" s="228">
        <f t="shared" si="54"/>
        <v>-1.7205077810060421E-2</v>
      </c>
      <c r="F638" s="228"/>
      <c r="G638" s="245">
        <v>197.47087099999999</v>
      </c>
      <c r="H638" s="228">
        <f t="shared" si="55"/>
        <v>-2.1835490782453837E-2</v>
      </c>
      <c r="J638" s="227"/>
      <c r="K638" s="245">
        <v>40.231380000000001</v>
      </c>
      <c r="L638" s="228">
        <f t="shared" si="56"/>
        <v>0</v>
      </c>
      <c r="M638" s="228"/>
      <c r="N638" s="227"/>
      <c r="O638" s="322">
        <v>42.049999</v>
      </c>
      <c r="P638" s="228">
        <f t="shared" si="57"/>
        <v>-2.4588308406673365E-2</v>
      </c>
      <c r="Q638" s="228"/>
      <c r="R638" s="227"/>
      <c r="S638" s="322">
        <v>199.94000199999999</v>
      </c>
      <c r="T638" s="228">
        <f t="shared" si="58"/>
        <v>-2.2489445377071204E-2</v>
      </c>
      <c r="U638" s="228"/>
      <c r="V638" s="228"/>
      <c r="W638" s="228"/>
      <c r="X638" s="322">
        <v>116.959999</v>
      </c>
      <c r="Y638" s="228">
        <f t="shared" si="59"/>
        <v>-6.1391557167229327E-2</v>
      </c>
      <c r="Z638" s="228"/>
      <c r="AA638" s="202"/>
    </row>
    <row r="639" spans="2:27" x14ac:dyDescent="0.15">
      <c r="B639" s="241">
        <v>43593</v>
      </c>
      <c r="C639" s="244"/>
      <c r="D639" s="245">
        <v>62.800002999999997</v>
      </c>
      <c r="E639" s="228">
        <f t="shared" si="54"/>
        <v>-1.6743890911249393E-3</v>
      </c>
      <c r="F639" s="228"/>
      <c r="G639" s="245">
        <v>198.19899000000001</v>
      </c>
      <c r="H639" s="228">
        <f t="shared" si="55"/>
        <v>3.6872223042963004E-3</v>
      </c>
      <c r="J639" s="227"/>
      <c r="K639" s="245">
        <v>40.176215999999997</v>
      </c>
      <c r="L639" s="228">
        <f t="shared" si="56"/>
        <v>-1.371168475950979E-3</v>
      </c>
      <c r="M639" s="228"/>
      <c r="N639" s="227"/>
      <c r="O639" s="322">
        <v>41.580002</v>
      </c>
      <c r="P639" s="228">
        <f t="shared" si="57"/>
        <v>-1.117709895783825E-2</v>
      </c>
      <c r="Q639" s="228"/>
      <c r="R639" s="227"/>
      <c r="S639" s="322">
        <v>199.71000699999999</v>
      </c>
      <c r="T639" s="228">
        <f t="shared" si="58"/>
        <v>-1.150320084522205E-3</v>
      </c>
      <c r="U639" s="228"/>
      <c r="V639" s="228"/>
      <c r="W639" s="228"/>
      <c r="X639" s="322">
        <v>114.550003</v>
      </c>
      <c r="Y639" s="228">
        <f t="shared" si="59"/>
        <v>-2.0605301133766241E-2</v>
      </c>
      <c r="Z639" s="228"/>
      <c r="AA639" s="202"/>
    </row>
    <row r="640" spans="2:27" x14ac:dyDescent="0.15">
      <c r="B640" s="241">
        <v>43594</v>
      </c>
      <c r="C640" s="244"/>
      <c r="D640" s="245">
        <v>62.598888000000002</v>
      </c>
      <c r="E640" s="228">
        <f t="shared" si="54"/>
        <v>-3.2024679998819972E-3</v>
      </c>
      <c r="F640" s="228"/>
      <c r="G640" s="245">
        <v>195.798126</v>
      </c>
      <c r="H640" s="228">
        <f t="shared" si="55"/>
        <v>-1.2113401788778067E-2</v>
      </c>
      <c r="J640" s="227"/>
      <c r="K640" s="245">
        <v>39.762501</v>
      </c>
      <c r="L640" s="228">
        <f t="shared" si="56"/>
        <v>-1.0297510347913263E-2</v>
      </c>
      <c r="M640" s="228"/>
      <c r="N640" s="227"/>
      <c r="O640" s="322">
        <v>40.939999</v>
      </c>
      <c r="P640" s="228">
        <f t="shared" si="57"/>
        <v>-1.5392086801727434E-2</v>
      </c>
      <c r="Q640" s="228"/>
      <c r="R640" s="227"/>
      <c r="S640" s="322">
        <v>198.63000500000001</v>
      </c>
      <c r="T640" s="228">
        <f t="shared" si="58"/>
        <v>-5.4078511949577912E-3</v>
      </c>
      <c r="U640" s="228"/>
      <c r="V640" s="228"/>
      <c r="W640" s="228"/>
      <c r="X640" s="322">
        <v>114.129997</v>
      </c>
      <c r="Y640" s="228">
        <f t="shared" si="59"/>
        <v>-3.666573452643207E-3</v>
      </c>
      <c r="Z640" s="228"/>
      <c r="AA640" s="202"/>
    </row>
    <row r="641" spans="2:27" x14ac:dyDescent="0.15">
      <c r="B641" s="241">
        <v>43595</v>
      </c>
      <c r="C641" s="244"/>
      <c r="D641" s="245">
        <v>62.876601999999998</v>
      </c>
      <c r="E641" s="228">
        <f t="shared" si="54"/>
        <v>4.4364046850160488E-3</v>
      </c>
      <c r="F641" s="228"/>
      <c r="G641" s="245">
        <v>195.552155</v>
      </c>
      <c r="H641" s="228">
        <f t="shared" si="55"/>
        <v>-1.2562479785940273E-3</v>
      </c>
      <c r="J641" s="227"/>
      <c r="K641" s="245">
        <v>39.376373000000001</v>
      </c>
      <c r="L641" s="228">
        <f t="shared" si="56"/>
        <v>-9.7108579764637604E-3</v>
      </c>
      <c r="M641" s="228"/>
      <c r="N641" s="227"/>
      <c r="O641" s="322">
        <v>40.799999</v>
      </c>
      <c r="P641" s="228">
        <f t="shared" si="57"/>
        <v>-3.419638578887163E-3</v>
      </c>
      <c r="Q641" s="228"/>
      <c r="R641" s="227"/>
      <c r="S641" s="322">
        <v>197.89999399999999</v>
      </c>
      <c r="T641" s="228">
        <f t="shared" si="58"/>
        <v>-3.6752302352306421E-3</v>
      </c>
      <c r="U641" s="228"/>
      <c r="V641" s="228"/>
      <c r="W641" s="228"/>
      <c r="X641" s="322">
        <v>114.019997</v>
      </c>
      <c r="Y641" s="228">
        <f t="shared" si="59"/>
        <v>-9.6381322081340315E-4</v>
      </c>
      <c r="Z641" s="228"/>
      <c r="AA641" s="202"/>
    </row>
    <row r="642" spans="2:27" x14ac:dyDescent="0.15">
      <c r="B642" s="241">
        <v>43598</v>
      </c>
      <c r="C642" s="244"/>
      <c r="D642" s="245">
        <v>61.286971999999999</v>
      </c>
      <c r="E642" s="228">
        <f t="shared" si="54"/>
        <v>-2.5281741529225799E-2</v>
      </c>
      <c r="F642" s="228"/>
      <c r="G642" s="245">
        <v>187.38528400000001</v>
      </c>
      <c r="H642" s="228">
        <f t="shared" si="55"/>
        <v>-4.1763134750419817E-2</v>
      </c>
      <c r="J642" s="227"/>
      <c r="K642" s="245">
        <v>37.684745999999997</v>
      </c>
      <c r="L642" s="228">
        <f t="shared" si="56"/>
        <v>-4.2960457531220686E-2</v>
      </c>
      <c r="M642" s="228"/>
      <c r="N642" s="227"/>
      <c r="O642" s="322">
        <v>39.090000000000003</v>
      </c>
      <c r="P642" s="228">
        <f t="shared" si="57"/>
        <v>-4.1911741223326859E-2</v>
      </c>
      <c r="Q642" s="228"/>
      <c r="R642" s="227"/>
      <c r="S642" s="322">
        <v>188.300003</v>
      </c>
      <c r="T642" s="228">
        <f t="shared" si="58"/>
        <v>-4.8509304148841914E-2</v>
      </c>
      <c r="U642" s="228"/>
      <c r="V642" s="228"/>
      <c r="W642" s="228"/>
      <c r="X642" s="322">
        <v>108.83000199999999</v>
      </c>
      <c r="Y642" s="228">
        <f t="shared" si="59"/>
        <v>-4.5518287463207074E-2</v>
      </c>
      <c r="Z642" s="228"/>
      <c r="AA642" s="202"/>
    </row>
    <row r="643" spans="2:27" x14ac:dyDescent="0.15">
      <c r="B643" s="241">
        <v>43599</v>
      </c>
      <c r="C643" s="244"/>
      <c r="D643" s="245">
        <v>61.832805999999998</v>
      </c>
      <c r="E643" s="228">
        <f t="shared" si="54"/>
        <v>8.9061995100687685E-3</v>
      </c>
      <c r="F643" s="228"/>
      <c r="G643" s="245">
        <v>194.863373</v>
      </c>
      <c r="H643" s="228">
        <f t="shared" si="55"/>
        <v>3.9907557521966286E-2</v>
      </c>
      <c r="J643" s="227"/>
      <c r="K643" s="245">
        <v>38.585720000000002</v>
      </c>
      <c r="L643" s="228">
        <f t="shared" si="56"/>
        <v>2.3908188209627479E-2</v>
      </c>
      <c r="M643" s="228"/>
      <c r="N643" s="227"/>
      <c r="O643" s="322">
        <v>40.009998000000003</v>
      </c>
      <c r="P643" s="228">
        <f t="shared" si="57"/>
        <v>2.3535379892555719E-2</v>
      </c>
      <c r="Q643" s="228"/>
      <c r="R643" s="227"/>
      <c r="S643" s="322">
        <v>192.44000199999999</v>
      </c>
      <c r="T643" s="228">
        <f t="shared" si="58"/>
        <v>2.1986186585456258E-2</v>
      </c>
      <c r="U643" s="228"/>
      <c r="V643" s="228"/>
      <c r="W643" s="228"/>
      <c r="X643" s="322">
        <v>109.57</v>
      </c>
      <c r="Y643" s="228">
        <f t="shared" si="59"/>
        <v>6.7995771974715957E-3</v>
      </c>
      <c r="Z643" s="228"/>
      <c r="AA643" s="202"/>
    </row>
    <row r="644" spans="2:27" x14ac:dyDescent="0.15">
      <c r="B644" s="241">
        <v>43600</v>
      </c>
      <c r="C644" s="244"/>
      <c r="D644" s="245">
        <v>62.206271999999998</v>
      </c>
      <c r="E644" s="228">
        <f t="shared" si="54"/>
        <v>6.0399329119884548E-3</v>
      </c>
      <c r="F644" s="228"/>
      <c r="G644" s="245">
        <v>197.41184999999999</v>
      </c>
      <c r="H644" s="228">
        <f t="shared" si="55"/>
        <v>1.3078276131451405E-2</v>
      </c>
      <c r="J644" s="227"/>
      <c r="K644" s="245">
        <v>38.585720000000002</v>
      </c>
      <c r="L644" s="228">
        <f t="shared" si="56"/>
        <v>0</v>
      </c>
      <c r="M644" s="228"/>
      <c r="N644" s="227"/>
      <c r="O644" s="322">
        <v>41.5</v>
      </c>
      <c r="P644" s="228">
        <f t="shared" si="57"/>
        <v>3.7240741676617839E-2</v>
      </c>
      <c r="Q644" s="228"/>
      <c r="R644" s="227"/>
      <c r="S644" s="322">
        <v>195.479996</v>
      </c>
      <c r="T644" s="228">
        <f t="shared" si="58"/>
        <v>1.5797100230751537E-2</v>
      </c>
      <c r="U644" s="228"/>
      <c r="V644" s="228"/>
      <c r="W644" s="228"/>
      <c r="X644" s="322">
        <v>110.349998</v>
      </c>
      <c r="Y644" s="228">
        <f t="shared" si="59"/>
        <v>7.1187186273615755E-3</v>
      </c>
      <c r="Z644" s="228"/>
      <c r="AA644" s="202"/>
    </row>
    <row r="645" spans="2:27" x14ac:dyDescent="0.15">
      <c r="B645" s="241">
        <v>43601</v>
      </c>
      <c r="C645" s="244"/>
      <c r="D645" s="245">
        <v>62.771270999999999</v>
      </c>
      <c r="E645" s="228">
        <f t="shared" si="54"/>
        <v>9.0826693488399446E-3</v>
      </c>
      <c r="F645" s="228"/>
      <c r="G645" s="245">
        <v>198.89759799999999</v>
      </c>
      <c r="H645" s="228">
        <f t="shared" si="55"/>
        <v>7.5261338161818347E-3</v>
      </c>
      <c r="J645" s="227"/>
      <c r="K645" s="245">
        <v>38.181198000000002</v>
      </c>
      <c r="L645" s="228">
        <f t="shared" si="56"/>
        <v>-1.0483722993895106E-2</v>
      </c>
      <c r="M645" s="228"/>
      <c r="N645" s="227"/>
      <c r="O645" s="322">
        <v>41.66</v>
      </c>
      <c r="P645" s="228">
        <f t="shared" si="57"/>
        <v>3.8554216867467961E-3</v>
      </c>
      <c r="Q645" s="228"/>
      <c r="R645" s="227"/>
      <c r="S645" s="322">
        <v>194.46000699999999</v>
      </c>
      <c r="T645" s="228">
        <f t="shared" si="58"/>
        <v>-5.2178689424569047E-3</v>
      </c>
      <c r="U645" s="228"/>
      <c r="V645" s="228"/>
      <c r="W645" s="228"/>
      <c r="X645" s="322">
        <v>108.779999</v>
      </c>
      <c r="Y645" s="228">
        <f t="shared" si="59"/>
        <v>-1.4227449283687355E-2</v>
      </c>
      <c r="Z645" s="228"/>
      <c r="AA645" s="202"/>
    </row>
    <row r="646" spans="2:27" x14ac:dyDescent="0.15">
      <c r="B646" s="241">
        <v>43602</v>
      </c>
      <c r="C646" s="244"/>
      <c r="D646" s="245">
        <v>62.330761000000003</v>
      </c>
      <c r="E646" s="228">
        <f t="shared" si="54"/>
        <v>-7.0177008204915792E-3</v>
      </c>
      <c r="F646" s="228"/>
      <c r="G646" s="245">
        <v>197.97267199999999</v>
      </c>
      <c r="H646" s="228">
        <f t="shared" si="55"/>
        <v>-4.6502622922575121E-3</v>
      </c>
      <c r="J646" s="227"/>
      <c r="K646" s="245">
        <v>37.00441</v>
      </c>
      <c r="L646" s="228">
        <f t="shared" si="56"/>
        <v>-3.0821138718591379E-2</v>
      </c>
      <c r="M646" s="228"/>
      <c r="N646" s="227"/>
      <c r="O646" s="322">
        <v>42.700001</v>
      </c>
      <c r="P646" s="228">
        <f t="shared" si="57"/>
        <v>2.4964018242918939E-2</v>
      </c>
      <c r="Q646" s="228"/>
      <c r="R646" s="227"/>
      <c r="S646" s="322">
        <v>194.16000399999999</v>
      </c>
      <c r="T646" s="228">
        <f t="shared" si="58"/>
        <v>-1.5427490959619705E-3</v>
      </c>
      <c r="U646" s="228"/>
      <c r="V646" s="228"/>
      <c r="W646" s="228"/>
      <c r="X646" s="322">
        <v>108.599998</v>
      </c>
      <c r="Y646" s="228">
        <f t="shared" si="59"/>
        <v>-1.6547251485082848E-3</v>
      </c>
      <c r="Z646" s="228"/>
      <c r="AA646" s="202"/>
    </row>
    <row r="647" spans="2:27" x14ac:dyDescent="0.15">
      <c r="B647" s="241">
        <v>43605</v>
      </c>
      <c r="C647" s="244"/>
      <c r="D647" s="245">
        <v>61.899849000000003</v>
      </c>
      <c r="E647" s="228">
        <f t="shared" si="54"/>
        <v>-6.9133120322403263E-3</v>
      </c>
      <c r="F647" s="228"/>
      <c r="G647" s="245">
        <v>187.42465200000001</v>
      </c>
      <c r="H647" s="228">
        <f t="shared" si="55"/>
        <v>-5.3280182024314837E-2</v>
      </c>
      <c r="J647" s="227"/>
      <c r="K647" s="245">
        <v>35.542622000000001</v>
      </c>
      <c r="L647" s="228">
        <f t="shared" si="56"/>
        <v>-3.9503075444251023E-2</v>
      </c>
      <c r="M647" s="228"/>
      <c r="N647" s="227"/>
      <c r="O647" s="322">
        <v>40.349997999999999</v>
      </c>
      <c r="P647" s="228">
        <f t="shared" si="57"/>
        <v>-5.5035197774351396E-2</v>
      </c>
      <c r="Q647" s="228"/>
      <c r="R647" s="227"/>
      <c r="S647" s="322">
        <v>183.66999799999999</v>
      </c>
      <c r="T647" s="228">
        <f t="shared" si="58"/>
        <v>-5.402763588735815E-2</v>
      </c>
      <c r="U647" s="228"/>
      <c r="V647" s="228"/>
      <c r="W647" s="228"/>
      <c r="X647" s="322">
        <v>105.610001</v>
      </c>
      <c r="Y647" s="228">
        <f t="shared" si="59"/>
        <v>-2.7532201243686938E-2</v>
      </c>
      <c r="Z647" s="228"/>
      <c r="AA647" s="202"/>
    </row>
    <row r="648" spans="2:27" x14ac:dyDescent="0.15">
      <c r="B648" s="241">
        <v>43606</v>
      </c>
      <c r="C648" s="244"/>
      <c r="D648" s="245">
        <v>62.483989999999999</v>
      </c>
      <c r="E648" s="228">
        <f t="shared" si="54"/>
        <v>9.4368727781548589E-3</v>
      </c>
      <c r="F648" s="228"/>
      <c r="G648" s="245">
        <v>190.64218099999999</v>
      </c>
      <c r="H648" s="228">
        <f t="shared" si="55"/>
        <v>1.7167053350057637E-2</v>
      </c>
      <c r="J648" s="227"/>
      <c r="K648" s="245">
        <v>36.131011999999998</v>
      </c>
      <c r="L648" s="228">
        <f t="shared" si="56"/>
        <v>1.6554490549402834E-2</v>
      </c>
      <c r="M648" s="228"/>
      <c r="N648" s="227"/>
      <c r="O648" s="322">
        <v>41.27</v>
      </c>
      <c r="P648" s="228">
        <f t="shared" si="57"/>
        <v>2.2800546359382778E-2</v>
      </c>
      <c r="Q648" s="228"/>
      <c r="R648" s="227"/>
      <c r="S648" s="322">
        <v>186.91000399999999</v>
      </c>
      <c r="T648" s="228">
        <f t="shared" si="58"/>
        <v>1.7640366065665214E-2</v>
      </c>
      <c r="U648" s="228"/>
      <c r="V648" s="228"/>
      <c r="W648" s="228"/>
      <c r="X648" s="322">
        <v>106.83000199999999</v>
      </c>
      <c r="Y648" s="228">
        <f t="shared" si="59"/>
        <v>1.1551945729079138E-2</v>
      </c>
      <c r="Z648" s="228"/>
      <c r="AA648" s="202"/>
    </row>
    <row r="649" spans="2:27" x14ac:dyDescent="0.15">
      <c r="B649" s="241">
        <v>43607</v>
      </c>
      <c r="C649" s="244"/>
      <c r="D649" s="245">
        <v>62.206271999999998</v>
      </c>
      <c r="E649" s="228">
        <f t="shared" ref="E649:E712" si="60">D649/D648-1</f>
        <v>-4.444626535533347E-3</v>
      </c>
      <c r="F649" s="228"/>
      <c r="G649" s="245">
        <v>188.45779400000001</v>
      </c>
      <c r="H649" s="228">
        <f t="shared" ref="H649:H712" si="61">G649/G648-1</f>
        <v>-1.1458046632397578E-2</v>
      </c>
      <c r="J649" s="227"/>
      <c r="K649" s="245">
        <v>35.763271000000003</v>
      </c>
      <c r="L649" s="228">
        <f t="shared" ref="L649:L712" si="62">K649/K648-1</f>
        <v>-1.017798781833168E-2</v>
      </c>
      <c r="M649" s="228"/>
      <c r="N649" s="227"/>
      <c r="O649" s="322">
        <v>40.490001999999997</v>
      </c>
      <c r="P649" s="228">
        <f t="shared" ref="P649:P712" si="63">O649/O648-1</f>
        <v>-1.8899878846619922E-2</v>
      </c>
      <c r="Q649" s="228"/>
      <c r="R649" s="227"/>
      <c r="S649" s="322">
        <v>187.179993</v>
      </c>
      <c r="T649" s="228">
        <f t="shared" ref="T649:T712" si="64">S649/S648-1</f>
        <v>1.4444866204166296E-3</v>
      </c>
      <c r="U649" s="228"/>
      <c r="V649" s="228"/>
      <c r="W649" s="228"/>
      <c r="X649" s="322">
        <v>105.889999</v>
      </c>
      <c r="Y649" s="228">
        <f t="shared" ref="Y649:Y712" si="65">X649/X648-1</f>
        <v>-8.7990544079554756E-3</v>
      </c>
      <c r="Z649" s="228"/>
      <c r="AA649" s="202"/>
    </row>
    <row r="650" spans="2:27" x14ac:dyDescent="0.15">
      <c r="B650" s="241">
        <v>43608</v>
      </c>
      <c r="C650" s="244"/>
      <c r="D650" s="245">
        <v>61.459342999999997</v>
      </c>
      <c r="E650" s="228">
        <f t="shared" si="60"/>
        <v>-1.2007294055493389E-2</v>
      </c>
      <c r="F650" s="228"/>
      <c r="G650" s="245">
        <v>187.562378</v>
      </c>
      <c r="H650" s="228">
        <f t="shared" si="61"/>
        <v>-4.7512813399482878E-3</v>
      </c>
      <c r="J650" s="227"/>
      <c r="K650" s="245">
        <v>35.000197999999997</v>
      </c>
      <c r="L650" s="228">
        <f t="shared" si="62"/>
        <v>-2.1336778730335015E-2</v>
      </c>
      <c r="M650" s="228"/>
      <c r="N650" s="227"/>
      <c r="O650" s="322">
        <v>39.939999</v>
      </c>
      <c r="P650" s="228">
        <f t="shared" si="63"/>
        <v>-1.3583674310512439E-2</v>
      </c>
      <c r="Q650" s="228"/>
      <c r="R650" s="227"/>
      <c r="S650" s="322">
        <v>185.449997</v>
      </c>
      <c r="T650" s="228">
        <f t="shared" si="64"/>
        <v>-9.2424194075058086E-3</v>
      </c>
      <c r="U650" s="228"/>
      <c r="V650" s="228"/>
      <c r="W650" s="228"/>
      <c r="X650" s="322">
        <v>104.529999</v>
      </c>
      <c r="Y650" s="228">
        <f t="shared" si="65"/>
        <v>-1.2843516978407021E-2</v>
      </c>
      <c r="Z650" s="228"/>
      <c r="AA650" s="202"/>
    </row>
    <row r="651" spans="2:27" x14ac:dyDescent="0.15">
      <c r="B651" s="241">
        <v>43609</v>
      </c>
      <c r="C651" s="244"/>
      <c r="D651" s="245">
        <v>61.564673999999997</v>
      </c>
      <c r="E651" s="228">
        <f t="shared" si="60"/>
        <v>1.7138321833345405E-3</v>
      </c>
      <c r="F651" s="228"/>
      <c r="G651" s="245">
        <v>186.755539</v>
      </c>
      <c r="H651" s="228">
        <f t="shared" si="61"/>
        <v>-4.3017102289031328E-3</v>
      </c>
      <c r="J651" s="227"/>
      <c r="K651" s="245">
        <v>35.119720000000001</v>
      </c>
      <c r="L651" s="228">
        <f t="shared" si="62"/>
        <v>3.414894967165738E-3</v>
      </c>
      <c r="M651" s="228"/>
      <c r="N651" s="227"/>
      <c r="O651" s="322">
        <v>39.5</v>
      </c>
      <c r="P651" s="228">
        <f t="shared" si="63"/>
        <v>-1.1016500025450737E-2</v>
      </c>
      <c r="Q651" s="228"/>
      <c r="R651" s="227"/>
      <c r="S651" s="322">
        <v>181.89999399999999</v>
      </c>
      <c r="T651" s="228">
        <f t="shared" si="64"/>
        <v>-1.9142642531291054E-2</v>
      </c>
      <c r="U651" s="228"/>
      <c r="V651" s="228"/>
      <c r="W651" s="228"/>
      <c r="X651" s="322">
        <v>103.80999799999999</v>
      </c>
      <c r="Y651" s="228">
        <f t="shared" si="65"/>
        <v>-6.8879843766190829E-3</v>
      </c>
      <c r="Z651" s="228"/>
      <c r="AA651" s="202"/>
    </row>
    <row r="652" spans="2:27" x14ac:dyDescent="0.15">
      <c r="B652" s="241">
        <v>43613</v>
      </c>
      <c r="C652" s="244"/>
      <c r="D652" s="245">
        <v>61.018844999999999</v>
      </c>
      <c r="E652" s="228">
        <f t="shared" si="60"/>
        <v>-8.8659447786566536E-3</v>
      </c>
      <c r="F652" s="228"/>
      <c r="G652" s="245">
        <v>187.926468</v>
      </c>
      <c r="H652" s="228">
        <f t="shared" si="61"/>
        <v>6.2698488423413856E-3</v>
      </c>
      <c r="J652" s="227"/>
      <c r="K652" s="245">
        <v>34.614063000000002</v>
      </c>
      <c r="L652" s="228">
        <f t="shared" si="62"/>
        <v>-1.4398093151084312E-2</v>
      </c>
      <c r="M652" s="228"/>
      <c r="N652" s="227"/>
      <c r="O652" s="322">
        <v>39.009998000000003</v>
      </c>
      <c r="P652" s="228">
        <f t="shared" si="63"/>
        <v>-1.2405113924050526E-2</v>
      </c>
      <c r="Q652" s="228"/>
      <c r="R652" s="227"/>
      <c r="S652" s="322">
        <v>178.91999799999999</v>
      </c>
      <c r="T652" s="228">
        <f t="shared" si="64"/>
        <v>-1.6382606367760566E-2</v>
      </c>
      <c r="U652" s="228"/>
      <c r="V652" s="228"/>
      <c r="W652" s="228"/>
      <c r="X652" s="322">
        <v>102.739998</v>
      </c>
      <c r="Y652" s="228">
        <f t="shared" si="65"/>
        <v>-1.0307292366964482E-2</v>
      </c>
      <c r="Z652" s="228"/>
      <c r="AA652" s="202"/>
    </row>
    <row r="653" spans="2:27" x14ac:dyDescent="0.15">
      <c r="B653" s="241">
        <v>43614</v>
      </c>
      <c r="C653" s="244"/>
      <c r="D653" s="245">
        <v>60.654944999999998</v>
      </c>
      <c r="E653" s="228">
        <f t="shared" si="60"/>
        <v>-5.9637313685633186E-3</v>
      </c>
      <c r="F653" s="228"/>
      <c r="G653" s="245">
        <v>185.53544600000001</v>
      </c>
      <c r="H653" s="228">
        <f t="shared" si="61"/>
        <v>-1.2723178514694289E-2</v>
      </c>
      <c r="J653" s="227"/>
      <c r="K653" s="245">
        <v>34.650832999999999</v>
      </c>
      <c r="L653" s="228">
        <f t="shared" si="62"/>
        <v>1.06228500248573E-3</v>
      </c>
      <c r="M653" s="228"/>
      <c r="N653" s="227"/>
      <c r="O653" s="322">
        <v>39.369999</v>
      </c>
      <c r="P653" s="228">
        <f t="shared" si="63"/>
        <v>9.2284290811806002E-3</v>
      </c>
      <c r="Q653" s="228"/>
      <c r="R653" s="227"/>
      <c r="S653" s="322">
        <v>177.60000600000001</v>
      </c>
      <c r="T653" s="228">
        <f t="shared" si="64"/>
        <v>-7.377554296641442E-3</v>
      </c>
      <c r="U653" s="228"/>
      <c r="V653" s="228"/>
      <c r="W653" s="228"/>
      <c r="X653" s="322">
        <v>103.389999</v>
      </c>
      <c r="Y653" s="228">
        <f t="shared" si="65"/>
        <v>6.3266596520665797E-3</v>
      </c>
      <c r="Z653" s="228"/>
      <c r="AA653" s="202"/>
    </row>
    <row r="654" spans="2:27" x14ac:dyDescent="0.15">
      <c r="B654" s="241">
        <v>43615</v>
      </c>
      <c r="C654" s="244"/>
      <c r="D654" s="245">
        <v>60.779437999999999</v>
      </c>
      <c r="E654" s="228">
        <f t="shared" si="60"/>
        <v>2.0524789858435977E-3</v>
      </c>
      <c r="F654" s="228"/>
      <c r="G654" s="245">
        <v>186.84410099999999</v>
      </c>
      <c r="H654" s="228">
        <f t="shared" si="61"/>
        <v>7.0533961472785123E-3</v>
      </c>
      <c r="J654" s="227"/>
      <c r="K654" s="245">
        <v>34.972610000000003</v>
      </c>
      <c r="L654" s="228">
        <f t="shared" si="62"/>
        <v>9.28627026080453E-3</v>
      </c>
      <c r="M654" s="228"/>
      <c r="N654" s="227"/>
      <c r="O654" s="322">
        <v>39.75</v>
      </c>
      <c r="P654" s="228">
        <f t="shared" si="63"/>
        <v>9.6520449492518701E-3</v>
      </c>
      <c r="Q654" s="228"/>
      <c r="R654" s="227"/>
      <c r="S654" s="322">
        <v>178.61999499999999</v>
      </c>
      <c r="T654" s="228">
        <f t="shared" si="64"/>
        <v>5.7431811122798937E-3</v>
      </c>
      <c r="U654" s="228"/>
      <c r="V654" s="228"/>
      <c r="W654" s="228"/>
      <c r="X654" s="322">
        <v>104.5</v>
      </c>
      <c r="Y654" s="228">
        <f t="shared" si="65"/>
        <v>1.0736057749647587E-2</v>
      </c>
      <c r="Z654" s="228"/>
      <c r="AA654" s="202"/>
    </row>
    <row r="655" spans="2:27" x14ac:dyDescent="0.15">
      <c r="B655" s="241">
        <v>43616</v>
      </c>
      <c r="C655" s="244"/>
      <c r="D655" s="245">
        <v>59.994194</v>
      </c>
      <c r="E655" s="228">
        <f t="shared" si="60"/>
        <v>-1.2919566646864999E-2</v>
      </c>
      <c r="F655" s="228"/>
      <c r="G655" s="245">
        <v>185.033615</v>
      </c>
      <c r="H655" s="228">
        <f t="shared" si="61"/>
        <v>-9.6898215694805057E-3</v>
      </c>
      <c r="J655" s="227"/>
      <c r="K655" s="245">
        <v>35.257613999999997</v>
      </c>
      <c r="L655" s="228">
        <f t="shared" si="62"/>
        <v>8.1493488761632538E-3</v>
      </c>
      <c r="M655" s="228"/>
      <c r="N655" s="227"/>
      <c r="O655" s="322">
        <v>38.689999</v>
      </c>
      <c r="P655" s="228">
        <f t="shared" si="63"/>
        <v>-2.6666691823899358E-2</v>
      </c>
      <c r="Q655" s="228"/>
      <c r="R655" s="227"/>
      <c r="S655" s="322">
        <v>174.61000100000001</v>
      </c>
      <c r="T655" s="228">
        <f t="shared" si="64"/>
        <v>-2.2449860666494681E-2</v>
      </c>
      <c r="U655" s="228"/>
      <c r="V655" s="228"/>
      <c r="W655" s="228"/>
      <c r="X655" s="322">
        <v>103.07</v>
      </c>
      <c r="Y655" s="228">
        <f t="shared" si="65"/>
        <v>-1.3684210526315854E-2</v>
      </c>
      <c r="Z655" s="228"/>
      <c r="AA655" s="202"/>
    </row>
    <row r="656" spans="2:27" x14ac:dyDescent="0.15">
      <c r="B656" s="241">
        <v>43619</v>
      </c>
      <c r="C656" s="244"/>
      <c r="D656" s="245">
        <v>59.821831000000003</v>
      </c>
      <c r="E656" s="228">
        <f t="shared" si="60"/>
        <v>-2.8729946767848125E-3</v>
      </c>
      <c r="F656" s="228"/>
      <c r="G656" s="245">
        <v>183.98075900000001</v>
      </c>
      <c r="H656" s="228">
        <f t="shared" si="61"/>
        <v>-5.690079610669585E-3</v>
      </c>
      <c r="J656" s="227"/>
      <c r="K656" s="245">
        <v>35.689712999999998</v>
      </c>
      <c r="L656" s="228">
        <f t="shared" si="62"/>
        <v>1.2255480475791725E-2</v>
      </c>
      <c r="M656" s="228"/>
      <c r="N656" s="227"/>
      <c r="O656" s="322">
        <v>38.779998999999997</v>
      </c>
      <c r="P656" s="228">
        <f t="shared" si="63"/>
        <v>2.3261825362155264E-3</v>
      </c>
      <c r="Q656" s="228"/>
      <c r="R656" s="227"/>
      <c r="S656" s="322">
        <v>172.429993</v>
      </c>
      <c r="T656" s="228">
        <f t="shared" si="64"/>
        <v>-1.2485012241652882E-2</v>
      </c>
      <c r="U656" s="228"/>
      <c r="V656" s="228"/>
      <c r="W656" s="228"/>
      <c r="X656" s="322">
        <v>101.779999</v>
      </c>
      <c r="Y656" s="228">
        <f t="shared" si="65"/>
        <v>-1.2515775686426589E-2</v>
      </c>
      <c r="Z656" s="228"/>
      <c r="AA656" s="202"/>
    </row>
    <row r="657" spans="2:27" x14ac:dyDescent="0.15">
      <c r="B657" s="241">
        <v>43620</v>
      </c>
      <c r="C657" s="244"/>
      <c r="D657" s="245">
        <v>61.143337000000002</v>
      </c>
      <c r="E657" s="228">
        <f t="shared" si="60"/>
        <v>2.2090697959412209E-2</v>
      </c>
      <c r="F657" s="228"/>
      <c r="G657" s="245">
        <v>187.404968</v>
      </c>
      <c r="H657" s="228">
        <f t="shared" si="61"/>
        <v>1.8611777767478355E-2</v>
      </c>
      <c r="J657" s="227"/>
      <c r="K657" s="245">
        <v>35.910361999999999</v>
      </c>
      <c r="L657" s="228">
        <f t="shared" si="62"/>
        <v>6.1824257314706532E-3</v>
      </c>
      <c r="M657" s="228"/>
      <c r="N657" s="227"/>
      <c r="O657" s="322">
        <v>40.419998</v>
      </c>
      <c r="P657" s="228">
        <f t="shared" si="63"/>
        <v>4.2289815427793087E-2</v>
      </c>
      <c r="Q657" s="228"/>
      <c r="R657" s="227"/>
      <c r="S657" s="322">
        <v>180.41999799999999</v>
      </c>
      <c r="T657" s="228">
        <f t="shared" si="64"/>
        <v>4.6337675139846546E-2</v>
      </c>
      <c r="U657" s="228"/>
      <c r="V657" s="228"/>
      <c r="W657" s="228"/>
      <c r="X657" s="322">
        <v>105.32</v>
      </c>
      <c r="Y657" s="228">
        <f t="shared" si="65"/>
        <v>3.4780910147188981E-2</v>
      </c>
      <c r="Z657" s="228"/>
      <c r="AA657" s="202"/>
    </row>
    <row r="658" spans="2:27" x14ac:dyDescent="0.15">
      <c r="B658" s="241">
        <v>43621</v>
      </c>
      <c r="C658" s="244"/>
      <c r="D658" s="245">
        <v>61.660438999999997</v>
      </c>
      <c r="E658" s="228">
        <f t="shared" si="60"/>
        <v>8.4572093276491511E-3</v>
      </c>
      <c r="F658" s="228"/>
      <c r="G658" s="245">
        <v>186.361954</v>
      </c>
      <c r="H658" s="228">
        <f t="shared" si="61"/>
        <v>-5.5655621680210654E-3</v>
      </c>
      <c r="J658" s="227"/>
      <c r="K658" s="245">
        <v>35.147292999999998</v>
      </c>
      <c r="L658" s="228">
        <f t="shared" si="62"/>
        <v>-2.1249270614426052E-2</v>
      </c>
      <c r="M658" s="228"/>
      <c r="N658" s="227"/>
      <c r="O658" s="322">
        <v>40.590000000000003</v>
      </c>
      <c r="P658" s="228">
        <f t="shared" si="63"/>
        <v>4.2058883822806425E-3</v>
      </c>
      <c r="Q658" s="228"/>
      <c r="R658" s="227"/>
      <c r="S658" s="322">
        <v>182.320007</v>
      </c>
      <c r="T658" s="228">
        <f t="shared" si="64"/>
        <v>1.0531033261623302E-2</v>
      </c>
      <c r="U658" s="228"/>
      <c r="V658" s="228"/>
      <c r="W658" s="228"/>
      <c r="X658" s="322">
        <v>106.30999799999999</v>
      </c>
      <c r="Y658" s="228">
        <f t="shared" si="65"/>
        <v>9.3999050512723059E-3</v>
      </c>
      <c r="Z658" s="228"/>
      <c r="AA658" s="202"/>
    </row>
    <row r="659" spans="2:27" x14ac:dyDescent="0.15">
      <c r="B659" s="241">
        <v>43622</v>
      </c>
      <c r="C659" s="244"/>
      <c r="D659" s="245">
        <v>61.995598000000001</v>
      </c>
      <c r="E659" s="228">
        <f t="shared" si="60"/>
        <v>5.43555974358223E-3</v>
      </c>
      <c r="F659" s="228"/>
      <c r="G659" s="245">
        <v>189.66807600000001</v>
      </c>
      <c r="H659" s="228">
        <f t="shared" si="61"/>
        <v>1.7740326976825038E-2</v>
      </c>
      <c r="J659" s="227"/>
      <c r="K659" s="245">
        <v>35.340355000000002</v>
      </c>
      <c r="L659" s="228">
        <f t="shared" si="62"/>
        <v>5.4929408077033504E-3</v>
      </c>
      <c r="M659" s="228"/>
      <c r="N659" s="227"/>
      <c r="O659" s="322">
        <v>41.380001</v>
      </c>
      <c r="P659" s="228">
        <f t="shared" si="63"/>
        <v>1.9462946538556292E-2</v>
      </c>
      <c r="Q659" s="228"/>
      <c r="R659" s="227"/>
      <c r="S659" s="322">
        <v>184.63999899999999</v>
      </c>
      <c r="T659" s="228">
        <f t="shared" si="64"/>
        <v>1.2724834965588849E-2</v>
      </c>
      <c r="U659" s="228"/>
      <c r="V659" s="228"/>
      <c r="W659" s="228"/>
      <c r="X659" s="322">
        <v>107.860001</v>
      </c>
      <c r="Y659" s="228">
        <f t="shared" si="65"/>
        <v>1.458003037494171E-2</v>
      </c>
      <c r="Z659" s="228"/>
      <c r="AA659" s="202"/>
    </row>
    <row r="660" spans="2:27" x14ac:dyDescent="0.15">
      <c r="B660" s="241">
        <v>43623</v>
      </c>
      <c r="C660" s="244"/>
      <c r="D660" s="245">
        <v>62.598888000000002</v>
      </c>
      <c r="E660" s="228">
        <f t="shared" si="60"/>
        <v>9.73117478437735E-3</v>
      </c>
      <c r="F660" s="228"/>
      <c r="G660" s="245">
        <v>193.46614099999999</v>
      </c>
      <c r="H660" s="228">
        <f t="shared" si="61"/>
        <v>2.0024798480056116E-2</v>
      </c>
      <c r="J660" s="227"/>
      <c r="K660" s="245">
        <v>35.689712999999998</v>
      </c>
      <c r="L660" s="228">
        <f t="shared" si="62"/>
        <v>9.8855260508841081E-3</v>
      </c>
      <c r="M660" s="228"/>
      <c r="N660" s="227"/>
      <c r="O660" s="322">
        <v>41.509998000000003</v>
      </c>
      <c r="P660" s="228">
        <f t="shared" si="63"/>
        <v>3.1415417317173233E-3</v>
      </c>
      <c r="Q660" s="228"/>
      <c r="R660" s="227"/>
      <c r="S660" s="322">
        <v>186.679993</v>
      </c>
      <c r="T660" s="228">
        <f t="shared" si="64"/>
        <v>1.1048494427255751E-2</v>
      </c>
      <c r="U660" s="228"/>
      <c r="V660" s="228"/>
      <c r="W660" s="228"/>
      <c r="X660" s="322">
        <v>109.41999800000001</v>
      </c>
      <c r="Y660" s="228">
        <f t="shared" si="65"/>
        <v>1.4463165080074614E-2</v>
      </c>
      <c r="Z660" s="228"/>
      <c r="AA660" s="202"/>
    </row>
    <row r="661" spans="2:27" x14ac:dyDescent="0.15">
      <c r="B661" s="241">
        <v>43626</v>
      </c>
      <c r="C661" s="244"/>
      <c r="D661" s="245">
        <v>62.914901999999998</v>
      </c>
      <c r="E661" s="228">
        <f t="shared" si="60"/>
        <v>5.0482366396029654E-3</v>
      </c>
      <c r="F661" s="228"/>
      <c r="G661" s="245">
        <v>195.079849</v>
      </c>
      <c r="H661" s="228">
        <f t="shared" si="61"/>
        <v>8.3410357577764493E-3</v>
      </c>
      <c r="J661" s="227"/>
      <c r="K661" s="245">
        <v>36.425209000000002</v>
      </c>
      <c r="L661" s="228">
        <f t="shared" si="62"/>
        <v>2.0608067092049875E-2</v>
      </c>
      <c r="M661" s="228"/>
      <c r="N661" s="227"/>
      <c r="O661" s="322">
        <v>43.139999000000003</v>
      </c>
      <c r="P661" s="228">
        <f t="shared" si="63"/>
        <v>3.9267672332819581E-2</v>
      </c>
      <c r="Q661" s="228"/>
      <c r="R661" s="227"/>
      <c r="S661" s="322">
        <v>191.16999799999999</v>
      </c>
      <c r="T661" s="228">
        <f t="shared" si="64"/>
        <v>2.4051881124722341E-2</v>
      </c>
      <c r="U661" s="228"/>
      <c r="V661" s="228"/>
      <c r="W661" s="228"/>
      <c r="X661" s="322">
        <v>113.459999</v>
      </c>
      <c r="Y661" s="228">
        <f t="shared" si="65"/>
        <v>3.6921961925095115E-2</v>
      </c>
      <c r="Z661" s="228"/>
      <c r="AA661" s="202"/>
    </row>
    <row r="662" spans="2:27" x14ac:dyDescent="0.15">
      <c r="B662" s="241">
        <v>43627</v>
      </c>
      <c r="C662" s="244"/>
      <c r="D662" s="245">
        <v>62.819149000000003</v>
      </c>
      <c r="E662" s="228">
        <f t="shared" si="60"/>
        <v>-1.5219446737753106E-3</v>
      </c>
      <c r="F662" s="228"/>
      <c r="G662" s="245">
        <v>196.89033499999999</v>
      </c>
      <c r="H662" s="228">
        <f t="shared" si="61"/>
        <v>9.280743291943061E-3</v>
      </c>
      <c r="J662" s="227"/>
      <c r="K662" s="245">
        <v>36.737797</v>
      </c>
      <c r="L662" s="228">
        <f t="shared" si="62"/>
        <v>8.5816391609447873E-3</v>
      </c>
      <c r="M662" s="228"/>
      <c r="N662" s="227"/>
      <c r="O662" s="322">
        <v>43.75</v>
      </c>
      <c r="P662" s="228">
        <f t="shared" si="63"/>
        <v>1.4140032780251E-2</v>
      </c>
      <c r="Q662" s="228"/>
      <c r="R662" s="227"/>
      <c r="S662" s="322">
        <v>189.91999799999999</v>
      </c>
      <c r="T662" s="228">
        <f t="shared" si="64"/>
        <v>-6.5386829161341309E-3</v>
      </c>
      <c r="U662" s="228"/>
      <c r="V662" s="228"/>
      <c r="W662" s="228"/>
      <c r="X662" s="322">
        <v>114.230003</v>
      </c>
      <c r="Y662" s="228">
        <f t="shared" si="65"/>
        <v>6.7865680132783712E-3</v>
      </c>
      <c r="Z662" s="228"/>
      <c r="AA662" s="202"/>
    </row>
    <row r="663" spans="2:27" x14ac:dyDescent="0.15">
      <c r="B663" s="241">
        <v>43628</v>
      </c>
      <c r="C663" s="244"/>
      <c r="D663" s="245">
        <v>62.723376999999999</v>
      </c>
      <c r="E663" s="228">
        <f t="shared" si="60"/>
        <v>-1.5245669755890034E-3</v>
      </c>
      <c r="F663" s="228"/>
      <c r="G663" s="245">
        <v>193.66296399999999</v>
      </c>
      <c r="H663" s="228">
        <f t="shared" si="61"/>
        <v>-1.6391718770756292E-2</v>
      </c>
      <c r="J663" s="227"/>
      <c r="K663" s="245">
        <v>36.278111000000003</v>
      </c>
      <c r="L663" s="228">
        <f t="shared" si="62"/>
        <v>-1.2512617454987773E-2</v>
      </c>
      <c r="M663" s="228"/>
      <c r="N663" s="227"/>
      <c r="O663" s="322">
        <v>41.5</v>
      </c>
      <c r="P663" s="228">
        <f t="shared" si="63"/>
        <v>-5.1428571428571379E-2</v>
      </c>
      <c r="Q663" s="228"/>
      <c r="R663" s="227"/>
      <c r="S663" s="322">
        <v>179.88000500000001</v>
      </c>
      <c r="T663" s="228">
        <f t="shared" si="64"/>
        <v>-5.2864327641789388E-2</v>
      </c>
      <c r="U663" s="228"/>
      <c r="V663" s="228"/>
      <c r="W663" s="228"/>
      <c r="X663" s="322">
        <v>110.099998</v>
      </c>
      <c r="Y663" s="228">
        <f t="shared" si="65"/>
        <v>-3.6155168445544006E-2</v>
      </c>
      <c r="Z663" s="228"/>
      <c r="AA663" s="202"/>
    </row>
    <row r="664" spans="2:27" x14ac:dyDescent="0.15">
      <c r="B664" s="241">
        <v>43629</v>
      </c>
      <c r="C664" s="244"/>
      <c r="D664" s="245">
        <v>63.106419000000002</v>
      </c>
      <c r="E664" s="228">
        <f t="shared" si="60"/>
        <v>6.1068459372013439E-3</v>
      </c>
      <c r="F664" s="228"/>
      <c r="G664" s="245">
        <v>194.75514200000001</v>
      </c>
      <c r="H664" s="228">
        <f t="shared" si="61"/>
        <v>5.6395811436615872E-3</v>
      </c>
      <c r="J664" s="227"/>
      <c r="K664" s="245">
        <v>36.268920999999999</v>
      </c>
      <c r="L664" s="228">
        <f t="shared" si="62"/>
        <v>-2.5332079721585021E-4</v>
      </c>
      <c r="M664" s="228"/>
      <c r="N664" s="227"/>
      <c r="O664" s="322">
        <v>41.650002000000001</v>
      </c>
      <c r="P664" s="228">
        <f t="shared" si="63"/>
        <v>3.6145060240964089E-3</v>
      </c>
      <c r="Q664" s="228"/>
      <c r="R664" s="227"/>
      <c r="S664" s="322">
        <v>180.19000199999999</v>
      </c>
      <c r="T664" s="228">
        <f t="shared" si="64"/>
        <v>1.7233544106249887E-3</v>
      </c>
      <c r="U664" s="228"/>
      <c r="V664" s="228"/>
      <c r="W664" s="228"/>
      <c r="X664" s="322">
        <v>110.94000200000001</v>
      </c>
      <c r="Y664" s="228">
        <f t="shared" si="65"/>
        <v>7.6294642621157482E-3</v>
      </c>
      <c r="Z664" s="228"/>
      <c r="AA664" s="202"/>
    </row>
    <row r="665" spans="2:27" x14ac:dyDescent="0.15">
      <c r="B665" s="241">
        <v>43630</v>
      </c>
      <c r="C665" s="244"/>
      <c r="D665" s="245">
        <v>62.953209000000001</v>
      </c>
      <c r="E665" s="228">
        <f t="shared" si="60"/>
        <v>-2.4278037389509066E-3</v>
      </c>
      <c r="F665" s="228"/>
      <c r="G665" s="245">
        <v>188.93992600000001</v>
      </c>
      <c r="H665" s="228">
        <f t="shared" si="61"/>
        <v>-2.9859114066420833E-2</v>
      </c>
      <c r="J665" s="227"/>
      <c r="K665" s="245">
        <v>34.788738000000002</v>
      </c>
      <c r="L665" s="228">
        <f t="shared" si="62"/>
        <v>-4.0811332655857013E-2</v>
      </c>
      <c r="M665" s="228"/>
      <c r="N665" s="227"/>
      <c r="O665" s="322">
        <v>41.23</v>
      </c>
      <c r="P665" s="228">
        <f t="shared" si="63"/>
        <v>-1.0084081148423518E-2</v>
      </c>
      <c r="Q665" s="228"/>
      <c r="R665" s="227"/>
      <c r="S665" s="322">
        <v>176.800003</v>
      </c>
      <c r="T665" s="228">
        <f t="shared" si="64"/>
        <v>-1.8813468907114994E-2</v>
      </c>
      <c r="U665" s="228"/>
      <c r="V665" s="228"/>
      <c r="W665" s="228"/>
      <c r="X665" s="322">
        <v>109.699997</v>
      </c>
      <c r="Y665" s="228">
        <f t="shared" si="65"/>
        <v>-1.1177257775784155E-2</v>
      </c>
      <c r="Z665" s="228"/>
      <c r="AA665" s="202"/>
    </row>
    <row r="666" spans="2:27" x14ac:dyDescent="0.15">
      <c r="B666" s="241">
        <v>43633</v>
      </c>
      <c r="C666" s="244"/>
      <c r="D666" s="245">
        <v>63.027340000000002</v>
      </c>
      <c r="E666" s="228">
        <f t="shared" si="60"/>
        <v>1.1775571281840147E-3</v>
      </c>
      <c r="F666" s="228"/>
      <c r="G666" s="245">
        <v>186.59811400000001</v>
      </c>
      <c r="H666" s="228">
        <f t="shared" si="61"/>
        <v>-1.2394479290735005E-2</v>
      </c>
      <c r="J666" s="227"/>
      <c r="K666" s="245">
        <v>34.623257000000002</v>
      </c>
      <c r="L666" s="228">
        <f t="shared" si="62"/>
        <v>-4.7567405290758202E-3</v>
      </c>
      <c r="M666" s="228"/>
      <c r="N666" s="227"/>
      <c r="O666" s="322">
        <v>40.5</v>
      </c>
      <c r="P666" s="228">
        <f t="shared" si="63"/>
        <v>-1.7705554208100827E-2</v>
      </c>
      <c r="Q666" s="228"/>
      <c r="R666" s="227"/>
      <c r="S666" s="322">
        <v>172.509995</v>
      </c>
      <c r="T666" s="228">
        <f t="shared" si="64"/>
        <v>-2.4264750719489525E-2</v>
      </c>
      <c r="U666" s="228"/>
      <c r="V666" s="228"/>
      <c r="W666" s="228"/>
      <c r="X666" s="322">
        <v>107.93</v>
      </c>
      <c r="Y666" s="228">
        <f t="shared" si="65"/>
        <v>-1.6134886494117096E-2</v>
      </c>
      <c r="Z666" s="228"/>
      <c r="AA666" s="202"/>
    </row>
    <row r="667" spans="2:27" x14ac:dyDescent="0.15">
      <c r="B667" s="241">
        <v>43634</v>
      </c>
      <c r="C667" s="244"/>
      <c r="D667" s="245">
        <v>63.672446999999998</v>
      </c>
      <c r="E667" s="228">
        <f t="shared" si="60"/>
        <v>1.0235351833029815E-2</v>
      </c>
      <c r="F667" s="228"/>
      <c r="G667" s="245">
        <v>191.596619</v>
      </c>
      <c r="H667" s="228">
        <f t="shared" si="61"/>
        <v>2.6787542986634882E-2</v>
      </c>
      <c r="J667" s="227"/>
      <c r="K667" s="245">
        <v>36.048271</v>
      </c>
      <c r="L667" s="228">
        <f t="shared" si="62"/>
        <v>4.1157710841588369E-2</v>
      </c>
      <c r="M667" s="228"/>
      <c r="N667" s="227"/>
      <c r="O667" s="322">
        <v>42.310001</v>
      </c>
      <c r="P667" s="228">
        <f t="shared" si="63"/>
        <v>4.4691382716049333E-2</v>
      </c>
      <c r="Q667" s="228"/>
      <c r="R667" s="227"/>
      <c r="S667" s="322">
        <v>180.44000199999999</v>
      </c>
      <c r="T667" s="228">
        <f t="shared" si="64"/>
        <v>4.5968391570586853E-2</v>
      </c>
      <c r="U667" s="228"/>
      <c r="V667" s="228"/>
      <c r="W667" s="228"/>
      <c r="X667" s="322">
        <v>111.610001</v>
      </c>
      <c r="Y667" s="228">
        <f t="shared" si="65"/>
        <v>3.4096182711016221E-2</v>
      </c>
      <c r="Z667" s="228"/>
      <c r="AA667" s="202"/>
    </row>
    <row r="668" spans="2:27" x14ac:dyDescent="0.15">
      <c r="B668" s="241">
        <v>43635</v>
      </c>
      <c r="C668" s="244"/>
      <c r="D668" s="245">
        <v>63.797615</v>
      </c>
      <c r="E668" s="228">
        <f t="shared" si="60"/>
        <v>1.9658110516782568E-3</v>
      </c>
      <c r="F668" s="228"/>
      <c r="G668" s="245">
        <v>193.66296399999999</v>
      </c>
      <c r="H668" s="228">
        <f t="shared" si="61"/>
        <v>1.0784871939728768E-2</v>
      </c>
      <c r="J668" s="227"/>
      <c r="K668" s="245">
        <v>36.222949999999997</v>
      </c>
      <c r="L668" s="228">
        <f t="shared" si="62"/>
        <v>4.84569703773019E-3</v>
      </c>
      <c r="M668" s="228"/>
      <c r="N668" s="227"/>
      <c r="O668" s="322">
        <v>42.529998999999997</v>
      </c>
      <c r="P668" s="228">
        <f t="shared" si="63"/>
        <v>5.1996689860629441E-3</v>
      </c>
      <c r="Q668" s="228"/>
      <c r="R668" s="227"/>
      <c r="S668" s="322">
        <v>181.41999799999999</v>
      </c>
      <c r="T668" s="228">
        <f t="shared" si="64"/>
        <v>5.4311460271432299E-3</v>
      </c>
      <c r="U668" s="228"/>
      <c r="V668" s="228"/>
      <c r="W668" s="228"/>
      <c r="X668" s="322">
        <v>112.260002</v>
      </c>
      <c r="Y668" s="228">
        <f t="shared" si="65"/>
        <v>5.8238598170068379E-3</v>
      </c>
      <c r="Z668" s="228"/>
      <c r="AA668" s="202"/>
    </row>
    <row r="669" spans="2:27" x14ac:dyDescent="0.15">
      <c r="B669" s="241">
        <v>43636</v>
      </c>
      <c r="C669" s="244"/>
      <c r="D669" s="245">
        <v>64.423469999999995</v>
      </c>
      <c r="E669" s="228">
        <f t="shared" si="60"/>
        <v>9.8100062204518057E-3</v>
      </c>
      <c r="F669" s="228"/>
      <c r="G669" s="245">
        <v>198.42532299999999</v>
      </c>
      <c r="H669" s="228">
        <f t="shared" si="61"/>
        <v>2.459096412466355E-2</v>
      </c>
      <c r="J669" s="227"/>
      <c r="K669" s="245">
        <v>37.243442999999999</v>
      </c>
      <c r="L669" s="228">
        <f t="shared" si="62"/>
        <v>2.817255358826376E-2</v>
      </c>
      <c r="M669" s="228"/>
      <c r="N669" s="227"/>
      <c r="O669" s="322">
        <v>43.209999000000003</v>
      </c>
      <c r="P669" s="228">
        <f t="shared" si="63"/>
        <v>1.5988714224987488E-2</v>
      </c>
      <c r="Q669" s="228"/>
      <c r="R669" s="227"/>
      <c r="S669" s="322">
        <v>183.96000699999999</v>
      </c>
      <c r="T669" s="228">
        <f t="shared" si="64"/>
        <v>1.4000711211561212E-2</v>
      </c>
      <c r="U669" s="228"/>
      <c r="V669" s="228"/>
      <c r="W669" s="228"/>
      <c r="X669" s="322">
        <v>113.790001</v>
      </c>
      <c r="Y669" s="228">
        <f t="shared" si="65"/>
        <v>1.3629066210064877E-2</v>
      </c>
      <c r="Z669" s="228"/>
      <c r="AA669" s="202"/>
    </row>
    <row r="670" spans="2:27" x14ac:dyDescent="0.15">
      <c r="B670" s="241">
        <v>43637</v>
      </c>
      <c r="C670" s="244"/>
      <c r="D670" s="245">
        <v>64.221267999999995</v>
      </c>
      <c r="E670" s="228">
        <f t="shared" si="60"/>
        <v>-3.1386387600668142E-3</v>
      </c>
      <c r="F670" s="228"/>
      <c r="G670" s="245">
        <v>199.02552800000001</v>
      </c>
      <c r="H670" s="228">
        <f t="shared" si="61"/>
        <v>3.0248407356756601E-3</v>
      </c>
      <c r="J670" s="227"/>
      <c r="K670" s="245">
        <v>37.25264</v>
      </c>
      <c r="L670" s="228">
        <f t="shared" si="62"/>
        <v>2.469427974207683E-4</v>
      </c>
      <c r="M670" s="228"/>
      <c r="N670" s="227"/>
      <c r="O670" s="322">
        <v>42.959999000000003</v>
      </c>
      <c r="P670" s="228">
        <f t="shared" si="63"/>
        <v>-5.7856978890464816E-3</v>
      </c>
      <c r="Q670" s="228"/>
      <c r="R670" s="227"/>
      <c r="S670" s="322">
        <v>183.029999</v>
      </c>
      <c r="T670" s="228">
        <f t="shared" si="64"/>
        <v>-5.0554901316131051E-3</v>
      </c>
      <c r="U670" s="228"/>
      <c r="V670" s="228"/>
      <c r="W670" s="228"/>
      <c r="X670" s="322">
        <v>113.93</v>
      </c>
      <c r="Y670" s="228">
        <f t="shared" si="65"/>
        <v>1.2303277860064021E-3</v>
      </c>
      <c r="Z670" s="228"/>
      <c r="AA670" s="202"/>
    </row>
    <row r="671" spans="2:27" x14ac:dyDescent="0.15">
      <c r="B671" s="241">
        <v>43640</v>
      </c>
      <c r="C671" s="244"/>
      <c r="D671" s="245">
        <v>64.115356000000006</v>
      </c>
      <c r="E671" s="228">
        <f t="shared" si="60"/>
        <v>-1.6491732925607572E-3</v>
      </c>
      <c r="F671" s="228"/>
      <c r="G671" s="245">
        <v>199.54702800000001</v>
      </c>
      <c r="H671" s="228">
        <f t="shared" si="61"/>
        <v>2.6202668835526577E-3</v>
      </c>
      <c r="J671" s="227"/>
      <c r="K671" s="245">
        <v>37.95129</v>
      </c>
      <c r="L671" s="228">
        <f t="shared" si="62"/>
        <v>1.8754375528821532E-2</v>
      </c>
      <c r="M671" s="228"/>
      <c r="N671" s="227"/>
      <c r="O671" s="322">
        <v>42.330002</v>
      </c>
      <c r="P671" s="228">
        <f t="shared" si="63"/>
        <v>-1.466473497822951E-2</v>
      </c>
      <c r="Q671" s="228"/>
      <c r="R671" s="227"/>
      <c r="S671" s="322">
        <v>181.270004</v>
      </c>
      <c r="T671" s="228">
        <f t="shared" si="64"/>
        <v>-9.6158826947270182E-3</v>
      </c>
      <c r="U671" s="228"/>
      <c r="V671" s="228"/>
      <c r="W671" s="228"/>
      <c r="X671" s="322">
        <v>113.220001</v>
      </c>
      <c r="Y671" s="228">
        <f t="shared" si="65"/>
        <v>-6.2318880014045064E-3</v>
      </c>
      <c r="Z671" s="228"/>
      <c r="AA671" s="202"/>
    </row>
    <row r="672" spans="2:27" x14ac:dyDescent="0.15">
      <c r="B672" s="241">
        <v>43641</v>
      </c>
      <c r="C672" s="244"/>
      <c r="D672" s="245">
        <v>63.441364</v>
      </c>
      <c r="E672" s="228">
        <f t="shared" si="60"/>
        <v>-1.0512177457144722E-2</v>
      </c>
      <c r="F672" s="228"/>
      <c r="G672" s="245">
        <v>195.84733600000001</v>
      </c>
      <c r="H672" s="228">
        <f t="shared" si="61"/>
        <v>-1.8540451527045532E-2</v>
      </c>
      <c r="J672" s="227"/>
      <c r="K672" s="245">
        <v>36.945076</v>
      </c>
      <c r="L672" s="228">
        <f t="shared" si="62"/>
        <v>-2.6513301655885724E-2</v>
      </c>
      <c r="M672" s="228"/>
      <c r="N672" s="227"/>
      <c r="O672" s="322">
        <v>41.98</v>
      </c>
      <c r="P672" s="228">
        <f t="shared" si="63"/>
        <v>-8.2684144451493635E-3</v>
      </c>
      <c r="Q672" s="228"/>
      <c r="R672" s="227"/>
      <c r="S672" s="322">
        <v>175.820007</v>
      </c>
      <c r="T672" s="228">
        <f t="shared" si="64"/>
        <v>-3.0065630715162328E-2</v>
      </c>
      <c r="U672" s="228"/>
      <c r="V672" s="228"/>
      <c r="W672" s="228"/>
      <c r="X672" s="322">
        <v>113.07</v>
      </c>
      <c r="Y672" s="228">
        <f t="shared" si="65"/>
        <v>-1.3248630866908861E-3</v>
      </c>
      <c r="Z672" s="228"/>
      <c r="AA672" s="202"/>
    </row>
    <row r="673" spans="2:27" x14ac:dyDescent="0.15">
      <c r="B673" s="241">
        <v>43642</v>
      </c>
      <c r="C673" s="244"/>
      <c r="D673" s="245">
        <v>63.402855000000002</v>
      </c>
      <c r="E673" s="228">
        <f t="shared" si="60"/>
        <v>-6.0700145097758451E-4</v>
      </c>
      <c r="F673" s="228"/>
      <c r="G673" s="245">
        <v>201.111526</v>
      </c>
      <c r="H673" s="228">
        <f t="shared" si="61"/>
        <v>2.6879048280748608E-2</v>
      </c>
      <c r="J673" s="227"/>
      <c r="K673" s="245">
        <v>37.096966000000002</v>
      </c>
      <c r="L673" s="228">
        <f t="shared" si="62"/>
        <v>4.1112379901451224E-3</v>
      </c>
      <c r="M673" s="228"/>
      <c r="N673" s="227"/>
      <c r="O673" s="322">
        <v>43.580002</v>
      </c>
      <c r="P673" s="228">
        <f t="shared" si="63"/>
        <v>3.8113434969032856E-2</v>
      </c>
      <c r="Q673" s="228"/>
      <c r="R673" s="227"/>
      <c r="S673" s="322">
        <v>181.279999</v>
      </c>
      <c r="T673" s="228">
        <f t="shared" si="64"/>
        <v>3.1054440806614236E-2</v>
      </c>
      <c r="U673" s="228"/>
      <c r="V673" s="228"/>
      <c r="W673" s="228"/>
      <c r="X673" s="322">
        <v>116.849998</v>
      </c>
      <c r="Y673" s="228">
        <f t="shared" si="65"/>
        <v>3.3430600512956543E-2</v>
      </c>
      <c r="Z673" s="228"/>
      <c r="AA673" s="202"/>
    </row>
    <row r="674" spans="2:27" x14ac:dyDescent="0.15">
      <c r="B674" s="241">
        <v>43643</v>
      </c>
      <c r="C674" s="244"/>
      <c r="D674" s="245">
        <v>63.730227999999997</v>
      </c>
      <c r="E674" s="228">
        <f t="shared" si="60"/>
        <v>5.1633794724226245E-3</v>
      </c>
      <c r="F674" s="228"/>
      <c r="G674" s="245">
        <v>201.70188899999999</v>
      </c>
      <c r="H674" s="228">
        <f t="shared" si="61"/>
        <v>2.9355005739453155E-3</v>
      </c>
      <c r="J674" s="227"/>
      <c r="K674" s="245">
        <v>37.581074000000001</v>
      </c>
      <c r="L674" s="228">
        <f t="shared" si="62"/>
        <v>1.304980035294534E-2</v>
      </c>
      <c r="M674" s="228"/>
      <c r="N674" s="227"/>
      <c r="O674" s="322">
        <v>44.689999</v>
      </c>
      <c r="P674" s="228">
        <f t="shared" si="63"/>
        <v>2.547032925790127E-2</v>
      </c>
      <c r="Q674" s="228"/>
      <c r="R674" s="227"/>
      <c r="S674" s="322">
        <v>186.13000500000001</v>
      </c>
      <c r="T674" s="228">
        <f t="shared" si="64"/>
        <v>2.6754225655087449E-2</v>
      </c>
      <c r="U674" s="228"/>
      <c r="V674" s="228"/>
      <c r="W674" s="228"/>
      <c r="X674" s="322">
        <v>117.739998</v>
      </c>
      <c r="Y674" s="228">
        <f t="shared" si="65"/>
        <v>7.6166026121797792E-3</v>
      </c>
      <c r="Z674" s="228"/>
      <c r="AA674" s="202"/>
    </row>
    <row r="675" spans="2:27" x14ac:dyDescent="0.15">
      <c r="B675" s="241">
        <v>43644</v>
      </c>
      <c r="C675" s="244"/>
      <c r="D675" s="245">
        <v>64.153869999999998</v>
      </c>
      <c r="E675" s="228">
        <f t="shared" si="60"/>
        <v>6.6474263986628923E-3</v>
      </c>
      <c r="F675" s="228"/>
      <c r="G675" s="245">
        <v>204.59472700000001</v>
      </c>
      <c r="H675" s="228">
        <f t="shared" si="61"/>
        <v>1.4342146294921365E-2</v>
      </c>
      <c r="J675" s="227"/>
      <c r="K675" s="245">
        <v>37.182383999999999</v>
      </c>
      <c r="L675" s="228">
        <f t="shared" si="62"/>
        <v>-1.0608797396263969E-2</v>
      </c>
      <c r="M675" s="228"/>
      <c r="N675" s="227"/>
      <c r="O675" s="322">
        <v>44.91</v>
      </c>
      <c r="P675" s="228">
        <f t="shared" si="63"/>
        <v>4.9228240081184982E-3</v>
      </c>
      <c r="Q675" s="228"/>
      <c r="R675" s="227"/>
      <c r="S675" s="322">
        <v>187.83999600000001</v>
      </c>
      <c r="T675" s="228">
        <f t="shared" si="64"/>
        <v>9.1870786765411161E-3</v>
      </c>
      <c r="U675" s="228"/>
      <c r="V675" s="228"/>
      <c r="W675" s="228"/>
      <c r="X675" s="322">
        <v>118.199997</v>
      </c>
      <c r="Y675" s="228">
        <f t="shared" si="65"/>
        <v>3.9069051113793662E-3</v>
      </c>
      <c r="Z675" s="228"/>
      <c r="AA675" s="202"/>
    </row>
    <row r="676" spans="2:27" x14ac:dyDescent="0.15">
      <c r="B676" s="241">
        <v>43647</v>
      </c>
      <c r="C676" s="244"/>
      <c r="D676" s="245">
        <v>64.635277000000002</v>
      </c>
      <c r="E676" s="228">
        <f t="shared" si="60"/>
        <v>7.5039432539301121E-3</v>
      </c>
      <c r="F676" s="228"/>
      <c r="G676" s="245">
        <v>211.52181999999999</v>
      </c>
      <c r="H676" s="228">
        <f t="shared" si="61"/>
        <v>3.385763211776216E-2</v>
      </c>
      <c r="J676" s="227"/>
      <c r="K676" s="245">
        <v>39.280253999999999</v>
      </c>
      <c r="L676" s="228">
        <f t="shared" si="62"/>
        <v>5.6421072946801987E-2</v>
      </c>
      <c r="M676" s="228"/>
      <c r="N676" s="227"/>
      <c r="O676" s="322">
        <v>45.68</v>
      </c>
      <c r="P676" s="228">
        <f t="shared" si="63"/>
        <v>1.7145401914941072E-2</v>
      </c>
      <c r="Q676" s="228"/>
      <c r="R676" s="227"/>
      <c r="S676" s="322">
        <v>191.33999600000001</v>
      </c>
      <c r="T676" s="228">
        <f t="shared" si="64"/>
        <v>1.8632879442778583E-2</v>
      </c>
      <c r="U676" s="228"/>
      <c r="V676" s="228"/>
      <c r="W676" s="228"/>
      <c r="X676" s="322">
        <v>121.720001</v>
      </c>
      <c r="Y676" s="228">
        <f t="shared" si="65"/>
        <v>2.9780068437734286E-2</v>
      </c>
      <c r="Z676" s="228"/>
      <c r="AA676" s="202"/>
    </row>
    <row r="677" spans="2:27" x14ac:dyDescent="0.15">
      <c r="B677" s="241">
        <v>43648</v>
      </c>
      <c r="C677" s="244"/>
      <c r="D677" s="245">
        <v>64.779708999999997</v>
      </c>
      <c r="E677" s="228">
        <f t="shared" si="60"/>
        <v>2.234569212103743E-3</v>
      </c>
      <c r="F677" s="228"/>
      <c r="G677" s="245">
        <v>210.98062100000001</v>
      </c>
      <c r="H677" s="228">
        <f t="shared" si="61"/>
        <v>-2.5585965551921941E-3</v>
      </c>
      <c r="J677" s="227"/>
      <c r="K677" s="245">
        <v>38.729678999999997</v>
      </c>
      <c r="L677" s="228">
        <f t="shared" si="62"/>
        <v>-1.4016584515975983E-2</v>
      </c>
      <c r="M677" s="228"/>
      <c r="N677" s="227"/>
      <c r="O677" s="322">
        <v>44.66</v>
      </c>
      <c r="P677" s="228">
        <f t="shared" si="63"/>
        <v>-2.2329246935201441E-2</v>
      </c>
      <c r="Q677" s="228"/>
      <c r="R677" s="227"/>
      <c r="S677" s="322">
        <v>187.19000199999999</v>
      </c>
      <c r="T677" s="228">
        <f t="shared" si="64"/>
        <v>-2.1689108846850935E-2</v>
      </c>
      <c r="U677" s="228"/>
      <c r="V677" s="228"/>
      <c r="W677" s="228"/>
      <c r="X677" s="322">
        <v>119.629997</v>
      </c>
      <c r="Y677" s="228">
        <f t="shared" si="65"/>
        <v>-1.7170588094227779E-2</v>
      </c>
      <c r="Z677" s="228"/>
      <c r="AA677" s="202"/>
    </row>
    <row r="678" spans="2:27" x14ac:dyDescent="0.15">
      <c r="B678" s="241">
        <v>43649</v>
      </c>
      <c r="C678" s="244"/>
      <c r="D678" s="245">
        <v>65.290008999999998</v>
      </c>
      <c r="E678" s="228">
        <f t="shared" si="60"/>
        <v>7.8774666925409687E-3</v>
      </c>
      <c r="F678" s="228"/>
      <c r="G678" s="245">
        <v>210.40008499999999</v>
      </c>
      <c r="H678" s="228">
        <f t="shared" si="61"/>
        <v>-2.7516081678422566E-3</v>
      </c>
      <c r="J678" s="227"/>
      <c r="K678" s="245">
        <v>38.283535000000001</v>
      </c>
      <c r="L678" s="228">
        <f t="shared" si="62"/>
        <v>-1.1519434488470592E-2</v>
      </c>
      <c r="M678" s="228"/>
      <c r="N678" s="227"/>
      <c r="O678" s="322">
        <v>44.669998</v>
      </c>
      <c r="P678" s="228">
        <f t="shared" si="63"/>
        <v>2.2386923421402471E-4</v>
      </c>
      <c r="Q678" s="228"/>
      <c r="R678" s="227"/>
      <c r="S678" s="322">
        <v>184.86000100000001</v>
      </c>
      <c r="T678" s="228">
        <f t="shared" si="64"/>
        <v>-1.2447251322749486E-2</v>
      </c>
      <c r="U678" s="228"/>
      <c r="V678" s="228"/>
      <c r="W678" s="228"/>
      <c r="X678" s="322">
        <v>119.05999799999999</v>
      </c>
      <c r="Y678" s="228">
        <f t="shared" si="65"/>
        <v>-4.764682891365557E-3</v>
      </c>
      <c r="Z678" s="228"/>
      <c r="AA678" s="202"/>
    </row>
    <row r="679" spans="2:27" x14ac:dyDescent="0.15">
      <c r="B679" s="241">
        <v>43651</v>
      </c>
      <c r="C679" s="244"/>
      <c r="D679" s="245">
        <v>65.222626000000005</v>
      </c>
      <c r="E679" s="228">
        <f t="shared" si="60"/>
        <v>-1.032056834300521E-3</v>
      </c>
      <c r="F679" s="228"/>
      <c r="G679" s="245">
        <v>206.38552899999999</v>
      </c>
      <c r="H679" s="228">
        <f t="shared" si="61"/>
        <v>-1.9080581645202321E-2</v>
      </c>
      <c r="J679" s="227"/>
      <c r="K679" s="245">
        <v>37.903827999999997</v>
      </c>
      <c r="L679" s="228">
        <f t="shared" si="62"/>
        <v>-9.9182847143035602E-3</v>
      </c>
      <c r="M679" s="228"/>
      <c r="N679" s="227"/>
      <c r="O679" s="322">
        <v>43.98</v>
      </c>
      <c r="P679" s="228">
        <f t="shared" si="63"/>
        <v>-1.544656438086256E-2</v>
      </c>
      <c r="Q679" s="228"/>
      <c r="R679" s="227"/>
      <c r="S679" s="322">
        <v>183.63999899999999</v>
      </c>
      <c r="T679" s="228">
        <f t="shared" si="64"/>
        <v>-6.5995996613676944E-3</v>
      </c>
      <c r="U679" s="228"/>
      <c r="V679" s="228"/>
      <c r="W679" s="228"/>
      <c r="X679" s="322">
        <v>117.900002</v>
      </c>
      <c r="Y679" s="228">
        <f t="shared" si="65"/>
        <v>-9.7429532965387367E-3</v>
      </c>
      <c r="Z679" s="228"/>
      <c r="AA679" s="202"/>
    </row>
    <row r="680" spans="2:27" x14ac:dyDescent="0.15">
      <c r="B680" s="241">
        <v>43654</v>
      </c>
      <c r="C680" s="244"/>
      <c r="D680" s="245">
        <v>64.866371000000001</v>
      </c>
      <c r="E680" s="228">
        <f t="shared" si="60"/>
        <v>-5.4621382463196921E-3</v>
      </c>
      <c r="F680" s="228"/>
      <c r="G680" s="245">
        <v>204.69314600000001</v>
      </c>
      <c r="H680" s="228">
        <f t="shared" si="61"/>
        <v>-8.2001049598781073E-3</v>
      </c>
      <c r="J680" s="227"/>
      <c r="K680" s="245">
        <v>37.324776</v>
      </c>
      <c r="L680" s="228">
        <f t="shared" si="62"/>
        <v>-1.5276873881972963E-2</v>
      </c>
      <c r="M680" s="228"/>
      <c r="N680" s="227"/>
      <c r="O680" s="322">
        <v>43.450001</v>
      </c>
      <c r="P680" s="228">
        <f t="shared" si="63"/>
        <v>-1.2050909504320084E-2</v>
      </c>
      <c r="Q680" s="228"/>
      <c r="R680" s="227"/>
      <c r="S680" s="322">
        <v>181.39999399999999</v>
      </c>
      <c r="T680" s="228">
        <f t="shared" si="64"/>
        <v>-1.2197805555422603E-2</v>
      </c>
      <c r="U680" s="228"/>
      <c r="V680" s="228"/>
      <c r="W680" s="228"/>
      <c r="X680" s="322">
        <v>117.349998</v>
      </c>
      <c r="Y680" s="228">
        <f t="shared" si="65"/>
        <v>-4.6650041617471993E-3</v>
      </c>
      <c r="Z680" s="228"/>
      <c r="AA680" s="202"/>
    </row>
    <row r="681" spans="2:27" x14ac:dyDescent="0.15">
      <c r="B681" s="241">
        <v>43655</v>
      </c>
      <c r="C681" s="244"/>
      <c r="D681" s="245">
        <v>65.030045000000001</v>
      </c>
      <c r="E681" s="228">
        <f t="shared" si="60"/>
        <v>2.5232489112116951E-3</v>
      </c>
      <c r="F681" s="228"/>
      <c r="G681" s="245">
        <v>203.29591400000001</v>
      </c>
      <c r="H681" s="228">
        <f t="shared" si="61"/>
        <v>-6.8259833184644014E-3</v>
      </c>
      <c r="J681" s="227"/>
      <c r="K681" s="245">
        <v>37.657021</v>
      </c>
      <c r="L681" s="228">
        <f t="shared" si="62"/>
        <v>8.901459984649307E-3</v>
      </c>
      <c r="M681" s="228"/>
      <c r="N681" s="227"/>
      <c r="O681" s="322">
        <v>43.970001000000003</v>
      </c>
      <c r="P681" s="228">
        <f t="shared" si="63"/>
        <v>1.1967778780948679E-2</v>
      </c>
      <c r="Q681" s="228"/>
      <c r="R681" s="227"/>
      <c r="S681" s="322">
        <v>183.08000200000001</v>
      </c>
      <c r="T681" s="228">
        <f t="shared" si="64"/>
        <v>9.2613454000445294E-3</v>
      </c>
      <c r="U681" s="228"/>
      <c r="V681" s="228"/>
      <c r="W681" s="228"/>
      <c r="X681" s="322">
        <v>117.779999</v>
      </c>
      <c r="Y681" s="228">
        <f t="shared" si="65"/>
        <v>3.6642608208652394E-3</v>
      </c>
      <c r="Z681" s="228"/>
      <c r="AA681" s="202"/>
    </row>
    <row r="682" spans="2:27" x14ac:dyDescent="0.15">
      <c r="B682" s="241">
        <v>43656</v>
      </c>
      <c r="C682" s="244"/>
      <c r="D682" s="245">
        <v>65.290008999999998</v>
      </c>
      <c r="E682" s="228">
        <f t="shared" si="60"/>
        <v>3.997598340889974E-3</v>
      </c>
      <c r="F682" s="228"/>
      <c r="G682" s="245">
        <v>204.781677</v>
      </c>
      <c r="H682" s="228">
        <f t="shared" si="61"/>
        <v>7.3083761044010487E-3</v>
      </c>
      <c r="J682" s="227"/>
      <c r="K682" s="245">
        <v>38.644252999999999</v>
      </c>
      <c r="L682" s="228">
        <f t="shared" si="62"/>
        <v>2.6216412604703976E-2</v>
      </c>
      <c r="M682" s="228"/>
      <c r="N682" s="227"/>
      <c r="O682" s="322">
        <v>44.720001000000003</v>
      </c>
      <c r="P682" s="228">
        <f t="shared" si="63"/>
        <v>1.7057083987785271E-2</v>
      </c>
      <c r="Q682" s="228"/>
      <c r="R682" s="227"/>
      <c r="S682" s="322">
        <v>184.220001</v>
      </c>
      <c r="T682" s="228">
        <f t="shared" si="64"/>
        <v>6.2267805743194682E-3</v>
      </c>
      <c r="U682" s="228"/>
      <c r="V682" s="228"/>
      <c r="W682" s="228"/>
      <c r="X682" s="322">
        <v>119.610001</v>
      </c>
      <c r="Y682" s="228">
        <f t="shared" si="65"/>
        <v>1.5537459802491549E-2</v>
      </c>
      <c r="Z682" s="228"/>
      <c r="AA682" s="202"/>
    </row>
    <row r="683" spans="2:27" x14ac:dyDescent="0.15">
      <c r="B683" s="241">
        <v>43657</v>
      </c>
      <c r="C683" s="244"/>
      <c r="D683" s="245">
        <v>65.357399000000001</v>
      </c>
      <c r="E683" s="228">
        <f t="shared" si="60"/>
        <v>1.0321640482544581E-3</v>
      </c>
      <c r="F683" s="228"/>
      <c r="G683" s="245">
        <v>205.39175399999999</v>
      </c>
      <c r="H683" s="228">
        <f t="shared" si="61"/>
        <v>2.9791581402078826E-3</v>
      </c>
      <c r="J683" s="227"/>
      <c r="K683" s="245">
        <v>38.824607999999998</v>
      </c>
      <c r="L683" s="228">
        <f t="shared" si="62"/>
        <v>4.6670587732668967E-3</v>
      </c>
      <c r="M683" s="228"/>
      <c r="N683" s="227"/>
      <c r="O683" s="322">
        <v>45.279998999999997</v>
      </c>
      <c r="P683" s="228">
        <f t="shared" si="63"/>
        <v>1.2522316356835317E-2</v>
      </c>
      <c r="Q683" s="228"/>
      <c r="R683" s="227"/>
      <c r="S683" s="322">
        <v>184.88999899999999</v>
      </c>
      <c r="T683" s="228">
        <f t="shared" si="64"/>
        <v>3.6369449373740981E-3</v>
      </c>
      <c r="U683" s="228"/>
      <c r="V683" s="228"/>
      <c r="W683" s="228"/>
      <c r="X683" s="322">
        <v>120.05999799999999</v>
      </c>
      <c r="Y683" s="228">
        <f t="shared" si="65"/>
        <v>3.7622021255563354E-3</v>
      </c>
      <c r="Z683" s="228"/>
      <c r="AA683" s="202"/>
    </row>
    <row r="684" spans="2:27" x14ac:dyDescent="0.15">
      <c r="B684" s="241">
        <v>43658</v>
      </c>
      <c r="C684" s="244"/>
      <c r="D684" s="245">
        <v>65.684783999999993</v>
      </c>
      <c r="E684" s="228">
        <f t="shared" si="60"/>
        <v>5.0091497674193963E-3</v>
      </c>
      <c r="F684" s="228"/>
      <c r="G684" s="245">
        <v>204.84072900000001</v>
      </c>
      <c r="H684" s="228">
        <f t="shared" si="61"/>
        <v>-2.682800011532982E-3</v>
      </c>
      <c r="J684" s="227"/>
      <c r="K684" s="245">
        <v>39.137858999999999</v>
      </c>
      <c r="L684" s="228">
        <f t="shared" si="62"/>
        <v>8.0683622098645102E-3</v>
      </c>
      <c r="M684" s="228"/>
      <c r="N684" s="227"/>
      <c r="O684" s="322">
        <v>46.509998000000003</v>
      </c>
      <c r="P684" s="228">
        <f t="shared" si="63"/>
        <v>2.7164289469176151E-2</v>
      </c>
      <c r="Q684" s="228"/>
      <c r="R684" s="227"/>
      <c r="S684" s="322">
        <v>191.240005</v>
      </c>
      <c r="T684" s="228">
        <f t="shared" si="64"/>
        <v>3.4344778161851774E-2</v>
      </c>
      <c r="U684" s="228"/>
      <c r="V684" s="228"/>
      <c r="W684" s="228"/>
      <c r="X684" s="322">
        <v>122.91999800000001</v>
      </c>
      <c r="Y684" s="228">
        <f t="shared" si="65"/>
        <v>2.382142301884782E-2</v>
      </c>
      <c r="Z684" s="228"/>
      <c r="AA684" s="202"/>
    </row>
    <row r="685" spans="2:27" x14ac:dyDescent="0.15">
      <c r="B685" s="241">
        <v>43661</v>
      </c>
      <c r="C685" s="244"/>
      <c r="D685" s="245">
        <v>65.723297000000002</v>
      </c>
      <c r="E685" s="228">
        <f t="shared" si="60"/>
        <v>5.863306180622363E-4</v>
      </c>
      <c r="F685" s="228"/>
      <c r="G685" s="245">
        <v>203.443512</v>
      </c>
      <c r="H685" s="228">
        <f t="shared" si="61"/>
        <v>-6.8209921279864805E-3</v>
      </c>
      <c r="J685" s="227"/>
      <c r="K685" s="245">
        <v>39.697921999999998</v>
      </c>
      <c r="L685" s="228">
        <f t="shared" si="62"/>
        <v>1.4310006073658732E-2</v>
      </c>
      <c r="M685" s="228"/>
      <c r="N685" s="227"/>
      <c r="O685" s="322">
        <v>46.279998999999997</v>
      </c>
      <c r="P685" s="228">
        <f t="shared" si="63"/>
        <v>-4.9451517929544053E-3</v>
      </c>
      <c r="Q685" s="228"/>
      <c r="R685" s="227"/>
      <c r="S685" s="322">
        <v>192.75</v>
      </c>
      <c r="T685" s="228">
        <f t="shared" si="64"/>
        <v>7.8958113392644247E-3</v>
      </c>
      <c r="U685" s="228"/>
      <c r="V685" s="228"/>
      <c r="W685" s="228"/>
      <c r="X685" s="322">
        <v>123.540001</v>
      </c>
      <c r="Y685" s="228">
        <f t="shared" si="65"/>
        <v>5.0439555002270708E-3</v>
      </c>
      <c r="Z685" s="228"/>
      <c r="AA685" s="202"/>
    </row>
    <row r="686" spans="2:27" x14ac:dyDescent="0.15">
      <c r="B686" s="241">
        <v>43662</v>
      </c>
      <c r="C686" s="244"/>
      <c r="D686" s="245">
        <v>65.521102999999997</v>
      </c>
      <c r="E686" s="228">
        <f t="shared" si="60"/>
        <v>-3.0764433500651833E-3</v>
      </c>
      <c r="F686" s="228"/>
      <c r="G686" s="245">
        <v>201.71173099999999</v>
      </c>
      <c r="H686" s="228">
        <f t="shared" si="61"/>
        <v>-8.5123432198713767E-3</v>
      </c>
      <c r="J686" s="227"/>
      <c r="K686" s="245">
        <v>39.650463000000002</v>
      </c>
      <c r="L686" s="228">
        <f t="shared" si="62"/>
        <v>-1.1955033817637739E-3</v>
      </c>
      <c r="M686" s="228"/>
      <c r="N686" s="227"/>
      <c r="O686" s="322">
        <v>46.009998000000003</v>
      </c>
      <c r="P686" s="228">
        <f t="shared" si="63"/>
        <v>-5.8340753205287088E-3</v>
      </c>
      <c r="Q686" s="228"/>
      <c r="R686" s="227"/>
      <c r="S686" s="322">
        <v>189.80999800000001</v>
      </c>
      <c r="T686" s="228">
        <f t="shared" si="64"/>
        <v>-1.5252928664072574E-2</v>
      </c>
      <c r="U686" s="228"/>
      <c r="V686" s="228"/>
      <c r="W686" s="228"/>
      <c r="X686" s="322">
        <v>122.5</v>
      </c>
      <c r="Y686" s="228">
        <f t="shared" si="65"/>
        <v>-8.4183340746452062E-3</v>
      </c>
      <c r="Z686" s="228"/>
      <c r="AA686" s="202"/>
    </row>
    <row r="687" spans="2:27" x14ac:dyDescent="0.15">
      <c r="B687" s="241">
        <v>43663</v>
      </c>
      <c r="C687" s="244"/>
      <c r="D687" s="245">
        <v>65.058937</v>
      </c>
      <c r="E687" s="228">
        <f t="shared" si="60"/>
        <v>-7.0536968829720825E-3</v>
      </c>
      <c r="F687" s="228"/>
      <c r="G687" s="245">
        <v>214.17851300000001</v>
      </c>
      <c r="H687" s="228">
        <f t="shared" si="61"/>
        <v>6.1804942817133446E-2</v>
      </c>
      <c r="J687" s="227"/>
      <c r="K687" s="245">
        <v>39.517567</v>
      </c>
      <c r="L687" s="228">
        <f t="shared" si="62"/>
        <v>-3.3516884783918455E-3</v>
      </c>
      <c r="M687" s="228"/>
      <c r="N687" s="227"/>
      <c r="O687" s="322">
        <v>46.220001000000003</v>
      </c>
      <c r="P687" s="228">
        <f t="shared" si="63"/>
        <v>4.5642905700626901E-3</v>
      </c>
      <c r="Q687" s="228"/>
      <c r="R687" s="227"/>
      <c r="S687" s="322">
        <v>191.720001</v>
      </c>
      <c r="T687" s="228">
        <f t="shared" si="64"/>
        <v>1.0062710184528756E-2</v>
      </c>
      <c r="U687" s="228"/>
      <c r="V687" s="228"/>
      <c r="W687" s="228"/>
      <c r="X687" s="322">
        <v>125.489998</v>
      </c>
      <c r="Y687" s="228">
        <f t="shared" si="65"/>
        <v>2.4408146938775577E-2</v>
      </c>
      <c r="Z687" s="228"/>
      <c r="AA687" s="202"/>
    </row>
    <row r="688" spans="2:27" x14ac:dyDescent="0.15">
      <c r="B688" s="241">
        <v>43664</v>
      </c>
      <c r="C688" s="244"/>
      <c r="D688" s="245">
        <v>65.328536999999997</v>
      </c>
      <c r="E688" s="228">
        <f t="shared" si="60"/>
        <v>4.1439349062835085E-3</v>
      </c>
      <c r="F688" s="228"/>
      <c r="G688" s="245">
        <v>223.014465</v>
      </c>
      <c r="H688" s="228">
        <f t="shared" si="61"/>
        <v>4.1255081456280207E-2</v>
      </c>
      <c r="J688" s="227"/>
      <c r="K688" s="245">
        <v>40.998404999999998</v>
      </c>
      <c r="L688" s="228">
        <f t="shared" si="62"/>
        <v>3.7472904139062901E-2</v>
      </c>
      <c r="M688" s="228"/>
      <c r="N688" s="227"/>
      <c r="O688" s="322">
        <v>48.169998</v>
      </c>
      <c r="P688" s="228">
        <f t="shared" si="63"/>
        <v>4.2189462522945309E-2</v>
      </c>
      <c r="Q688" s="228"/>
      <c r="R688" s="227"/>
      <c r="S688" s="322">
        <v>198.229996</v>
      </c>
      <c r="T688" s="228">
        <f t="shared" si="64"/>
        <v>3.3955742572732373E-2</v>
      </c>
      <c r="U688" s="228"/>
      <c r="V688" s="228"/>
      <c r="W688" s="228"/>
      <c r="X688" s="322">
        <v>133.41000399999999</v>
      </c>
      <c r="Y688" s="228">
        <f t="shared" si="65"/>
        <v>6.3112647431869284E-2</v>
      </c>
      <c r="Z688" s="228"/>
      <c r="AA688" s="202"/>
    </row>
    <row r="689" spans="2:27" x14ac:dyDescent="0.15">
      <c r="B689" s="241">
        <v>43665</v>
      </c>
      <c r="C689" s="244"/>
      <c r="D689" s="245">
        <v>64.953018</v>
      </c>
      <c r="E689" s="228">
        <f t="shared" si="60"/>
        <v>-5.7481617872445767E-3</v>
      </c>
      <c r="F689" s="228"/>
      <c r="G689" s="245">
        <v>220.033051</v>
      </c>
      <c r="H689" s="228">
        <f t="shared" si="61"/>
        <v>-1.3368702339554561E-2</v>
      </c>
      <c r="J689" s="227"/>
      <c r="K689" s="245">
        <v>41.605933999999998</v>
      </c>
      <c r="L689" s="228">
        <f t="shared" si="62"/>
        <v>1.4818356958032908E-2</v>
      </c>
      <c r="M689" s="228"/>
      <c r="N689" s="227"/>
      <c r="O689" s="322">
        <v>47.810001</v>
      </c>
      <c r="P689" s="228">
        <f t="shared" si="63"/>
        <v>-7.4734692743810838E-3</v>
      </c>
      <c r="Q689" s="228"/>
      <c r="R689" s="227"/>
      <c r="S689" s="322">
        <v>198.470001</v>
      </c>
      <c r="T689" s="228">
        <f t="shared" si="64"/>
        <v>1.2107400738685659E-3</v>
      </c>
      <c r="U689" s="228"/>
      <c r="V689" s="228"/>
      <c r="W689" s="228"/>
      <c r="X689" s="322">
        <v>131.96000699999999</v>
      </c>
      <c r="Y689" s="228">
        <f t="shared" si="65"/>
        <v>-1.0868727655536259E-2</v>
      </c>
      <c r="Z689" s="228"/>
      <c r="AA689" s="202"/>
    </row>
    <row r="690" spans="2:27" x14ac:dyDescent="0.15">
      <c r="B690" s="241">
        <v>43668</v>
      </c>
      <c r="C690" s="244"/>
      <c r="D690" s="245">
        <v>65.116698999999997</v>
      </c>
      <c r="E690" s="228">
        <f t="shared" si="60"/>
        <v>2.5199906800326133E-3</v>
      </c>
      <c r="F690" s="228"/>
      <c r="G690" s="245">
        <v>224.086975</v>
      </c>
      <c r="H690" s="228">
        <f t="shared" si="61"/>
        <v>1.8424159377765426E-2</v>
      </c>
      <c r="J690" s="227"/>
      <c r="K690" s="245">
        <v>42.336857000000002</v>
      </c>
      <c r="L690" s="228">
        <f t="shared" si="62"/>
        <v>1.756775848368175E-2</v>
      </c>
      <c r="M690" s="228"/>
      <c r="N690" s="227"/>
      <c r="O690" s="322">
        <v>50.73</v>
      </c>
      <c r="P690" s="228">
        <f t="shared" si="63"/>
        <v>6.1075066699956659E-2</v>
      </c>
      <c r="Q690" s="228"/>
      <c r="R690" s="227"/>
      <c r="S690" s="322">
        <v>207.21000699999999</v>
      </c>
      <c r="T690" s="228">
        <f t="shared" si="64"/>
        <v>4.4036912157822794E-2</v>
      </c>
      <c r="U690" s="228"/>
      <c r="V690" s="228"/>
      <c r="W690" s="228"/>
      <c r="X690" s="322">
        <v>137.14999399999999</v>
      </c>
      <c r="Y690" s="228">
        <f t="shared" si="65"/>
        <v>3.9329999429296825E-2</v>
      </c>
      <c r="Z690" s="228"/>
      <c r="AA690" s="202"/>
    </row>
    <row r="691" spans="2:27" x14ac:dyDescent="0.15">
      <c r="B691" s="241">
        <v>43669</v>
      </c>
      <c r="C691" s="244"/>
      <c r="D691" s="245">
        <v>65.559601000000001</v>
      </c>
      <c r="E691" s="228">
        <f t="shared" si="60"/>
        <v>6.801665422259795E-3</v>
      </c>
      <c r="F691" s="228"/>
      <c r="G691" s="245">
        <v>226.51736500000001</v>
      </c>
      <c r="H691" s="228">
        <f t="shared" si="61"/>
        <v>1.0845744158044068E-2</v>
      </c>
      <c r="J691" s="227"/>
      <c r="K691" s="245">
        <v>42.165993</v>
      </c>
      <c r="L691" s="228">
        <f t="shared" si="62"/>
        <v>-4.0358215537823483E-3</v>
      </c>
      <c r="M691" s="228"/>
      <c r="N691" s="227"/>
      <c r="O691" s="322">
        <v>51.029998999999997</v>
      </c>
      <c r="P691" s="228">
        <f t="shared" si="63"/>
        <v>5.9136408436821775E-3</v>
      </c>
      <c r="Q691" s="228"/>
      <c r="R691" s="227"/>
      <c r="S691" s="322">
        <v>209.759995</v>
      </c>
      <c r="T691" s="228">
        <f t="shared" si="64"/>
        <v>1.2306297542859612E-2</v>
      </c>
      <c r="U691" s="228"/>
      <c r="V691" s="228"/>
      <c r="W691" s="228"/>
      <c r="X691" s="322">
        <v>140.16999799999999</v>
      </c>
      <c r="Y691" s="228">
        <f t="shared" si="65"/>
        <v>2.2019716603122852E-2</v>
      </c>
      <c r="Z691" s="228"/>
      <c r="AA691" s="202"/>
    </row>
    <row r="692" spans="2:27" x14ac:dyDescent="0.15">
      <c r="B692" s="241">
        <v>43670</v>
      </c>
      <c r="C692" s="244"/>
      <c r="D692" s="245">
        <v>65.954361000000006</v>
      </c>
      <c r="E692" s="228">
        <f t="shared" si="60"/>
        <v>6.0213911307971379E-3</v>
      </c>
      <c r="F692" s="228"/>
      <c r="G692" s="245">
        <v>230.305588</v>
      </c>
      <c r="H692" s="228">
        <f t="shared" si="61"/>
        <v>1.6723764202360325E-2</v>
      </c>
      <c r="J692" s="227"/>
      <c r="K692" s="245">
        <v>42.279899999999998</v>
      </c>
      <c r="L692" s="228">
        <f t="shared" si="62"/>
        <v>2.7013949369103507E-3</v>
      </c>
      <c r="M692" s="228"/>
      <c r="N692" s="227"/>
      <c r="O692" s="322">
        <v>52.139999000000003</v>
      </c>
      <c r="P692" s="228">
        <f t="shared" si="63"/>
        <v>2.1751911067056984E-2</v>
      </c>
      <c r="Q692" s="228"/>
      <c r="R692" s="227"/>
      <c r="S692" s="322">
        <v>216.979996</v>
      </c>
      <c r="T692" s="228">
        <f t="shared" si="64"/>
        <v>3.4420295442894044E-2</v>
      </c>
      <c r="U692" s="228"/>
      <c r="V692" s="228"/>
      <c r="W692" s="228"/>
      <c r="X692" s="322">
        <v>142.64999399999999</v>
      </c>
      <c r="Y692" s="228">
        <f t="shared" si="65"/>
        <v>1.7692773313729981E-2</v>
      </c>
      <c r="Z692" s="228"/>
      <c r="AA692" s="202"/>
    </row>
    <row r="693" spans="2:27" x14ac:dyDescent="0.15">
      <c r="B693" s="241">
        <v>43671</v>
      </c>
      <c r="C693" s="244"/>
      <c r="D693" s="245">
        <v>65.598129</v>
      </c>
      <c r="E693" s="228">
        <f t="shared" si="60"/>
        <v>-5.4011894679717454E-3</v>
      </c>
      <c r="F693" s="228"/>
      <c r="G693" s="245">
        <v>226.35993999999999</v>
      </c>
      <c r="H693" s="228">
        <f t="shared" si="61"/>
        <v>-1.7132228680443506E-2</v>
      </c>
      <c r="J693" s="227"/>
      <c r="K693" s="245">
        <v>41.406585999999997</v>
      </c>
      <c r="L693" s="228">
        <f t="shared" si="62"/>
        <v>-2.0655536082157311E-2</v>
      </c>
      <c r="M693" s="228"/>
      <c r="N693" s="227"/>
      <c r="O693" s="322">
        <v>50.82</v>
      </c>
      <c r="P693" s="228">
        <f t="shared" si="63"/>
        <v>-2.5316437002616765E-2</v>
      </c>
      <c r="Q693" s="228"/>
      <c r="R693" s="227"/>
      <c r="S693" s="322">
        <v>210.75</v>
      </c>
      <c r="T693" s="228">
        <f t="shared" si="64"/>
        <v>-2.8712305810900673E-2</v>
      </c>
      <c r="U693" s="228"/>
      <c r="V693" s="228"/>
      <c r="W693" s="228"/>
      <c r="X693" s="322">
        <v>139.699997</v>
      </c>
      <c r="Y693" s="228">
        <f t="shared" si="65"/>
        <v>-2.0679965818996116E-2</v>
      </c>
      <c r="Z693" s="228"/>
      <c r="AA693" s="202"/>
    </row>
    <row r="694" spans="2:27" x14ac:dyDescent="0.15">
      <c r="B694" s="241">
        <v>43672</v>
      </c>
      <c r="C694" s="244"/>
      <c r="D694" s="245">
        <v>66.021759000000003</v>
      </c>
      <c r="E694" s="228">
        <f t="shared" si="60"/>
        <v>6.4579585798858474E-3</v>
      </c>
      <c r="F694" s="228"/>
      <c r="G694" s="245">
        <v>227.14709500000001</v>
      </c>
      <c r="H694" s="228">
        <f t="shared" si="61"/>
        <v>3.4774483506225806E-3</v>
      </c>
      <c r="J694" s="227"/>
      <c r="K694" s="245">
        <v>41.254707000000003</v>
      </c>
      <c r="L694" s="228">
        <f t="shared" si="62"/>
        <v>-3.6679913673635101E-3</v>
      </c>
      <c r="M694" s="228"/>
      <c r="N694" s="227"/>
      <c r="O694" s="322">
        <v>50.740001999999997</v>
      </c>
      <c r="P694" s="228">
        <f t="shared" si="63"/>
        <v>-1.574144037780445E-3</v>
      </c>
      <c r="Q694" s="228"/>
      <c r="R694" s="227"/>
      <c r="S694" s="322">
        <v>210.75</v>
      </c>
      <c r="T694" s="228">
        <f t="shared" si="64"/>
        <v>0</v>
      </c>
      <c r="U694" s="228"/>
      <c r="V694" s="228"/>
      <c r="W694" s="228"/>
      <c r="X694" s="322">
        <v>139.449997</v>
      </c>
      <c r="Y694" s="228">
        <f t="shared" si="65"/>
        <v>-1.7895490720734042E-3</v>
      </c>
      <c r="Z694" s="228"/>
      <c r="AA694" s="202"/>
    </row>
    <row r="695" spans="2:27" x14ac:dyDescent="0.15">
      <c r="B695" s="241">
        <v>43675</v>
      </c>
      <c r="C695" s="244"/>
      <c r="D695" s="245">
        <v>65.915863000000002</v>
      </c>
      <c r="E695" s="228">
        <f t="shared" si="60"/>
        <v>-1.6039560533369634E-3</v>
      </c>
      <c r="F695" s="228"/>
      <c r="G695" s="245">
        <v>227.26516699999999</v>
      </c>
      <c r="H695" s="228">
        <f t="shared" si="61"/>
        <v>5.1980413837116046E-4</v>
      </c>
      <c r="J695" s="227"/>
      <c r="K695" s="245">
        <v>41.710338999999998</v>
      </c>
      <c r="L695" s="228">
        <f t="shared" si="62"/>
        <v>1.1044363980090566E-2</v>
      </c>
      <c r="M695" s="228"/>
      <c r="N695" s="227"/>
      <c r="O695" s="322">
        <v>50.669998</v>
      </c>
      <c r="P695" s="228">
        <f t="shared" si="63"/>
        <v>-1.3796609625674749E-3</v>
      </c>
      <c r="Q695" s="228"/>
      <c r="R695" s="227"/>
      <c r="S695" s="322">
        <v>210.820007</v>
      </c>
      <c r="T695" s="228">
        <f t="shared" si="64"/>
        <v>3.3218030842241397E-4</v>
      </c>
      <c r="U695" s="228"/>
      <c r="V695" s="228"/>
      <c r="W695" s="228"/>
      <c r="X695" s="322">
        <v>139.509995</v>
      </c>
      <c r="Y695" s="228">
        <f t="shared" si="65"/>
        <v>4.3024740975794451E-4</v>
      </c>
      <c r="Z695" s="228"/>
      <c r="AA695" s="202"/>
    </row>
    <row r="696" spans="2:27" x14ac:dyDescent="0.15">
      <c r="B696" s="241">
        <v>43676</v>
      </c>
      <c r="C696" s="244"/>
      <c r="D696" s="245">
        <v>65.829207999999994</v>
      </c>
      <c r="E696" s="228">
        <f t="shared" si="60"/>
        <v>-1.3146304403237608E-3</v>
      </c>
      <c r="F696" s="228"/>
      <c r="G696" s="245">
        <v>224.677368</v>
      </c>
      <c r="H696" s="228">
        <f t="shared" si="61"/>
        <v>-1.1386694380665863E-2</v>
      </c>
      <c r="J696" s="227"/>
      <c r="K696" s="245">
        <v>40.922466</v>
      </c>
      <c r="L696" s="228">
        <f t="shared" si="62"/>
        <v>-1.888915359810428E-2</v>
      </c>
      <c r="M696" s="228"/>
      <c r="N696" s="227"/>
      <c r="O696" s="322">
        <v>50.73</v>
      </c>
      <c r="P696" s="228">
        <f t="shared" si="63"/>
        <v>1.1841721406817829E-3</v>
      </c>
      <c r="Q696" s="228"/>
      <c r="R696" s="227"/>
      <c r="S696" s="322">
        <v>211.320007</v>
      </c>
      <c r="T696" s="228">
        <f t="shared" si="64"/>
        <v>2.3716914116220789E-3</v>
      </c>
      <c r="U696" s="228"/>
      <c r="V696" s="228"/>
      <c r="W696" s="228"/>
      <c r="X696" s="322">
        <v>140</v>
      </c>
      <c r="Y696" s="228">
        <f t="shared" si="65"/>
        <v>3.512328991195135E-3</v>
      </c>
      <c r="Z696" s="228"/>
      <c r="AA696" s="202"/>
    </row>
    <row r="697" spans="2:27" x14ac:dyDescent="0.15">
      <c r="B697" s="241">
        <v>43677</v>
      </c>
      <c r="C697" s="244"/>
      <c r="D697" s="245">
        <v>64.972290000000001</v>
      </c>
      <c r="E697" s="228">
        <f t="shared" si="60"/>
        <v>-1.3017291655703866E-2</v>
      </c>
      <c r="F697" s="228"/>
      <c r="G697" s="245">
        <v>219.236053</v>
      </c>
      <c r="H697" s="228">
        <f t="shared" si="61"/>
        <v>-2.4218349397790662E-2</v>
      </c>
      <c r="J697" s="227"/>
      <c r="K697" s="245">
        <v>40.466824000000003</v>
      </c>
      <c r="L697" s="228">
        <f t="shared" si="62"/>
        <v>-1.1134275241379554E-2</v>
      </c>
      <c r="M697" s="228"/>
      <c r="N697" s="227"/>
      <c r="O697" s="322">
        <v>49.369999</v>
      </c>
      <c r="P697" s="228">
        <f t="shared" si="63"/>
        <v>-2.6808614232209704E-2</v>
      </c>
      <c r="Q697" s="228"/>
      <c r="R697" s="227"/>
      <c r="S697" s="322">
        <v>208.61000100000001</v>
      </c>
      <c r="T697" s="228">
        <f t="shared" si="64"/>
        <v>-1.2824180911559346E-2</v>
      </c>
      <c r="U697" s="228"/>
      <c r="V697" s="228"/>
      <c r="W697" s="228"/>
      <c r="X697" s="322">
        <v>136.320007</v>
      </c>
      <c r="Y697" s="228">
        <f t="shared" si="65"/>
        <v>-2.6285664285714216E-2</v>
      </c>
      <c r="Z697" s="228"/>
      <c r="AA697" s="202"/>
    </row>
    <row r="698" spans="2:27" x14ac:dyDescent="0.15">
      <c r="B698" s="241">
        <v>43678</v>
      </c>
      <c r="C698" s="244"/>
      <c r="D698" s="245">
        <v>64.539000999999999</v>
      </c>
      <c r="E698" s="228">
        <f t="shared" si="60"/>
        <v>-6.6688275878840075E-3</v>
      </c>
      <c r="F698" s="228"/>
      <c r="G698" s="245">
        <v>217.88803100000001</v>
      </c>
      <c r="H698" s="228">
        <f t="shared" si="61"/>
        <v>-6.1487240878214111E-3</v>
      </c>
      <c r="J698" s="227"/>
      <c r="K698" s="245">
        <v>39.745384000000001</v>
      </c>
      <c r="L698" s="228">
        <f t="shared" si="62"/>
        <v>-1.7827937275235684E-2</v>
      </c>
      <c r="M698" s="228"/>
      <c r="N698" s="227"/>
      <c r="O698" s="322">
        <v>48.470001000000003</v>
      </c>
      <c r="P698" s="228">
        <f t="shared" si="63"/>
        <v>-1.8229654005056717E-2</v>
      </c>
      <c r="Q698" s="228"/>
      <c r="R698" s="227"/>
      <c r="S698" s="322">
        <v>205.759995</v>
      </c>
      <c r="T698" s="228">
        <f t="shared" si="64"/>
        <v>-1.3661885750146818E-2</v>
      </c>
      <c r="U698" s="228"/>
      <c r="V698" s="228"/>
      <c r="W698" s="228"/>
      <c r="X698" s="322">
        <v>136.770004</v>
      </c>
      <c r="Y698" s="228">
        <f t="shared" si="65"/>
        <v>3.3010341614785332E-3</v>
      </c>
      <c r="Z698" s="228"/>
      <c r="AA698" s="202"/>
    </row>
    <row r="699" spans="2:27" x14ac:dyDescent="0.15">
      <c r="B699" s="241">
        <v>43679</v>
      </c>
      <c r="C699" s="244"/>
      <c r="D699" s="245">
        <v>63.999813000000003</v>
      </c>
      <c r="E699" s="228">
        <f t="shared" si="60"/>
        <v>-8.3544522171948854E-3</v>
      </c>
      <c r="F699" s="228"/>
      <c r="G699" s="245">
        <v>216.38256799999999</v>
      </c>
      <c r="H699" s="228">
        <f t="shared" si="61"/>
        <v>-6.9093423493281625E-3</v>
      </c>
      <c r="J699" s="227"/>
      <c r="K699" s="245">
        <v>39.536552</v>
      </c>
      <c r="L699" s="228">
        <f t="shared" si="62"/>
        <v>-5.254245373500499E-3</v>
      </c>
      <c r="M699" s="228"/>
      <c r="N699" s="227"/>
      <c r="O699" s="322">
        <v>47.549999</v>
      </c>
      <c r="P699" s="228">
        <f t="shared" si="63"/>
        <v>-1.8980853744979376E-2</v>
      </c>
      <c r="Q699" s="228"/>
      <c r="R699" s="227"/>
      <c r="S699" s="322">
        <v>204.08999600000001</v>
      </c>
      <c r="T699" s="228">
        <f t="shared" si="64"/>
        <v>-8.1162472812074116E-3</v>
      </c>
      <c r="U699" s="228"/>
      <c r="V699" s="228"/>
      <c r="W699" s="228"/>
      <c r="X699" s="322">
        <v>133.240005</v>
      </c>
      <c r="Y699" s="228">
        <f t="shared" si="65"/>
        <v>-2.5809745534554507E-2</v>
      </c>
      <c r="Z699" s="228"/>
      <c r="AA699" s="202"/>
    </row>
    <row r="700" spans="2:27" x14ac:dyDescent="0.15">
      <c r="B700" s="241">
        <v>43682</v>
      </c>
      <c r="C700" s="244"/>
      <c r="D700" s="245">
        <v>62.035625000000003</v>
      </c>
      <c r="E700" s="228">
        <f t="shared" si="60"/>
        <v>-3.0690527173884097E-2</v>
      </c>
      <c r="F700" s="228"/>
      <c r="G700" s="245">
        <v>208.72737100000001</v>
      </c>
      <c r="H700" s="228">
        <f t="shared" si="61"/>
        <v>-3.5378067053904227E-2</v>
      </c>
      <c r="J700" s="227"/>
      <c r="K700" s="245">
        <v>37.846877999999997</v>
      </c>
      <c r="L700" s="228">
        <f t="shared" si="62"/>
        <v>-4.2737009539931647E-2</v>
      </c>
      <c r="M700" s="228"/>
      <c r="N700" s="227"/>
      <c r="O700" s="322">
        <v>45.459999000000003</v>
      </c>
      <c r="P700" s="228">
        <f t="shared" si="63"/>
        <v>-4.3953733837092113E-2</v>
      </c>
      <c r="Q700" s="228"/>
      <c r="R700" s="227"/>
      <c r="S700" s="322">
        <v>193.529999</v>
      </c>
      <c r="T700" s="228">
        <f t="shared" si="64"/>
        <v>-5.1741864897679846E-2</v>
      </c>
      <c r="U700" s="228"/>
      <c r="V700" s="228"/>
      <c r="W700" s="228"/>
      <c r="X700" s="322">
        <v>126.459999</v>
      </c>
      <c r="Y700" s="228">
        <f t="shared" si="65"/>
        <v>-5.0885663055926789E-2</v>
      </c>
      <c r="Z700" s="228"/>
      <c r="AA700" s="202"/>
    </row>
    <row r="701" spans="2:27" x14ac:dyDescent="0.15">
      <c r="B701" s="241">
        <v>43683</v>
      </c>
      <c r="C701" s="244"/>
      <c r="D701" s="245">
        <v>62.911811999999998</v>
      </c>
      <c r="E701" s="228">
        <f t="shared" si="60"/>
        <v>1.4123932820858887E-2</v>
      </c>
      <c r="F701" s="228"/>
      <c r="G701" s="245">
        <v>211.44309999999999</v>
      </c>
      <c r="H701" s="228">
        <f t="shared" si="61"/>
        <v>1.3010890651231177E-2</v>
      </c>
      <c r="J701" s="227"/>
      <c r="K701" s="245">
        <v>39.166339999999998</v>
      </c>
      <c r="L701" s="228">
        <f t="shared" si="62"/>
        <v>3.4863166256408284E-2</v>
      </c>
      <c r="M701" s="228"/>
      <c r="N701" s="227"/>
      <c r="O701" s="322">
        <v>46.330002</v>
      </c>
      <c r="P701" s="228">
        <f t="shared" si="63"/>
        <v>1.9137769888644129E-2</v>
      </c>
      <c r="Q701" s="228"/>
      <c r="R701" s="227"/>
      <c r="S701" s="322">
        <v>194.520004</v>
      </c>
      <c r="T701" s="228">
        <f t="shared" si="64"/>
        <v>5.1155118333876537E-3</v>
      </c>
      <c r="U701" s="228"/>
      <c r="V701" s="228"/>
      <c r="W701" s="228"/>
      <c r="X701" s="322">
        <v>135.63999899999999</v>
      </c>
      <c r="Y701" s="228">
        <f t="shared" si="65"/>
        <v>7.2592124565808325E-2</v>
      </c>
      <c r="Z701" s="228"/>
      <c r="AA701" s="202"/>
    </row>
    <row r="702" spans="2:27" x14ac:dyDescent="0.15">
      <c r="B702" s="241">
        <v>43684</v>
      </c>
      <c r="C702" s="244"/>
      <c r="D702" s="245">
        <v>62.959938000000001</v>
      </c>
      <c r="E702" s="228">
        <f t="shared" si="60"/>
        <v>7.6497558201005234E-4</v>
      </c>
      <c r="F702" s="228"/>
      <c r="G702" s="245">
        <v>212.240082</v>
      </c>
      <c r="H702" s="228">
        <f t="shared" si="61"/>
        <v>3.7692504508306524E-3</v>
      </c>
      <c r="J702" s="227"/>
      <c r="K702" s="245">
        <v>39.166339999999998</v>
      </c>
      <c r="L702" s="228">
        <f t="shared" si="62"/>
        <v>0</v>
      </c>
      <c r="M702" s="228"/>
      <c r="N702" s="227"/>
      <c r="O702" s="322">
        <v>46.68</v>
      </c>
      <c r="P702" s="228">
        <f t="shared" si="63"/>
        <v>7.5544568290759617E-3</v>
      </c>
      <c r="Q702" s="228"/>
      <c r="R702" s="227"/>
      <c r="S702" s="322">
        <v>196.429993</v>
      </c>
      <c r="T702" s="228">
        <f t="shared" si="64"/>
        <v>9.8189849924124051E-3</v>
      </c>
      <c r="U702" s="228"/>
      <c r="V702" s="228"/>
      <c r="W702" s="228"/>
      <c r="X702" s="322">
        <v>134.13999899999999</v>
      </c>
      <c r="Y702" s="228">
        <f t="shared" si="65"/>
        <v>-1.1058684835289601E-2</v>
      </c>
      <c r="Z702" s="228"/>
      <c r="AA702" s="202"/>
    </row>
    <row r="703" spans="2:27" x14ac:dyDescent="0.15">
      <c r="B703" s="241">
        <v>43685</v>
      </c>
      <c r="C703" s="244"/>
      <c r="D703" s="245">
        <v>64.153869999999998</v>
      </c>
      <c r="E703" s="228">
        <f t="shared" si="60"/>
        <v>1.8963360478531532E-2</v>
      </c>
      <c r="F703" s="228"/>
      <c r="G703" s="245">
        <v>216.50062600000001</v>
      </c>
      <c r="H703" s="228">
        <f t="shared" si="61"/>
        <v>2.007417241763032E-2</v>
      </c>
      <c r="J703" s="227"/>
      <c r="K703" s="245">
        <v>39.773868999999998</v>
      </c>
      <c r="L703" s="228">
        <f t="shared" si="62"/>
        <v>1.5511508095982451E-2</v>
      </c>
      <c r="M703" s="228"/>
      <c r="N703" s="227"/>
      <c r="O703" s="322">
        <v>47.860000999999997</v>
      </c>
      <c r="P703" s="228">
        <f t="shared" si="63"/>
        <v>2.5278513281919324E-2</v>
      </c>
      <c r="Q703" s="228"/>
      <c r="R703" s="227"/>
      <c r="S703" s="322">
        <v>201.479996</v>
      </c>
      <c r="T703" s="228">
        <f t="shared" si="64"/>
        <v>2.5708920124026147E-2</v>
      </c>
      <c r="U703" s="228"/>
      <c r="V703" s="228"/>
      <c r="W703" s="228"/>
      <c r="X703" s="322">
        <v>137.33000200000001</v>
      </c>
      <c r="Y703" s="228">
        <f t="shared" si="65"/>
        <v>2.3781146740578185E-2</v>
      </c>
      <c r="Z703" s="228"/>
      <c r="AA703" s="202"/>
    </row>
    <row r="704" spans="2:27" x14ac:dyDescent="0.15">
      <c r="B704" s="241">
        <v>43686</v>
      </c>
      <c r="C704" s="244"/>
      <c r="D704" s="245">
        <v>63.730227999999997</v>
      </c>
      <c r="E704" s="228">
        <f t="shared" si="60"/>
        <v>-6.6035299195512653E-3</v>
      </c>
      <c r="F704" s="228"/>
      <c r="G704" s="245">
        <v>212.525452</v>
      </c>
      <c r="H704" s="228">
        <f t="shared" si="61"/>
        <v>-1.8361027741323976E-2</v>
      </c>
      <c r="J704" s="227"/>
      <c r="K704" s="245">
        <v>39.308731000000002</v>
      </c>
      <c r="L704" s="228">
        <f t="shared" si="62"/>
        <v>-1.1694562578259515E-2</v>
      </c>
      <c r="M704" s="228"/>
      <c r="N704" s="227"/>
      <c r="O704" s="322">
        <v>47.150002000000001</v>
      </c>
      <c r="P704" s="228">
        <f t="shared" si="63"/>
        <v>-1.4834914023507784E-2</v>
      </c>
      <c r="Q704" s="228"/>
      <c r="R704" s="227"/>
      <c r="S704" s="322">
        <v>195.320007</v>
      </c>
      <c r="T704" s="228">
        <f t="shared" si="64"/>
        <v>-3.0573700229773682E-2</v>
      </c>
      <c r="U704" s="228"/>
      <c r="V704" s="228"/>
      <c r="W704" s="228"/>
      <c r="X704" s="322">
        <v>136.08999600000001</v>
      </c>
      <c r="Y704" s="228">
        <f t="shared" si="65"/>
        <v>-9.0293889313420861E-3</v>
      </c>
      <c r="Z704" s="228"/>
      <c r="AA704" s="202"/>
    </row>
    <row r="705" spans="2:27" x14ac:dyDescent="0.15">
      <c r="B705" s="241">
        <v>43689</v>
      </c>
      <c r="C705" s="244"/>
      <c r="D705" s="245">
        <v>62.950313999999999</v>
      </c>
      <c r="E705" s="228">
        <f t="shared" si="60"/>
        <v>-1.2237740621295123E-2</v>
      </c>
      <c r="F705" s="228"/>
      <c r="G705" s="245">
        <v>211.01016200000001</v>
      </c>
      <c r="H705" s="228">
        <f t="shared" si="61"/>
        <v>-7.1299224904129987E-3</v>
      </c>
      <c r="J705" s="227"/>
      <c r="K705" s="245">
        <v>38.881565000000002</v>
      </c>
      <c r="L705" s="228">
        <f t="shared" si="62"/>
        <v>-1.0866949635184087E-2</v>
      </c>
      <c r="M705" s="228"/>
      <c r="N705" s="227"/>
      <c r="O705" s="322">
        <v>46.459999000000003</v>
      </c>
      <c r="P705" s="228">
        <f t="shared" si="63"/>
        <v>-1.4634209347435423E-2</v>
      </c>
      <c r="Q705" s="228"/>
      <c r="R705" s="227"/>
      <c r="S705" s="322">
        <v>196.30999800000001</v>
      </c>
      <c r="T705" s="228">
        <f t="shared" si="64"/>
        <v>5.0685591056731649E-3</v>
      </c>
      <c r="U705" s="228"/>
      <c r="V705" s="228"/>
      <c r="W705" s="228"/>
      <c r="X705" s="322">
        <v>134.199997</v>
      </c>
      <c r="Y705" s="228">
        <f t="shared" si="65"/>
        <v>-1.3887861382551714E-2</v>
      </c>
      <c r="Z705" s="228"/>
      <c r="AA705" s="202"/>
    </row>
    <row r="706" spans="2:27" x14ac:dyDescent="0.15">
      <c r="B706" s="241">
        <v>43690</v>
      </c>
      <c r="C706" s="244"/>
      <c r="D706" s="245">
        <v>63.855392000000002</v>
      </c>
      <c r="E706" s="228">
        <f t="shared" si="60"/>
        <v>1.4377656638853376E-2</v>
      </c>
      <c r="F706" s="228"/>
      <c r="G706" s="245">
        <v>215.683975</v>
      </c>
      <c r="H706" s="228">
        <f t="shared" si="61"/>
        <v>2.2149705756825178E-2</v>
      </c>
      <c r="J706" s="227"/>
      <c r="K706" s="245">
        <v>39.716907999999997</v>
      </c>
      <c r="L706" s="228">
        <f t="shared" si="62"/>
        <v>2.1484294677953208E-2</v>
      </c>
      <c r="M706" s="228"/>
      <c r="N706" s="227"/>
      <c r="O706" s="322">
        <v>48.060001</v>
      </c>
      <c r="P706" s="228">
        <f t="shared" si="63"/>
        <v>3.4438270220367384E-2</v>
      </c>
      <c r="Q706" s="228"/>
      <c r="R706" s="227"/>
      <c r="S706" s="322">
        <v>205.69000199999999</v>
      </c>
      <c r="T706" s="228">
        <f t="shared" si="64"/>
        <v>4.7781590828603671E-2</v>
      </c>
      <c r="U706" s="228"/>
      <c r="V706" s="228"/>
      <c r="W706" s="228"/>
      <c r="X706" s="322">
        <v>135.220001</v>
      </c>
      <c r="Y706" s="228">
        <f t="shared" si="65"/>
        <v>7.6006261013552567E-3</v>
      </c>
      <c r="Z706" s="228"/>
      <c r="AA706" s="202"/>
    </row>
    <row r="707" spans="2:27" x14ac:dyDescent="0.15">
      <c r="B707" s="241">
        <v>43691</v>
      </c>
      <c r="C707" s="244"/>
      <c r="D707" s="245">
        <v>61.977859000000002</v>
      </c>
      <c r="E707" s="228">
        <f t="shared" si="60"/>
        <v>-2.9402888952588357E-2</v>
      </c>
      <c r="F707" s="228"/>
      <c r="G707" s="245">
        <v>205.37207000000001</v>
      </c>
      <c r="H707" s="228">
        <f t="shared" si="61"/>
        <v>-4.7810251086108702E-2</v>
      </c>
      <c r="J707" s="227"/>
      <c r="K707" s="245">
        <v>38.378452000000003</v>
      </c>
      <c r="L707" s="228">
        <f t="shared" si="62"/>
        <v>-3.3699904332935349E-2</v>
      </c>
      <c r="M707" s="228"/>
      <c r="N707" s="227"/>
      <c r="O707" s="322">
        <v>46.709999000000003</v>
      </c>
      <c r="P707" s="228">
        <f t="shared" si="63"/>
        <v>-2.8089928670621434E-2</v>
      </c>
      <c r="Q707" s="228"/>
      <c r="R707" s="227"/>
      <c r="S707" s="322">
        <v>198.5</v>
      </c>
      <c r="T707" s="228">
        <f t="shared" si="64"/>
        <v>-3.495552496518517E-2</v>
      </c>
      <c r="U707" s="228"/>
      <c r="V707" s="228"/>
      <c r="W707" s="228"/>
      <c r="X707" s="322">
        <v>131.11000100000001</v>
      </c>
      <c r="Y707" s="228">
        <f t="shared" si="65"/>
        <v>-3.03949117704857E-2</v>
      </c>
      <c r="Z707" s="228"/>
      <c r="AA707" s="202"/>
    </row>
    <row r="708" spans="2:27" x14ac:dyDescent="0.15">
      <c r="B708" s="241">
        <v>43692</v>
      </c>
      <c r="C708" s="244"/>
      <c r="D708" s="245">
        <v>62.054873999999998</v>
      </c>
      <c r="E708" s="228">
        <f t="shared" si="60"/>
        <v>1.2426211754104077E-3</v>
      </c>
      <c r="F708" s="228"/>
      <c r="G708" s="245">
        <v>206.49375900000001</v>
      </c>
      <c r="H708" s="228">
        <f t="shared" si="61"/>
        <v>5.4617407323205303E-3</v>
      </c>
      <c r="J708" s="227"/>
      <c r="K708" s="245">
        <v>38.786644000000003</v>
      </c>
      <c r="L708" s="228">
        <f t="shared" si="62"/>
        <v>1.0635968329311352E-2</v>
      </c>
      <c r="M708" s="228"/>
      <c r="N708" s="227"/>
      <c r="O708" s="322">
        <v>47.16</v>
      </c>
      <c r="P708" s="228">
        <f t="shared" si="63"/>
        <v>9.6339329829571163E-3</v>
      </c>
      <c r="Q708" s="228"/>
      <c r="R708" s="227"/>
      <c r="S708" s="322">
        <v>198.929993</v>
      </c>
      <c r="T708" s="228">
        <f t="shared" si="64"/>
        <v>2.1662115869016674E-3</v>
      </c>
      <c r="U708" s="228"/>
      <c r="V708" s="228"/>
      <c r="W708" s="228"/>
      <c r="X708" s="322">
        <v>132.03999300000001</v>
      </c>
      <c r="Y708" s="228">
        <f t="shared" si="65"/>
        <v>7.0932193799617682E-3</v>
      </c>
      <c r="Z708" s="228"/>
      <c r="AA708" s="202"/>
    </row>
    <row r="709" spans="2:27" x14ac:dyDescent="0.15">
      <c r="B709" s="241">
        <v>43693</v>
      </c>
      <c r="C709" s="244"/>
      <c r="D709" s="245">
        <v>63.065849</v>
      </c>
      <c r="E709" s="228">
        <f t="shared" si="60"/>
        <v>1.6291629244142847E-2</v>
      </c>
      <c r="F709" s="228"/>
      <c r="G709" s="245">
        <v>209.435822</v>
      </c>
      <c r="H709" s="228">
        <f t="shared" si="61"/>
        <v>1.424770905545869E-2</v>
      </c>
      <c r="J709" s="227"/>
      <c r="K709" s="245">
        <v>39.432133</v>
      </c>
      <c r="L709" s="228">
        <f t="shared" si="62"/>
        <v>1.6642043070289825E-2</v>
      </c>
      <c r="M709" s="228"/>
      <c r="N709" s="227"/>
      <c r="O709" s="322">
        <v>46.630001</v>
      </c>
      <c r="P709" s="228">
        <f t="shared" si="63"/>
        <v>-1.1238316369804879E-2</v>
      </c>
      <c r="Q709" s="228"/>
      <c r="R709" s="227"/>
      <c r="S709" s="322">
        <v>205.11000100000001</v>
      </c>
      <c r="T709" s="228">
        <f t="shared" si="64"/>
        <v>3.1066245500747769E-2</v>
      </c>
      <c r="U709" s="228"/>
      <c r="V709" s="228"/>
      <c r="W709" s="228"/>
      <c r="X709" s="322">
        <v>136.11999499999999</v>
      </c>
      <c r="Y709" s="228">
        <f t="shared" si="65"/>
        <v>3.08997441403982E-2</v>
      </c>
      <c r="Z709" s="228"/>
      <c r="AA709" s="202"/>
    </row>
    <row r="710" spans="2:27" x14ac:dyDescent="0.15">
      <c r="B710" s="241">
        <v>43696</v>
      </c>
      <c r="C710" s="244"/>
      <c r="D710" s="245">
        <v>63.730227999999997</v>
      </c>
      <c r="E710" s="228">
        <f t="shared" si="60"/>
        <v>1.0534687323403791E-2</v>
      </c>
      <c r="F710" s="228"/>
      <c r="G710" s="245">
        <v>212.230255</v>
      </c>
      <c r="H710" s="228">
        <f t="shared" si="61"/>
        <v>1.3342669717695266E-2</v>
      </c>
      <c r="J710" s="227"/>
      <c r="K710" s="245">
        <v>39.659950000000002</v>
      </c>
      <c r="L710" s="228">
        <f t="shared" si="62"/>
        <v>5.7774455163255301E-3</v>
      </c>
      <c r="M710" s="228"/>
      <c r="N710" s="227"/>
      <c r="O710" s="322">
        <v>47.099997999999999</v>
      </c>
      <c r="P710" s="228">
        <f t="shared" si="63"/>
        <v>1.0079283506770675E-2</v>
      </c>
      <c r="Q710" s="228"/>
      <c r="R710" s="227"/>
      <c r="S710" s="322">
        <v>208.050003</v>
      </c>
      <c r="T710" s="228">
        <f t="shared" si="64"/>
        <v>1.4333781803257839E-2</v>
      </c>
      <c r="U710" s="228"/>
      <c r="V710" s="228"/>
      <c r="W710" s="228"/>
      <c r="X710" s="322">
        <v>140.36000100000001</v>
      </c>
      <c r="Y710" s="228">
        <f t="shared" si="65"/>
        <v>3.1149031411586758E-2</v>
      </c>
      <c r="Z710" s="228"/>
      <c r="AA710" s="202"/>
    </row>
    <row r="711" spans="2:27" x14ac:dyDescent="0.15">
      <c r="B711" s="241">
        <v>43697</v>
      </c>
      <c r="C711" s="244"/>
      <c r="D711" s="245">
        <v>63.268062999999998</v>
      </c>
      <c r="E711" s="228">
        <f t="shared" si="60"/>
        <v>-7.2518962273286913E-3</v>
      </c>
      <c r="F711" s="228"/>
      <c r="G711" s="245">
        <v>211.246307</v>
      </c>
      <c r="H711" s="228">
        <f t="shared" si="61"/>
        <v>-4.6362287035842664E-3</v>
      </c>
      <c r="J711" s="227"/>
      <c r="K711" s="245">
        <v>39.811832000000003</v>
      </c>
      <c r="L711" s="228">
        <f t="shared" si="62"/>
        <v>3.8296064417631115E-3</v>
      </c>
      <c r="M711" s="228"/>
      <c r="N711" s="227"/>
      <c r="O711" s="322">
        <v>46.73</v>
      </c>
      <c r="P711" s="228">
        <f t="shared" si="63"/>
        <v>-7.8555841976893914E-3</v>
      </c>
      <c r="Q711" s="228"/>
      <c r="R711" s="227"/>
      <c r="S711" s="322">
        <v>206.759995</v>
      </c>
      <c r="T711" s="228">
        <f t="shared" si="64"/>
        <v>-6.2004709512069045E-3</v>
      </c>
      <c r="U711" s="228"/>
      <c r="V711" s="228"/>
      <c r="W711" s="228"/>
      <c r="X711" s="322">
        <v>140.36999499999999</v>
      </c>
      <c r="Y711" s="228">
        <f t="shared" si="65"/>
        <v>7.1202621322097315E-5</v>
      </c>
      <c r="Z711" s="228"/>
      <c r="AA711" s="202"/>
    </row>
    <row r="712" spans="2:27" x14ac:dyDescent="0.15">
      <c r="B712" s="241">
        <v>43698</v>
      </c>
      <c r="C712" s="244"/>
      <c r="D712" s="245">
        <v>63.836146999999997</v>
      </c>
      <c r="E712" s="228">
        <f t="shared" si="60"/>
        <v>8.9790009850625463E-3</v>
      </c>
      <c r="F712" s="228"/>
      <c r="G712" s="245">
        <v>213.548767</v>
      </c>
      <c r="H712" s="228">
        <f t="shared" si="61"/>
        <v>1.089940947464707E-2</v>
      </c>
      <c r="J712" s="227"/>
      <c r="K712" s="245">
        <v>40.419361000000002</v>
      </c>
      <c r="L712" s="228">
        <f t="shared" si="62"/>
        <v>1.5260011144425656E-2</v>
      </c>
      <c r="M712" s="228"/>
      <c r="N712" s="227"/>
      <c r="O712" s="322">
        <v>46.830002</v>
      </c>
      <c r="P712" s="228">
        <f t="shared" si="63"/>
        <v>2.1399957200942676E-3</v>
      </c>
      <c r="Q712" s="228"/>
      <c r="R712" s="227"/>
      <c r="S712" s="322">
        <v>207.990005</v>
      </c>
      <c r="T712" s="228">
        <f t="shared" si="64"/>
        <v>5.9489748004684095E-3</v>
      </c>
      <c r="U712" s="228"/>
      <c r="V712" s="228"/>
      <c r="W712" s="228"/>
      <c r="X712" s="322">
        <v>141.89999399999999</v>
      </c>
      <c r="Y712" s="228">
        <f t="shared" si="65"/>
        <v>1.0899758171253104E-2</v>
      </c>
      <c r="Z712" s="228"/>
      <c r="AA712" s="202"/>
    </row>
    <row r="713" spans="2:27" x14ac:dyDescent="0.15">
      <c r="B713" s="241">
        <v>43699</v>
      </c>
      <c r="C713" s="244"/>
      <c r="D713" s="245">
        <v>63.807236000000003</v>
      </c>
      <c r="E713" s="228">
        <f t="shared" ref="E713:E776" si="66">D713/D712-1</f>
        <v>-4.5289387531477487E-4</v>
      </c>
      <c r="F713" s="228"/>
      <c r="G713" s="245">
        <v>211.80714399999999</v>
      </c>
      <c r="H713" s="228">
        <f t="shared" ref="H713:H776" si="67">G713/G712-1</f>
        <v>-8.1556218959578652E-3</v>
      </c>
      <c r="J713" s="227"/>
      <c r="K713" s="245">
        <v>39.992190999999998</v>
      </c>
      <c r="L713" s="228">
        <f t="shared" ref="L713:L776" si="68">K713/K712-1</f>
        <v>-1.056845010488916E-2</v>
      </c>
      <c r="M713" s="228"/>
      <c r="N713" s="227"/>
      <c r="O713" s="322">
        <v>47.029998999999997</v>
      </c>
      <c r="P713" s="228">
        <f t="shared" ref="P713:P776" si="69">O713/O712-1</f>
        <v>4.2707023587142956E-3</v>
      </c>
      <c r="Q713" s="228"/>
      <c r="R713" s="227"/>
      <c r="S713" s="322">
        <v>210.46000699999999</v>
      </c>
      <c r="T713" s="228">
        <f t="shared" ref="T713:T776" si="70">S713/S712-1</f>
        <v>1.1875580271273112E-2</v>
      </c>
      <c r="U713" s="228"/>
      <c r="V713" s="228"/>
      <c r="W713" s="228"/>
      <c r="X713" s="322">
        <v>143.570007</v>
      </c>
      <c r="Y713" s="228">
        <f t="shared" ref="Y713:Y776" si="71">X713/X712-1</f>
        <v>1.1768943415177313E-2</v>
      </c>
      <c r="Z713" s="228"/>
      <c r="AA713" s="202"/>
    </row>
    <row r="714" spans="2:27" x14ac:dyDescent="0.15">
      <c r="B714" s="241">
        <v>43700</v>
      </c>
      <c r="C714" s="244"/>
      <c r="D714" s="245">
        <v>62.170417999999998</v>
      </c>
      <c r="E714" s="228">
        <f t="shared" si="66"/>
        <v>-2.5652545112595182E-2</v>
      </c>
      <c r="F714" s="228"/>
      <c r="G714" s="245">
        <v>207.12352000000001</v>
      </c>
      <c r="H714" s="228">
        <f t="shared" si="67"/>
        <v>-2.2112681902740627E-2</v>
      </c>
      <c r="J714" s="227"/>
      <c r="K714" s="245">
        <v>38.872070000000001</v>
      </c>
      <c r="L714" s="228">
        <f t="shared" si="68"/>
        <v>-2.8008492958037645E-2</v>
      </c>
      <c r="M714" s="228"/>
      <c r="N714" s="227"/>
      <c r="O714" s="322">
        <v>45.119999</v>
      </c>
      <c r="P714" s="228">
        <f t="shared" si="69"/>
        <v>-4.0612375943278156E-2</v>
      </c>
      <c r="Q714" s="228"/>
      <c r="R714" s="227"/>
      <c r="S714" s="322">
        <v>200.38999899999999</v>
      </c>
      <c r="T714" s="228">
        <f t="shared" si="70"/>
        <v>-4.7847608405714781E-2</v>
      </c>
      <c r="U714" s="228"/>
      <c r="V714" s="228"/>
      <c r="W714" s="228"/>
      <c r="X714" s="322">
        <v>139.16000399999999</v>
      </c>
      <c r="Y714" s="228">
        <f t="shared" si="71"/>
        <v>-3.0716742947571318E-2</v>
      </c>
      <c r="Z714" s="228"/>
      <c r="AA714" s="202"/>
    </row>
    <row r="715" spans="2:27" x14ac:dyDescent="0.15">
      <c r="B715" s="241">
        <v>43703</v>
      </c>
      <c r="C715" s="244"/>
      <c r="D715" s="245">
        <v>62.786636000000001</v>
      </c>
      <c r="E715" s="228">
        <f t="shared" si="66"/>
        <v>9.9117557806995826E-3</v>
      </c>
      <c r="F715" s="228"/>
      <c r="G715" s="245">
        <v>210.55754099999999</v>
      </c>
      <c r="H715" s="228">
        <f t="shared" si="67"/>
        <v>1.6579580146184991E-2</v>
      </c>
      <c r="J715" s="227"/>
      <c r="K715" s="245">
        <v>39.242283</v>
      </c>
      <c r="L715" s="228">
        <f t="shared" si="68"/>
        <v>9.5238817999658831E-3</v>
      </c>
      <c r="M715" s="228"/>
      <c r="N715" s="227"/>
      <c r="O715" s="322">
        <v>45.610000999999997</v>
      </c>
      <c r="P715" s="228">
        <f t="shared" si="69"/>
        <v>1.0859973644946175E-2</v>
      </c>
      <c r="Q715" s="228"/>
      <c r="R715" s="227"/>
      <c r="S715" s="322">
        <v>201.33999600000001</v>
      </c>
      <c r="T715" s="228">
        <f t="shared" si="70"/>
        <v>4.7407405795736324E-3</v>
      </c>
      <c r="U715" s="228"/>
      <c r="V715" s="228"/>
      <c r="W715" s="228"/>
      <c r="X715" s="322">
        <v>141.28999300000001</v>
      </c>
      <c r="Y715" s="228">
        <f t="shared" si="71"/>
        <v>1.5306042963321831E-2</v>
      </c>
      <c r="Z715" s="228"/>
      <c r="AA715" s="202"/>
    </row>
    <row r="716" spans="2:27" x14ac:dyDescent="0.15">
      <c r="B716" s="241">
        <v>43704</v>
      </c>
      <c r="C716" s="244"/>
      <c r="D716" s="245">
        <v>62.526676000000002</v>
      </c>
      <c r="E716" s="228">
        <f t="shared" si="66"/>
        <v>-4.1403715274695996E-3</v>
      </c>
      <c r="F716" s="228"/>
      <c r="G716" s="245">
        <v>210.63626099999999</v>
      </c>
      <c r="H716" s="228">
        <f t="shared" si="67"/>
        <v>3.7386454850363293E-4</v>
      </c>
      <c r="J716" s="227"/>
      <c r="K716" s="245">
        <v>39.25177</v>
      </c>
      <c r="L716" s="228">
        <f t="shared" si="68"/>
        <v>2.4175453808328307E-4</v>
      </c>
      <c r="M716" s="228"/>
      <c r="N716" s="227"/>
      <c r="O716" s="322">
        <v>45.509998000000003</v>
      </c>
      <c r="P716" s="228">
        <f t="shared" si="69"/>
        <v>-2.1925673713533156E-3</v>
      </c>
      <c r="Q716" s="228"/>
      <c r="R716" s="227"/>
      <c r="S716" s="322">
        <v>199.770004</v>
      </c>
      <c r="T716" s="228">
        <f t="shared" si="70"/>
        <v>-7.7977154623566358E-3</v>
      </c>
      <c r="U716" s="228"/>
      <c r="V716" s="228"/>
      <c r="W716" s="228"/>
      <c r="X716" s="322">
        <v>142.41999799999999</v>
      </c>
      <c r="Y716" s="228">
        <f t="shared" si="71"/>
        <v>7.9977709390925966E-3</v>
      </c>
      <c r="Z716" s="228"/>
      <c r="AA716" s="202"/>
    </row>
    <row r="717" spans="2:27" x14ac:dyDescent="0.15">
      <c r="B717" s="241">
        <v>43705</v>
      </c>
      <c r="C717" s="244"/>
      <c r="D717" s="245">
        <v>62.959938000000001</v>
      </c>
      <c r="E717" s="228">
        <f t="shared" si="66"/>
        <v>6.9292344918510107E-3</v>
      </c>
      <c r="F717" s="228"/>
      <c r="G717" s="245">
        <v>212.28930700000001</v>
      </c>
      <c r="H717" s="228">
        <f t="shared" si="67"/>
        <v>7.8478700303175053E-3</v>
      </c>
      <c r="J717" s="227"/>
      <c r="K717" s="245">
        <v>39.536552</v>
      </c>
      <c r="L717" s="228">
        <f t="shared" si="68"/>
        <v>7.2552651765767084E-3</v>
      </c>
      <c r="M717" s="228"/>
      <c r="N717" s="227"/>
      <c r="O717" s="322">
        <v>45.900002000000001</v>
      </c>
      <c r="P717" s="228">
        <f t="shared" si="69"/>
        <v>8.5696334242861827E-3</v>
      </c>
      <c r="Q717" s="228"/>
      <c r="R717" s="227"/>
      <c r="S717" s="322">
        <v>203.279999</v>
      </c>
      <c r="T717" s="228">
        <f t="shared" si="70"/>
        <v>1.7570180356005771E-2</v>
      </c>
      <c r="U717" s="228"/>
      <c r="V717" s="228"/>
      <c r="W717" s="228"/>
      <c r="X717" s="322">
        <v>143.55999800000001</v>
      </c>
      <c r="Y717" s="228">
        <f t="shared" si="71"/>
        <v>8.0044938632846119E-3</v>
      </c>
      <c r="Z717" s="228"/>
      <c r="AA717" s="202"/>
    </row>
    <row r="718" spans="2:27" x14ac:dyDescent="0.15">
      <c r="B718" s="241">
        <v>43706</v>
      </c>
      <c r="C718" s="244"/>
      <c r="D718" s="245">
        <v>63.759098000000002</v>
      </c>
      <c r="E718" s="228">
        <f t="shared" si="66"/>
        <v>1.269315100024393E-2</v>
      </c>
      <c r="F718" s="228"/>
      <c r="G718" s="245">
        <v>216.215317</v>
      </c>
      <c r="H718" s="228">
        <f t="shared" si="67"/>
        <v>1.8493677592531732E-2</v>
      </c>
      <c r="J718" s="227"/>
      <c r="K718" s="245">
        <v>40.134579000000002</v>
      </c>
      <c r="L718" s="228">
        <f t="shared" si="68"/>
        <v>1.5125927015588125E-2</v>
      </c>
      <c r="M718" s="228"/>
      <c r="N718" s="227"/>
      <c r="O718" s="322">
        <v>47.310001</v>
      </c>
      <c r="P718" s="228">
        <f t="shared" si="69"/>
        <v>3.0718931123357995E-2</v>
      </c>
      <c r="Q718" s="228"/>
      <c r="R718" s="227"/>
      <c r="S718" s="322">
        <v>207.66000399999999</v>
      </c>
      <c r="T718" s="228">
        <f t="shared" si="70"/>
        <v>2.1546659885609332E-2</v>
      </c>
      <c r="U718" s="228"/>
      <c r="V718" s="228"/>
      <c r="W718" s="228"/>
      <c r="X718" s="322">
        <v>146.36999499999999</v>
      </c>
      <c r="Y718" s="228">
        <f t="shared" si="71"/>
        <v>1.9573676784252925E-2</v>
      </c>
      <c r="Z718" s="228"/>
      <c r="AA718" s="202"/>
    </row>
    <row r="719" spans="2:27" x14ac:dyDescent="0.15">
      <c r="B719" s="241">
        <v>43707</v>
      </c>
      <c r="C719" s="244"/>
      <c r="D719" s="245">
        <v>63.749470000000002</v>
      </c>
      <c r="E719" s="228">
        <f t="shared" si="66"/>
        <v>-1.5100590036576378E-4</v>
      </c>
      <c r="F719" s="228"/>
      <c r="G719" s="245">
        <v>219.03926100000001</v>
      </c>
      <c r="H719" s="228">
        <f t="shared" si="67"/>
        <v>1.3060795318215135E-2</v>
      </c>
      <c r="J719" s="227"/>
      <c r="K719" s="245">
        <v>40.466824000000003</v>
      </c>
      <c r="L719" s="228">
        <f t="shared" si="68"/>
        <v>8.2782729575909819E-3</v>
      </c>
      <c r="M719" s="228"/>
      <c r="N719" s="227"/>
      <c r="O719" s="322">
        <v>48.02</v>
      </c>
      <c r="P719" s="228">
        <f t="shared" si="69"/>
        <v>1.5007376558711094E-2</v>
      </c>
      <c r="Q719" s="228"/>
      <c r="R719" s="227"/>
      <c r="S719" s="322">
        <v>210.509995</v>
      </c>
      <c r="T719" s="228">
        <f t="shared" si="70"/>
        <v>1.3724313517782694E-2</v>
      </c>
      <c r="U719" s="228"/>
      <c r="V719" s="228"/>
      <c r="W719" s="228"/>
      <c r="X719" s="322">
        <v>147.89999399999999</v>
      </c>
      <c r="Y719" s="228">
        <f t="shared" si="71"/>
        <v>1.0452955197545855E-2</v>
      </c>
      <c r="Z719" s="228"/>
      <c r="AA719" s="202"/>
    </row>
    <row r="720" spans="2:27" x14ac:dyDescent="0.15">
      <c r="B720" s="241">
        <v>43711</v>
      </c>
      <c r="C720" s="244"/>
      <c r="D720" s="245">
        <v>63.306567999999999</v>
      </c>
      <c r="E720" s="228">
        <f t="shared" si="66"/>
        <v>-6.9475401128825665E-3</v>
      </c>
      <c r="F720" s="228"/>
      <c r="G720" s="245">
        <v>216.49079900000001</v>
      </c>
      <c r="H720" s="228">
        <f t="shared" si="67"/>
        <v>-1.1634726981662014E-2</v>
      </c>
      <c r="J720" s="227"/>
      <c r="K720" s="245">
        <v>39.602997000000002</v>
      </c>
      <c r="L720" s="228">
        <f t="shared" si="68"/>
        <v>-2.134654797717761E-2</v>
      </c>
      <c r="M720" s="228"/>
      <c r="N720" s="227"/>
      <c r="O720" s="322">
        <v>47.610000999999997</v>
      </c>
      <c r="P720" s="228">
        <f t="shared" si="69"/>
        <v>-8.5380882965432336E-3</v>
      </c>
      <c r="Q720" s="228"/>
      <c r="R720" s="227"/>
      <c r="S720" s="322">
        <v>212.94000199999999</v>
      </c>
      <c r="T720" s="228">
        <f t="shared" si="70"/>
        <v>1.154342813983722E-2</v>
      </c>
      <c r="U720" s="228"/>
      <c r="V720" s="228"/>
      <c r="W720" s="228"/>
      <c r="X720" s="322">
        <v>149.929993</v>
      </c>
      <c r="Y720" s="228">
        <f t="shared" si="71"/>
        <v>1.3725483991567922E-2</v>
      </c>
      <c r="Z720" s="228"/>
      <c r="AA720" s="202"/>
    </row>
    <row r="721" spans="2:27" x14ac:dyDescent="0.15">
      <c r="B721" s="241">
        <v>43712</v>
      </c>
      <c r="C721" s="244"/>
      <c r="D721" s="245">
        <v>64.028694000000002</v>
      </c>
      <c r="E721" s="228">
        <f t="shared" si="66"/>
        <v>1.1406810111709076E-2</v>
      </c>
      <c r="F721" s="228"/>
      <c r="G721" s="245">
        <v>223.624527</v>
      </c>
      <c r="H721" s="228">
        <f t="shared" si="67"/>
        <v>3.2951645210566261E-2</v>
      </c>
      <c r="J721" s="227"/>
      <c r="K721" s="245">
        <v>40.960438000000003</v>
      </c>
      <c r="L721" s="228">
        <f t="shared" si="68"/>
        <v>3.4276219044735434E-2</v>
      </c>
      <c r="M721" s="228"/>
      <c r="N721" s="227"/>
      <c r="O721" s="322">
        <v>49.509998000000003</v>
      </c>
      <c r="P721" s="228">
        <f t="shared" si="69"/>
        <v>3.9907518590474478E-2</v>
      </c>
      <c r="Q721" s="228"/>
      <c r="R721" s="227"/>
      <c r="S721" s="322">
        <v>221.60000600000001</v>
      </c>
      <c r="T721" s="228">
        <f t="shared" si="70"/>
        <v>4.0668751379085766E-2</v>
      </c>
      <c r="U721" s="228"/>
      <c r="V721" s="228"/>
      <c r="W721" s="228"/>
      <c r="X721" s="322">
        <v>150.64999399999999</v>
      </c>
      <c r="Y721" s="228">
        <f t="shared" si="71"/>
        <v>4.8022479398102114E-3</v>
      </c>
      <c r="Z721" s="228"/>
      <c r="AA721" s="202"/>
    </row>
    <row r="722" spans="2:27" x14ac:dyDescent="0.15">
      <c r="B722" s="241">
        <v>43713</v>
      </c>
      <c r="C722" s="244"/>
      <c r="D722" s="245">
        <v>64.904892000000004</v>
      </c>
      <c r="E722" s="228">
        <f t="shared" si="66"/>
        <v>1.3684458408600442E-2</v>
      </c>
      <c r="F722" s="228"/>
      <c r="G722" s="245">
        <v>233.28698700000001</v>
      </c>
      <c r="H722" s="228">
        <f t="shared" si="67"/>
        <v>4.3208408887992933E-2</v>
      </c>
      <c r="J722" s="227"/>
      <c r="K722" s="245">
        <v>41.995128999999999</v>
      </c>
      <c r="L722" s="228">
        <f t="shared" si="68"/>
        <v>2.5260740620009825E-2</v>
      </c>
      <c r="M722" s="228"/>
      <c r="N722" s="227"/>
      <c r="O722" s="322">
        <v>50.349997999999999</v>
      </c>
      <c r="P722" s="228">
        <f t="shared" si="69"/>
        <v>1.6966270125884364E-2</v>
      </c>
      <c r="Q722" s="228"/>
      <c r="R722" s="227"/>
      <c r="S722" s="322">
        <v>226.740005</v>
      </c>
      <c r="T722" s="228">
        <f t="shared" si="70"/>
        <v>2.3194940707718104E-2</v>
      </c>
      <c r="U722" s="228"/>
      <c r="V722" s="228"/>
      <c r="W722" s="228"/>
      <c r="X722" s="322">
        <v>151</v>
      </c>
      <c r="Y722" s="228">
        <f t="shared" si="71"/>
        <v>2.3233057679379332E-3</v>
      </c>
      <c r="Z722" s="228"/>
      <c r="AA722" s="202"/>
    </row>
    <row r="723" spans="2:27" x14ac:dyDescent="0.15">
      <c r="B723" s="241">
        <v>43714</v>
      </c>
      <c r="C723" s="244"/>
      <c r="D723" s="245">
        <v>64.895256000000003</v>
      </c>
      <c r="E723" s="228">
        <f t="shared" si="66"/>
        <v>-1.4846338547180871E-4</v>
      </c>
      <c r="F723" s="228"/>
      <c r="G723" s="245">
        <v>234.73341400000001</v>
      </c>
      <c r="H723" s="228">
        <f t="shared" si="67"/>
        <v>6.2002043860251987E-3</v>
      </c>
      <c r="J723" s="227"/>
      <c r="K723" s="245">
        <v>41.492027</v>
      </c>
      <c r="L723" s="228">
        <f t="shared" si="68"/>
        <v>-1.1980008443360113E-2</v>
      </c>
      <c r="M723" s="228"/>
      <c r="N723" s="227"/>
      <c r="O723" s="322">
        <v>50.099997999999999</v>
      </c>
      <c r="P723" s="228">
        <f t="shared" si="69"/>
        <v>-4.9652434941507284E-3</v>
      </c>
      <c r="Q723" s="228"/>
      <c r="R723" s="227"/>
      <c r="S723" s="322">
        <v>227.91999799999999</v>
      </c>
      <c r="T723" s="228">
        <f t="shared" si="70"/>
        <v>5.2041676544904991E-3</v>
      </c>
      <c r="U723" s="228"/>
      <c r="V723" s="228"/>
      <c r="W723" s="228"/>
      <c r="X723" s="322">
        <v>150.979996</v>
      </c>
      <c r="Y723" s="228">
        <f t="shared" si="71"/>
        <v>-1.324768211921068E-4</v>
      </c>
      <c r="Z723" s="228"/>
      <c r="AA723" s="202"/>
    </row>
    <row r="724" spans="2:27" x14ac:dyDescent="0.15">
      <c r="B724" s="241">
        <v>43717</v>
      </c>
      <c r="C724" s="244"/>
      <c r="D724" s="245">
        <v>64.943382</v>
      </c>
      <c r="E724" s="228">
        <f t="shared" si="66"/>
        <v>7.4159504047566216E-4</v>
      </c>
      <c r="F724" s="228"/>
      <c r="G724" s="245">
        <v>237.459</v>
      </c>
      <c r="H724" s="228">
        <f t="shared" si="67"/>
        <v>1.1611410380628628E-2</v>
      </c>
      <c r="J724" s="227"/>
      <c r="K724" s="245">
        <v>41.624912000000002</v>
      </c>
      <c r="L724" s="228">
        <f t="shared" si="68"/>
        <v>3.2026634900241824E-3</v>
      </c>
      <c r="M724" s="228"/>
      <c r="N724" s="227"/>
      <c r="O724" s="322">
        <v>50.66</v>
      </c>
      <c r="P724" s="228">
        <f t="shared" si="69"/>
        <v>1.1177685076953381E-2</v>
      </c>
      <c r="Q724" s="228"/>
      <c r="R724" s="227"/>
      <c r="S724" s="322">
        <v>230.33999600000001</v>
      </c>
      <c r="T724" s="228">
        <f t="shared" si="70"/>
        <v>1.0617751935922737E-2</v>
      </c>
      <c r="U724" s="228"/>
      <c r="V724" s="228"/>
      <c r="W724" s="228"/>
      <c r="X724" s="322">
        <v>150.509995</v>
      </c>
      <c r="Y724" s="228">
        <f t="shared" si="71"/>
        <v>-3.1130018045568697E-3</v>
      </c>
      <c r="Z724" s="228"/>
      <c r="AA724" s="202"/>
    </row>
    <row r="725" spans="2:27" x14ac:dyDescent="0.15">
      <c r="B725" s="241">
        <v>43718</v>
      </c>
      <c r="C725" s="244"/>
      <c r="D725" s="245">
        <v>65.039687999999998</v>
      </c>
      <c r="E725" s="228">
        <f t="shared" si="66"/>
        <v>1.4829224631387472E-3</v>
      </c>
      <c r="F725" s="228"/>
      <c r="G725" s="245">
        <v>237.793533</v>
      </c>
      <c r="H725" s="228">
        <f t="shared" si="67"/>
        <v>1.4088032039214493E-3</v>
      </c>
      <c r="J725" s="227"/>
      <c r="K725" s="245">
        <v>41.862225000000002</v>
      </c>
      <c r="L725" s="228">
        <f t="shared" si="68"/>
        <v>5.7012252662540508E-3</v>
      </c>
      <c r="M725" s="228"/>
      <c r="N725" s="227"/>
      <c r="O725" s="322">
        <v>50.189999</v>
      </c>
      <c r="P725" s="228">
        <f t="shared" si="69"/>
        <v>-9.2775562574022308E-3</v>
      </c>
      <c r="Q725" s="228"/>
      <c r="R725" s="227"/>
      <c r="S725" s="322">
        <v>231.94000199999999</v>
      </c>
      <c r="T725" s="228">
        <f t="shared" si="70"/>
        <v>6.9462795336681094E-3</v>
      </c>
      <c r="U725" s="228"/>
      <c r="V725" s="228"/>
      <c r="W725" s="228"/>
      <c r="X725" s="322">
        <v>148.75</v>
      </c>
      <c r="Y725" s="228">
        <f t="shared" si="71"/>
        <v>-1.1693542345808994E-2</v>
      </c>
      <c r="Z725" s="228"/>
      <c r="AA725" s="202"/>
    </row>
    <row r="726" spans="2:27" x14ac:dyDescent="0.15">
      <c r="B726" s="241">
        <v>43719</v>
      </c>
      <c r="C726" s="244"/>
      <c r="D726" s="245">
        <v>65.521102999999997</v>
      </c>
      <c r="E726" s="228">
        <f t="shared" si="66"/>
        <v>7.4018651503986455E-3</v>
      </c>
      <c r="F726" s="228"/>
      <c r="G726" s="245">
        <v>241.306274</v>
      </c>
      <c r="H726" s="228">
        <f t="shared" si="67"/>
        <v>1.4772231000916181E-2</v>
      </c>
      <c r="J726" s="227"/>
      <c r="K726" s="245">
        <v>41.976139000000003</v>
      </c>
      <c r="L726" s="228">
        <f t="shared" si="68"/>
        <v>2.7211644865985374E-3</v>
      </c>
      <c r="M726" s="228"/>
      <c r="N726" s="227"/>
      <c r="O726" s="322">
        <v>51.560001</v>
      </c>
      <c r="P726" s="228">
        <f t="shared" si="69"/>
        <v>2.7296314550633971E-2</v>
      </c>
      <c r="Q726" s="228"/>
      <c r="R726" s="227"/>
      <c r="S726" s="322">
        <v>234.009995</v>
      </c>
      <c r="T726" s="228">
        <f t="shared" si="70"/>
        <v>8.9246916536631637E-3</v>
      </c>
      <c r="U726" s="228"/>
      <c r="V726" s="228"/>
      <c r="W726" s="228"/>
      <c r="X726" s="322">
        <v>150.64999399999999</v>
      </c>
      <c r="Y726" s="228">
        <f t="shared" si="71"/>
        <v>1.2773068907562912E-2</v>
      </c>
      <c r="Z726" s="228"/>
      <c r="AA726" s="202"/>
    </row>
    <row r="727" spans="2:27" x14ac:dyDescent="0.15">
      <c r="B727" s="241">
        <v>43720</v>
      </c>
      <c r="C727" s="244"/>
      <c r="D727" s="245">
        <v>65.742553999999998</v>
      </c>
      <c r="E727" s="228">
        <f t="shared" si="66"/>
        <v>3.3798423692592561E-3</v>
      </c>
      <c r="F727" s="228"/>
      <c r="G727" s="245">
        <v>242.87077300000001</v>
      </c>
      <c r="H727" s="228">
        <f t="shared" si="67"/>
        <v>6.4834576161911794E-3</v>
      </c>
      <c r="J727" s="227"/>
      <c r="K727" s="245">
        <v>41.833751999999997</v>
      </c>
      <c r="L727" s="228">
        <f t="shared" si="68"/>
        <v>-3.3920937797543571E-3</v>
      </c>
      <c r="M727" s="228"/>
      <c r="N727" s="227"/>
      <c r="O727" s="322">
        <v>51.25</v>
      </c>
      <c r="P727" s="228">
        <f t="shared" si="69"/>
        <v>-6.0124320013105192E-3</v>
      </c>
      <c r="Q727" s="228"/>
      <c r="R727" s="227"/>
      <c r="S727" s="322">
        <v>234.86999499999999</v>
      </c>
      <c r="T727" s="228">
        <f t="shared" si="70"/>
        <v>3.6750567000354284E-3</v>
      </c>
      <c r="U727" s="228"/>
      <c r="V727" s="228"/>
      <c r="W727" s="228"/>
      <c r="X727" s="322">
        <v>149.61000100000001</v>
      </c>
      <c r="Y727" s="228">
        <f t="shared" si="71"/>
        <v>-6.9033723293741023E-3</v>
      </c>
      <c r="Z727" s="228"/>
      <c r="AA727" s="202"/>
    </row>
    <row r="728" spans="2:27" x14ac:dyDescent="0.15">
      <c r="B728" s="241">
        <v>43721</v>
      </c>
      <c r="C728" s="244"/>
      <c r="D728" s="245">
        <v>65.646277999999995</v>
      </c>
      <c r="E728" s="228">
        <f t="shared" si="66"/>
        <v>-1.4644396078680177E-3</v>
      </c>
      <c r="F728" s="228"/>
      <c r="G728" s="245">
        <v>244.99610899999999</v>
      </c>
      <c r="H728" s="228">
        <f t="shared" si="67"/>
        <v>8.7508923932975158E-3</v>
      </c>
      <c r="J728" s="227"/>
      <c r="K728" s="245">
        <v>42.469752999999997</v>
      </c>
      <c r="L728" s="228">
        <f t="shared" si="68"/>
        <v>1.5203059003648489E-2</v>
      </c>
      <c r="M728" s="228"/>
      <c r="N728" s="227"/>
      <c r="O728" s="322">
        <v>51.349997999999999</v>
      </c>
      <c r="P728" s="228">
        <f t="shared" si="69"/>
        <v>1.9511804878049599E-3</v>
      </c>
      <c r="Q728" s="228"/>
      <c r="R728" s="227"/>
      <c r="S728" s="322">
        <v>235.55999800000001</v>
      </c>
      <c r="T728" s="228">
        <f t="shared" si="70"/>
        <v>2.9378082117301751E-3</v>
      </c>
      <c r="U728" s="228"/>
      <c r="V728" s="228"/>
      <c r="W728" s="228"/>
      <c r="X728" s="322">
        <v>150.320007</v>
      </c>
      <c r="Y728" s="228">
        <f t="shared" si="71"/>
        <v>4.7457121532936686E-3</v>
      </c>
      <c r="Z728" s="228"/>
      <c r="AA728" s="202"/>
    </row>
    <row r="729" spans="2:27" x14ac:dyDescent="0.15">
      <c r="B729" s="241">
        <v>43724</v>
      </c>
      <c r="C729" s="244"/>
      <c r="D729" s="245">
        <v>65.578864999999993</v>
      </c>
      <c r="E729" s="228">
        <f t="shared" si="66"/>
        <v>-1.0269127520070587E-3</v>
      </c>
      <c r="F729" s="228"/>
      <c r="G729" s="245">
        <v>242.26071200000001</v>
      </c>
      <c r="H729" s="228">
        <f t="shared" si="67"/>
        <v>-1.1165063033715228E-2</v>
      </c>
      <c r="J729" s="227"/>
      <c r="K729" s="245">
        <v>42.336857000000002</v>
      </c>
      <c r="L729" s="228">
        <f t="shared" si="68"/>
        <v>-3.1291917332317842E-3</v>
      </c>
      <c r="M729" s="228"/>
      <c r="N729" s="227"/>
      <c r="O729" s="322">
        <v>50.919998</v>
      </c>
      <c r="P729" s="228">
        <f t="shared" si="69"/>
        <v>-8.3739049025863821E-3</v>
      </c>
      <c r="Q729" s="228"/>
      <c r="R729" s="227"/>
      <c r="S729" s="322">
        <v>234.94000199999999</v>
      </c>
      <c r="T729" s="228">
        <f t="shared" si="70"/>
        <v>-2.6320088523689167E-3</v>
      </c>
      <c r="U729" s="228"/>
      <c r="V729" s="228"/>
      <c r="W729" s="228"/>
      <c r="X729" s="322">
        <v>151.19000199999999</v>
      </c>
      <c r="Y729" s="228">
        <f t="shared" si="71"/>
        <v>5.7876194750310361E-3</v>
      </c>
      <c r="Z729" s="228"/>
      <c r="AA729" s="202"/>
    </row>
    <row r="730" spans="2:27" x14ac:dyDescent="0.15">
      <c r="B730" s="241">
        <v>43725</v>
      </c>
      <c r="C730" s="244"/>
      <c r="D730" s="245">
        <v>65.684783999999993</v>
      </c>
      <c r="E730" s="228">
        <f t="shared" si="66"/>
        <v>1.6151392678114274E-3</v>
      </c>
      <c r="F730" s="228"/>
      <c r="G730" s="245">
        <v>244.12042199999999</v>
      </c>
      <c r="H730" s="228">
        <f t="shared" si="67"/>
        <v>7.6764820207413376E-3</v>
      </c>
      <c r="J730" s="227"/>
      <c r="K730" s="245">
        <v>42.839970000000001</v>
      </c>
      <c r="L730" s="228">
        <f t="shared" si="68"/>
        <v>1.1883569911672831E-2</v>
      </c>
      <c r="M730" s="228"/>
      <c r="N730" s="227"/>
      <c r="O730" s="322">
        <v>51.200001</v>
      </c>
      <c r="P730" s="228">
        <f t="shared" si="69"/>
        <v>5.4988808129960987E-3</v>
      </c>
      <c r="Q730" s="228"/>
      <c r="R730" s="227"/>
      <c r="S730" s="322">
        <v>236.779999</v>
      </c>
      <c r="T730" s="228">
        <f t="shared" si="70"/>
        <v>7.8317740033049255E-3</v>
      </c>
      <c r="U730" s="228"/>
      <c r="V730" s="228"/>
      <c r="W730" s="228"/>
      <c r="X730" s="322">
        <v>152.60000600000001</v>
      </c>
      <c r="Y730" s="228">
        <f t="shared" si="71"/>
        <v>9.3260399586476694E-3</v>
      </c>
      <c r="Z730" s="228"/>
      <c r="AA730" s="202"/>
    </row>
    <row r="731" spans="2:27" x14ac:dyDescent="0.15">
      <c r="B731" s="241">
        <v>43726</v>
      </c>
      <c r="C731" s="244"/>
      <c r="D731" s="245">
        <v>65.713661000000002</v>
      </c>
      <c r="E731" s="228">
        <f t="shared" si="66"/>
        <v>4.3962997579471974E-4</v>
      </c>
      <c r="F731" s="228"/>
      <c r="G731" s="245">
        <v>245.78327899999999</v>
      </c>
      <c r="H731" s="228">
        <f t="shared" si="67"/>
        <v>6.8116259441826088E-3</v>
      </c>
      <c r="J731" s="227"/>
      <c r="K731" s="245">
        <v>42.754531999999998</v>
      </c>
      <c r="L731" s="228">
        <f t="shared" si="68"/>
        <v>-1.9943524703682769E-3</v>
      </c>
      <c r="M731" s="228"/>
      <c r="N731" s="227"/>
      <c r="O731" s="322">
        <v>52.09</v>
      </c>
      <c r="P731" s="228">
        <f t="shared" si="69"/>
        <v>1.7382792629242472E-2</v>
      </c>
      <c r="Q731" s="228"/>
      <c r="R731" s="227"/>
      <c r="S731" s="322">
        <v>237.63999899999999</v>
      </c>
      <c r="T731" s="228">
        <f t="shared" si="70"/>
        <v>3.6320635342175223E-3</v>
      </c>
      <c r="U731" s="228"/>
      <c r="V731" s="228"/>
      <c r="W731" s="228"/>
      <c r="X731" s="322">
        <v>157.979996</v>
      </c>
      <c r="Y731" s="228">
        <f t="shared" si="71"/>
        <v>3.5255503200963156E-2</v>
      </c>
      <c r="Z731" s="228"/>
      <c r="AA731" s="202"/>
    </row>
    <row r="732" spans="2:27" x14ac:dyDescent="0.15">
      <c r="B732" s="241">
        <v>43727</v>
      </c>
      <c r="C732" s="244"/>
      <c r="D732" s="245">
        <v>65.684783999999993</v>
      </c>
      <c r="E732" s="228">
        <f t="shared" si="66"/>
        <v>-4.39436786211167E-4</v>
      </c>
      <c r="F732" s="228"/>
      <c r="G732" s="245">
        <v>245.58648700000001</v>
      </c>
      <c r="H732" s="228">
        <f t="shared" si="67"/>
        <v>-8.0067285618723449E-4</v>
      </c>
      <c r="J732" s="227"/>
      <c r="K732" s="245">
        <v>42.928542999999998</v>
      </c>
      <c r="L732" s="228">
        <f t="shared" si="68"/>
        <v>4.0700012807999286E-3</v>
      </c>
      <c r="M732" s="228"/>
      <c r="N732" s="227"/>
      <c r="O732" s="322">
        <v>51.68</v>
      </c>
      <c r="P732" s="228">
        <f t="shared" si="69"/>
        <v>-7.8709925129584191E-3</v>
      </c>
      <c r="Q732" s="228"/>
      <c r="R732" s="227"/>
      <c r="S732" s="322">
        <v>236.86000100000001</v>
      </c>
      <c r="T732" s="228">
        <f t="shared" si="70"/>
        <v>-3.282267308880038E-3</v>
      </c>
      <c r="U732" s="228"/>
      <c r="V732" s="228"/>
      <c r="W732" s="228"/>
      <c r="X732" s="322">
        <v>157.220001</v>
      </c>
      <c r="Y732" s="228">
        <f t="shared" si="71"/>
        <v>-4.8107040083733565E-3</v>
      </c>
      <c r="Z732" s="228"/>
      <c r="AA732" s="202"/>
    </row>
    <row r="733" spans="2:27" x14ac:dyDescent="0.15">
      <c r="B733" s="241">
        <v>43728</v>
      </c>
      <c r="C733" s="244"/>
      <c r="D733" s="245">
        <v>65.338172999999998</v>
      </c>
      <c r="E733" s="228">
        <f t="shared" si="66"/>
        <v>-5.2768842172030705E-3</v>
      </c>
      <c r="F733" s="228"/>
      <c r="G733" s="245">
        <v>241.84742700000001</v>
      </c>
      <c r="H733" s="228">
        <f t="shared" si="67"/>
        <v>-1.5225023353992562E-2</v>
      </c>
      <c r="J733" s="227"/>
      <c r="K733" s="245">
        <v>41.943767999999999</v>
      </c>
      <c r="L733" s="228">
        <f t="shared" si="68"/>
        <v>-2.2939865441042318E-2</v>
      </c>
      <c r="M733" s="228"/>
      <c r="N733" s="227"/>
      <c r="O733" s="322">
        <v>50.959999000000003</v>
      </c>
      <c r="P733" s="228">
        <f t="shared" si="69"/>
        <v>-1.393190789473675E-2</v>
      </c>
      <c r="Q733" s="228"/>
      <c r="R733" s="227"/>
      <c r="S733" s="322">
        <v>235.30999800000001</v>
      </c>
      <c r="T733" s="228">
        <f t="shared" si="70"/>
        <v>-6.5439626507474147E-3</v>
      </c>
      <c r="U733" s="228"/>
      <c r="V733" s="228"/>
      <c r="W733" s="228"/>
      <c r="X733" s="322">
        <v>155.5</v>
      </c>
      <c r="Y733" s="228">
        <f t="shared" si="71"/>
        <v>-1.0940090249713208E-2</v>
      </c>
      <c r="Z733" s="228"/>
      <c r="AA733" s="202"/>
    </row>
    <row r="734" spans="2:27" x14ac:dyDescent="0.15">
      <c r="B734" s="241">
        <v>43731</v>
      </c>
      <c r="C734" s="244"/>
      <c r="D734" s="245">
        <v>65.367035000000001</v>
      </c>
      <c r="E734" s="228">
        <f t="shared" si="66"/>
        <v>4.4173258410529215E-4</v>
      </c>
      <c r="F734" s="228"/>
      <c r="G734" s="245">
        <v>244.494293</v>
      </c>
      <c r="H734" s="228">
        <f t="shared" si="67"/>
        <v>1.0944362868908986E-2</v>
      </c>
      <c r="J734" s="227"/>
      <c r="K734" s="245">
        <v>42.134982999999998</v>
      </c>
      <c r="L734" s="228">
        <f t="shared" si="68"/>
        <v>4.5588417330555409E-3</v>
      </c>
      <c r="M734" s="228"/>
      <c r="N734" s="227"/>
      <c r="O734" s="322">
        <v>51.759998000000003</v>
      </c>
      <c r="P734" s="228">
        <f t="shared" si="69"/>
        <v>1.5698567811981201E-2</v>
      </c>
      <c r="Q734" s="228"/>
      <c r="R734" s="227"/>
      <c r="S734" s="322">
        <v>238.240005</v>
      </c>
      <c r="T734" s="228">
        <f t="shared" si="70"/>
        <v>1.2451689366806962E-2</v>
      </c>
      <c r="U734" s="228"/>
      <c r="V734" s="228"/>
      <c r="W734" s="228"/>
      <c r="X734" s="322">
        <v>157.58000200000001</v>
      </c>
      <c r="Y734" s="228">
        <f t="shared" si="71"/>
        <v>1.3376218649517657E-2</v>
      </c>
      <c r="Z734" s="228"/>
      <c r="AA734" s="202"/>
    </row>
    <row r="735" spans="2:27" x14ac:dyDescent="0.15">
      <c r="B735" s="241">
        <v>43732</v>
      </c>
      <c r="C735" s="244"/>
      <c r="D735" s="245">
        <v>64.74015</v>
      </c>
      <c r="E735" s="228">
        <f t="shared" si="66"/>
        <v>-9.5902315287820228E-3</v>
      </c>
      <c r="F735" s="228"/>
      <c r="G735" s="245">
        <v>242.437836</v>
      </c>
      <c r="H735" s="228">
        <f t="shared" si="67"/>
        <v>-8.4110634026127729E-3</v>
      </c>
      <c r="J735" s="227"/>
      <c r="K735" s="245">
        <v>42.182785000000003</v>
      </c>
      <c r="L735" s="228">
        <f t="shared" si="68"/>
        <v>1.1344967197448597E-3</v>
      </c>
      <c r="M735" s="228"/>
      <c r="N735" s="227"/>
      <c r="O735" s="322">
        <v>51.16</v>
      </c>
      <c r="P735" s="228">
        <f t="shared" si="69"/>
        <v>-1.1591924713753032E-2</v>
      </c>
      <c r="Q735" s="228"/>
      <c r="R735" s="227"/>
      <c r="S735" s="322">
        <v>235.86000100000001</v>
      </c>
      <c r="T735" s="228">
        <f t="shared" si="70"/>
        <v>-9.9899427050464951E-3</v>
      </c>
      <c r="U735" s="228"/>
      <c r="V735" s="228"/>
      <c r="W735" s="228"/>
      <c r="X735" s="322">
        <v>156.5</v>
      </c>
      <c r="Y735" s="228">
        <f t="shared" si="71"/>
        <v>-6.8536742371662074E-3</v>
      </c>
      <c r="Z735" s="228"/>
      <c r="AA735" s="202"/>
    </row>
    <row r="736" spans="2:27" x14ac:dyDescent="0.15">
      <c r="B736" s="241">
        <v>43733</v>
      </c>
      <c r="C736" s="244"/>
      <c r="D736" s="245">
        <v>65.214202999999998</v>
      </c>
      <c r="E736" s="228">
        <f t="shared" si="66"/>
        <v>7.3223957621351143E-3</v>
      </c>
      <c r="F736" s="228"/>
      <c r="G736" s="245">
        <v>243.55952500000001</v>
      </c>
      <c r="H736" s="228">
        <f t="shared" si="67"/>
        <v>4.6267076893065084E-3</v>
      </c>
      <c r="J736" s="227"/>
      <c r="K736" s="245">
        <v>43.033709999999999</v>
      </c>
      <c r="L736" s="228">
        <f t="shared" si="68"/>
        <v>2.0172328593287547E-2</v>
      </c>
      <c r="M736" s="228"/>
      <c r="N736" s="227"/>
      <c r="O736" s="322">
        <v>51.93</v>
      </c>
      <c r="P736" s="228">
        <f t="shared" si="69"/>
        <v>1.5050820953870225E-2</v>
      </c>
      <c r="Q736" s="228"/>
      <c r="R736" s="227"/>
      <c r="S736" s="322">
        <v>241.60000600000001</v>
      </c>
      <c r="T736" s="228">
        <f t="shared" si="70"/>
        <v>2.4336491883589773E-2</v>
      </c>
      <c r="U736" s="228"/>
      <c r="V736" s="228"/>
      <c r="W736" s="228"/>
      <c r="X736" s="322">
        <v>160.58999600000001</v>
      </c>
      <c r="Y736" s="228">
        <f t="shared" si="71"/>
        <v>2.6134159744409136E-2</v>
      </c>
      <c r="Z736" s="228"/>
      <c r="AA736" s="202"/>
    </row>
    <row r="737" spans="2:27" x14ac:dyDescent="0.15">
      <c r="B737" s="241">
        <v>43734</v>
      </c>
      <c r="C737" s="244"/>
      <c r="D737" s="245">
        <v>65.040047000000001</v>
      </c>
      <c r="E737" s="228">
        <f t="shared" si="66"/>
        <v>-2.6705225547262179E-3</v>
      </c>
      <c r="F737" s="228"/>
      <c r="G737" s="245">
        <v>244.06135599999999</v>
      </c>
      <c r="H737" s="228">
        <f t="shared" si="67"/>
        <v>2.0604039197398283E-3</v>
      </c>
      <c r="J737" s="227"/>
      <c r="K737" s="245">
        <v>44.42004</v>
      </c>
      <c r="L737" s="228">
        <f t="shared" si="68"/>
        <v>3.2214977514139598E-2</v>
      </c>
      <c r="M737" s="228"/>
      <c r="N737" s="227"/>
      <c r="O737" s="322">
        <v>52.150002000000001</v>
      </c>
      <c r="P737" s="228">
        <f t="shared" si="69"/>
        <v>4.2365106874640013E-3</v>
      </c>
      <c r="Q737" s="228"/>
      <c r="R737" s="227"/>
      <c r="S737" s="322">
        <v>242.83000200000001</v>
      </c>
      <c r="T737" s="228">
        <f t="shared" si="70"/>
        <v>5.09104291992446E-3</v>
      </c>
      <c r="U737" s="228"/>
      <c r="V737" s="228"/>
      <c r="W737" s="228"/>
      <c r="X737" s="322">
        <v>161.949997</v>
      </c>
      <c r="Y737" s="228">
        <f t="shared" si="71"/>
        <v>8.4687778434218153E-3</v>
      </c>
      <c r="Z737" s="228"/>
      <c r="AA737" s="202"/>
    </row>
    <row r="738" spans="2:27" x14ac:dyDescent="0.15">
      <c r="B738" s="241">
        <v>43735</v>
      </c>
      <c r="C738" s="244"/>
      <c r="D738" s="245">
        <v>64.575683999999995</v>
      </c>
      <c r="E738" s="228">
        <f t="shared" si="66"/>
        <v>-7.1396473621860856E-3</v>
      </c>
      <c r="F738" s="228"/>
      <c r="G738" s="245">
        <v>239.80081200000001</v>
      </c>
      <c r="H738" s="228">
        <f t="shared" si="67"/>
        <v>-1.7456856217745398E-2</v>
      </c>
      <c r="J738" s="227"/>
      <c r="K738" s="245">
        <v>43.511757000000003</v>
      </c>
      <c r="L738" s="228">
        <f t="shared" si="68"/>
        <v>-2.0447595274565189E-2</v>
      </c>
      <c r="M738" s="228"/>
      <c r="N738" s="227"/>
      <c r="O738" s="322">
        <v>49.43</v>
      </c>
      <c r="P738" s="228">
        <f t="shared" si="69"/>
        <v>-5.2157275085051746E-2</v>
      </c>
      <c r="Q738" s="228"/>
      <c r="R738" s="227"/>
      <c r="S738" s="322">
        <v>230.08000200000001</v>
      </c>
      <c r="T738" s="228">
        <f t="shared" si="70"/>
        <v>-5.2505867870478395E-2</v>
      </c>
      <c r="U738" s="228"/>
      <c r="V738" s="228"/>
      <c r="W738" s="228"/>
      <c r="X738" s="322">
        <v>158.479996</v>
      </c>
      <c r="Y738" s="228">
        <f t="shared" si="71"/>
        <v>-2.1426372734048238E-2</v>
      </c>
      <c r="Z738" s="228"/>
      <c r="AA738" s="202"/>
    </row>
    <row r="739" spans="2:27" x14ac:dyDescent="0.15">
      <c r="B739" s="241">
        <v>43738</v>
      </c>
      <c r="C739" s="244"/>
      <c r="D739" s="245">
        <v>64.885268999999994</v>
      </c>
      <c r="E739" s="228">
        <f t="shared" si="66"/>
        <v>4.7941420179149485E-3</v>
      </c>
      <c r="F739" s="228"/>
      <c r="G739" s="245">
        <v>244.43525700000001</v>
      </c>
      <c r="H739" s="228">
        <f t="shared" si="67"/>
        <v>1.9326227302349563E-2</v>
      </c>
      <c r="J739" s="227"/>
      <c r="K739" s="245">
        <v>44.439166999999998</v>
      </c>
      <c r="L739" s="228">
        <f t="shared" si="68"/>
        <v>2.1314009452663374E-2</v>
      </c>
      <c r="M739" s="228"/>
      <c r="N739" s="227"/>
      <c r="O739" s="322">
        <v>49.900002000000001</v>
      </c>
      <c r="P739" s="228">
        <f t="shared" si="69"/>
        <v>9.5084361723649646E-3</v>
      </c>
      <c r="Q739" s="228"/>
      <c r="R739" s="227"/>
      <c r="S739" s="322">
        <v>231.11000100000001</v>
      </c>
      <c r="T739" s="228">
        <f t="shared" si="70"/>
        <v>4.4766993699869584E-3</v>
      </c>
      <c r="U739" s="228"/>
      <c r="V739" s="228"/>
      <c r="W739" s="228"/>
      <c r="X739" s="322">
        <v>159.449997</v>
      </c>
      <c r="Y739" s="228">
        <f t="shared" si="71"/>
        <v>6.1206526027424157E-3</v>
      </c>
      <c r="Z739" s="228"/>
      <c r="AA739" s="202"/>
    </row>
    <row r="740" spans="2:27" x14ac:dyDescent="0.15">
      <c r="B740" s="241">
        <v>43739</v>
      </c>
      <c r="C740" s="244"/>
      <c r="D740" s="245">
        <v>64.062950000000001</v>
      </c>
      <c r="E740" s="228">
        <f t="shared" si="66"/>
        <v>-1.2673431314586869E-2</v>
      </c>
      <c r="F740" s="228"/>
      <c r="G740" s="245">
        <v>241.453857</v>
      </c>
      <c r="H740" s="228">
        <f t="shared" si="67"/>
        <v>-1.2197094791444152E-2</v>
      </c>
      <c r="J740" s="227"/>
      <c r="K740" s="245">
        <v>45.117989000000001</v>
      </c>
      <c r="L740" s="228">
        <f t="shared" si="68"/>
        <v>1.5275308828358591E-2</v>
      </c>
      <c r="M740" s="228"/>
      <c r="N740" s="227"/>
      <c r="O740" s="322">
        <v>50.02</v>
      </c>
      <c r="P740" s="228">
        <f t="shared" si="69"/>
        <v>2.404769442694743E-3</v>
      </c>
      <c r="Q740" s="228"/>
      <c r="R740" s="227"/>
      <c r="S740" s="322">
        <v>230.38999899999999</v>
      </c>
      <c r="T740" s="228">
        <f t="shared" si="70"/>
        <v>-3.1154082336749545E-3</v>
      </c>
      <c r="U740" s="228"/>
      <c r="V740" s="228"/>
      <c r="W740" s="228"/>
      <c r="X740" s="322">
        <v>158.28999300000001</v>
      </c>
      <c r="Y740" s="228">
        <f t="shared" si="71"/>
        <v>-7.2750330625593884E-3</v>
      </c>
      <c r="Z740" s="228"/>
      <c r="AA740" s="202"/>
    </row>
    <row r="741" spans="2:27" x14ac:dyDescent="0.15">
      <c r="B741" s="241">
        <v>43740</v>
      </c>
      <c r="C741" s="244"/>
      <c r="D741" s="245">
        <v>62.998787</v>
      </c>
      <c r="E741" s="228">
        <f t="shared" si="66"/>
        <v>-1.6611208194440064E-2</v>
      </c>
      <c r="F741" s="228"/>
      <c r="G741" s="245">
        <v>236.43566899999999</v>
      </c>
      <c r="H741" s="228">
        <f t="shared" si="67"/>
        <v>-2.0783217391304731E-2</v>
      </c>
      <c r="J741" s="227"/>
      <c r="K741" s="245">
        <v>44.391361000000003</v>
      </c>
      <c r="L741" s="228">
        <f t="shared" si="68"/>
        <v>-1.6105061774805529E-2</v>
      </c>
      <c r="M741" s="228"/>
      <c r="N741" s="227"/>
      <c r="O741" s="322">
        <v>49.459999000000003</v>
      </c>
      <c r="P741" s="228">
        <f t="shared" si="69"/>
        <v>-1.1195541783286633E-2</v>
      </c>
      <c r="Q741" s="228"/>
      <c r="R741" s="227"/>
      <c r="S741" s="322">
        <v>228</v>
      </c>
      <c r="T741" s="228">
        <f t="shared" si="70"/>
        <v>-1.03737098414588E-2</v>
      </c>
      <c r="U741" s="228"/>
      <c r="V741" s="228"/>
      <c r="W741" s="228"/>
      <c r="X741" s="322">
        <v>155.050003</v>
      </c>
      <c r="Y741" s="228">
        <f t="shared" si="71"/>
        <v>-2.0468697601117469E-2</v>
      </c>
      <c r="Z741" s="228"/>
      <c r="AA741" s="202"/>
    </row>
    <row r="742" spans="2:27" x14ac:dyDescent="0.15">
      <c r="B742" s="241">
        <v>43741</v>
      </c>
      <c r="C742" s="244"/>
      <c r="D742" s="245">
        <v>63.492167999999999</v>
      </c>
      <c r="E742" s="228">
        <f t="shared" si="66"/>
        <v>7.8315952337304484E-3</v>
      </c>
      <c r="F742" s="228"/>
      <c r="G742" s="245">
        <v>240.430542</v>
      </c>
      <c r="H742" s="228">
        <f t="shared" si="67"/>
        <v>1.6896236582645274E-2</v>
      </c>
      <c r="J742" s="227"/>
      <c r="K742" s="245">
        <v>45.060631000000001</v>
      </c>
      <c r="L742" s="228">
        <f t="shared" si="68"/>
        <v>1.507658213047347E-2</v>
      </c>
      <c r="M742" s="228"/>
      <c r="N742" s="227"/>
      <c r="O742" s="322">
        <v>49.639999000000003</v>
      </c>
      <c r="P742" s="228">
        <f t="shared" si="69"/>
        <v>3.6393045620561892E-3</v>
      </c>
      <c r="Q742" s="228"/>
      <c r="R742" s="227"/>
      <c r="S742" s="322">
        <v>229.050003</v>
      </c>
      <c r="T742" s="228">
        <f t="shared" si="70"/>
        <v>4.6052763157895527E-3</v>
      </c>
      <c r="U742" s="228"/>
      <c r="V742" s="228"/>
      <c r="W742" s="228"/>
      <c r="X742" s="322">
        <v>156.96000699999999</v>
      </c>
      <c r="Y742" s="228">
        <f t="shared" si="71"/>
        <v>1.2318632460780909E-2</v>
      </c>
      <c r="Z742" s="228"/>
      <c r="AA742" s="202"/>
    </row>
    <row r="743" spans="2:27" x14ac:dyDescent="0.15">
      <c r="B743" s="241">
        <v>43742</v>
      </c>
      <c r="C743" s="244"/>
      <c r="D743" s="245">
        <v>64.382210000000001</v>
      </c>
      <c r="E743" s="228">
        <f t="shared" si="66"/>
        <v>1.4018138426144189E-2</v>
      </c>
      <c r="F743" s="228"/>
      <c r="G743" s="245">
        <v>242.093414</v>
      </c>
      <c r="H743" s="228">
        <f t="shared" si="67"/>
        <v>6.9162261423509896E-3</v>
      </c>
      <c r="J743" s="227"/>
      <c r="K743" s="245">
        <v>45.337893999999999</v>
      </c>
      <c r="L743" s="228">
        <f t="shared" si="68"/>
        <v>6.1531095736320207E-3</v>
      </c>
      <c r="M743" s="228"/>
      <c r="N743" s="227"/>
      <c r="O743" s="322">
        <v>50.880001</v>
      </c>
      <c r="P743" s="228">
        <f t="shared" si="69"/>
        <v>2.4979895748990621E-2</v>
      </c>
      <c r="Q743" s="228"/>
      <c r="R743" s="227"/>
      <c r="S743" s="322">
        <v>233.270004</v>
      </c>
      <c r="T743" s="228">
        <f t="shared" si="70"/>
        <v>1.8423929031775588E-2</v>
      </c>
      <c r="U743" s="228"/>
      <c r="V743" s="228"/>
      <c r="W743" s="228"/>
      <c r="X743" s="322">
        <v>161.11000100000001</v>
      </c>
      <c r="Y743" s="228">
        <f t="shared" si="71"/>
        <v>2.6439817883035843E-2</v>
      </c>
      <c r="Z743" s="228"/>
      <c r="AA743" s="202"/>
    </row>
    <row r="744" spans="2:27" x14ac:dyDescent="0.15">
      <c r="B744" s="241">
        <v>43745</v>
      </c>
      <c r="C744" s="244"/>
      <c r="D744" s="245">
        <v>64.130675999999994</v>
      </c>
      <c r="E744" s="228">
        <f t="shared" si="66"/>
        <v>-3.9068867005342955E-3</v>
      </c>
      <c r="F744" s="228"/>
      <c r="G744" s="245">
        <v>243.45129399999999</v>
      </c>
      <c r="H744" s="228">
        <f t="shared" si="67"/>
        <v>5.6089092948228281E-3</v>
      </c>
      <c r="J744" s="227"/>
      <c r="K744" s="245">
        <v>45.844624000000003</v>
      </c>
      <c r="L744" s="228">
        <f t="shared" si="68"/>
        <v>1.1176743233816788E-2</v>
      </c>
      <c r="M744" s="228"/>
      <c r="N744" s="227"/>
      <c r="O744" s="322">
        <v>50.650002000000001</v>
      </c>
      <c r="P744" s="228">
        <f t="shared" si="69"/>
        <v>-4.5204205086395444E-3</v>
      </c>
      <c r="Q744" s="228"/>
      <c r="R744" s="227"/>
      <c r="S744" s="322">
        <v>232.13999899999999</v>
      </c>
      <c r="T744" s="228">
        <f t="shared" si="70"/>
        <v>-4.8441933408635007E-3</v>
      </c>
      <c r="U744" s="228"/>
      <c r="V744" s="228"/>
      <c r="W744" s="228"/>
      <c r="X744" s="322">
        <v>161.050003</v>
      </c>
      <c r="Y744" s="228">
        <f t="shared" si="71"/>
        <v>-3.7240394530202447E-4</v>
      </c>
      <c r="Z744" s="228"/>
      <c r="AA744" s="202"/>
    </row>
    <row r="745" spans="2:27" x14ac:dyDescent="0.15">
      <c r="B745" s="241">
        <v>43746</v>
      </c>
      <c r="C745" s="244"/>
      <c r="D745" s="245">
        <v>63.105209000000002</v>
      </c>
      <c r="E745" s="228">
        <f t="shared" si="66"/>
        <v>-1.5990272736248645E-2</v>
      </c>
      <c r="F745" s="228"/>
      <c r="G745" s="245">
        <v>238.19695999999999</v>
      </c>
      <c r="H745" s="228">
        <f t="shared" si="67"/>
        <v>-2.1582690786601466E-2</v>
      </c>
      <c r="J745" s="227"/>
      <c r="K745" s="245">
        <v>45.758572000000001</v>
      </c>
      <c r="L745" s="228">
        <f t="shared" si="68"/>
        <v>-1.8770357894091205E-3</v>
      </c>
      <c r="M745" s="228"/>
      <c r="N745" s="227"/>
      <c r="O745" s="322">
        <v>49.310001</v>
      </c>
      <c r="P745" s="228">
        <f t="shared" si="69"/>
        <v>-2.6456089774685498E-2</v>
      </c>
      <c r="Q745" s="228"/>
      <c r="R745" s="227"/>
      <c r="S745" s="322">
        <v>227.699997</v>
      </c>
      <c r="T745" s="228">
        <f t="shared" si="70"/>
        <v>-1.9126397945749884E-2</v>
      </c>
      <c r="U745" s="228"/>
      <c r="V745" s="228"/>
      <c r="W745" s="228"/>
      <c r="X745" s="322">
        <v>154.520004</v>
      </c>
      <c r="Y745" s="228">
        <f t="shared" si="71"/>
        <v>-4.0546407192553757E-2</v>
      </c>
      <c r="Z745" s="228"/>
      <c r="AA745" s="202"/>
    </row>
    <row r="746" spans="2:27" x14ac:dyDescent="0.15">
      <c r="B746" s="241">
        <v>43747</v>
      </c>
      <c r="C746" s="244"/>
      <c r="D746" s="245">
        <v>63.646954000000001</v>
      </c>
      <c r="E746" s="228">
        <f t="shared" si="66"/>
        <v>8.584790520224761E-3</v>
      </c>
      <c r="F746" s="228"/>
      <c r="G746" s="245">
        <v>242.319748</v>
      </c>
      <c r="H746" s="228">
        <f t="shared" si="67"/>
        <v>1.7308314933994096E-2</v>
      </c>
      <c r="J746" s="227"/>
      <c r="K746" s="245">
        <v>46.542572</v>
      </c>
      <c r="L746" s="228">
        <f t="shared" si="68"/>
        <v>1.7133401802835957E-2</v>
      </c>
      <c r="M746" s="228"/>
      <c r="N746" s="227"/>
      <c r="O746" s="322">
        <v>50.84</v>
      </c>
      <c r="P746" s="228">
        <f t="shared" si="69"/>
        <v>3.1028168099205722E-2</v>
      </c>
      <c r="Q746" s="228"/>
      <c r="R746" s="227"/>
      <c r="S746" s="322">
        <v>233.13000500000001</v>
      </c>
      <c r="T746" s="228">
        <f t="shared" si="70"/>
        <v>2.3847202773568776E-2</v>
      </c>
      <c r="U746" s="228"/>
      <c r="V746" s="228"/>
      <c r="W746" s="228"/>
      <c r="X746" s="322">
        <v>157.479996</v>
      </c>
      <c r="Y746" s="228">
        <f t="shared" si="71"/>
        <v>1.9156044029095431E-2</v>
      </c>
      <c r="Z746" s="228"/>
      <c r="AA746" s="202"/>
    </row>
    <row r="747" spans="2:27" x14ac:dyDescent="0.15">
      <c r="B747" s="241">
        <v>43748</v>
      </c>
      <c r="C747" s="244"/>
      <c r="D747" s="245">
        <v>64.024253999999999</v>
      </c>
      <c r="E747" s="228">
        <f t="shared" si="66"/>
        <v>5.9280134599999368E-3</v>
      </c>
      <c r="F747" s="228"/>
      <c r="G747" s="245">
        <v>247.456039</v>
      </c>
      <c r="H747" s="228">
        <f t="shared" si="67"/>
        <v>2.1196336833430474E-2</v>
      </c>
      <c r="J747" s="227"/>
      <c r="K747" s="245">
        <v>46.781596999999998</v>
      </c>
      <c r="L747" s="228">
        <f t="shared" si="68"/>
        <v>5.1356207817649935E-3</v>
      </c>
      <c r="M747" s="228"/>
      <c r="N747" s="227"/>
      <c r="O747" s="322">
        <v>51.009998000000003</v>
      </c>
      <c r="P747" s="228">
        <f t="shared" si="69"/>
        <v>3.3437844217152346E-3</v>
      </c>
      <c r="Q747" s="228"/>
      <c r="R747" s="227"/>
      <c r="S747" s="322">
        <v>234.61999499999999</v>
      </c>
      <c r="T747" s="228">
        <f t="shared" si="70"/>
        <v>6.3912408014574762E-3</v>
      </c>
      <c r="U747" s="228"/>
      <c r="V747" s="228"/>
      <c r="W747" s="228"/>
      <c r="X747" s="322">
        <v>157.39999399999999</v>
      </c>
      <c r="Y747" s="228">
        <f t="shared" si="71"/>
        <v>-5.0801372893105601E-4</v>
      </c>
      <c r="Z747" s="228"/>
      <c r="AA747" s="202"/>
    </row>
    <row r="748" spans="2:27" x14ac:dyDescent="0.15">
      <c r="B748" s="241">
        <v>43749</v>
      </c>
      <c r="C748" s="244"/>
      <c r="D748" s="245">
        <v>64.788521000000003</v>
      </c>
      <c r="E748" s="228">
        <f t="shared" si="66"/>
        <v>1.193714806891788E-2</v>
      </c>
      <c r="F748" s="228"/>
      <c r="G748" s="245">
        <v>255.829498</v>
      </c>
      <c r="H748" s="228">
        <f t="shared" si="67"/>
        <v>3.3838167917979112E-2</v>
      </c>
      <c r="J748" s="227"/>
      <c r="K748" s="245">
        <v>47.250076</v>
      </c>
      <c r="L748" s="228">
        <f t="shared" si="68"/>
        <v>1.0014172880844718E-2</v>
      </c>
      <c r="M748" s="228"/>
      <c r="N748" s="227"/>
      <c r="O748" s="322">
        <v>51.75</v>
      </c>
      <c r="P748" s="228">
        <f t="shared" si="69"/>
        <v>1.4506999196510328E-2</v>
      </c>
      <c r="Q748" s="228"/>
      <c r="R748" s="227"/>
      <c r="S748" s="322">
        <v>237.08999600000001</v>
      </c>
      <c r="T748" s="228">
        <f t="shared" si="70"/>
        <v>1.0527666237483357E-2</v>
      </c>
      <c r="U748" s="228"/>
      <c r="V748" s="228"/>
      <c r="W748" s="228"/>
      <c r="X748" s="322">
        <v>160.220001</v>
      </c>
      <c r="Y748" s="228">
        <f t="shared" si="71"/>
        <v>1.7916182385623314E-2</v>
      </c>
      <c r="Z748" s="228"/>
      <c r="AA748" s="202"/>
    </row>
    <row r="749" spans="2:27" x14ac:dyDescent="0.15">
      <c r="B749" s="241">
        <v>43752</v>
      </c>
      <c r="C749" s="244"/>
      <c r="D749" s="245">
        <v>64.672439999999995</v>
      </c>
      <c r="E749" s="228">
        <f t="shared" si="66"/>
        <v>-1.7916908459757463E-3</v>
      </c>
      <c r="F749" s="228"/>
      <c r="G749" s="245">
        <v>257.44323700000001</v>
      </c>
      <c r="H749" s="228">
        <f t="shared" si="67"/>
        <v>6.3078691574496304E-3</v>
      </c>
      <c r="J749" s="227"/>
      <c r="K749" s="245">
        <v>47.718563000000003</v>
      </c>
      <c r="L749" s="228">
        <f t="shared" si="68"/>
        <v>9.9150528350473444E-3</v>
      </c>
      <c r="M749" s="228"/>
      <c r="N749" s="227"/>
      <c r="O749" s="322">
        <v>51.939999</v>
      </c>
      <c r="P749" s="228">
        <f t="shared" si="69"/>
        <v>3.671478260869554E-3</v>
      </c>
      <c r="Q749" s="228"/>
      <c r="R749" s="227"/>
      <c r="S749" s="322">
        <v>236.279999</v>
      </c>
      <c r="T749" s="228">
        <f t="shared" si="70"/>
        <v>-3.4164115469469403E-3</v>
      </c>
      <c r="U749" s="228"/>
      <c r="V749" s="228"/>
      <c r="W749" s="228"/>
      <c r="X749" s="322">
        <v>159</v>
      </c>
      <c r="Y749" s="228">
        <f t="shared" si="71"/>
        <v>-7.6145362151133211E-3</v>
      </c>
      <c r="Z749" s="228"/>
      <c r="AA749" s="202"/>
    </row>
    <row r="750" spans="2:27" x14ac:dyDescent="0.15">
      <c r="B750" s="241">
        <v>43753</v>
      </c>
      <c r="C750" s="244"/>
      <c r="D750" s="245">
        <v>65.310920999999993</v>
      </c>
      <c r="E750" s="228">
        <f t="shared" si="66"/>
        <v>9.8725361220328711E-3</v>
      </c>
      <c r="F750" s="228"/>
      <c r="G750" s="245">
        <v>263.24859600000002</v>
      </c>
      <c r="H750" s="228">
        <f t="shared" si="67"/>
        <v>2.2550054402866282E-2</v>
      </c>
      <c r="J750" s="227"/>
      <c r="K750" s="245">
        <v>48.177489999999999</v>
      </c>
      <c r="L750" s="228">
        <f t="shared" si="68"/>
        <v>9.6173684023133088E-3</v>
      </c>
      <c r="M750" s="228"/>
      <c r="N750" s="227"/>
      <c r="O750" s="322">
        <v>52.91</v>
      </c>
      <c r="P750" s="228">
        <f t="shared" si="69"/>
        <v>1.8675414298717996E-2</v>
      </c>
      <c r="Q750" s="228"/>
      <c r="R750" s="227"/>
      <c r="S750" s="322">
        <v>242.050003</v>
      </c>
      <c r="T750" s="228">
        <f t="shared" si="70"/>
        <v>2.4420196480532397E-2</v>
      </c>
      <c r="U750" s="228"/>
      <c r="V750" s="228"/>
      <c r="W750" s="228"/>
      <c r="X750" s="322">
        <v>162.55999800000001</v>
      </c>
      <c r="Y750" s="228">
        <f t="shared" si="71"/>
        <v>2.2389924528301908E-2</v>
      </c>
      <c r="Z750" s="228"/>
      <c r="AA750" s="202"/>
    </row>
    <row r="751" spans="2:27" x14ac:dyDescent="0.15">
      <c r="B751" s="241">
        <v>43754</v>
      </c>
      <c r="C751" s="244"/>
      <c r="D751" s="245">
        <v>65.175499000000002</v>
      </c>
      <c r="E751" s="228">
        <f t="shared" si="66"/>
        <v>-2.0734970189746349E-3</v>
      </c>
      <c r="F751" s="228"/>
      <c r="G751" s="245">
        <v>250.388229</v>
      </c>
      <c r="H751" s="228">
        <f t="shared" si="67"/>
        <v>-4.8852556843266171E-2</v>
      </c>
      <c r="J751" s="227"/>
      <c r="K751" s="245">
        <v>47.928905</v>
      </c>
      <c r="L751" s="228">
        <f t="shared" si="68"/>
        <v>-5.1597748243007446E-3</v>
      </c>
      <c r="M751" s="228"/>
      <c r="N751" s="227"/>
      <c r="O751" s="322">
        <v>51.560001</v>
      </c>
      <c r="P751" s="228">
        <f t="shared" si="69"/>
        <v>-2.5515006615006608E-2</v>
      </c>
      <c r="Q751" s="228"/>
      <c r="R751" s="227"/>
      <c r="S751" s="322">
        <v>234.759995</v>
      </c>
      <c r="T751" s="228">
        <f t="shared" si="70"/>
        <v>-3.0117776945452035E-2</v>
      </c>
      <c r="U751" s="228"/>
      <c r="V751" s="228"/>
      <c r="W751" s="228"/>
      <c r="X751" s="322">
        <v>159.63999899999999</v>
      </c>
      <c r="Y751" s="228">
        <f t="shared" si="71"/>
        <v>-1.7962592494618623E-2</v>
      </c>
      <c r="Z751" s="228"/>
      <c r="AA751" s="202"/>
    </row>
    <row r="752" spans="2:27" x14ac:dyDescent="0.15">
      <c r="B752" s="241">
        <v>43755</v>
      </c>
      <c r="C752" s="244"/>
      <c r="D752" s="245">
        <v>65.427031999999997</v>
      </c>
      <c r="E752" s="228">
        <f t="shared" si="66"/>
        <v>3.8593183613369053E-3</v>
      </c>
      <c r="F752" s="228"/>
      <c r="G752" s="245">
        <v>249.68959000000001</v>
      </c>
      <c r="H752" s="228">
        <f t="shared" si="67"/>
        <v>-2.7902230180316678E-3</v>
      </c>
      <c r="J752" s="227"/>
      <c r="K752" s="245">
        <v>47.56559</v>
      </c>
      <c r="L752" s="228">
        <f t="shared" si="68"/>
        <v>-7.5802900149711805E-3</v>
      </c>
      <c r="M752" s="228"/>
      <c r="N752" s="227"/>
      <c r="O752" s="322">
        <v>52.139999000000003</v>
      </c>
      <c r="P752" s="228">
        <f t="shared" si="69"/>
        <v>1.1248991248080209E-2</v>
      </c>
      <c r="Q752" s="228"/>
      <c r="R752" s="227"/>
      <c r="S752" s="322">
        <v>236.10000600000001</v>
      </c>
      <c r="T752" s="228">
        <f t="shared" si="70"/>
        <v>5.7080040404668964E-3</v>
      </c>
      <c r="U752" s="228"/>
      <c r="V752" s="228"/>
      <c r="W752" s="228"/>
      <c r="X752" s="322">
        <v>161.509995</v>
      </c>
      <c r="Y752" s="228">
        <f t="shared" si="71"/>
        <v>1.171383119339664E-2</v>
      </c>
      <c r="Z752" s="228"/>
      <c r="AA752" s="202"/>
    </row>
    <row r="753" spans="2:27" x14ac:dyDescent="0.15">
      <c r="B753" s="241">
        <v>43756</v>
      </c>
      <c r="C753" s="244"/>
      <c r="D753" s="245">
        <v>65.175499000000002</v>
      </c>
      <c r="E753" s="228">
        <f t="shared" si="66"/>
        <v>-3.844481284127288E-3</v>
      </c>
      <c r="F753" s="228"/>
      <c r="G753" s="245">
        <v>250.33902</v>
      </c>
      <c r="H753" s="228">
        <f t="shared" si="67"/>
        <v>2.6009494428662627E-3</v>
      </c>
      <c r="J753" s="227"/>
      <c r="K753" s="245">
        <v>47.116222</v>
      </c>
      <c r="L753" s="228">
        <f t="shared" si="68"/>
        <v>-9.4473336712527223E-3</v>
      </c>
      <c r="M753" s="228"/>
      <c r="N753" s="227"/>
      <c r="O753" s="322">
        <v>51.68</v>
      </c>
      <c r="P753" s="228">
        <f t="shared" si="69"/>
        <v>-8.8223822175371724E-3</v>
      </c>
      <c r="Q753" s="228"/>
      <c r="R753" s="227"/>
      <c r="S753" s="322">
        <v>233.699997</v>
      </c>
      <c r="T753" s="228">
        <f t="shared" si="70"/>
        <v>-1.0165222105076976E-2</v>
      </c>
      <c r="U753" s="228"/>
      <c r="V753" s="228"/>
      <c r="W753" s="228"/>
      <c r="X753" s="322">
        <v>159.69000199999999</v>
      </c>
      <c r="Y753" s="228">
        <f t="shared" si="71"/>
        <v>-1.1268609103727623E-2</v>
      </c>
      <c r="Z753" s="228"/>
      <c r="AA753" s="202"/>
    </row>
    <row r="754" spans="2:27" x14ac:dyDescent="0.15">
      <c r="B754" s="241">
        <v>43759</v>
      </c>
      <c r="C754" s="244"/>
      <c r="D754" s="245">
        <v>65.630172999999999</v>
      </c>
      <c r="E754" s="228">
        <f t="shared" si="66"/>
        <v>6.9761491200857062E-3</v>
      </c>
      <c r="F754" s="228"/>
      <c r="G754" s="245">
        <v>256.25262500000002</v>
      </c>
      <c r="H754" s="228">
        <f t="shared" si="67"/>
        <v>2.3622386154583674E-2</v>
      </c>
      <c r="J754" s="227"/>
      <c r="K754" s="245">
        <v>47.804611000000001</v>
      </c>
      <c r="L754" s="228">
        <f t="shared" si="68"/>
        <v>1.4610445633777669E-2</v>
      </c>
      <c r="M754" s="228"/>
      <c r="N754" s="227"/>
      <c r="O754" s="322">
        <v>52.639999000000003</v>
      </c>
      <c r="P754" s="228">
        <f t="shared" si="69"/>
        <v>1.8575832043343787E-2</v>
      </c>
      <c r="Q754" s="228"/>
      <c r="R754" s="227"/>
      <c r="S754" s="322">
        <v>238.46000699999999</v>
      </c>
      <c r="T754" s="228">
        <f t="shared" si="70"/>
        <v>2.0368036204981177E-2</v>
      </c>
      <c r="U754" s="228"/>
      <c r="V754" s="228"/>
      <c r="W754" s="228"/>
      <c r="X754" s="322">
        <v>164</v>
      </c>
      <c r="Y754" s="228">
        <f t="shared" si="71"/>
        <v>2.6989779861108731E-2</v>
      </c>
      <c r="Z754" s="228"/>
      <c r="AA754" s="202"/>
    </row>
    <row r="755" spans="2:27" x14ac:dyDescent="0.15">
      <c r="B755" s="241">
        <v>43760</v>
      </c>
      <c r="C755" s="244"/>
      <c r="D755" s="245">
        <v>65.398003000000003</v>
      </c>
      <c r="E755" s="228">
        <f t="shared" si="66"/>
        <v>-3.5375497181761029E-3</v>
      </c>
      <c r="F755" s="228"/>
      <c r="G755" s="245">
        <v>251.195053</v>
      </c>
      <c r="H755" s="228">
        <f t="shared" si="67"/>
        <v>-1.9736664161001394E-2</v>
      </c>
      <c r="J755" s="227"/>
      <c r="K755" s="245">
        <v>48.416504000000003</v>
      </c>
      <c r="L755" s="228">
        <f t="shared" si="68"/>
        <v>1.2799874053990301E-2</v>
      </c>
      <c r="M755" s="228"/>
      <c r="N755" s="227"/>
      <c r="O755" s="322">
        <v>51.98</v>
      </c>
      <c r="P755" s="228">
        <f t="shared" si="69"/>
        <v>-1.253797516219568E-2</v>
      </c>
      <c r="Q755" s="228"/>
      <c r="R755" s="227"/>
      <c r="S755" s="322">
        <v>234.91000399999999</v>
      </c>
      <c r="T755" s="228">
        <f t="shared" si="70"/>
        <v>-1.4887204964310841E-2</v>
      </c>
      <c r="U755" s="228"/>
      <c r="V755" s="228"/>
      <c r="W755" s="228"/>
      <c r="X755" s="322">
        <v>162.820007</v>
      </c>
      <c r="Y755" s="228">
        <f t="shared" si="71"/>
        <v>-7.195079268292659E-3</v>
      </c>
      <c r="Z755" s="228"/>
      <c r="AA755" s="202"/>
    </row>
    <row r="756" spans="2:27" x14ac:dyDescent="0.15">
      <c r="B756" s="241">
        <v>43761</v>
      </c>
      <c r="C756" s="244"/>
      <c r="D756" s="245">
        <v>65.572136</v>
      </c>
      <c r="E756" s="228">
        <f t="shared" si="66"/>
        <v>2.6626654027952501E-3</v>
      </c>
      <c r="F756" s="228"/>
      <c r="G756" s="245">
        <v>253.52706900000001</v>
      </c>
      <c r="H756" s="228">
        <f t="shared" si="67"/>
        <v>9.2836860127178955E-3</v>
      </c>
      <c r="J756" s="227"/>
      <c r="K756" s="245">
        <v>47.967148000000002</v>
      </c>
      <c r="L756" s="228">
        <f t="shared" si="68"/>
        <v>-9.2810501146468605E-3</v>
      </c>
      <c r="M756" s="228"/>
      <c r="N756" s="227"/>
      <c r="O756" s="322">
        <v>50.529998999999997</v>
      </c>
      <c r="P756" s="228">
        <f t="shared" si="69"/>
        <v>-2.7895363601385115E-2</v>
      </c>
      <c r="Q756" s="228"/>
      <c r="R756" s="227"/>
      <c r="S756" s="322">
        <v>233.179993</v>
      </c>
      <c r="T756" s="228">
        <f t="shared" si="70"/>
        <v>-7.3645692841586285E-3</v>
      </c>
      <c r="U756" s="228"/>
      <c r="V756" s="228"/>
      <c r="W756" s="228"/>
      <c r="X756" s="322">
        <v>158.720001</v>
      </c>
      <c r="Y756" s="228">
        <f t="shared" si="71"/>
        <v>-2.5181217440925496E-2</v>
      </c>
      <c r="Z756" s="228"/>
      <c r="AA756" s="202"/>
    </row>
    <row r="757" spans="2:27" x14ac:dyDescent="0.15">
      <c r="B757" s="241">
        <v>43762</v>
      </c>
      <c r="C757" s="244"/>
      <c r="D757" s="245">
        <v>65.678550999999999</v>
      </c>
      <c r="E757" s="228">
        <f t="shared" si="66"/>
        <v>1.6228692016377888E-3</v>
      </c>
      <c r="F757" s="228"/>
      <c r="G757" s="245">
        <v>260.71978799999999</v>
      </c>
      <c r="H757" s="228">
        <f t="shared" si="67"/>
        <v>2.8370615525870946E-2</v>
      </c>
      <c r="J757" s="227"/>
      <c r="K757" s="245">
        <v>48.712902</v>
      </c>
      <c r="L757" s="228">
        <f t="shared" si="68"/>
        <v>1.5547182417432914E-2</v>
      </c>
      <c r="M757" s="228"/>
      <c r="N757" s="227"/>
      <c r="O757" s="322">
        <v>55.07</v>
      </c>
      <c r="P757" s="228">
        <f t="shared" si="69"/>
        <v>8.9847636846381196E-2</v>
      </c>
      <c r="Q757" s="228"/>
      <c r="R757" s="227"/>
      <c r="S757" s="322">
        <v>265.60000600000001</v>
      </c>
      <c r="T757" s="228">
        <f t="shared" si="70"/>
        <v>0.13903428241375759</v>
      </c>
      <c r="U757" s="228"/>
      <c r="V757" s="228"/>
      <c r="W757" s="228"/>
      <c r="X757" s="322">
        <v>168.740005</v>
      </c>
      <c r="Y757" s="228">
        <f t="shared" si="71"/>
        <v>6.3130065126448587E-2</v>
      </c>
      <c r="Z757" s="228"/>
      <c r="AA757" s="202"/>
    </row>
    <row r="758" spans="2:27" x14ac:dyDescent="0.15">
      <c r="B758" s="241">
        <v>43763</v>
      </c>
      <c r="C758" s="244"/>
      <c r="D758" s="245">
        <v>65.978447000000003</v>
      </c>
      <c r="E758" s="228">
        <f t="shared" si="66"/>
        <v>4.5661177878300041E-3</v>
      </c>
      <c r="F758" s="228"/>
      <c r="G758" s="245">
        <v>259.75552399999998</v>
      </c>
      <c r="H758" s="228">
        <f t="shared" si="67"/>
        <v>-3.6984687943978356E-3</v>
      </c>
      <c r="J758" s="227"/>
      <c r="K758" s="245">
        <v>48.885002</v>
      </c>
      <c r="L758" s="228">
        <f t="shared" si="68"/>
        <v>3.5329449269929647E-3</v>
      </c>
      <c r="M758" s="228"/>
      <c r="N758" s="227"/>
      <c r="O758" s="322">
        <v>55.720001000000003</v>
      </c>
      <c r="P758" s="228">
        <f t="shared" si="69"/>
        <v>1.1803177773742624E-2</v>
      </c>
      <c r="Q758" s="228"/>
      <c r="R758" s="227"/>
      <c r="S758" s="322">
        <v>270.04998799999998</v>
      </c>
      <c r="T758" s="228">
        <f t="shared" si="70"/>
        <v>1.6754449922715686E-2</v>
      </c>
      <c r="U758" s="228"/>
      <c r="V758" s="228"/>
      <c r="W758" s="228"/>
      <c r="X758" s="322">
        <v>169.94000199999999</v>
      </c>
      <c r="Y758" s="228">
        <f t="shared" si="71"/>
        <v>7.1115145457059104E-3</v>
      </c>
      <c r="Z758" s="228"/>
      <c r="AA758" s="202"/>
    </row>
    <row r="759" spans="2:27" x14ac:dyDescent="0.15">
      <c r="B759" s="241">
        <v>43766</v>
      </c>
      <c r="C759" s="244"/>
      <c r="D759" s="245">
        <v>66.394454999999994</v>
      </c>
      <c r="E759" s="228">
        <f t="shared" si="66"/>
        <v>6.3052105485295051E-3</v>
      </c>
      <c r="F759" s="228"/>
      <c r="G759" s="245">
        <v>262.23507699999999</v>
      </c>
      <c r="H759" s="228">
        <f t="shared" si="67"/>
        <v>9.5457180729676683E-3</v>
      </c>
      <c r="J759" s="227"/>
      <c r="K759" s="245">
        <v>49.057091</v>
      </c>
      <c r="L759" s="228">
        <f t="shared" si="68"/>
        <v>3.520282151159515E-3</v>
      </c>
      <c r="M759" s="228"/>
      <c r="N759" s="227"/>
      <c r="O759" s="322">
        <v>56.950001</v>
      </c>
      <c r="P759" s="228">
        <f t="shared" si="69"/>
        <v>2.2074658613161047E-2</v>
      </c>
      <c r="Q759" s="228"/>
      <c r="R759" s="227"/>
      <c r="S759" s="322">
        <v>281.25</v>
      </c>
      <c r="T759" s="228">
        <f t="shared" si="70"/>
        <v>4.1473847427091926E-2</v>
      </c>
      <c r="U759" s="228"/>
      <c r="V759" s="228"/>
      <c r="W759" s="228"/>
      <c r="X759" s="322">
        <v>174.779999</v>
      </c>
      <c r="Y759" s="228">
        <f t="shared" si="71"/>
        <v>2.8480622237488262E-2</v>
      </c>
      <c r="Z759" s="228"/>
      <c r="AA759" s="202"/>
    </row>
    <row r="760" spans="2:27" x14ac:dyDescent="0.15">
      <c r="B760" s="241">
        <v>43767</v>
      </c>
      <c r="C760" s="244"/>
      <c r="D760" s="245">
        <v>66.375099000000006</v>
      </c>
      <c r="E760" s="228">
        <f t="shared" si="66"/>
        <v>-2.9153036951634625E-4</v>
      </c>
      <c r="F760" s="228"/>
      <c r="G760" s="245">
        <v>260.35574300000002</v>
      </c>
      <c r="H760" s="228">
        <f t="shared" si="67"/>
        <v>-7.1666003705521675E-3</v>
      </c>
      <c r="J760" s="227"/>
      <c r="K760" s="245">
        <v>49.210068</v>
      </c>
      <c r="L760" s="228">
        <f t="shared" si="68"/>
        <v>3.1183463365163089E-3</v>
      </c>
      <c r="M760" s="228"/>
      <c r="N760" s="227"/>
      <c r="O760" s="322">
        <v>55.52</v>
      </c>
      <c r="P760" s="228">
        <f t="shared" si="69"/>
        <v>-2.5109762509047173E-2</v>
      </c>
      <c r="Q760" s="228"/>
      <c r="R760" s="227"/>
      <c r="S760" s="322">
        <v>276.48998999999998</v>
      </c>
      <c r="T760" s="228">
        <f t="shared" si="70"/>
        <v>-1.6924480000000131E-2</v>
      </c>
      <c r="U760" s="228"/>
      <c r="V760" s="228"/>
      <c r="W760" s="228"/>
      <c r="X760" s="322">
        <v>170.279999</v>
      </c>
      <c r="Y760" s="228">
        <f t="shared" si="71"/>
        <v>-2.5746653082427406E-2</v>
      </c>
      <c r="Z760" s="228"/>
      <c r="AA760" s="202"/>
    </row>
    <row r="761" spans="2:27" x14ac:dyDescent="0.15">
      <c r="B761" s="241">
        <v>43768</v>
      </c>
      <c r="C761" s="244"/>
      <c r="D761" s="245">
        <v>66.520210000000006</v>
      </c>
      <c r="E761" s="228">
        <f t="shared" si="66"/>
        <v>2.1862264943666165E-3</v>
      </c>
      <c r="F761" s="228"/>
      <c r="G761" s="245">
        <v>261.38885499999998</v>
      </c>
      <c r="H761" s="228">
        <f t="shared" si="67"/>
        <v>3.9680783995610369E-3</v>
      </c>
      <c r="J761" s="227"/>
      <c r="K761" s="245">
        <v>49.630744999999997</v>
      </c>
      <c r="L761" s="228">
        <f t="shared" si="68"/>
        <v>8.5485961937707966E-3</v>
      </c>
      <c r="M761" s="228"/>
      <c r="N761" s="227"/>
      <c r="O761" s="322">
        <v>55.209999000000003</v>
      </c>
      <c r="P761" s="228">
        <f t="shared" si="69"/>
        <v>-5.5835914985590263E-3</v>
      </c>
      <c r="Q761" s="228"/>
      <c r="R761" s="227"/>
      <c r="S761" s="322">
        <v>277.55999800000001</v>
      </c>
      <c r="T761" s="228">
        <f t="shared" si="70"/>
        <v>3.8699701207991488E-3</v>
      </c>
      <c r="U761" s="228"/>
      <c r="V761" s="228"/>
      <c r="W761" s="228"/>
      <c r="X761" s="322">
        <v>172.96000699999999</v>
      </c>
      <c r="Y761" s="228">
        <f t="shared" si="71"/>
        <v>1.5738830254514946E-2</v>
      </c>
      <c r="Z761" s="228"/>
      <c r="AA761" s="202"/>
    </row>
    <row r="762" spans="2:27" x14ac:dyDescent="0.15">
      <c r="B762" s="241">
        <v>43769</v>
      </c>
      <c r="C762" s="244"/>
      <c r="D762" s="245">
        <v>66.307381000000007</v>
      </c>
      <c r="E762" s="228">
        <f t="shared" si="66"/>
        <v>-3.1994637419214822E-3</v>
      </c>
      <c r="F762" s="228"/>
      <c r="G762" s="245">
        <v>257.76791400000002</v>
      </c>
      <c r="H762" s="228">
        <f t="shared" si="67"/>
        <v>-1.385269850162496E-2</v>
      </c>
      <c r="J762" s="227"/>
      <c r="K762" s="245">
        <v>49.363045</v>
      </c>
      <c r="L762" s="228">
        <f t="shared" si="68"/>
        <v>-5.3938340034992427E-3</v>
      </c>
      <c r="M762" s="228"/>
      <c r="N762" s="227"/>
      <c r="O762" s="322">
        <v>54.259998000000003</v>
      </c>
      <c r="P762" s="228">
        <f t="shared" si="69"/>
        <v>-1.7207046136697102E-2</v>
      </c>
      <c r="Q762" s="228"/>
      <c r="R762" s="227"/>
      <c r="S762" s="322">
        <v>271.040009</v>
      </c>
      <c r="T762" s="228">
        <f t="shared" si="70"/>
        <v>-2.3490377024718123E-2</v>
      </c>
      <c r="U762" s="228"/>
      <c r="V762" s="228"/>
      <c r="W762" s="228"/>
      <c r="X762" s="322">
        <v>169.03999300000001</v>
      </c>
      <c r="Y762" s="228">
        <f t="shared" si="71"/>
        <v>-2.2664279841292934E-2</v>
      </c>
      <c r="Z762" s="228"/>
      <c r="AA762" s="202"/>
    </row>
    <row r="763" spans="2:27" x14ac:dyDescent="0.15">
      <c r="B763" s="241">
        <v>43770</v>
      </c>
      <c r="C763" s="244"/>
      <c r="D763" s="245">
        <v>66.965232999999998</v>
      </c>
      <c r="E763" s="228">
        <f t="shared" si="66"/>
        <v>9.9212484353738972E-3</v>
      </c>
      <c r="F763" s="228"/>
      <c r="G763" s="245">
        <v>266.25949100000003</v>
      </c>
      <c r="H763" s="228">
        <f t="shared" si="67"/>
        <v>3.2942723041937683E-2</v>
      </c>
      <c r="J763" s="227"/>
      <c r="K763" s="245">
        <v>49.812404999999998</v>
      </c>
      <c r="L763" s="228">
        <f t="shared" si="68"/>
        <v>9.1031661438227829E-3</v>
      </c>
      <c r="M763" s="228"/>
      <c r="N763" s="227"/>
      <c r="O763" s="322">
        <v>55.459999000000003</v>
      </c>
      <c r="P763" s="228">
        <f t="shared" si="69"/>
        <v>2.2115758279239062E-2</v>
      </c>
      <c r="Q763" s="228"/>
      <c r="R763" s="227"/>
      <c r="S763" s="322">
        <v>278.26001000000002</v>
      </c>
      <c r="T763" s="228">
        <f t="shared" si="70"/>
        <v>2.6638137397641648E-2</v>
      </c>
      <c r="U763" s="228"/>
      <c r="V763" s="228"/>
      <c r="W763" s="228"/>
      <c r="X763" s="322">
        <v>172.41999799999999</v>
      </c>
      <c r="Y763" s="228">
        <f t="shared" si="71"/>
        <v>1.9995297799142664E-2</v>
      </c>
      <c r="Z763" s="228"/>
      <c r="AA763" s="202"/>
    </row>
    <row r="764" spans="2:27" x14ac:dyDescent="0.15">
      <c r="B764" s="241">
        <v>43773</v>
      </c>
      <c r="C764" s="244"/>
      <c r="D764" s="245">
        <v>67.245780999999994</v>
      </c>
      <c r="E764" s="228">
        <f t="shared" si="66"/>
        <v>4.1894575353751407E-3</v>
      </c>
      <c r="F764" s="228"/>
      <c r="G764" s="245">
        <v>269.96533199999999</v>
      </c>
      <c r="H764" s="228">
        <f t="shared" si="67"/>
        <v>1.3918155503421792E-2</v>
      </c>
      <c r="J764" s="227"/>
      <c r="K764" s="245">
        <v>51.141376000000001</v>
      </c>
      <c r="L764" s="228">
        <f t="shared" si="68"/>
        <v>2.6679518886911779E-2</v>
      </c>
      <c r="M764" s="228"/>
      <c r="N764" s="227"/>
      <c r="O764" s="322">
        <v>55.740001999999997</v>
      </c>
      <c r="P764" s="228">
        <f t="shared" si="69"/>
        <v>5.048737920099633E-3</v>
      </c>
      <c r="Q764" s="228"/>
      <c r="R764" s="227"/>
      <c r="S764" s="322">
        <v>278.10000600000001</v>
      </c>
      <c r="T764" s="228">
        <f t="shared" si="70"/>
        <v>-5.7501615126087646E-4</v>
      </c>
      <c r="U764" s="228"/>
      <c r="V764" s="228"/>
      <c r="W764" s="228"/>
      <c r="X764" s="322">
        <v>174.020004</v>
      </c>
      <c r="Y764" s="228">
        <f t="shared" si="71"/>
        <v>9.2797008384144508E-3</v>
      </c>
      <c r="Z764" s="228"/>
      <c r="AA764" s="202"/>
    </row>
    <row r="765" spans="2:27" x14ac:dyDescent="0.15">
      <c r="B765" s="241">
        <v>43774</v>
      </c>
      <c r="C765" s="244"/>
      <c r="D765" s="245">
        <v>67.187729000000004</v>
      </c>
      <c r="E765" s="228">
        <f t="shared" si="66"/>
        <v>-8.6328092464249551E-4</v>
      </c>
      <c r="F765" s="228"/>
      <c r="G765" s="245">
        <v>268.60159299999998</v>
      </c>
      <c r="H765" s="228">
        <f t="shared" si="67"/>
        <v>-5.0515338021254186E-3</v>
      </c>
      <c r="J765" s="227"/>
      <c r="K765" s="245">
        <v>51.198737999999999</v>
      </c>
      <c r="L765" s="228">
        <f t="shared" si="68"/>
        <v>1.1216358355317091E-3</v>
      </c>
      <c r="M765" s="228"/>
      <c r="N765" s="227"/>
      <c r="O765" s="322">
        <v>55.880001</v>
      </c>
      <c r="P765" s="228">
        <f t="shared" si="69"/>
        <v>2.5116432539777911E-3</v>
      </c>
      <c r="Q765" s="228"/>
      <c r="R765" s="227"/>
      <c r="S765" s="322">
        <v>277.95001200000002</v>
      </c>
      <c r="T765" s="228">
        <f t="shared" si="70"/>
        <v>-5.3935273917249393E-4</v>
      </c>
      <c r="U765" s="228"/>
      <c r="V765" s="228"/>
      <c r="W765" s="228"/>
      <c r="X765" s="322">
        <v>171.979996</v>
      </c>
      <c r="Y765" s="228">
        <f t="shared" si="71"/>
        <v>-1.1722836186120356E-2</v>
      </c>
      <c r="Z765" s="228"/>
      <c r="AA765" s="202"/>
    </row>
    <row r="766" spans="2:27" x14ac:dyDescent="0.15">
      <c r="B766" s="241">
        <v>43775</v>
      </c>
      <c r="C766" s="244"/>
      <c r="D766" s="245">
        <v>67.149047999999993</v>
      </c>
      <c r="E766" s="228">
        <f t="shared" si="66"/>
        <v>-5.7571524705068988E-4</v>
      </c>
      <c r="F766" s="228"/>
      <c r="G766" s="245">
        <v>265.577606</v>
      </c>
      <c r="H766" s="228">
        <f t="shared" si="67"/>
        <v>-1.1258261599364272E-2</v>
      </c>
      <c r="J766" s="227"/>
      <c r="K766" s="245">
        <v>51.284785999999997</v>
      </c>
      <c r="L766" s="228">
        <f t="shared" si="68"/>
        <v>1.680666425801336E-3</v>
      </c>
      <c r="M766" s="228"/>
      <c r="N766" s="227"/>
      <c r="O766" s="322">
        <v>55.82</v>
      </c>
      <c r="P766" s="228">
        <f t="shared" si="69"/>
        <v>-1.0737472964612582E-3</v>
      </c>
      <c r="Q766" s="228"/>
      <c r="R766" s="227"/>
      <c r="S766" s="322">
        <v>275.51001000000002</v>
      </c>
      <c r="T766" s="228">
        <f t="shared" si="70"/>
        <v>-8.7785641110171841E-3</v>
      </c>
      <c r="U766" s="228"/>
      <c r="V766" s="228"/>
      <c r="W766" s="228"/>
      <c r="X766" s="322">
        <v>172.520004</v>
      </c>
      <c r="Y766" s="228">
        <f t="shared" si="71"/>
        <v>3.1399465784380798E-3</v>
      </c>
      <c r="Z766" s="228"/>
      <c r="AA766" s="202"/>
    </row>
    <row r="767" spans="2:27" x14ac:dyDescent="0.15">
      <c r="B767" s="241">
        <v>43776</v>
      </c>
      <c r="C767" s="244"/>
      <c r="D767" s="245">
        <v>67.390900000000002</v>
      </c>
      <c r="E767" s="228">
        <f t="shared" si="66"/>
        <v>3.6017189700143781E-3</v>
      </c>
      <c r="F767" s="228"/>
      <c r="G767" s="245">
        <v>264.50045799999998</v>
      </c>
      <c r="H767" s="228">
        <f t="shared" si="67"/>
        <v>-4.0558690780577722E-3</v>
      </c>
      <c r="J767" s="227"/>
      <c r="K767" s="245">
        <v>51.313468999999998</v>
      </c>
      <c r="L767" s="228">
        <f t="shared" si="68"/>
        <v>5.5928867481291888E-4</v>
      </c>
      <c r="M767" s="228"/>
      <c r="N767" s="227"/>
      <c r="O767" s="322">
        <v>55.939999</v>
      </c>
      <c r="P767" s="228">
        <f t="shared" si="69"/>
        <v>2.1497491938373692E-3</v>
      </c>
      <c r="Q767" s="228"/>
      <c r="R767" s="227"/>
      <c r="S767" s="322">
        <v>274.10998499999999</v>
      </c>
      <c r="T767" s="228">
        <f t="shared" si="70"/>
        <v>-5.0815758019101542E-3</v>
      </c>
      <c r="U767" s="228"/>
      <c r="V767" s="228"/>
      <c r="W767" s="228"/>
      <c r="X767" s="322">
        <v>171.949997</v>
      </c>
      <c r="Y767" s="228">
        <f t="shared" si="71"/>
        <v>-3.3040052561092992E-3</v>
      </c>
      <c r="Z767" s="228"/>
      <c r="AA767" s="202"/>
    </row>
    <row r="768" spans="2:27" x14ac:dyDescent="0.15">
      <c r="B768" s="241">
        <v>43777</v>
      </c>
      <c r="C768" s="244"/>
      <c r="D768" s="245">
        <v>67.574707000000004</v>
      </c>
      <c r="E768" s="228">
        <f t="shared" si="66"/>
        <v>2.7274750745278631E-3</v>
      </c>
      <c r="F768" s="228"/>
      <c r="G768" s="245">
        <v>264.14468399999998</v>
      </c>
      <c r="H768" s="228">
        <f t="shared" si="67"/>
        <v>-1.3450789563471677E-3</v>
      </c>
      <c r="J768" s="227"/>
      <c r="K768" s="245">
        <v>50.510353000000002</v>
      </c>
      <c r="L768" s="228">
        <f t="shared" si="68"/>
        <v>-1.5651173379059524E-2</v>
      </c>
      <c r="M768" s="228"/>
      <c r="N768" s="227"/>
      <c r="O768" s="322">
        <v>56.029998999999997</v>
      </c>
      <c r="P768" s="228">
        <f t="shared" si="69"/>
        <v>1.6088666715921018E-3</v>
      </c>
      <c r="Q768" s="228"/>
      <c r="R768" s="227"/>
      <c r="S768" s="322">
        <v>272.67999300000002</v>
      </c>
      <c r="T768" s="228">
        <f t="shared" si="70"/>
        <v>-5.2168548329240005E-3</v>
      </c>
      <c r="U768" s="228"/>
      <c r="V768" s="228"/>
      <c r="W768" s="228"/>
      <c r="X768" s="322">
        <v>174.21000699999999</v>
      </c>
      <c r="Y768" s="228">
        <f t="shared" si="71"/>
        <v>1.3143414012388721E-2</v>
      </c>
      <c r="Z768" s="228"/>
      <c r="AA768" s="202"/>
    </row>
    <row r="769" spans="2:27" x14ac:dyDescent="0.15">
      <c r="B769" s="241">
        <v>43780</v>
      </c>
      <c r="C769" s="244"/>
      <c r="D769" s="245">
        <v>67.468277</v>
      </c>
      <c r="E769" s="228">
        <f t="shared" si="66"/>
        <v>-1.5749975800857241E-3</v>
      </c>
      <c r="F769" s="228"/>
      <c r="G769" s="245">
        <v>263.58136000000002</v>
      </c>
      <c r="H769" s="228">
        <f t="shared" si="67"/>
        <v>-2.1326342497960393E-3</v>
      </c>
      <c r="J769" s="227"/>
      <c r="K769" s="245">
        <v>50.290450999999997</v>
      </c>
      <c r="L769" s="228">
        <f t="shared" si="68"/>
        <v>-4.3536025178838589E-3</v>
      </c>
      <c r="M769" s="228"/>
      <c r="N769" s="227"/>
      <c r="O769" s="322">
        <v>56.59</v>
      </c>
      <c r="P769" s="228">
        <f t="shared" si="69"/>
        <v>9.9946637514665149E-3</v>
      </c>
      <c r="Q769" s="228"/>
      <c r="R769" s="227"/>
      <c r="S769" s="322">
        <v>271.26001000000002</v>
      </c>
      <c r="T769" s="228">
        <f t="shared" si="70"/>
        <v>-5.2075071015569296E-3</v>
      </c>
      <c r="U769" s="228"/>
      <c r="V769" s="228"/>
      <c r="W769" s="228"/>
      <c r="X769" s="322">
        <v>174.429993</v>
      </c>
      <c r="Y769" s="228">
        <f t="shared" si="71"/>
        <v>1.2627632808717149E-3</v>
      </c>
      <c r="Z769" s="228"/>
      <c r="AA769" s="202"/>
    </row>
    <row r="770" spans="2:27" x14ac:dyDescent="0.15">
      <c r="B770" s="241">
        <v>43781</v>
      </c>
      <c r="C770" s="244"/>
      <c r="D770" s="245">
        <v>67.545685000000006</v>
      </c>
      <c r="E770" s="228">
        <f t="shared" si="66"/>
        <v>1.1473243936555022E-3</v>
      </c>
      <c r="F770" s="228"/>
      <c r="G770" s="245">
        <v>264.44113199999998</v>
      </c>
      <c r="H770" s="228">
        <f t="shared" si="67"/>
        <v>3.2618846795537948E-3</v>
      </c>
      <c r="J770" s="227"/>
      <c r="K770" s="245">
        <v>49.860207000000003</v>
      </c>
      <c r="L770" s="228">
        <f t="shared" si="68"/>
        <v>-8.5551827721727092E-3</v>
      </c>
      <c r="M770" s="228"/>
      <c r="N770" s="227"/>
      <c r="O770" s="322">
        <v>56.419998</v>
      </c>
      <c r="P770" s="228">
        <f t="shared" si="69"/>
        <v>-3.004099664251747E-3</v>
      </c>
      <c r="Q770" s="228"/>
      <c r="R770" s="227"/>
      <c r="S770" s="322">
        <v>270.01001000000002</v>
      </c>
      <c r="T770" s="228">
        <f t="shared" si="70"/>
        <v>-4.6081248762027682E-3</v>
      </c>
      <c r="U770" s="228"/>
      <c r="V770" s="228"/>
      <c r="W770" s="228"/>
      <c r="X770" s="322">
        <v>174.41999799999999</v>
      </c>
      <c r="Y770" s="228">
        <f t="shared" si="71"/>
        <v>-5.7300925305869832E-5</v>
      </c>
      <c r="Z770" s="228"/>
      <c r="AA770" s="202"/>
    </row>
    <row r="771" spans="2:27" x14ac:dyDescent="0.15">
      <c r="B771" s="241">
        <v>43782</v>
      </c>
      <c r="C771" s="244"/>
      <c r="D771" s="245">
        <v>67.603729000000001</v>
      </c>
      <c r="E771" s="228">
        <f t="shared" si="66"/>
        <v>8.5932950417189069E-4</v>
      </c>
      <c r="F771" s="228"/>
      <c r="G771" s="245">
        <v>266.74371300000001</v>
      </c>
      <c r="H771" s="228">
        <f t="shared" si="67"/>
        <v>8.707348144312288E-3</v>
      </c>
      <c r="J771" s="227"/>
      <c r="K771" s="245">
        <v>50.558159000000003</v>
      </c>
      <c r="L771" s="228">
        <f t="shared" si="68"/>
        <v>1.3998176942987772E-2</v>
      </c>
      <c r="M771" s="228"/>
      <c r="N771" s="227"/>
      <c r="O771" s="322">
        <v>57.119999</v>
      </c>
      <c r="P771" s="228">
        <f t="shared" si="69"/>
        <v>1.2406966054837598E-2</v>
      </c>
      <c r="Q771" s="228"/>
      <c r="R771" s="227"/>
      <c r="S771" s="322">
        <v>272.459991</v>
      </c>
      <c r="T771" s="228">
        <f t="shared" si="70"/>
        <v>9.0736673058897654E-3</v>
      </c>
      <c r="U771" s="228"/>
      <c r="V771" s="228"/>
      <c r="W771" s="228"/>
      <c r="X771" s="322">
        <v>176.35000600000001</v>
      </c>
      <c r="Y771" s="228">
        <f t="shared" si="71"/>
        <v>1.106529080455565E-2</v>
      </c>
      <c r="Z771" s="228"/>
      <c r="AA771" s="202"/>
    </row>
    <row r="772" spans="2:27" x14ac:dyDescent="0.15">
      <c r="B772" s="241">
        <v>43783</v>
      </c>
      <c r="C772" s="244"/>
      <c r="D772" s="245">
        <v>67.690787999999998</v>
      </c>
      <c r="E772" s="228">
        <f t="shared" si="66"/>
        <v>1.2877839919156475E-3</v>
      </c>
      <c r="F772" s="228"/>
      <c r="G772" s="245">
        <v>266.55593900000002</v>
      </c>
      <c r="H772" s="228">
        <f t="shared" si="67"/>
        <v>-7.0394911238258473E-4</v>
      </c>
      <c r="J772" s="227"/>
      <c r="K772" s="245">
        <v>50.175719999999998</v>
      </c>
      <c r="L772" s="228">
        <f t="shared" si="68"/>
        <v>-7.5643379340613048E-3</v>
      </c>
      <c r="M772" s="228"/>
      <c r="N772" s="227"/>
      <c r="O772" s="322">
        <v>56.959999000000003</v>
      </c>
      <c r="P772" s="228">
        <f t="shared" si="69"/>
        <v>-2.8011204972184789E-3</v>
      </c>
      <c r="Q772" s="228"/>
      <c r="R772" s="227"/>
      <c r="S772" s="322">
        <v>275.08999599999999</v>
      </c>
      <c r="T772" s="228">
        <f t="shared" si="70"/>
        <v>9.6528117407153058E-3</v>
      </c>
      <c r="U772" s="228"/>
      <c r="V772" s="228"/>
      <c r="W772" s="228"/>
      <c r="X772" s="322">
        <v>176.60000600000001</v>
      </c>
      <c r="Y772" s="228">
        <f t="shared" si="71"/>
        <v>1.417635335946521E-3</v>
      </c>
      <c r="Z772" s="228"/>
      <c r="AA772" s="202"/>
    </row>
    <row r="773" spans="2:27" x14ac:dyDescent="0.15">
      <c r="B773" s="241">
        <v>43784</v>
      </c>
      <c r="C773" s="244"/>
      <c r="D773" s="245">
        <v>68.164840999999996</v>
      </c>
      <c r="E773" s="228">
        <f t="shared" si="66"/>
        <v>7.0032129039478974E-3</v>
      </c>
      <c r="F773" s="228"/>
      <c r="G773" s="245">
        <v>271.73431399999998</v>
      </c>
      <c r="H773" s="228">
        <f t="shared" si="67"/>
        <v>1.942697288766837E-2</v>
      </c>
      <c r="J773" s="227"/>
      <c r="K773" s="245">
        <v>50.950153</v>
      </c>
      <c r="L773" s="228">
        <f t="shared" si="68"/>
        <v>1.5434417283897606E-2</v>
      </c>
      <c r="M773" s="228"/>
      <c r="N773" s="227"/>
      <c r="O773" s="322">
        <v>62.060001</v>
      </c>
      <c r="P773" s="228">
        <f t="shared" si="69"/>
        <v>8.9536553538211994E-2</v>
      </c>
      <c r="Q773" s="228"/>
      <c r="R773" s="227"/>
      <c r="S773" s="322">
        <v>283.67999300000002</v>
      </c>
      <c r="T773" s="228">
        <f t="shared" si="70"/>
        <v>3.1226133719526539E-2</v>
      </c>
      <c r="U773" s="228"/>
      <c r="V773" s="228"/>
      <c r="W773" s="228"/>
      <c r="X773" s="322">
        <v>177.86000100000001</v>
      </c>
      <c r="Y773" s="228">
        <f t="shared" si="71"/>
        <v>7.1347392819454125E-3</v>
      </c>
      <c r="Z773" s="228"/>
      <c r="AA773" s="202"/>
    </row>
    <row r="774" spans="2:27" x14ac:dyDescent="0.15">
      <c r="B774" s="241">
        <v>43787</v>
      </c>
      <c r="C774" s="244"/>
      <c r="D774" s="245">
        <v>68.203545000000005</v>
      </c>
      <c r="E774" s="228">
        <f t="shared" si="66"/>
        <v>5.6780004812173601E-4</v>
      </c>
      <c r="F774" s="228"/>
      <c r="G774" s="245">
        <v>270.25195300000001</v>
      </c>
      <c r="H774" s="228">
        <f t="shared" si="67"/>
        <v>-5.4551851703202869E-3</v>
      </c>
      <c r="J774" s="227"/>
      <c r="K774" s="245">
        <v>51.074444</v>
      </c>
      <c r="L774" s="228">
        <f t="shared" si="68"/>
        <v>2.4394627431245652E-3</v>
      </c>
      <c r="M774" s="228"/>
      <c r="N774" s="227"/>
      <c r="O774" s="322">
        <v>62.349997999999999</v>
      </c>
      <c r="P774" s="228">
        <f t="shared" si="69"/>
        <v>4.6728487806502184E-3</v>
      </c>
      <c r="Q774" s="228"/>
      <c r="R774" s="227"/>
      <c r="S774" s="322">
        <v>282.70001200000002</v>
      </c>
      <c r="T774" s="228">
        <f t="shared" si="70"/>
        <v>-3.4545298370759481E-3</v>
      </c>
      <c r="U774" s="228"/>
      <c r="V774" s="228"/>
      <c r="W774" s="228"/>
      <c r="X774" s="322">
        <v>177</v>
      </c>
      <c r="Y774" s="228">
        <f t="shared" si="71"/>
        <v>-4.8352692857570601E-3</v>
      </c>
      <c r="Z774" s="228"/>
      <c r="AA774" s="202"/>
    </row>
    <row r="775" spans="2:27" x14ac:dyDescent="0.15">
      <c r="B775" s="241">
        <v>43788</v>
      </c>
      <c r="C775" s="244"/>
      <c r="D775" s="245">
        <v>68.232544000000004</v>
      </c>
      <c r="E775" s="228">
        <f t="shared" si="66"/>
        <v>4.2518317779527415E-4</v>
      </c>
      <c r="F775" s="228"/>
      <c r="G775" s="245">
        <v>268.35452299999997</v>
      </c>
      <c r="H775" s="228">
        <f t="shared" si="67"/>
        <v>-7.0209668383045543E-3</v>
      </c>
      <c r="J775" s="227"/>
      <c r="K775" s="245">
        <v>51.399512999999999</v>
      </c>
      <c r="L775" s="228">
        <f t="shared" si="68"/>
        <v>6.3646116245532625E-3</v>
      </c>
      <c r="M775" s="228"/>
      <c r="N775" s="227"/>
      <c r="O775" s="322">
        <v>60.939999</v>
      </c>
      <c r="P775" s="228">
        <f t="shared" si="69"/>
        <v>-2.2614258945124588E-2</v>
      </c>
      <c r="Q775" s="228"/>
      <c r="R775" s="227"/>
      <c r="S775" s="322">
        <v>276.76001000000002</v>
      </c>
      <c r="T775" s="228">
        <f t="shared" si="70"/>
        <v>-2.1011679334488331E-2</v>
      </c>
      <c r="U775" s="228"/>
      <c r="V775" s="228"/>
      <c r="W775" s="228"/>
      <c r="X775" s="322">
        <v>175.990005</v>
      </c>
      <c r="Y775" s="228">
        <f t="shared" si="71"/>
        <v>-5.7061864406779961E-3</v>
      </c>
      <c r="Z775" s="228"/>
      <c r="AA775" s="202"/>
    </row>
    <row r="776" spans="2:27" x14ac:dyDescent="0.15">
      <c r="B776" s="241">
        <v>43789</v>
      </c>
      <c r="C776" s="244"/>
      <c r="D776" s="245">
        <v>67.981026</v>
      </c>
      <c r="E776" s="228">
        <f t="shared" si="66"/>
        <v>-3.6861882212687602E-3</v>
      </c>
      <c r="F776" s="228"/>
      <c r="G776" s="245">
        <v>265.70608499999997</v>
      </c>
      <c r="H776" s="228">
        <f t="shared" si="67"/>
        <v>-9.8691759333603413E-3</v>
      </c>
      <c r="J776" s="227"/>
      <c r="K776" s="245">
        <v>51.150928</v>
      </c>
      <c r="L776" s="228">
        <f t="shared" si="68"/>
        <v>-4.8363298695066614E-3</v>
      </c>
      <c r="M776" s="228"/>
      <c r="N776" s="227"/>
      <c r="O776" s="322">
        <v>59.650002000000001</v>
      </c>
      <c r="P776" s="228">
        <f t="shared" si="69"/>
        <v>-2.1168313442210596E-2</v>
      </c>
      <c r="Q776" s="228"/>
      <c r="R776" s="227"/>
      <c r="S776" s="322">
        <v>274.13000499999998</v>
      </c>
      <c r="T776" s="228">
        <f t="shared" si="70"/>
        <v>-9.5028360491822284E-3</v>
      </c>
      <c r="U776" s="228"/>
      <c r="V776" s="228"/>
      <c r="W776" s="228"/>
      <c r="X776" s="322">
        <v>173.66999799999999</v>
      </c>
      <c r="Y776" s="228">
        <f t="shared" si="71"/>
        <v>-1.3182606591777724E-2</v>
      </c>
      <c r="Z776" s="228"/>
      <c r="AA776" s="202"/>
    </row>
    <row r="777" spans="2:27" x14ac:dyDescent="0.15">
      <c r="B777" s="241">
        <v>43790</v>
      </c>
      <c r="C777" s="244"/>
      <c r="D777" s="245">
        <v>67.884285000000006</v>
      </c>
      <c r="E777" s="228">
        <f t="shared" ref="E777:E840" si="72">D777/D776-1</f>
        <v>-1.4230588399768429E-3</v>
      </c>
      <c r="F777" s="228"/>
      <c r="G777" s="245">
        <v>263.88769500000001</v>
      </c>
      <c r="H777" s="228">
        <f t="shared" ref="H777:H840" si="73">G777/G776-1</f>
        <v>-6.8436144396164522E-3</v>
      </c>
      <c r="J777" s="227"/>
      <c r="K777" s="245">
        <v>50.653762999999998</v>
      </c>
      <c r="L777" s="228">
        <f t="shared" ref="L777:L840" si="74">K777/K776-1</f>
        <v>-9.7195695061486065E-3</v>
      </c>
      <c r="M777" s="228"/>
      <c r="N777" s="227"/>
      <c r="O777" s="322">
        <v>56.439999</v>
      </c>
      <c r="P777" s="228">
        <f t="shared" ref="P777:P840" si="75">O777/O776-1</f>
        <v>-5.3813962990311381E-2</v>
      </c>
      <c r="Q777" s="228"/>
      <c r="R777" s="227"/>
      <c r="S777" s="322">
        <v>263.89999399999999</v>
      </c>
      <c r="T777" s="228">
        <f t="shared" ref="T777:T840" si="76">S777/S776-1</f>
        <v>-3.7318100220368078E-2</v>
      </c>
      <c r="U777" s="228"/>
      <c r="V777" s="228"/>
      <c r="W777" s="228"/>
      <c r="X777" s="322">
        <v>161.58999600000001</v>
      </c>
      <c r="Y777" s="228">
        <f t="shared" ref="Y777:Y840" si="77">X777/X776-1</f>
        <v>-6.9557218512779517E-2</v>
      </c>
      <c r="Z777" s="228"/>
      <c r="AA777" s="202"/>
    </row>
    <row r="778" spans="2:27" x14ac:dyDescent="0.15">
      <c r="B778" s="241">
        <v>43791</v>
      </c>
      <c r="C778" s="244"/>
      <c r="D778" s="245">
        <v>67.990700000000004</v>
      </c>
      <c r="E778" s="228">
        <f t="shared" si="72"/>
        <v>1.5675940315198478E-3</v>
      </c>
      <c r="F778" s="228"/>
      <c r="G778" s="245">
        <v>263.08728000000002</v>
      </c>
      <c r="H778" s="228">
        <f t="shared" si="73"/>
        <v>-3.0331653016256732E-3</v>
      </c>
      <c r="J778" s="227"/>
      <c r="K778" s="245">
        <v>50.472107000000001</v>
      </c>
      <c r="L778" s="228">
        <f t="shared" si="74"/>
        <v>-3.5862291218126119E-3</v>
      </c>
      <c r="M778" s="228"/>
      <c r="N778" s="227"/>
      <c r="O778" s="322">
        <v>55.939999</v>
      </c>
      <c r="P778" s="228">
        <f t="shared" si="75"/>
        <v>-8.8589654298186771E-3</v>
      </c>
      <c r="Q778" s="228"/>
      <c r="R778" s="227"/>
      <c r="S778" s="322">
        <v>261.98001099999999</v>
      </c>
      <c r="T778" s="228">
        <f t="shared" si="76"/>
        <v>-7.2754188846249068E-3</v>
      </c>
      <c r="U778" s="228"/>
      <c r="V778" s="228"/>
      <c r="W778" s="228"/>
      <c r="X778" s="322">
        <v>158.490005</v>
      </c>
      <c r="Y778" s="228">
        <f t="shared" si="77"/>
        <v>-1.9184300245913888E-2</v>
      </c>
      <c r="Z778" s="228"/>
      <c r="AA778" s="202"/>
    </row>
    <row r="779" spans="2:27" x14ac:dyDescent="0.15">
      <c r="B779" s="241">
        <v>43794</v>
      </c>
      <c r="C779" s="244"/>
      <c r="D779" s="245">
        <v>68.590508</v>
      </c>
      <c r="E779" s="228">
        <f t="shared" si="72"/>
        <v>8.8219124086088563E-3</v>
      </c>
      <c r="F779" s="228"/>
      <c r="G779" s="245">
        <v>267.95922899999999</v>
      </c>
      <c r="H779" s="228">
        <f t="shared" si="73"/>
        <v>1.8518375346767035E-2</v>
      </c>
      <c r="J779" s="227"/>
      <c r="K779" s="245">
        <v>51.399512999999999</v>
      </c>
      <c r="L779" s="228">
        <f t="shared" si="74"/>
        <v>1.8374624225614422E-2</v>
      </c>
      <c r="M779" s="228"/>
      <c r="N779" s="227"/>
      <c r="O779" s="322">
        <v>58.279998999999997</v>
      </c>
      <c r="P779" s="228">
        <f t="shared" si="75"/>
        <v>4.1830533461396646E-2</v>
      </c>
      <c r="Q779" s="228"/>
      <c r="R779" s="227"/>
      <c r="S779" s="322">
        <v>269.01001000000002</v>
      </c>
      <c r="T779" s="228">
        <f t="shared" si="76"/>
        <v>2.6834104530211844E-2</v>
      </c>
      <c r="U779" s="228"/>
      <c r="V779" s="228"/>
      <c r="W779" s="228"/>
      <c r="X779" s="322">
        <v>163.35000600000001</v>
      </c>
      <c r="Y779" s="228">
        <f t="shared" si="77"/>
        <v>3.0664400572137041E-2</v>
      </c>
      <c r="Z779" s="228"/>
      <c r="AA779" s="202"/>
    </row>
    <row r="780" spans="2:27" x14ac:dyDescent="0.15">
      <c r="B780" s="241">
        <v>43795</v>
      </c>
      <c r="C780" s="244"/>
      <c r="D780" s="245">
        <v>68.774315000000001</v>
      </c>
      <c r="E780" s="228">
        <f t="shared" si="72"/>
        <v>2.679773125459306E-3</v>
      </c>
      <c r="F780" s="228"/>
      <c r="G780" s="245">
        <v>268.27548200000001</v>
      </c>
      <c r="H780" s="228">
        <f t="shared" si="73"/>
        <v>1.1802280562616119E-3</v>
      </c>
      <c r="J780" s="227"/>
      <c r="K780" s="245">
        <v>51.275222999999997</v>
      </c>
      <c r="L780" s="228">
        <f t="shared" si="74"/>
        <v>-2.4181162961602887E-3</v>
      </c>
      <c r="M780" s="228"/>
      <c r="N780" s="227"/>
      <c r="O780" s="322">
        <v>57.57</v>
      </c>
      <c r="P780" s="228">
        <f t="shared" si="75"/>
        <v>-1.2182549968815182E-2</v>
      </c>
      <c r="Q780" s="228"/>
      <c r="R780" s="227"/>
      <c r="S780" s="322">
        <v>269.55999800000001</v>
      </c>
      <c r="T780" s="228">
        <f t="shared" si="76"/>
        <v>2.0444889764510421E-3</v>
      </c>
      <c r="U780" s="228"/>
      <c r="V780" s="228"/>
      <c r="W780" s="228"/>
      <c r="X780" s="322">
        <v>162.13000500000001</v>
      </c>
      <c r="Y780" s="228">
        <f t="shared" si="77"/>
        <v>-7.468631497938194E-3</v>
      </c>
      <c r="Z780" s="228"/>
      <c r="AA780" s="202"/>
    </row>
    <row r="781" spans="2:27" x14ac:dyDescent="0.15">
      <c r="B781" s="241">
        <v>43796</v>
      </c>
      <c r="C781" s="244"/>
      <c r="D781" s="245">
        <v>69.122589000000005</v>
      </c>
      <c r="E781" s="228">
        <f t="shared" si="72"/>
        <v>5.064012633204662E-3</v>
      </c>
      <c r="F781" s="228"/>
      <c r="G781" s="245">
        <v>268.28539999999998</v>
      </c>
      <c r="H781" s="228">
        <f t="shared" si="73"/>
        <v>3.6969461115310409E-5</v>
      </c>
      <c r="J781" s="227"/>
      <c r="K781" s="245">
        <v>51.523808000000002</v>
      </c>
      <c r="L781" s="228">
        <f t="shared" si="74"/>
        <v>4.8480530255325949E-3</v>
      </c>
      <c r="M781" s="228"/>
      <c r="N781" s="227"/>
      <c r="O781" s="322">
        <v>58.290000999999997</v>
      </c>
      <c r="P781" s="228">
        <f t="shared" si="75"/>
        <v>1.2506531179433678E-2</v>
      </c>
      <c r="Q781" s="228"/>
      <c r="R781" s="227"/>
      <c r="S781" s="322">
        <v>270.94000199999999</v>
      </c>
      <c r="T781" s="228">
        <f t="shared" si="76"/>
        <v>5.1194688018953993E-3</v>
      </c>
      <c r="U781" s="228"/>
      <c r="V781" s="228"/>
      <c r="W781" s="228"/>
      <c r="X781" s="322">
        <v>165.64999399999999</v>
      </c>
      <c r="Y781" s="228">
        <f t="shared" si="77"/>
        <v>2.1710904159905287E-2</v>
      </c>
      <c r="Z781" s="228"/>
      <c r="AA781" s="202"/>
    </row>
    <row r="782" spans="2:27" x14ac:dyDescent="0.15">
      <c r="B782" s="241">
        <v>43798</v>
      </c>
      <c r="C782" s="244"/>
      <c r="D782" s="245">
        <v>68.793671000000003</v>
      </c>
      <c r="E782" s="228">
        <f t="shared" si="72"/>
        <v>-4.7584733841494753E-3</v>
      </c>
      <c r="F782" s="228"/>
      <c r="G782" s="245">
        <v>267.43548600000003</v>
      </c>
      <c r="H782" s="228">
        <f t="shared" si="73"/>
        <v>-3.1679472680956611E-3</v>
      </c>
      <c r="J782" s="227"/>
      <c r="K782" s="245">
        <v>50.758938000000001</v>
      </c>
      <c r="L782" s="228">
        <f t="shared" si="74"/>
        <v>-1.4844981954749925E-2</v>
      </c>
      <c r="M782" s="228"/>
      <c r="N782" s="227"/>
      <c r="O782" s="322">
        <v>57.900002000000001</v>
      </c>
      <c r="P782" s="228">
        <f t="shared" si="75"/>
        <v>-6.6906672381081833E-3</v>
      </c>
      <c r="Q782" s="228"/>
      <c r="R782" s="227"/>
      <c r="S782" s="322">
        <v>266.82998700000002</v>
      </c>
      <c r="T782" s="228">
        <f t="shared" si="76"/>
        <v>-1.516946545235498E-2</v>
      </c>
      <c r="U782" s="228"/>
      <c r="V782" s="228"/>
      <c r="W782" s="228"/>
      <c r="X782" s="322">
        <v>163.86000100000001</v>
      </c>
      <c r="Y782" s="228">
        <f t="shared" si="77"/>
        <v>-1.0805874221764156E-2</v>
      </c>
      <c r="Z782" s="228"/>
      <c r="AA782" s="202"/>
    </row>
    <row r="783" spans="2:27" x14ac:dyDescent="0.15">
      <c r="B783" s="241">
        <v>43801</v>
      </c>
      <c r="C783" s="244"/>
      <c r="D783" s="245">
        <v>68.184180999999995</v>
      </c>
      <c r="E783" s="228">
        <f t="shared" si="72"/>
        <v>-8.8596812924841561E-3</v>
      </c>
      <c r="F783" s="228"/>
      <c r="G783" s="245">
        <v>262.46469100000002</v>
      </c>
      <c r="H783" s="228">
        <f t="shared" si="73"/>
        <v>-1.8586893887372891E-2</v>
      </c>
      <c r="J783" s="227"/>
      <c r="K783" s="245">
        <v>50.653762999999998</v>
      </c>
      <c r="L783" s="228">
        <f t="shared" si="74"/>
        <v>-2.0720488675315396E-3</v>
      </c>
      <c r="M783" s="228"/>
      <c r="N783" s="227"/>
      <c r="O783" s="322">
        <v>56.700001</v>
      </c>
      <c r="P783" s="228">
        <f t="shared" si="75"/>
        <v>-2.0725405156289955E-2</v>
      </c>
      <c r="Q783" s="228"/>
      <c r="R783" s="227"/>
      <c r="S783" s="322">
        <v>262.94000199999999</v>
      </c>
      <c r="T783" s="228">
        <f t="shared" si="76"/>
        <v>-1.4578515120191593E-2</v>
      </c>
      <c r="U783" s="228"/>
      <c r="V783" s="228"/>
      <c r="W783" s="228"/>
      <c r="X783" s="322">
        <v>161.05999800000001</v>
      </c>
      <c r="Y783" s="228">
        <f t="shared" si="77"/>
        <v>-1.7087776046089465E-2</v>
      </c>
      <c r="Z783" s="228"/>
      <c r="AA783" s="202"/>
    </row>
    <row r="784" spans="2:27" x14ac:dyDescent="0.15">
      <c r="B784" s="241">
        <v>43802</v>
      </c>
      <c r="C784" s="244"/>
      <c r="D784" s="245">
        <v>67.806892000000005</v>
      </c>
      <c r="E784" s="228">
        <f t="shared" si="72"/>
        <v>-5.5333802425520107E-3</v>
      </c>
      <c r="F784" s="228"/>
      <c r="G784" s="245">
        <v>261.72348</v>
      </c>
      <c r="H784" s="228">
        <f t="shared" si="73"/>
        <v>-2.8240408154559526E-3</v>
      </c>
      <c r="J784" s="227"/>
      <c r="K784" s="245">
        <v>50.462547000000001</v>
      </c>
      <c r="L784" s="228">
        <f t="shared" si="74"/>
        <v>-3.7749613982281938E-3</v>
      </c>
      <c r="M784" s="228"/>
      <c r="N784" s="227"/>
      <c r="O784" s="322">
        <v>55.34</v>
      </c>
      <c r="P784" s="228">
        <f t="shared" si="75"/>
        <v>-2.3985907866209688E-2</v>
      </c>
      <c r="Q784" s="228"/>
      <c r="R784" s="227"/>
      <c r="S784" s="322">
        <v>257.83999599999999</v>
      </c>
      <c r="T784" s="228">
        <f t="shared" si="76"/>
        <v>-1.9396082608990062E-2</v>
      </c>
      <c r="U784" s="228"/>
      <c r="V784" s="228"/>
      <c r="W784" s="228"/>
      <c r="X784" s="322">
        <v>156.38000500000001</v>
      </c>
      <c r="Y784" s="228">
        <f t="shared" si="77"/>
        <v>-2.905745100034085E-2</v>
      </c>
      <c r="Z784" s="228"/>
      <c r="AA784" s="202"/>
    </row>
    <row r="785" spans="2:27" x14ac:dyDescent="0.15">
      <c r="B785" s="241">
        <v>43803</v>
      </c>
      <c r="C785" s="244"/>
      <c r="D785" s="245">
        <v>68.213218999999995</v>
      </c>
      <c r="E785" s="228">
        <f t="shared" si="72"/>
        <v>5.9924144584002637E-3</v>
      </c>
      <c r="F785" s="228"/>
      <c r="G785" s="245">
        <v>266.58560199999999</v>
      </c>
      <c r="H785" s="228">
        <f t="shared" si="73"/>
        <v>1.8577324434170039E-2</v>
      </c>
      <c r="J785" s="227"/>
      <c r="K785" s="245">
        <v>50.844985999999999</v>
      </c>
      <c r="L785" s="228">
        <f t="shared" si="74"/>
        <v>7.5786701769136045E-3</v>
      </c>
      <c r="M785" s="228"/>
      <c r="N785" s="227"/>
      <c r="O785" s="322">
        <v>56.09</v>
      </c>
      <c r="P785" s="228">
        <f t="shared" si="75"/>
        <v>1.3552584026020886E-2</v>
      </c>
      <c r="Q785" s="228"/>
      <c r="R785" s="227"/>
      <c r="S785" s="322">
        <v>262.86999500000002</v>
      </c>
      <c r="T785" s="228">
        <f t="shared" si="76"/>
        <v>1.9508218577539926E-2</v>
      </c>
      <c r="U785" s="228"/>
      <c r="V785" s="228"/>
      <c r="W785" s="228"/>
      <c r="X785" s="322">
        <v>160.259995</v>
      </c>
      <c r="Y785" s="228">
        <f t="shared" si="77"/>
        <v>2.4811292210919156E-2</v>
      </c>
      <c r="Z785" s="228"/>
      <c r="AA785" s="202"/>
    </row>
    <row r="786" spans="2:27" x14ac:dyDescent="0.15">
      <c r="B786" s="241">
        <v>43804</v>
      </c>
      <c r="C786" s="244"/>
      <c r="D786" s="245">
        <v>68.309951999999996</v>
      </c>
      <c r="E786" s="228">
        <f t="shared" si="72"/>
        <v>1.4180975684492392E-3</v>
      </c>
      <c r="F786" s="228"/>
      <c r="G786" s="245">
        <v>270.617615</v>
      </c>
      <c r="H786" s="228">
        <f t="shared" si="73"/>
        <v>1.5124646529109942E-2</v>
      </c>
      <c r="J786" s="227"/>
      <c r="K786" s="245">
        <v>52.011417000000002</v>
      </c>
      <c r="L786" s="228">
        <f t="shared" si="74"/>
        <v>2.2940924794432993E-2</v>
      </c>
      <c r="M786" s="228"/>
      <c r="N786" s="227"/>
      <c r="O786" s="322">
        <v>55.84</v>
      </c>
      <c r="P786" s="228">
        <f t="shared" si="75"/>
        <v>-4.4571224817258059E-3</v>
      </c>
      <c r="Q786" s="228"/>
      <c r="R786" s="227"/>
      <c r="S786" s="322">
        <v>264.82000699999998</v>
      </c>
      <c r="T786" s="228">
        <f t="shared" si="76"/>
        <v>7.4181612093078275E-3</v>
      </c>
      <c r="U786" s="228"/>
      <c r="V786" s="228"/>
      <c r="W786" s="228"/>
      <c r="X786" s="322">
        <v>161.5</v>
      </c>
      <c r="Y786" s="228">
        <f t="shared" si="77"/>
        <v>7.7374581223468297E-3</v>
      </c>
      <c r="Z786" s="228"/>
      <c r="AA786" s="202"/>
    </row>
    <row r="787" spans="2:27" x14ac:dyDescent="0.15">
      <c r="B787" s="241">
        <v>43805</v>
      </c>
      <c r="C787" s="244"/>
      <c r="D787" s="245">
        <v>68.880736999999996</v>
      </c>
      <c r="E787" s="228">
        <f t="shared" si="72"/>
        <v>8.3558102924738975E-3</v>
      </c>
      <c r="F787" s="228"/>
      <c r="G787" s="245">
        <v>276.794037</v>
      </c>
      <c r="H787" s="228">
        <f t="shared" si="73"/>
        <v>2.2823429287853303E-2</v>
      </c>
      <c r="J787" s="227"/>
      <c r="K787" s="245">
        <v>52.527706000000002</v>
      </c>
      <c r="L787" s="228">
        <f t="shared" si="74"/>
        <v>9.9264551857911609E-3</v>
      </c>
      <c r="M787" s="228"/>
      <c r="N787" s="227"/>
      <c r="O787" s="322">
        <v>56.599997999999999</v>
      </c>
      <c r="P787" s="228">
        <f t="shared" si="75"/>
        <v>1.3610279369627332E-2</v>
      </c>
      <c r="Q787" s="228"/>
      <c r="R787" s="227"/>
      <c r="S787" s="322">
        <v>269.85998499999999</v>
      </c>
      <c r="T787" s="228">
        <f t="shared" si="76"/>
        <v>1.9031711603270329E-2</v>
      </c>
      <c r="U787" s="228"/>
      <c r="V787" s="228"/>
      <c r="W787" s="228"/>
      <c r="X787" s="322">
        <v>162.88999899999999</v>
      </c>
      <c r="Y787" s="228">
        <f t="shared" si="77"/>
        <v>8.6068049535603652E-3</v>
      </c>
      <c r="Z787" s="228"/>
      <c r="AA787" s="202"/>
    </row>
    <row r="788" spans="2:27" x14ac:dyDescent="0.15">
      <c r="B788" s="241">
        <v>43808</v>
      </c>
      <c r="C788" s="244"/>
      <c r="D788" s="245">
        <v>68.716278000000003</v>
      </c>
      <c r="E788" s="228">
        <f t="shared" si="72"/>
        <v>-2.387590597353717E-3</v>
      </c>
      <c r="F788" s="228"/>
      <c r="G788" s="245">
        <v>274.25427200000001</v>
      </c>
      <c r="H788" s="228">
        <f t="shared" si="73"/>
        <v>-9.1756492572128145E-3</v>
      </c>
      <c r="J788" s="227"/>
      <c r="K788" s="245">
        <v>52.068783000000003</v>
      </c>
      <c r="L788" s="228">
        <f t="shared" si="74"/>
        <v>-8.7367797862711871E-3</v>
      </c>
      <c r="M788" s="228"/>
      <c r="N788" s="227"/>
      <c r="O788" s="322">
        <v>56.599997999999999</v>
      </c>
      <c r="P788" s="228">
        <f t="shared" si="75"/>
        <v>0</v>
      </c>
      <c r="Q788" s="228"/>
      <c r="R788" s="227"/>
      <c r="S788" s="322">
        <v>268.01998900000001</v>
      </c>
      <c r="T788" s="228">
        <f t="shared" si="76"/>
        <v>-6.8183358121804982E-3</v>
      </c>
      <c r="U788" s="228"/>
      <c r="V788" s="228"/>
      <c r="W788" s="228"/>
      <c r="X788" s="322">
        <v>160.88000500000001</v>
      </c>
      <c r="Y788" s="228">
        <f t="shared" si="77"/>
        <v>-1.2339578932651252E-2</v>
      </c>
      <c r="Z788" s="228"/>
      <c r="AA788" s="202"/>
    </row>
    <row r="789" spans="2:27" x14ac:dyDescent="0.15">
      <c r="B789" s="241">
        <v>43809</v>
      </c>
      <c r="C789" s="244"/>
      <c r="D789" s="245">
        <v>68.600182000000004</v>
      </c>
      <c r="E789" s="228">
        <f t="shared" si="72"/>
        <v>-1.6894977926481536E-3</v>
      </c>
      <c r="F789" s="228"/>
      <c r="G789" s="245">
        <v>275.82556199999999</v>
      </c>
      <c r="H789" s="228">
        <f t="shared" si="73"/>
        <v>5.7293182291795475E-3</v>
      </c>
      <c r="J789" s="227"/>
      <c r="K789" s="245">
        <v>52.126151999999998</v>
      </c>
      <c r="L789" s="228">
        <f t="shared" si="74"/>
        <v>1.1017926038332515E-3</v>
      </c>
      <c r="M789" s="228"/>
      <c r="N789" s="227"/>
      <c r="O789" s="322">
        <v>56.619999</v>
      </c>
      <c r="P789" s="228">
        <f t="shared" si="75"/>
        <v>3.5337457079065437E-4</v>
      </c>
      <c r="Q789" s="228"/>
      <c r="R789" s="227"/>
      <c r="S789" s="322">
        <v>268.98998999999998</v>
      </c>
      <c r="T789" s="228">
        <f t="shared" si="76"/>
        <v>3.6191367801301499E-3</v>
      </c>
      <c r="U789" s="228"/>
      <c r="V789" s="228"/>
      <c r="W789" s="228"/>
      <c r="X789" s="322">
        <v>162.36999499999999</v>
      </c>
      <c r="Y789" s="228">
        <f t="shared" si="77"/>
        <v>9.2614989662636038E-3</v>
      </c>
      <c r="Z789" s="228"/>
      <c r="AA789" s="202"/>
    </row>
    <row r="790" spans="2:27" x14ac:dyDescent="0.15">
      <c r="B790" s="241">
        <v>43810</v>
      </c>
      <c r="C790" s="244"/>
      <c r="D790" s="245">
        <v>68.822685000000007</v>
      </c>
      <c r="E790" s="228">
        <f t="shared" si="72"/>
        <v>3.2434753598760135E-3</v>
      </c>
      <c r="F790" s="228"/>
      <c r="G790" s="245">
        <v>280.69757099999998</v>
      </c>
      <c r="H790" s="228">
        <f t="shared" si="73"/>
        <v>1.7663370155663882E-2</v>
      </c>
      <c r="J790" s="227"/>
      <c r="K790" s="245">
        <v>53.445552999999997</v>
      </c>
      <c r="L790" s="228">
        <f t="shared" si="74"/>
        <v>2.5311689993920972E-2</v>
      </c>
      <c r="M790" s="228"/>
      <c r="N790" s="227"/>
      <c r="O790" s="322">
        <v>59.040000999999997</v>
      </c>
      <c r="P790" s="228">
        <f t="shared" si="75"/>
        <v>4.2741116968228798E-2</v>
      </c>
      <c r="Q790" s="228"/>
      <c r="R790" s="227"/>
      <c r="S790" s="322">
        <v>275.39999399999999</v>
      </c>
      <c r="T790" s="228">
        <f t="shared" si="76"/>
        <v>2.3829897908096864E-2</v>
      </c>
      <c r="U790" s="228"/>
      <c r="V790" s="228"/>
      <c r="W790" s="228"/>
      <c r="X790" s="322">
        <v>167.11999499999999</v>
      </c>
      <c r="Y790" s="228">
        <f t="shared" si="77"/>
        <v>2.9254173469673406E-2</v>
      </c>
      <c r="Z790" s="228"/>
      <c r="AA790" s="202"/>
    </row>
    <row r="791" spans="2:27" x14ac:dyDescent="0.15">
      <c r="B791" s="241">
        <v>43811</v>
      </c>
      <c r="C791" s="244"/>
      <c r="D791" s="245">
        <v>69.325760000000002</v>
      </c>
      <c r="E791" s="228">
        <f t="shared" si="72"/>
        <v>7.3097264368571224E-3</v>
      </c>
      <c r="F791" s="228"/>
      <c r="G791" s="245">
        <v>283.859894</v>
      </c>
      <c r="H791" s="228">
        <f t="shared" si="73"/>
        <v>1.1265943587377869E-2</v>
      </c>
      <c r="J791" s="227"/>
      <c r="K791" s="245">
        <v>56.036563999999998</v>
      </c>
      <c r="L791" s="228">
        <f t="shared" si="74"/>
        <v>4.8479449730831625E-2</v>
      </c>
      <c r="M791" s="228"/>
      <c r="N791" s="227"/>
      <c r="O791" s="322">
        <v>60.360000999999997</v>
      </c>
      <c r="P791" s="228">
        <f t="shared" si="75"/>
        <v>2.2357723198548118E-2</v>
      </c>
      <c r="Q791" s="228"/>
      <c r="R791" s="227"/>
      <c r="S791" s="322">
        <v>284.70001200000002</v>
      </c>
      <c r="T791" s="228">
        <f t="shared" si="76"/>
        <v>3.3769129276016052E-2</v>
      </c>
      <c r="U791" s="228"/>
      <c r="V791" s="228"/>
      <c r="W791" s="228"/>
      <c r="X791" s="322">
        <v>171.46000699999999</v>
      </c>
      <c r="Y791" s="228">
        <f t="shared" si="77"/>
        <v>2.596943591339862E-2</v>
      </c>
      <c r="Z791" s="228"/>
      <c r="AA791" s="202"/>
    </row>
    <row r="792" spans="2:27" x14ac:dyDescent="0.15">
      <c r="B792" s="241">
        <v>43812</v>
      </c>
      <c r="C792" s="244"/>
      <c r="D792" s="245">
        <v>69.393471000000005</v>
      </c>
      <c r="E792" s="228">
        <f t="shared" si="72"/>
        <v>9.7670764806623289E-4</v>
      </c>
      <c r="F792" s="228"/>
      <c r="G792" s="245">
        <v>286.47872899999999</v>
      </c>
      <c r="H792" s="228">
        <f t="shared" si="73"/>
        <v>9.2258013736874478E-3</v>
      </c>
      <c r="J792" s="227"/>
      <c r="K792" s="245">
        <v>55.692371000000001</v>
      </c>
      <c r="L792" s="228">
        <f t="shared" si="74"/>
        <v>-6.1422930927741426E-3</v>
      </c>
      <c r="M792" s="228"/>
      <c r="N792" s="227"/>
      <c r="O792" s="322">
        <v>59.869999</v>
      </c>
      <c r="P792" s="228">
        <f t="shared" si="75"/>
        <v>-8.1179919132207123E-3</v>
      </c>
      <c r="Q792" s="228"/>
      <c r="R792" s="227"/>
      <c r="S792" s="322">
        <v>281.95001200000002</v>
      </c>
      <c r="T792" s="228">
        <f t="shared" si="76"/>
        <v>-9.659290074072735E-3</v>
      </c>
      <c r="U792" s="228"/>
      <c r="V792" s="228"/>
      <c r="W792" s="228"/>
      <c r="X792" s="322">
        <v>171.240005</v>
      </c>
      <c r="Y792" s="228">
        <f t="shared" si="77"/>
        <v>-1.2831097108260137E-3</v>
      </c>
      <c r="Z792" s="228"/>
      <c r="AA792" s="202"/>
    </row>
    <row r="793" spans="2:27" x14ac:dyDescent="0.15">
      <c r="B793" s="241">
        <v>43815</v>
      </c>
      <c r="C793" s="244"/>
      <c r="D793" s="245">
        <v>69.886047000000005</v>
      </c>
      <c r="E793" s="228">
        <f t="shared" si="72"/>
        <v>7.0983046805657146E-3</v>
      </c>
      <c r="F793" s="228"/>
      <c r="G793" s="245">
        <v>289.522491</v>
      </c>
      <c r="H793" s="228">
        <f t="shared" si="73"/>
        <v>1.062473996106017E-2</v>
      </c>
      <c r="J793" s="227"/>
      <c r="K793" s="245">
        <v>55.969642999999998</v>
      </c>
      <c r="L793" s="228">
        <f t="shared" si="74"/>
        <v>4.9786352245624332E-3</v>
      </c>
      <c r="M793" s="228"/>
      <c r="N793" s="227"/>
      <c r="O793" s="322">
        <v>59.959999000000003</v>
      </c>
      <c r="P793" s="228">
        <f t="shared" si="75"/>
        <v>1.5032570820654456E-3</v>
      </c>
      <c r="Q793" s="228"/>
      <c r="R793" s="227"/>
      <c r="S793" s="322">
        <v>284.25</v>
      </c>
      <c r="T793" s="228">
        <f t="shared" si="76"/>
        <v>8.1574318216379726E-3</v>
      </c>
      <c r="U793" s="228"/>
      <c r="V793" s="228"/>
      <c r="W793" s="228"/>
      <c r="X793" s="322">
        <v>172.05999800000001</v>
      </c>
      <c r="Y793" s="228">
        <f t="shared" si="77"/>
        <v>4.7885597760874976E-3</v>
      </c>
      <c r="Z793" s="228"/>
      <c r="AA793" s="202"/>
    </row>
    <row r="794" spans="2:27" x14ac:dyDescent="0.15">
      <c r="B794" s="241">
        <v>43816</v>
      </c>
      <c r="C794" s="244"/>
      <c r="D794" s="245">
        <v>69.876311999999999</v>
      </c>
      <c r="E794" s="228">
        <f t="shared" si="72"/>
        <v>-1.3929819209845817E-4</v>
      </c>
      <c r="F794" s="228"/>
      <c r="G794" s="245">
        <v>291.370453</v>
      </c>
      <c r="H794" s="228">
        <f t="shared" si="73"/>
        <v>6.3827925547932374E-3</v>
      </c>
      <c r="J794" s="227"/>
      <c r="K794" s="245">
        <v>56.629340999999997</v>
      </c>
      <c r="L794" s="228">
        <f t="shared" si="74"/>
        <v>1.1786710878252338E-2</v>
      </c>
      <c r="M794" s="228"/>
      <c r="N794" s="227"/>
      <c r="O794" s="322">
        <v>60.790000999999997</v>
      </c>
      <c r="P794" s="228">
        <f t="shared" si="75"/>
        <v>1.3842595294239368E-2</v>
      </c>
      <c r="Q794" s="228"/>
      <c r="R794" s="227"/>
      <c r="S794" s="322">
        <v>290.57000699999998</v>
      </c>
      <c r="T794" s="228">
        <f t="shared" si="76"/>
        <v>2.2233973614775637E-2</v>
      </c>
      <c r="U794" s="228"/>
      <c r="V794" s="228"/>
      <c r="W794" s="228"/>
      <c r="X794" s="322">
        <v>175.96000699999999</v>
      </c>
      <c r="Y794" s="228">
        <f t="shared" si="77"/>
        <v>2.2666564252778798E-2</v>
      </c>
      <c r="Z794" s="228"/>
      <c r="AA794" s="202"/>
    </row>
    <row r="795" spans="2:27" x14ac:dyDescent="0.15">
      <c r="B795" s="241">
        <v>43817</v>
      </c>
      <c r="C795" s="244"/>
      <c r="D795" s="245">
        <v>69.915253000000007</v>
      </c>
      <c r="E795" s="228">
        <f t="shared" si="72"/>
        <v>5.5728470615346026E-4</v>
      </c>
      <c r="F795" s="228"/>
      <c r="G795" s="245">
        <v>288.722015</v>
      </c>
      <c r="H795" s="228">
        <f t="shared" si="73"/>
        <v>-9.0895901514076449E-3</v>
      </c>
      <c r="J795" s="227"/>
      <c r="K795" s="245">
        <v>56.505051000000002</v>
      </c>
      <c r="L795" s="228">
        <f t="shared" si="74"/>
        <v>-2.1947986292122357E-3</v>
      </c>
      <c r="M795" s="228"/>
      <c r="N795" s="227"/>
      <c r="O795" s="322">
        <v>60.380001</v>
      </c>
      <c r="P795" s="228">
        <f t="shared" si="75"/>
        <v>-6.7445302394385509E-3</v>
      </c>
      <c r="Q795" s="228"/>
      <c r="R795" s="227"/>
      <c r="S795" s="322">
        <v>288.01998900000001</v>
      </c>
      <c r="T795" s="228">
        <f t="shared" si="76"/>
        <v>-8.7759160910230172E-3</v>
      </c>
      <c r="U795" s="228"/>
      <c r="V795" s="228"/>
      <c r="W795" s="228"/>
      <c r="X795" s="322">
        <v>175.259995</v>
      </c>
      <c r="Y795" s="228">
        <f t="shared" si="77"/>
        <v>-3.9782448974328144E-3</v>
      </c>
      <c r="Z795" s="228"/>
      <c r="AA795" s="202"/>
    </row>
    <row r="796" spans="2:27" x14ac:dyDescent="0.15">
      <c r="B796" s="241">
        <v>43818</v>
      </c>
      <c r="C796" s="244"/>
      <c r="D796" s="245">
        <v>70.207306000000003</v>
      </c>
      <c r="E796" s="228">
        <f t="shared" si="72"/>
        <v>4.1772429830153612E-3</v>
      </c>
      <c r="F796" s="228"/>
      <c r="G796" s="245">
        <v>288.38604700000002</v>
      </c>
      <c r="H796" s="228">
        <f t="shared" si="73"/>
        <v>-1.1636383183318832E-3</v>
      </c>
      <c r="J796" s="227"/>
      <c r="K796" s="245">
        <v>55.802227000000002</v>
      </c>
      <c r="L796" s="228">
        <f t="shared" si="74"/>
        <v>-1.2438250874244883E-2</v>
      </c>
      <c r="M796" s="228"/>
      <c r="N796" s="227"/>
      <c r="O796" s="322">
        <v>60.669998</v>
      </c>
      <c r="P796" s="228">
        <f t="shared" si="75"/>
        <v>4.8028651076041928E-3</v>
      </c>
      <c r="Q796" s="228"/>
      <c r="R796" s="227"/>
      <c r="S796" s="322">
        <v>293.290009</v>
      </c>
      <c r="T796" s="228">
        <f t="shared" si="76"/>
        <v>1.8297410600901065E-2</v>
      </c>
      <c r="U796" s="228"/>
      <c r="V796" s="228"/>
      <c r="W796" s="228"/>
      <c r="X796" s="322">
        <v>175.46000699999999</v>
      </c>
      <c r="Y796" s="228">
        <f t="shared" si="77"/>
        <v>1.1412302048734446E-3</v>
      </c>
      <c r="Z796" s="228"/>
      <c r="AA796" s="202"/>
    </row>
    <row r="797" spans="2:27" x14ac:dyDescent="0.15">
      <c r="B797" s="241">
        <v>43819</v>
      </c>
      <c r="C797" s="244"/>
      <c r="D797" s="245">
        <v>70.528542000000002</v>
      </c>
      <c r="E797" s="228">
        <f t="shared" si="72"/>
        <v>4.5755352014218431E-3</v>
      </c>
      <c r="F797" s="228"/>
      <c r="G797" s="245">
        <v>290.13519300000002</v>
      </c>
      <c r="H797" s="228">
        <f t="shared" si="73"/>
        <v>6.0652934432712247E-3</v>
      </c>
      <c r="J797" s="227"/>
      <c r="K797" s="245">
        <v>55.773342</v>
      </c>
      <c r="L797" s="228">
        <f t="shared" si="74"/>
        <v>-5.1763167086504858E-4</v>
      </c>
      <c r="M797" s="228"/>
      <c r="N797" s="227"/>
      <c r="O797" s="322">
        <v>61.810001</v>
      </c>
      <c r="P797" s="228">
        <f t="shared" si="75"/>
        <v>1.8790226431192547E-2</v>
      </c>
      <c r="Q797" s="228"/>
      <c r="R797" s="227"/>
      <c r="S797" s="322">
        <v>297.41000400000001</v>
      </c>
      <c r="T797" s="228">
        <f t="shared" si="76"/>
        <v>1.4047512269673046E-2</v>
      </c>
      <c r="U797" s="228"/>
      <c r="V797" s="228"/>
      <c r="W797" s="228"/>
      <c r="X797" s="322">
        <v>177.470001</v>
      </c>
      <c r="Y797" s="228">
        <f t="shared" si="77"/>
        <v>1.1455567763655639E-2</v>
      </c>
      <c r="Z797" s="228"/>
      <c r="AA797" s="202"/>
    </row>
    <row r="798" spans="2:27" x14ac:dyDescent="0.15">
      <c r="B798" s="241">
        <v>43822</v>
      </c>
      <c r="C798" s="244"/>
      <c r="D798" s="245">
        <v>70.625893000000005</v>
      </c>
      <c r="E798" s="228">
        <f t="shared" si="72"/>
        <v>1.3803064297004397E-3</v>
      </c>
      <c r="F798" s="228"/>
      <c r="G798" s="245">
        <v>292.65518200000002</v>
      </c>
      <c r="H798" s="228">
        <f t="shared" si="73"/>
        <v>8.6855681792452621E-3</v>
      </c>
      <c r="J798" s="227"/>
      <c r="K798" s="245">
        <v>56.052546999999997</v>
      </c>
      <c r="L798" s="228">
        <f t="shared" si="74"/>
        <v>5.0060654425190254E-3</v>
      </c>
      <c r="M798" s="228"/>
      <c r="N798" s="227"/>
      <c r="O798" s="322">
        <v>61.080002</v>
      </c>
      <c r="P798" s="228">
        <f t="shared" si="75"/>
        <v>-1.1810370299136563E-2</v>
      </c>
      <c r="Q798" s="228"/>
      <c r="R798" s="227"/>
      <c r="S798" s="322">
        <v>294.45001200000002</v>
      </c>
      <c r="T798" s="228">
        <f t="shared" si="76"/>
        <v>-9.9525636669571815E-3</v>
      </c>
      <c r="U798" s="228"/>
      <c r="V798" s="228"/>
      <c r="W798" s="228"/>
      <c r="X798" s="322">
        <v>177.11000100000001</v>
      </c>
      <c r="Y798" s="228">
        <f t="shared" si="77"/>
        <v>-2.0285118497294086E-3</v>
      </c>
      <c r="Z798" s="228"/>
      <c r="AA798" s="202"/>
    </row>
    <row r="799" spans="2:27" x14ac:dyDescent="0.15">
      <c r="B799" s="241">
        <v>43823</v>
      </c>
      <c r="C799" s="244"/>
      <c r="D799" s="245">
        <v>70.645363000000003</v>
      </c>
      <c r="E799" s="228">
        <f t="shared" si="72"/>
        <v>2.7567793018912212E-4</v>
      </c>
      <c r="F799" s="228"/>
      <c r="G799" s="245">
        <v>291.45941199999999</v>
      </c>
      <c r="H799" s="228">
        <f t="shared" si="73"/>
        <v>-4.0859348255108952E-3</v>
      </c>
      <c r="J799" s="227"/>
      <c r="K799" s="245">
        <v>55.609668999999997</v>
      </c>
      <c r="L799" s="228">
        <f t="shared" si="74"/>
        <v>-7.9011217813170775E-3</v>
      </c>
      <c r="M799" s="228"/>
      <c r="N799" s="227"/>
      <c r="O799" s="322">
        <v>61.5</v>
      </c>
      <c r="P799" s="228">
        <f t="shared" si="75"/>
        <v>6.876194928742807E-3</v>
      </c>
      <c r="Q799" s="228"/>
      <c r="R799" s="227"/>
      <c r="S799" s="322">
        <v>294.48001099999999</v>
      </c>
      <c r="T799" s="228">
        <f t="shared" si="76"/>
        <v>1.0188146978240553E-4</v>
      </c>
      <c r="U799" s="228"/>
      <c r="V799" s="228"/>
      <c r="W799" s="228"/>
      <c r="X799" s="322">
        <v>178.11000100000001</v>
      </c>
      <c r="Y799" s="228">
        <f t="shared" si="77"/>
        <v>5.6462085390649452E-3</v>
      </c>
      <c r="Z799" s="228"/>
      <c r="AA799" s="202"/>
    </row>
    <row r="800" spans="2:27" x14ac:dyDescent="0.15">
      <c r="B800" s="241">
        <v>43825</v>
      </c>
      <c r="C800" s="244"/>
      <c r="D800" s="245">
        <v>71.025024000000002</v>
      </c>
      <c r="E800" s="228">
        <f t="shared" si="72"/>
        <v>5.3741814590151371E-3</v>
      </c>
      <c r="F800" s="228"/>
      <c r="G800" s="245">
        <v>292.85281400000002</v>
      </c>
      <c r="H800" s="228">
        <f t="shared" si="73"/>
        <v>4.7807754446442807E-3</v>
      </c>
      <c r="J800" s="227"/>
      <c r="K800" s="245">
        <v>56.081432</v>
      </c>
      <c r="L800" s="228">
        <f t="shared" si="74"/>
        <v>8.4834707431904466E-3</v>
      </c>
      <c r="M800" s="228"/>
      <c r="N800" s="227"/>
      <c r="O800" s="322">
        <v>61.310001</v>
      </c>
      <c r="P800" s="228">
        <f t="shared" si="75"/>
        <v>-3.0894146341463591E-3</v>
      </c>
      <c r="Q800" s="228"/>
      <c r="R800" s="227"/>
      <c r="S800" s="322">
        <v>294.92001299999998</v>
      </c>
      <c r="T800" s="228">
        <f t="shared" si="76"/>
        <v>1.4941659316902722E-3</v>
      </c>
      <c r="U800" s="228"/>
      <c r="V800" s="228"/>
      <c r="W800" s="228"/>
      <c r="X800" s="322">
        <v>178.75</v>
      </c>
      <c r="Y800" s="228">
        <f t="shared" si="77"/>
        <v>3.5932794138830992E-3</v>
      </c>
      <c r="Z800" s="228"/>
      <c r="AA800" s="202"/>
    </row>
    <row r="801" spans="2:27" x14ac:dyDescent="0.15">
      <c r="B801" s="241">
        <v>43826</v>
      </c>
      <c r="C801" s="244"/>
      <c r="D801" s="245">
        <v>70.966614000000007</v>
      </c>
      <c r="E801" s="228">
        <f t="shared" si="72"/>
        <v>-8.2238620574059951E-4</v>
      </c>
      <c r="F801" s="228"/>
      <c r="G801" s="245">
        <v>293.17895499999997</v>
      </c>
      <c r="H801" s="228">
        <f t="shared" si="73"/>
        <v>1.1136686567743137E-3</v>
      </c>
      <c r="J801" s="227"/>
      <c r="K801" s="245">
        <v>56.283614999999998</v>
      </c>
      <c r="L801" s="228">
        <f t="shared" si="74"/>
        <v>3.6051682845759103E-3</v>
      </c>
      <c r="M801" s="228"/>
      <c r="N801" s="227"/>
      <c r="O801" s="322">
        <v>61.169998</v>
      </c>
      <c r="P801" s="228">
        <f t="shared" si="75"/>
        <v>-2.2835263042974008E-3</v>
      </c>
      <c r="Q801" s="228"/>
      <c r="R801" s="227"/>
      <c r="S801" s="322">
        <v>293.70001200000002</v>
      </c>
      <c r="T801" s="228">
        <f t="shared" si="76"/>
        <v>-4.136718249771576E-3</v>
      </c>
      <c r="U801" s="228"/>
      <c r="V801" s="228"/>
      <c r="W801" s="228"/>
      <c r="X801" s="322">
        <v>178.520004</v>
      </c>
      <c r="Y801" s="228">
        <f t="shared" si="77"/>
        <v>-1.2866909090909484E-3</v>
      </c>
      <c r="Z801" s="228"/>
      <c r="AA801" s="202"/>
    </row>
    <row r="802" spans="2:27" x14ac:dyDescent="0.15">
      <c r="B802" s="241">
        <v>43829</v>
      </c>
      <c r="C802" s="244"/>
      <c r="D802" s="245">
        <v>70.548027000000005</v>
      </c>
      <c r="E802" s="228">
        <f t="shared" si="72"/>
        <v>-5.8983651101065515E-3</v>
      </c>
      <c r="F802" s="228"/>
      <c r="G802" s="245">
        <v>291.41989100000001</v>
      </c>
      <c r="H802" s="228">
        <f t="shared" si="73"/>
        <v>-5.9999668120789273E-3</v>
      </c>
      <c r="J802" s="227"/>
      <c r="K802" s="245">
        <v>55.69632</v>
      </c>
      <c r="L802" s="228">
        <f t="shared" si="74"/>
        <v>-1.0434564304371619E-2</v>
      </c>
      <c r="M802" s="228"/>
      <c r="N802" s="227"/>
      <c r="O802" s="322">
        <v>60.93</v>
      </c>
      <c r="P802" s="228">
        <f t="shared" si="75"/>
        <v>-3.9234593403125739E-3</v>
      </c>
      <c r="Q802" s="228"/>
      <c r="R802" s="227"/>
      <c r="S802" s="322">
        <v>292.540009</v>
      </c>
      <c r="T802" s="228">
        <f t="shared" si="76"/>
        <v>-3.9496184971214987E-3</v>
      </c>
      <c r="U802" s="228"/>
      <c r="V802" s="228"/>
      <c r="W802" s="228"/>
      <c r="X802" s="322">
        <v>178.36999499999999</v>
      </c>
      <c r="Y802" s="228">
        <f t="shared" si="77"/>
        <v>-8.4029238538452233E-4</v>
      </c>
      <c r="Z802" s="228"/>
      <c r="AA802" s="202"/>
    </row>
    <row r="803" spans="2:27" x14ac:dyDescent="0.15">
      <c r="B803" s="241">
        <v>43830</v>
      </c>
      <c r="C803" s="244"/>
      <c r="D803" s="245">
        <v>70.762191999999999</v>
      </c>
      <c r="E803" s="228">
        <f t="shared" si="72"/>
        <v>3.0357333735213654E-3</v>
      </c>
      <c r="F803" s="228"/>
      <c r="G803" s="245">
        <v>292.45751999999999</v>
      </c>
      <c r="H803" s="228">
        <f t="shared" si="73"/>
        <v>3.5605977218624574E-3</v>
      </c>
      <c r="J803" s="227"/>
      <c r="K803" s="245">
        <v>55.937016</v>
      </c>
      <c r="L803" s="228">
        <f t="shared" si="74"/>
        <v>4.3215781581260604E-3</v>
      </c>
      <c r="M803" s="228"/>
      <c r="N803" s="227"/>
      <c r="O803" s="322">
        <v>61.040000999999997</v>
      </c>
      <c r="P803" s="228">
        <f t="shared" si="75"/>
        <v>1.8053668143771517E-3</v>
      </c>
      <c r="Q803" s="228"/>
      <c r="R803" s="227"/>
      <c r="S803" s="322">
        <v>292.39999399999999</v>
      </c>
      <c r="T803" s="228">
        <f t="shared" si="76"/>
        <v>-4.7861829388273769E-4</v>
      </c>
      <c r="U803" s="228"/>
      <c r="V803" s="228"/>
      <c r="W803" s="228"/>
      <c r="X803" s="322">
        <v>178.16999799999999</v>
      </c>
      <c r="Y803" s="228">
        <f t="shared" si="77"/>
        <v>-1.1212479991379309E-3</v>
      </c>
      <c r="Z803" s="228"/>
      <c r="AA803" s="202"/>
    </row>
    <row r="804" spans="2:27" x14ac:dyDescent="0.15">
      <c r="B804" s="241">
        <v>43832</v>
      </c>
      <c r="C804" s="244"/>
      <c r="D804" s="245">
        <v>71.297591999999995</v>
      </c>
      <c r="E804" s="228">
        <f t="shared" si="72"/>
        <v>7.5661873221790632E-3</v>
      </c>
      <c r="F804" s="228"/>
      <c r="G804" s="245">
        <v>299.26641799999999</v>
      </c>
      <c r="H804" s="228">
        <f t="shared" si="73"/>
        <v>2.3281664974797112E-2</v>
      </c>
      <c r="J804" s="227"/>
      <c r="K804" s="245">
        <v>57.804789999999997</v>
      </c>
      <c r="L804" s="228">
        <f t="shared" si="74"/>
        <v>3.3390662097527724E-2</v>
      </c>
      <c r="M804" s="228"/>
      <c r="N804" s="227"/>
      <c r="O804" s="322">
        <v>62.200001</v>
      </c>
      <c r="P804" s="228">
        <f t="shared" si="75"/>
        <v>1.9003931536632823E-2</v>
      </c>
      <c r="Q804" s="228"/>
      <c r="R804" s="227"/>
      <c r="S804" s="322">
        <v>297.89001500000001</v>
      </c>
      <c r="T804" s="228">
        <f t="shared" si="76"/>
        <v>1.8775721999501949E-2</v>
      </c>
      <c r="U804" s="228"/>
      <c r="V804" s="228"/>
      <c r="W804" s="228"/>
      <c r="X804" s="322">
        <v>182.570007</v>
      </c>
      <c r="Y804" s="228">
        <f t="shared" si="77"/>
        <v>2.4695566309654415E-2</v>
      </c>
      <c r="Z804" s="228"/>
      <c r="AA804" s="202"/>
    </row>
    <row r="805" spans="2:27" x14ac:dyDescent="0.15">
      <c r="B805" s="241">
        <v>43833</v>
      </c>
      <c r="C805" s="244"/>
      <c r="D805" s="245">
        <v>70.859543000000002</v>
      </c>
      <c r="E805" s="228">
        <f t="shared" si="72"/>
        <v>-6.1439522389479251E-3</v>
      </c>
      <c r="F805" s="228"/>
      <c r="G805" s="245">
        <v>294.44387799999998</v>
      </c>
      <c r="H805" s="228">
        <f t="shared" si="73"/>
        <v>-1.6114537782852767E-2</v>
      </c>
      <c r="J805" s="227"/>
      <c r="K805" s="245">
        <v>55.898502000000001</v>
      </c>
      <c r="L805" s="228">
        <f t="shared" si="74"/>
        <v>-3.2978028291427042E-2</v>
      </c>
      <c r="M805" s="228"/>
      <c r="N805" s="227"/>
      <c r="O805" s="322">
        <v>61.209999000000003</v>
      </c>
      <c r="P805" s="228">
        <f t="shared" si="75"/>
        <v>-1.5916430612275989E-2</v>
      </c>
      <c r="Q805" s="228"/>
      <c r="R805" s="227"/>
      <c r="S805" s="322">
        <v>294.69000199999999</v>
      </c>
      <c r="T805" s="228">
        <f t="shared" si="76"/>
        <v>-1.0742263382007011E-2</v>
      </c>
      <c r="U805" s="228"/>
      <c r="V805" s="228"/>
      <c r="W805" s="228"/>
      <c r="X805" s="322">
        <v>179.08000200000001</v>
      </c>
      <c r="Y805" s="228">
        <f t="shared" si="77"/>
        <v>-1.9115982177729807E-2</v>
      </c>
      <c r="Z805" s="228"/>
      <c r="AA805" s="202"/>
    </row>
    <row r="806" spans="2:27" x14ac:dyDescent="0.15">
      <c r="B806" s="241">
        <v>43836</v>
      </c>
      <c r="C806" s="244"/>
      <c r="D806" s="245">
        <v>71.132103000000001</v>
      </c>
      <c r="E806" s="228">
        <f t="shared" si="72"/>
        <v>3.8464826113824291E-3</v>
      </c>
      <c r="F806" s="228"/>
      <c r="G806" s="245">
        <v>292.10174599999999</v>
      </c>
      <c r="H806" s="228">
        <f t="shared" si="73"/>
        <v>-7.9544258685521063E-3</v>
      </c>
      <c r="J806" s="227"/>
      <c r="K806" s="245">
        <v>55.253444999999999</v>
      </c>
      <c r="L806" s="228">
        <f t="shared" si="74"/>
        <v>-1.1539790458069854E-2</v>
      </c>
      <c r="M806" s="228"/>
      <c r="N806" s="227"/>
      <c r="O806" s="322">
        <v>59.889999000000003</v>
      </c>
      <c r="P806" s="228">
        <f t="shared" si="75"/>
        <v>-2.1565104093532184E-2</v>
      </c>
      <c r="Q806" s="228"/>
      <c r="R806" s="227"/>
      <c r="S806" s="322">
        <v>289.19000199999999</v>
      </c>
      <c r="T806" s="228">
        <f t="shared" si="76"/>
        <v>-1.8663680351123646E-2</v>
      </c>
      <c r="U806" s="228"/>
      <c r="V806" s="228"/>
      <c r="W806" s="228"/>
      <c r="X806" s="322">
        <v>175.050003</v>
      </c>
      <c r="Y806" s="228">
        <f t="shared" si="77"/>
        <v>-2.2503903032120798E-2</v>
      </c>
      <c r="Z806" s="228"/>
      <c r="AA806" s="202"/>
    </row>
    <row r="807" spans="2:27" x14ac:dyDescent="0.15">
      <c r="B807" s="241">
        <v>43837</v>
      </c>
      <c r="C807" s="244"/>
      <c r="D807" s="245">
        <v>70.908203</v>
      </c>
      <c r="E807" s="228">
        <f t="shared" si="72"/>
        <v>-3.1476645643387924E-3</v>
      </c>
      <c r="F807" s="228"/>
      <c r="G807" s="245">
        <v>295.27401700000001</v>
      </c>
      <c r="H807" s="228">
        <f t="shared" si="73"/>
        <v>1.0860157610971699E-2</v>
      </c>
      <c r="J807" s="227"/>
      <c r="K807" s="245">
        <v>56.148826999999997</v>
      </c>
      <c r="L807" s="228">
        <f t="shared" si="74"/>
        <v>1.6204998620447997E-2</v>
      </c>
      <c r="M807" s="228"/>
      <c r="N807" s="227"/>
      <c r="O807" s="322">
        <v>61.619999</v>
      </c>
      <c r="P807" s="228">
        <f t="shared" si="75"/>
        <v>2.8886292016802262E-2</v>
      </c>
      <c r="Q807" s="228"/>
      <c r="R807" s="227"/>
      <c r="S807" s="322">
        <v>296.23998999999998</v>
      </c>
      <c r="T807" s="228">
        <f t="shared" si="76"/>
        <v>2.437839465833247E-2</v>
      </c>
      <c r="U807" s="228"/>
      <c r="V807" s="228"/>
      <c r="W807" s="228"/>
      <c r="X807" s="322">
        <v>176.44000199999999</v>
      </c>
      <c r="Y807" s="228">
        <f t="shared" si="77"/>
        <v>7.9405825545744158E-3</v>
      </c>
      <c r="Z807" s="228"/>
      <c r="AA807" s="202"/>
    </row>
    <row r="808" spans="2:27" x14ac:dyDescent="0.15">
      <c r="B808" s="241">
        <v>43838</v>
      </c>
      <c r="C808" s="244"/>
      <c r="D808" s="245">
        <v>71.229454000000004</v>
      </c>
      <c r="E808" s="228">
        <f t="shared" si="72"/>
        <v>4.5305195507494567E-3</v>
      </c>
      <c r="F808" s="228"/>
      <c r="G808" s="245">
        <v>298.33752399999997</v>
      </c>
      <c r="H808" s="228">
        <f t="shared" si="73"/>
        <v>1.0375132330048498E-2</v>
      </c>
      <c r="J808" s="227"/>
      <c r="K808" s="245">
        <v>56.562817000000003</v>
      </c>
      <c r="L808" s="228">
        <f t="shared" si="74"/>
        <v>7.3730836799137389E-3</v>
      </c>
      <c r="M808" s="228"/>
      <c r="N808" s="227"/>
      <c r="O808" s="322">
        <v>61.580002</v>
      </c>
      <c r="P808" s="228">
        <f t="shared" si="75"/>
        <v>-6.490912146882577E-4</v>
      </c>
      <c r="Q808" s="228"/>
      <c r="R808" s="227"/>
      <c r="S808" s="322">
        <v>299.97000100000002</v>
      </c>
      <c r="T808" s="228">
        <f t="shared" si="76"/>
        <v>1.25911798741285E-2</v>
      </c>
      <c r="U808" s="228"/>
      <c r="V808" s="228"/>
      <c r="W808" s="228"/>
      <c r="X808" s="322">
        <v>176.66999799999999</v>
      </c>
      <c r="Y808" s="228">
        <f t="shared" si="77"/>
        <v>1.3035365982370095E-3</v>
      </c>
      <c r="Z808" s="228"/>
      <c r="AA808" s="202"/>
    </row>
    <row r="809" spans="2:27" x14ac:dyDescent="0.15">
      <c r="B809" s="241">
        <v>43839</v>
      </c>
      <c r="C809" s="244"/>
      <c r="D809" s="245">
        <v>71.725921999999997</v>
      </c>
      <c r="E809" s="228">
        <f t="shared" si="72"/>
        <v>6.9699818280228865E-3</v>
      </c>
      <c r="F809" s="228"/>
      <c r="G809" s="245">
        <v>297.833527</v>
      </c>
      <c r="H809" s="228">
        <f t="shared" si="73"/>
        <v>-1.6893516887938054E-3</v>
      </c>
      <c r="J809" s="227"/>
      <c r="K809" s="245">
        <v>57.024943999999998</v>
      </c>
      <c r="L809" s="228">
        <f t="shared" si="74"/>
        <v>8.170155315991412E-3</v>
      </c>
      <c r="M809" s="228"/>
      <c r="N809" s="227"/>
      <c r="O809" s="322">
        <v>61.970001000000003</v>
      </c>
      <c r="P809" s="228">
        <f t="shared" si="75"/>
        <v>6.3332086283467426E-3</v>
      </c>
      <c r="Q809" s="228"/>
      <c r="R809" s="227"/>
      <c r="S809" s="322">
        <v>297.92999300000002</v>
      </c>
      <c r="T809" s="228">
        <f t="shared" si="76"/>
        <v>-6.8007067146691469E-3</v>
      </c>
      <c r="U809" s="228"/>
      <c r="V809" s="228"/>
      <c r="W809" s="228"/>
      <c r="X809" s="322">
        <v>175.490005</v>
      </c>
      <c r="Y809" s="228">
        <f t="shared" si="77"/>
        <v>-6.6790797156175419E-3</v>
      </c>
      <c r="Z809" s="228"/>
      <c r="AA809" s="202"/>
    </row>
    <row r="810" spans="2:27" x14ac:dyDescent="0.15">
      <c r="B810" s="241">
        <v>43840</v>
      </c>
      <c r="C810" s="244"/>
      <c r="D810" s="245">
        <v>71.521500000000003</v>
      </c>
      <c r="E810" s="228">
        <f t="shared" si="72"/>
        <v>-2.8500435309843919E-3</v>
      </c>
      <c r="F810" s="228"/>
      <c r="G810" s="245">
        <v>292.69473299999999</v>
      </c>
      <c r="H810" s="228">
        <f t="shared" si="73"/>
        <v>-1.7253913794601172E-2</v>
      </c>
      <c r="J810" s="227"/>
      <c r="K810" s="245">
        <v>56.66872</v>
      </c>
      <c r="L810" s="228">
        <f t="shared" si="74"/>
        <v>-6.2468101678451182E-3</v>
      </c>
      <c r="M810" s="228"/>
      <c r="N810" s="227"/>
      <c r="O810" s="322">
        <v>61.470001000000003</v>
      </c>
      <c r="P810" s="228">
        <f t="shared" si="75"/>
        <v>-8.0684200731253597E-3</v>
      </c>
      <c r="Q810" s="228"/>
      <c r="R810" s="227"/>
      <c r="S810" s="322">
        <v>294.33999599999999</v>
      </c>
      <c r="T810" s="228">
        <f t="shared" si="76"/>
        <v>-1.2049800571774072E-2</v>
      </c>
      <c r="U810" s="228"/>
      <c r="V810" s="228"/>
      <c r="W810" s="228"/>
      <c r="X810" s="322">
        <v>173.009995</v>
      </c>
      <c r="Y810" s="228">
        <f t="shared" si="77"/>
        <v>-1.4131915945868267E-2</v>
      </c>
      <c r="Z810" s="228"/>
      <c r="AA810" s="202"/>
    </row>
    <row r="811" spans="2:27" x14ac:dyDescent="0.15">
      <c r="B811" s="241">
        <v>43843</v>
      </c>
      <c r="C811" s="244"/>
      <c r="D811" s="245">
        <v>72.037436999999997</v>
      </c>
      <c r="E811" s="228">
        <f t="shared" si="72"/>
        <v>7.2137329334533984E-3</v>
      </c>
      <c r="F811" s="228"/>
      <c r="G811" s="245">
        <v>297.90267899999998</v>
      </c>
      <c r="H811" s="228">
        <f t="shared" si="73"/>
        <v>1.7793097766470645E-2</v>
      </c>
      <c r="J811" s="227"/>
      <c r="K811" s="245">
        <v>57.824047</v>
      </c>
      <c r="L811" s="228">
        <f t="shared" si="74"/>
        <v>2.0387384786527685E-2</v>
      </c>
      <c r="M811" s="228"/>
      <c r="N811" s="227"/>
      <c r="O811" s="322">
        <v>61.810001</v>
      </c>
      <c r="P811" s="228">
        <f t="shared" si="75"/>
        <v>5.5311533181852113E-3</v>
      </c>
      <c r="Q811" s="228"/>
      <c r="R811" s="227"/>
      <c r="S811" s="322">
        <v>297.290009</v>
      </c>
      <c r="T811" s="228">
        <f t="shared" si="76"/>
        <v>1.0022467350988329E-2</v>
      </c>
      <c r="U811" s="228"/>
      <c r="V811" s="228"/>
      <c r="W811" s="228"/>
      <c r="X811" s="322">
        <v>175.10000600000001</v>
      </c>
      <c r="Y811" s="228">
        <f t="shared" si="77"/>
        <v>1.2080290505759539E-2</v>
      </c>
      <c r="Z811" s="228"/>
      <c r="AA811" s="202"/>
    </row>
    <row r="812" spans="2:27" x14ac:dyDescent="0.15">
      <c r="B812" s="241">
        <v>43844</v>
      </c>
      <c r="C812" s="244"/>
      <c r="D812" s="245">
        <v>71.940101999999996</v>
      </c>
      <c r="E812" s="228">
        <f t="shared" si="72"/>
        <v>-1.3511724466266362E-3</v>
      </c>
      <c r="F812" s="228"/>
      <c r="G812" s="245">
        <v>298.98971599999999</v>
      </c>
      <c r="H812" s="228">
        <f t="shared" si="73"/>
        <v>3.6489668493380201E-3</v>
      </c>
      <c r="J812" s="227"/>
      <c r="K812" s="245">
        <v>58.074368</v>
      </c>
      <c r="L812" s="228">
        <f t="shared" si="74"/>
        <v>4.3290121149770489E-3</v>
      </c>
      <c r="M812" s="228"/>
      <c r="N812" s="227"/>
      <c r="O812" s="322">
        <v>62.349997999999999</v>
      </c>
      <c r="P812" s="228">
        <f t="shared" si="75"/>
        <v>8.7364017353761536E-3</v>
      </c>
      <c r="Q812" s="228"/>
      <c r="R812" s="227"/>
      <c r="S812" s="322">
        <v>300.76001000000002</v>
      </c>
      <c r="T812" s="228">
        <f t="shared" si="76"/>
        <v>1.167210768929694E-2</v>
      </c>
      <c r="U812" s="228"/>
      <c r="V812" s="228"/>
      <c r="W812" s="228"/>
      <c r="X812" s="322">
        <v>177.479996</v>
      </c>
      <c r="Y812" s="228">
        <f t="shared" si="77"/>
        <v>1.3592175433734699E-2</v>
      </c>
      <c r="Z812" s="228"/>
      <c r="AA812" s="202"/>
    </row>
    <row r="813" spans="2:27" x14ac:dyDescent="0.15">
      <c r="B813" s="241">
        <v>43845</v>
      </c>
      <c r="C813" s="244"/>
      <c r="D813" s="245">
        <v>72.144515999999996</v>
      </c>
      <c r="E813" s="228">
        <f t="shared" si="72"/>
        <v>2.8414471806004205E-3</v>
      </c>
      <c r="F813" s="228"/>
      <c r="G813" s="245">
        <v>296.54879799999998</v>
      </c>
      <c r="H813" s="228">
        <f t="shared" si="73"/>
        <v>-8.1638861451676092E-3</v>
      </c>
      <c r="J813" s="227"/>
      <c r="K813" s="245">
        <v>56.216217</v>
      </c>
      <c r="L813" s="228">
        <f t="shared" si="74"/>
        <v>-3.1996060637284884E-2</v>
      </c>
      <c r="M813" s="228"/>
      <c r="N813" s="227"/>
      <c r="O813" s="322">
        <v>61.93</v>
      </c>
      <c r="P813" s="228">
        <f t="shared" si="75"/>
        <v>-6.7361349394109427E-3</v>
      </c>
      <c r="Q813" s="228"/>
      <c r="R813" s="227"/>
      <c r="S813" s="322">
        <v>298.33999599999999</v>
      </c>
      <c r="T813" s="228">
        <f t="shared" si="76"/>
        <v>-8.0463290315758718E-3</v>
      </c>
      <c r="U813" s="228"/>
      <c r="V813" s="228"/>
      <c r="W813" s="228"/>
      <c r="X813" s="322">
        <v>177.91999799999999</v>
      </c>
      <c r="Y813" s="228">
        <f t="shared" si="77"/>
        <v>2.4791639053225456E-3</v>
      </c>
      <c r="Z813" s="228"/>
      <c r="AA813" s="202"/>
    </row>
    <row r="814" spans="2:27" x14ac:dyDescent="0.15">
      <c r="B814" s="241">
        <v>43846</v>
      </c>
      <c r="C814" s="244"/>
      <c r="D814" s="245">
        <v>72.796752999999995</v>
      </c>
      <c r="E814" s="228">
        <f t="shared" si="72"/>
        <v>9.0407010284745404E-3</v>
      </c>
      <c r="F814" s="228"/>
      <c r="G814" s="245">
        <v>297.53701799999999</v>
      </c>
      <c r="H814" s="228">
        <f t="shared" si="73"/>
        <v>3.3324026489562897E-3</v>
      </c>
      <c r="J814" s="227"/>
      <c r="K814" s="245">
        <v>56.562817000000003</v>
      </c>
      <c r="L814" s="228">
        <f t="shared" si="74"/>
        <v>6.1654806832698306E-3</v>
      </c>
      <c r="M814" s="228"/>
      <c r="N814" s="227"/>
      <c r="O814" s="322">
        <v>63.209999000000003</v>
      </c>
      <c r="P814" s="228">
        <f t="shared" si="75"/>
        <v>2.0668480542548107E-2</v>
      </c>
      <c r="Q814" s="228"/>
      <c r="R814" s="227"/>
      <c r="S814" s="322">
        <v>305.95001200000002</v>
      </c>
      <c r="T814" s="228">
        <f t="shared" si="76"/>
        <v>2.5507863853427182E-2</v>
      </c>
      <c r="U814" s="228"/>
      <c r="V814" s="228"/>
      <c r="W814" s="228"/>
      <c r="X814" s="322">
        <v>180.91000399999999</v>
      </c>
      <c r="Y814" s="228">
        <f t="shared" si="77"/>
        <v>1.6805339667326225E-2</v>
      </c>
      <c r="Z814" s="228"/>
      <c r="AA814" s="202"/>
    </row>
    <row r="815" spans="2:27" x14ac:dyDescent="0.15">
      <c r="B815" s="241">
        <v>43847</v>
      </c>
      <c r="C815" s="244"/>
      <c r="D815" s="245">
        <v>72.942779999999999</v>
      </c>
      <c r="E815" s="228">
        <f t="shared" si="72"/>
        <v>2.0059548535085181E-3</v>
      </c>
      <c r="F815" s="228"/>
      <c r="G815" s="245">
        <v>296.50930799999998</v>
      </c>
      <c r="H815" s="228">
        <f t="shared" si="73"/>
        <v>-3.4540576056993899E-3</v>
      </c>
      <c r="J815" s="227"/>
      <c r="K815" s="245">
        <v>56.399146999999999</v>
      </c>
      <c r="L815" s="228">
        <f t="shared" si="74"/>
        <v>-2.8935970427357294E-3</v>
      </c>
      <c r="M815" s="228"/>
      <c r="N815" s="227"/>
      <c r="O815" s="322">
        <v>62.849997999999999</v>
      </c>
      <c r="P815" s="228">
        <f t="shared" si="75"/>
        <v>-5.6953172867476587E-3</v>
      </c>
      <c r="Q815" s="228"/>
      <c r="R815" s="227"/>
      <c r="S815" s="322">
        <v>308</v>
      </c>
      <c r="T815" s="228">
        <f t="shared" si="76"/>
        <v>6.7004017636711488E-3</v>
      </c>
      <c r="U815" s="228"/>
      <c r="V815" s="228"/>
      <c r="W815" s="228"/>
      <c r="X815" s="322">
        <v>178.729996</v>
      </c>
      <c r="Y815" s="228">
        <f t="shared" si="77"/>
        <v>-1.2050234657006498E-2</v>
      </c>
      <c r="Z815" s="228"/>
      <c r="AA815" s="202"/>
    </row>
    <row r="816" spans="2:27" x14ac:dyDescent="0.15">
      <c r="B816" s="241">
        <v>43851</v>
      </c>
      <c r="C816" s="244"/>
      <c r="D816" s="245">
        <v>72.757812999999999</v>
      </c>
      <c r="E816" s="228">
        <f t="shared" si="72"/>
        <v>-2.5357821569180761E-3</v>
      </c>
      <c r="F816" s="228"/>
      <c r="G816" s="245">
        <v>294.88857999999999</v>
      </c>
      <c r="H816" s="228">
        <f t="shared" si="73"/>
        <v>-5.4660273936492088E-3</v>
      </c>
      <c r="J816" s="227"/>
      <c r="K816" s="245">
        <v>56.071807999999997</v>
      </c>
      <c r="L816" s="228">
        <f t="shared" si="74"/>
        <v>-5.8039707586358125E-3</v>
      </c>
      <c r="M816" s="228"/>
      <c r="N816" s="227"/>
      <c r="O816" s="322">
        <v>63.200001</v>
      </c>
      <c r="P816" s="228">
        <f t="shared" si="75"/>
        <v>5.5688625479350939E-3</v>
      </c>
      <c r="Q816" s="228"/>
      <c r="R816" s="227"/>
      <c r="S816" s="322">
        <v>308.67999300000002</v>
      </c>
      <c r="T816" s="228">
        <f t="shared" si="76"/>
        <v>2.2077694805195947E-3</v>
      </c>
      <c r="U816" s="228"/>
      <c r="V816" s="228"/>
      <c r="W816" s="228"/>
      <c r="X816" s="322">
        <v>178.80999800000001</v>
      </c>
      <c r="Y816" s="228">
        <f t="shared" si="77"/>
        <v>4.4761372903523444E-4</v>
      </c>
      <c r="Z816" s="228"/>
      <c r="AA816" s="202"/>
    </row>
    <row r="817" spans="2:27" x14ac:dyDescent="0.15">
      <c r="B817" s="241">
        <v>43852</v>
      </c>
      <c r="C817" s="244"/>
      <c r="D817" s="245">
        <v>72.825951000000003</v>
      </c>
      <c r="E817" s="228">
        <f t="shared" si="72"/>
        <v>9.3650423494739954E-4</v>
      </c>
      <c r="F817" s="228"/>
      <c r="G817" s="245">
        <v>292.76388500000002</v>
      </c>
      <c r="H817" s="228">
        <f t="shared" si="73"/>
        <v>-7.2050772532458174E-3</v>
      </c>
      <c r="J817" s="227"/>
      <c r="K817" s="245">
        <v>56.177703999999999</v>
      </c>
      <c r="L817" s="228">
        <f t="shared" si="74"/>
        <v>1.888578303021804E-3</v>
      </c>
      <c r="M817" s="228"/>
      <c r="N817" s="227"/>
      <c r="O817" s="322">
        <v>63.889999000000003</v>
      </c>
      <c r="P817" s="228">
        <f t="shared" si="75"/>
        <v>1.0917689700669531E-2</v>
      </c>
      <c r="Q817" s="228"/>
      <c r="R817" s="227"/>
      <c r="S817" s="322">
        <v>311.33999599999999</v>
      </c>
      <c r="T817" s="228">
        <f t="shared" si="76"/>
        <v>8.6173482581359817E-3</v>
      </c>
      <c r="U817" s="228"/>
      <c r="V817" s="228"/>
      <c r="W817" s="228"/>
      <c r="X817" s="322">
        <v>180.13000500000001</v>
      </c>
      <c r="Y817" s="228">
        <f t="shared" si="77"/>
        <v>7.3821766946164935E-3</v>
      </c>
      <c r="Z817" s="228"/>
      <c r="AA817" s="202"/>
    </row>
    <row r="818" spans="2:27" x14ac:dyDescent="0.15">
      <c r="B818" s="241">
        <v>43853</v>
      </c>
      <c r="C818" s="244"/>
      <c r="D818" s="245">
        <v>72.874626000000006</v>
      </c>
      <c r="E818" s="228">
        <f t="shared" si="72"/>
        <v>6.6837438209366162E-4</v>
      </c>
      <c r="F818" s="228"/>
      <c r="G818" s="245">
        <v>290.85659800000002</v>
      </c>
      <c r="H818" s="228">
        <f t="shared" si="73"/>
        <v>-6.5147618873824253E-3</v>
      </c>
      <c r="J818" s="227"/>
      <c r="K818" s="245">
        <v>55.340099000000002</v>
      </c>
      <c r="L818" s="228">
        <f t="shared" si="74"/>
        <v>-1.4909918710810932E-2</v>
      </c>
      <c r="M818" s="228"/>
      <c r="N818" s="227"/>
      <c r="O818" s="322">
        <v>63.889999000000003</v>
      </c>
      <c r="P818" s="228">
        <f t="shared" si="75"/>
        <v>0</v>
      </c>
      <c r="Q818" s="228"/>
      <c r="R818" s="227"/>
      <c r="S818" s="322">
        <v>312.42001299999998</v>
      </c>
      <c r="T818" s="228">
        <f t="shared" si="76"/>
        <v>3.468931116707541E-3</v>
      </c>
      <c r="U818" s="228"/>
      <c r="V818" s="228"/>
      <c r="W818" s="228"/>
      <c r="X818" s="322">
        <v>182.550003</v>
      </c>
      <c r="Y818" s="228">
        <f t="shared" si="77"/>
        <v>1.343473009951901E-2</v>
      </c>
      <c r="Z818" s="228"/>
      <c r="AA818" s="202"/>
    </row>
    <row r="819" spans="2:27" x14ac:dyDescent="0.15">
      <c r="B819" s="241">
        <v>43854</v>
      </c>
      <c r="C819" s="244"/>
      <c r="D819" s="245">
        <v>72.173721</v>
      </c>
      <c r="E819" s="228">
        <f t="shared" si="72"/>
        <v>-9.6179567357231877E-3</v>
      </c>
      <c r="F819" s="228"/>
      <c r="G819" s="245">
        <v>292.348816</v>
      </c>
      <c r="H819" s="228">
        <f t="shared" si="73"/>
        <v>5.1304251313561977E-3</v>
      </c>
      <c r="J819" s="227"/>
      <c r="K819" s="245">
        <v>55.580790999999998</v>
      </c>
      <c r="L819" s="228">
        <f t="shared" si="74"/>
        <v>4.3493236251708201E-3</v>
      </c>
      <c r="M819" s="228"/>
      <c r="N819" s="227"/>
      <c r="O819" s="322">
        <v>62</v>
      </c>
      <c r="P819" s="228">
        <f t="shared" si="75"/>
        <v>-2.9582079035562425E-2</v>
      </c>
      <c r="Q819" s="228"/>
      <c r="R819" s="227"/>
      <c r="S819" s="322">
        <v>306.540009</v>
      </c>
      <c r="T819" s="228">
        <f t="shared" si="76"/>
        <v>-1.8820830149571699E-2</v>
      </c>
      <c r="U819" s="228"/>
      <c r="V819" s="228"/>
      <c r="W819" s="228"/>
      <c r="X819" s="322">
        <v>179.39999399999999</v>
      </c>
      <c r="Y819" s="228">
        <f t="shared" si="77"/>
        <v>-1.7255595443622207E-2</v>
      </c>
      <c r="Z819" s="228"/>
      <c r="AA819" s="202"/>
    </row>
    <row r="820" spans="2:27" x14ac:dyDescent="0.15">
      <c r="B820" s="241">
        <v>43857</v>
      </c>
      <c r="C820" s="244"/>
      <c r="D820" s="245">
        <v>71.122367999999994</v>
      </c>
      <c r="E820" s="228">
        <f t="shared" si="72"/>
        <v>-1.4566977917073287E-2</v>
      </c>
      <c r="F820" s="228"/>
      <c r="G820" s="245">
        <v>280.934753</v>
      </c>
      <c r="H820" s="228">
        <f t="shared" si="73"/>
        <v>-3.9042617501142907E-2</v>
      </c>
      <c r="J820" s="227"/>
      <c r="K820" s="245">
        <v>53.202744000000003</v>
      </c>
      <c r="L820" s="228">
        <f t="shared" si="74"/>
        <v>-4.2785411240368942E-2</v>
      </c>
      <c r="M820" s="228"/>
      <c r="N820" s="227"/>
      <c r="O820" s="322">
        <v>59.049999</v>
      </c>
      <c r="P820" s="228">
        <f t="shared" si="75"/>
        <v>-4.7580661290322568E-2</v>
      </c>
      <c r="Q820" s="228"/>
      <c r="R820" s="227"/>
      <c r="S820" s="322">
        <v>293.790009</v>
      </c>
      <c r="T820" s="228">
        <f t="shared" si="76"/>
        <v>-4.1593265562930193E-2</v>
      </c>
      <c r="U820" s="228"/>
      <c r="V820" s="228"/>
      <c r="W820" s="228"/>
      <c r="X820" s="322">
        <v>170.30999800000001</v>
      </c>
      <c r="Y820" s="228">
        <f t="shared" si="77"/>
        <v>-5.0668875719137363E-2</v>
      </c>
      <c r="Z820" s="228"/>
      <c r="AA820" s="202"/>
    </row>
    <row r="821" spans="2:27" x14ac:dyDescent="0.15">
      <c r="B821" s="241">
        <v>43858</v>
      </c>
      <c r="C821" s="244"/>
      <c r="D821" s="245">
        <v>71.813545000000005</v>
      </c>
      <c r="E821" s="228">
        <f t="shared" si="72"/>
        <v>9.7181381812261325E-3</v>
      </c>
      <c r="F821" s="228"/>
      <c r="G821" s="245">
        <v>286.76531999999997</v>
      </c>
      <c r="H821" s="228">
        <f t="shared" si="73"/>
        <v>2.0754167783577859E-2</v>
      </c>
      <c r="J821" s="227"/>
      <c r="K821" s="245">
        <v>54.964618999999999</v>
      </c>
      <c r="L821" s="228">
        <f t="shared" si="74"/>
        <v>3.3116243026863446E-2</v>
      </c>
      <c r="M821" s="228"/>
      <c r="N821" s="227"/>
      <c r="O821" s="322">
        <v>60.189999</v>
      </c>
      <c r="P821" s="228">
        <f t="shared" si="75"/>
        <v>1.9305673485278119E-2</v>
      </c>
      <c r="Q821" s="228"/>
      <c r="R821" s="227"/>
      <c r="S821" s="322">
        <v>301.69000199999999</v>
      </c>
      <c r="T821" s="228">
        <f t="shared" si="76"/>
        <v>2.6889930760034764E-2</v>
      </c>
      <c r="U821" s="228"/>
      <c r="V821" s="228"/>
      <c r="W821" s="228"/>
      <c r="X821" s="322">
        <v>175.929993</v>
      </c>
      <c r="Y821" s="228">
        <f t="shared" si="77"/>
        <v>3.2998620550744207E-2</v>
      </c>
      <c r="Z821" s="228"/>
      <c r="AA821" s="202"/>
    </row>
    <row r="822" spans="2:27" x14ac:dyDescent="0.15">
      <c r="B822" s="241">
        <v>43859</v>
      </c>
      <c r="C822" s="244"/>
      <c r="D822" s="245">
        <v>71.755134999999996</v>
      </c>
      <c r="E822" s="228">
        <f t="shared" si="72"/>
        <v>-8.1335631042878109E-4</v>
      </c>
      <c r="F822" s="228"/>
      <c r="G822" s="245">
        <v>292.65518200000002</v>
      </c>
      <c r="H822" s="228">
        <f t="shared" si="73"/>
        <v>2.0538961963741054E-2</v>
      </c>
      <c r="J822" s="227"/>
      <c r="K822" s="245">
        <v>55.060893999999998</v>
      </c>
      <c r="L822" s="228">
        <f t="shared" si="74"/>
        <v>1.7515813217954257E-3</v>
      </c>
      <c r="M822" s="228"/>
      <c r="N822" s="227"/>
      <c r="O822" s="322">
        <v>59.82</v>
      </c>
      <c r="P822" s="228">
        <f t="shared" si="75"/>
        <v>-6.1471840197239169E-3</v>
      </c>
      <c r="Q822" s="228"/>
      <c r="R822" s="227"/>
      <c r="S822" s="322">
        <v>298.22000100000002</v>
      </c>
      <c r="T822" s="228">
        <f t="shared" si="76"/>
        <v>-1.1501876021731583E-2</v>
      </c>
      <c r="U822" s="228"/>
      <c r="V822" s="228"/>
      <c r="W822" s="228"/>
      <c r="X822" s="322">
        <v>171.720001</v>
      </c>
      <c r="Y822" s="228">
        <f t="shared" si="77"/>
        <v>-2.3929927627519443E-2</v>
      </c>
      <c r="Z822" s="228"/>
      <c r="AA822" s="202"/>
    </row>
    <row r="823" spans="2:27" x14ac:dyDescent="0.15">
      <c r="B823" s="241">
        <v>43860</v>
      </c>
      <c r="C823" s="244"/>
      <c r="D823" s="245">
        <v>71.930351000000002</v>
      </c>
      <c r="E823" s="228">
        <f t="shared" si="72"/>
        <v>2.4418600842992522E-3</v>
      </c>
      <c r="F823" s="228"/>
      <c r="G823" s="245">
        <v>290.91592400000002</v>
      </c>
      <c r="H823" s="228">
        <f t="shared" si="73"/>
        <v>-5.9430282017012281E-3</v>
      </c>
      <c r="J823" s="227"/>
      <c r="K823" s="245">
        <v>53.722641000000003</v>
      </c>
      <c r="L823" s="228">
        <f t="shared" si="74"/>
        <v>-2.4304963155883264E-2</v>
      </c>
      <c r="M823" s="228"/>
      <c r="N823" s="227"/>
      <c r="O823" s="322">
        <v>60.25</v>
      </c>
      <c r="P823" s="228">
        <f t="shared" si="75"/>
        <v>7.1882313607489756E-3</v>
      </c>
      <c r="Q823" s="228"/>
      <c r="R823" s="227"/>
      <c r="S823" s="322">
        <v>310.95001200000002</v>
      </c>
      <c r="T823" s="228">
        <f t="shared" si="76"/>
        <v>4.2686643945118785E-2</v>
      </c>
      <c r="U823" s="228"/>
      <c r="V823" s="228"/>
      <c r="W823" s="228"/>
      <c r="X823" s="322">
        <v>172.91999799999999</v>
      </c>
      <c r="Y823" s="228">
        <f t="shared" si="77"/>
        <v>6.9881026846720928E-3</v>
      </c>
      <c r="Z823" s="228"/>
      <c r="AA823" s="202"/>
    </row>
    <row r="824" spans="2:27" x14ac:dyDescent="0.15">
      <c r="B824" s="241">
        <v>43861</v>
      </c>
      <c r="C824" s="244"/>
      <c r="D824" s="245">
        <v>70.664824999999993</v>
      </c>
      <c r="E824" s="228">
        <f t="shared" si="72"/>
        <v>-1.7593769283845262E-2</v>
      </c>
      <c r="F824" s="228"/>
      <c r="G824" s="245">
        <v>277.35732999999999</v>
      </c>
      <c r="H824" s="228">
        <f t="shared" si="73"/>
        <v>-4.6606572144878622E-2</v>
      </c>
      <c r="J824" s="227"/>
      <c r="K824" s="245">
        <v>51.931888999999998</v>
      </c>
      <c r="L824" s="228">
        <f t="shared" si="74"/>
        <v>-3.3333283075193676E-2</v>
      </c>
      <c r="M824" s="228"/>
      <c r="N824" s="227"/>
      <c r="O824" s="322">
        <v>57.990001999999997</v>
      </c>
      <c r="P824" s="228">
        <f t="shared" si="75"/>
        <v>-3.7510340248962715E-2</v>
      </c>
      <c r="Q824" s="228"/>
      <c r="R824" s="227"/>
      <c r="S824" s="322">
        <v>298.209991</v>
      </c>
      <c r="T824" s="228">
        <f t="shared" si="76"/>
        <v>-4.0971283191331809E-2</v>
      </c>
      <c r="U824" s="228"/>
      <c r="V824" s="228"/>
      <c r="W824" s="228"/>
      <c r="X824" s="322">
        <v>165.740005</v>
      </c>
      <c r="Y824" s="228">
        <f t="shared" si="77"/>
        <v>-4.152205113951013E-2</v>
      </c>
      <c r="Z824" s="228"/>
      <c r="AA824" s="202"/>
    </row>
    <row r="825" spans="2:27" x14ac:dyDescent="0.15">
      <c r="B825" s="241">
        <v>43864</v>
      </c>
      <c r="C825" s="244"/>
      <c r="D825" s="245">
        <v>71.287864999999996</v>
      </c>
      <c r="E825" s="228">
        <f t="shared" si="72"/>
        <v>8.8168335519120955E-3</v>
      </c>
      <c r="F825" s="228"/>
      <c r="G825" s="245">
        <v>284.76907299999999</v>
      </c>
      <c r="H825" s="228">
        <f t="shared" si="73"/>
        <v>2.6722722633651053E-2</v>
      </c>
      <c r="J825" s="227"/>
      <c r="K825" s="245">
        <v>52.730988000000004</v>
      </c>
      <c r="L825" s="228">
        <f t="shared" si="74"/>
        <v>1.5387443349114571E-2</v>
      </c>
      <c r="M825" s="228"/>
      <c r="N825" s="227"/>
      <c r="O825" s="322">
        <v>59.720001000000003</v>
      </c>
      <c r="P825" s="228">
        <f t="shared" si="75"/>
        <v>2.9832711507752796E-2</v>
      </c>
      <c r="Q825" s="228"/>
      <c r="R825" s="227"/>
      <c r="S825" s="322">
        <v>308.44000199999999</v>
      </c>
      <c r="T825" s="228">
        <f t="shared" si="76"/>
        <v>3.4304722540298815E-2</v>
      </c>
      <c r="U825" s="228"/>
      <c r="V825" s="228"/>
      <c r="W825" s="228"/>
      <c r="X825" s="322">
        <v>169.929993</v>
      </c>
      <c r="Y825" s="228">
        <f t="shared" si="77"/>
        <v>2.528048674790373E-2</v>
      </c>
      <c r="Z825" s="228"/>
      <c r="AA825" s="202"/>
    </row>
    <row r="826" spans="2:27" x14ac:dyDescent="0.15">
      <c r="B826" s="241">
        <v>43865</v>
      </c>
      <c r="C826" s="244"/>
      <c r="D826" s="245">
        <v>72.397628999999995</v>
      </c>
      <c r="E826" s="228">
        <f t="shared" si="72"/>
        <v>1.5567361990711959E-2</v>
      </c>
      <c r="F826" s="228"/>
      <c r="G826" s="245">
        <v>295.70880099999999</v>
      </c>
      <c r="H826" s="228">
        <f t="shared" si="73"/>
        <v>3.8416137977174136E-2</v>
      </c>
      <c r="J826" s="227"/>
      <c r="K826" s="245">
        <v>55.378608999999997</v>
      </c>
      <c r="L826" s="228">
        <f t="shared" si="74"/>
        <v>5.0209963826203907E-2</v>
      </c>
      <c r="M826" s="228"/>
      <c r="N826" s="227"/>
      <c r="O826" s="322">
        <v>63.009998000000003</v>
      </c>
      <c r="P826" s="228">
        <f t="shared" si="75"/>
        <v>5.5090370812284517E-2</v>
      </c>
      <c r="Q826" s="228"/>
      <c r="R826" s="227"/>
      <c r="S826" s="322">
        <v>325.39999399999999</v>
      </c>
      <c r="T826" s="228">
        <f t="shared" si="76"/>
        <v>5.4986356795575508E-2</v>
      </c>
      <c r="U826" s="228"/>
      <c r="V826" s="228"/>
      <c r="W826" s="228"/>
      <c r="X826" s="322">
        <v>178.800003</v>
      </c>
      <c r="Y826" s="228">
        <f t="shared" si="77"/>
        <v>5.2198024865451442E-2</v>
      </c>
      <c r="Z826" s="228"/>
      <c r="AA826" s="202"/>
    </row>
    <row r="827" spans="2:27" x14ac:dyDescent="0.15">
      <c r="B827" s="241">
        <v>43866</v>
      </c>
      <c r="C827" s="244"/>
      <c r="D827" s="245">
        <v>73.088791000000001</v>
      </c>
      <c r="E827" s="228">
        <f t="shared" si="72"/>
        <v>9.546749106935648E-3</v>
      </c>
      <c r="F827" s="228"/>
      <c r="G827" s="245">
        <v>302.71536300000002</v>
      </c>
      <c r="H827" s="228">
        <f t="shared" si="73"/>
        <v>2.3694127385813113E-2</v>
      </c>
      <c r="J827" s="227"/>
      <c r="K827" s="245">
        <v>55.763717999999997</v>
      </c>
      <c r="L827" s="228">
        <f t="shared" si="74"/>
        <v>6.9541111081357077E-3</v>
      </c>
      <c r="M827" s="228"/>
      <c r="N827" s="227"/>
      <c r="O827" s="322">
        <v>63.799999</v>
      </c>
      <c r="P827" s="228">
        <f t="shared" si="75"/>
        <v>1.2537708698229011E-2</v>
      </c>
      <c r="Q827" s="228"/>
      <c r="R827" s="227"/>
      <c r="S827" s="322">
        <v>325.61999500000002</v>
      </c>
      <c r="T827" s="228">
        <f t="shared" si="76"/>
        <v>6.7609405057345029E-4</v>
      </c>
      <c r="U827" s="228"/>
      <c r="V827" s="228"/>
      <c r="W827" s="228"/>
      <c r="X827" s="322">
        <v>171.279999</v>
      </c>
      <c r="Y827" s="228">
        <f t="shared" si="77"/>
        <v>-4.2058187213788845E-2</v>
      </c>
      <c r="Z827" s="228"/>
      <c r="AA827" s="202"/>
    </row>
    <row r="828" spans="2:27" x14ac:dyDescent="0.15">
      <c r="B828" s="241">
        <v>43867</v>
      </c>
      <c r="C828" s="244"/>
      <c r="D828" s="245">
        <v>73.283501000000001</v>
      </c>
      <c r="E828" s="228">
        <f t="shared" si="72"/>
        <v>2.6640199863203762E-3</v>
      </c>
      <c r="F828" s="228"/>
      <c r="G828" s="245">
        <v>305.90734900000001</v>
      </c>
      <c r="H828" s="228">
        <f t="shared" si="73"/>
        <v>1.0544512734228073E-2</v>
      </c>
      <c r="J828" s="227"/>
      <c r="K828" s="245">
        <v>55.859997</v>
      </c>
      <c r="L828" s="228">
        <f t="shared" si="74"/>
        <v>1.726552738108289E-3</v>
      </c>
      <c r="M828" s="228"/>
      <c r="N828" s="227"/>
      <c r="O828" s="322">
        <v>63.189999</v>
      </c>
      <c r="P828" s="228">
        <f t="shared" si="75"/>
        <v>-9.5611286765067138E-3</v>
      </c>
      <c r="Q828" s="228"/>
      <c r="R828" s="227"/>
      <c r="S828" s="322">
        <v>323.51998900000001</v>
      </c>
      <c r="T828" s="228">
        <f t="shared" si="76"/>
        <v>-6.4492538303736469E-3</v>
      </c>
      <c r="U828" s="228"/>
      <c r="V828" s="228"/>
      <c r="W828" s="228"/>
      <c r="X828" s="322">
        <v>171.740005</v>
      </c>
      <c r="Y828" s="228">
        <f t="shared" si="77"/>
        <v>2.6856959521583956E-3</v>
      </c>
      <c r="Z828" s="228"/>
      <c r="AA828" s="202"/>
    </row>
    <row r="829" spans="2:27" x14ac:dyDescent="0.15">
      <c r="B829" s="241">
        <v>43868</v>
      </c>
      <c r="C829" s="244"/>
      <c r="D829" s="245">
        <v>72.874626000000006</v>
      </c>
      <c r="E829" s="228">
        <f t="shared" si="72"/>
        <v>-5.5793595341466773E-3</v>
      </c>
      <c r="F829" s="228"/>
      <c r="G829" s="245">
        <v>301.38125600000001</v>
      </c>
      <c r="H829" s="228">
        <f t="shared" si="73"/>
        <v>-1.4795633432134414E-2</v>
      </c>
      <c r="J829" s="227"/>
      <c r="K829" s="245">
        <v>54.107750000000003</v>
      </c>
      <c r="L829" s="228">
        <f t="shared" si="74"/>
        <v>-3.1368548050584311E-2</v>
      </c>
      <c r="M829" s="228"/>
      <c r="N829" s="227"/>
      <c r="O829" s="322">
        <v>61.709999000000003</v>
      </c>
      <c r="P829" s="228">
        <f t="shared" si="75"/>
        <v>-2.3421427811701645E-2</v>
      </c>
      <c r="Q829" s="228"/>
      <c r="R829" s="227"/>
      <c r="S829" s="322">
        <v>315.39999399999999</v>
      </c>
      <c r="T829" s="228">
        <f t="shared" si="76"/>
        <v>-2.5098897366740536E-2</v>
      </c>
      <c r="U829" s="228"/>
      <c r="V829" s="228"/>
      <c r="W829" s="228"/>
      <c r="X829" s="322">
        <v>165.10000600000001</v>
      </c>
      <c r="Y829" s="228">
        <f t="shared" si="77"/>
        <v>-3.8663088428348313E-2</v>
      </c>
      <c r="Z829" s="228"/>
      <c r="AA829" s="202"/>
    </row>
    <row r="830" spans="2:27" x14ac:dyDescent="0.15">
      <c r="B830" s="241">
        <v>43871</v>
      </c>
      <c r="C830" s="244"/>
      <c r="D830" s="245">
        <v>73.410042000000004</v>
      </c>
      <c r="E830" s="228">
        <f t="shared" si="72"/>
        <v>7.3470840179681307E-3</v>
      </c>
      <c r="F830" s="228"/>
      <c r="G830" s="245">
        <v>306.03585800000002</v>
      </c>
      <c r="H830" s="228">
        <f t="shared" si="73"/>
        <v>1.5444231873531056E-2</v>
      </c>
      <c r="J830" s="227"/>
      <c r="K830" s="245">
        <v>54.897224000000001</v>
      </c>
      <c r="L830" s="228">
        <f t="shared" si="74"/>
        <v>1.4590774888994629E-2</v>
      </c>
      <c r="M830" s="228"/>
      <c r="N830" s="227"/>
      <c r="O830" s="322">
        <v>62.919998</v>
      </c>
      <c r="P830" s="228">
        <f t="shared" si="75"/>
        <v>1.9607827250167187E-2</v>
      </c>
      <c r="Q830" s="228"/>
      <c r="R830" s="227"/>
      <c r="S830" s="322">
        <v>319.82998700000002</v>
      </c>
      <c r="T830" s="228">
        <f t="shared" si="76"/>
        <v>1.4045634382605643E-2</v>
      </c>
      <c r="U830" s="228"/>
      <c r="V830" s="228"/>
      <c r="W830" s="228"/>
      <c r="X830" s="322">
        <v>168.91999799999999</v>
      </c>
      <c r="Y830" s="228">
        <f t="shared" si="77"/>
        <v>2.3137443132497326E-2</v>
      </c>
      <c r="Z830" s="228"/>
      <c r="AA830" s="202"/>
    </row>
    <row r="831" spans="2:27" x14ac:dyDescent="0.15">
      <c r="B831" s="241">
        <v>43872</v>
      </c>
      <c r="C831" s="244"/>
      <c r="D831" s="245">
        <v>73.643683999999993</v>
      </c>
      <c r="E831" s="228">
        <f t="shared" si="72"/>
        <v>3.1826980837306174E-3</v>
      </c>
      <c r="F831" s="228"/>
      <c r="G831" s="245">
        <v>312.29135100000002</v>
      </c>
      <c r="H831" s="228">
        <f t="shared" si="73"/>
        <v>2.0440392315073108E-2</v>
      </c>
      <c r="J831" s="227"/>
      <c r="K831" s="245">
        <v>56.476165999999999</v>
      </c>
      <c r="L831" s="228">
        <f t="shared" si="74"/>
        <v>2.8761782198677199E-2</v>
      </c>
      <c r="M831" s="228"/>
      <c r="N831" s="227"/>
      <c r="O831" s="322">
        <v>64.449996999999996</v>
      </c>
      <c r="P831" s="228">
        <f t="shared" si="75"/>
        <v>2.4316577378149296E-2</v>
      </c>
      <c r="Q831" s="228"/>
      <c r="R831" s="227"/>
      <c r="S831" s="322">
        <v>325.67001299999998</v>
      </c>
      <c r="T831" s="228">
        <f t="shared" si="76"/>
        <v>1.8259782501257371E-2</v>
      </c>
      <c r="U831" s="228"/>
      <c r="V831" s="228"/>
      <c r="W831" s="228"/>
      <c r="X831" s="322">
        <v>173.03999300000001</v>
      </c>
      <c r="Y831" s="228">
        <f t="shared" si="77"/>
        <v>2.4390214591406778E-2</v>
      </c>
      <c r="Z831" s="228"/>
      <c r="AA831" s="202"/>
    </row>
    <row r="832" spans="2:27" x14ac:dyDescent="0.15">
      <c r="B832" s="241">
        <v>43873</v>
      </c>
      <c r="C832" s="244"/>
      <c r="D832" s="245">
        <v>74.101219</v>
      </c>
      <c r="E832" s="228">
        <f t="shared" si="72"/>
        <v>6.2128206405318576E-3</v>
      </c>
      <c r="F832" s="228"/>
      <c r="G832" s="245">
        <v>313.70452899999998</v>
      </c>
      <c r="H832" s="228">
        <f t="shared" si="73"/>
        <v>4.5251909650227962E-3</v>
      </c>
      <c r="J832" s="227"/>
      <c r="K832" s="245">
        <v>57.410057000000002</v>
      </c>
      <c r="L832" s="228">
        <f t="shared" si="74"/>
        <v>1.6536019814092917E-2</v>
      </c>
      <c r="M832" s="228"/>
      <c r="N832" s="227"/>
      <c r="O832" s="322">
        <v>65.370002999999997</v>
      </c>
      <c r="P832" s="228">
        <f t="shared" si="75"/>
        <v>1.4274725257163334E-2</v>
      </c>
      <c r="Q832" s="228"/>
      <c r="R832" s="227"/>
      <c r="S832" s="322">
        <v>334.61999500000002</v>
      </c>
      <c r="T832" s="228">
        <f t="shared" si="76"/>
        <v>2.7481750369199753E-2</v>
      </c>
      <c r="U832" s="228"/>
      <c r="V832" s="228"/>
      <c r="W832" s="228"/>
      <c r="X832" s="322">
        <v>175.970001</v>
      </c>
      <c r="Y832" s="228">
        <f t="shared" si="77"/>
        <v>1.693254807286082E-2</v>
      </c>
      <c r="Z832" s="228"/>
      <c r="AA832" s="202"/>
    </row>
    <row r="833" spans="2:27" x14ac:dyDescent="0.15">
      <c r="B833" s="241">
        <v>43874</v>
      </c>
      <c r="C833" s="244"/>
      <c r="D833" s="245">
        <v>74.033080999999996</v>
      </c>
      <c r="E833" s="228">
        <f t="shared" si="72"/>
        <v>-9.195260337080402E-4</v>
      </c>
      <c r="F833" s="228"/>
      <c r="G833" s="245">
        <v>313.51675399999999</v>
      </c>
      <c r="H833" s="228">
        <f t="shared" si="73"/>
        <v>-5.9857280543118563E-4</v>
      </c>
      <c r="J833" s="227"/>
      <c r="K833" s="245">
        <v>57.121223000000001</v>
      </c>
      <c r="L833" s="228">
        <f t="shared" si="74"/>
        <v>-5.031069730517812E-3</v>
      </c>
      <c r="M833" s="228"/>
      <c r="N833" s="227"/>
      <c r="O833" s="322">
        <v>67.370002999999997</v>
      </c>
      <c r="P833" s="228">
        <f t="shared" si="75"/>
        <v>3.0595072788967226E-2</v>
      </c>
      <c r="Q833" s="228"/>
      <c r="R833" s="227"/>
      <c r="S833" s="322">
        <v>341.57998700000002</v>
      </c>
      <c r="T833" s="228">
        <f t="shared" si="76"/>
        <v>2.0799689510484942E-2</v>
      </c>
      <c r="U833" s="228"/>
      <c r="V833" s="228"/>
      <c r="W833" s="228"/>
      <c r="X833" s="322">
        <v>178.720001</v>
      </c>
      <c r="Y833" s="228">
        <f t="shared" si="77"/>
        <v>1.5627663717521889E-2</v>
      </c>
      <c r="Z833" s="228"/>
      <c r="AA833" s="202"/>
    </row>
    <row r="834" spans="2:27" x14ac:dyDescent="0.15">
      <c r="B834" s="241">
        <v>43875</v>
      </c>
      <c r="C834" s="244"/>
      <c r="D834" s="245">
        <v>74.188828000000001</v>
      </c>
      <c r="E834" s="228">
        <f t="shared" si="72"/>
        <v>2.1037487282207223E-3</v>
      </c>
      <c r="F834" s="228"/>
      <c r="G834" s="245">
        <v>312.57794200000001</v>
      </c>
      <c r="H834" s="228">
        <f t="shared" si="73"/>
        <v>-2.9944556009277035E-3</v>
      </c>
      <c r="J834" s="227"/>
      <c r="K834" s="245">
        <v>56.023662999999999</v>
      </c>
      <c r="L834" s="228">
        <f t="shared" si="74"/>
        <v>-1.9214574589903277E-2</v>
      </c>
      <c r="M834" s="228"/>
      <c r="N834" s="227"/>
      <c r="O834" s="322">
        <v>66.849997999999999</v>
      </c>
      <c r="P834" s="228">
        <f t="shared" si="75"/>
        <v>-7.7186429693345548E-3</v>
      </c>
      <c r="Q834" s="228"/>
      <c r="R834" s="227"/>
      <c r="S834" s="322">
        <v>339.29998799999998</v>
      </c>
      <c r="T834" s="228">
        <f t="shared" si="76"/>
        <v>-6.6748611943709957E-3</v>
      </c>
      <c r="U834" s="228"/>
      <c r="V834" s="228"/>
      <c r="W834" s="228"/>
      <c r="X834" s="322">
        <v>176.279999</v>
      </c>
      <c r="Y834" s="228">
        <f t="shared" si="77"/>
        <v>-1.3652652116983743E-2</v>
      </c>
      <c r="Z834" s="228"/>
      <c r="AA834" s="202"/>
    </row>
    <row r="835" spans="2:27" x14ac:dyDescent="0.15">
      <c r="B835" s="241">
        <v>43879</v>
      </c>
      <c r="C835" s="244"/>
      <c r="D835" s="245">
        <v>73.964943000000005</v>
      </c>
      <c r="E835" s="228">
        <f t="shared" si="72"/>
        <v>-3.0177724333372291E-3</v>
      </c>
      <c r="F835" s="228"/>
      <c r="G835" s="245">
        <v>305.541718</v>
      </c>
      <c r="H835" s="228">
        <f t="shared" si="73"/>
        <v>-2.2510302406431482E-2</v>
      </c>
      <c r="J835" s="227"/>
      <c r="K835" s="245">
        <v>54.088496999999997</v>
      </c>
      <c r="L835" s="228">
        <f t="shared" si="74"/>
        <v>-3.4541939894219387E-2</v>
      </c>
      <c r="M835" s="228"/>
      <c r="N835" s="227"/>
      <c r="O835" s="322">
        <v>65.160004000000001</v>
      </c>
      <c r="P835" s="228">
        <f t="shared" si="75"/>
        <v>-2.5280389686773042E-2</v>
      </c>
      <c r="Q835" s="228"/>
      <c r="R835" s="227"/>
      <c r="S835" s="322">
        <v>325.33999599999999</v>
      </c>
      <c r="T835" s="228">
        <f t="shared" si="76"/>
        <v>-4.1143508675868246E-2</v>
      </c>
      <c r="U835" s="228"/>
      <c r="V835" s="228"/>
      <c r="W835" s="228"/>
      <c r="X835" s="322">
        <v>169.229996</v>
      </c>
      <c r="Y835" s="228">
        <f t="shared" si="77"/>
        <v>-3.9993209893313009E-2</v>
      </c>
      <c r="Z835" s="228"/>
      <c r="AA835" s="202"/>
    </row>
    <row r="836" spans="2:27" x14ac:dyDescent="0.15">
      <c r="B836" s="241">
        <v>43880</v>
      </c>
      <c r="C836" s="244"/>
      <c r="D836" s="245">
        <v>74.393265</v>
      </c>
      <c r="E836" s="228">
        <f t="shared" si="72"/>
        <v>5.7908785247084982E-3</v>
      </c>
      <c r="F836" s="228"/>
      <c r="G836" s="245">
        <v>313.65515099999999</v>
      </c>
      <c r="H836" s="228">
        <f t="shared" si="73"/>
        <v>2.655425600506689E-2</v>
      </c>
      <c r="J836" s="227"/>
      <c r="K836" s="245">
        <v>55.494140999999999</v>
      </c>
      <c r="L836" s="228">
        <f t="shared" si="74"/>
        <v>2.5987854681929878E-2</v>
      </c>
      <c r="M836" s="228"/>
      <c r="N836" s="227"/>
      <c r="O836" s="322">
        <v>67.410004000000001</v>
      </c>
      <c r="P836" s="228">
        <f t="shared" si="75"/>
        <v>3.453038462060265E-2</v>
      </c>
      <c r="Q836" s="228"/>
      <c r="R836" s="227"/>
      <c r="S836" s="322">
        <v>333.85000600000001</v>
      </c>
      <c r="T836" s="228">
        <f t="shared" si="76"/>
        <v>2.6157281934681142E-2</v>
      </c>
      <c r="U836" s="228"/>
      <c r="V836" s="228"/>
      <c r="W836" s="228"/>
      <c r="X836" s="322">
        <v>172.979996</v>
      </c>
      <c r="Y836" s="228">
        <f t="shared" si="77"/>
        <v>2.2159192156454344E-2</v>
      </c>
      <c r="Z836" s="228"/>
      <c r="AA836" s="202"/>
    </row>
    <row r="837" spans="2:27" x14ac:dyDescent="0.15">
      <c r="B837" s="241">
        <v>43881</v>
      </c>
      <c r="C837" s="244"/>
      <c r="D837" s="245">
        <v>74.101219</v>
      </c>
      <c r="E837" s="228">
        <f t="shared" si="72"/>
        <v>-3.9257048336297506E-3</v>
      </c>
      <c r="F837" s="228"/>
      <c r="G837" s="245">
        <v>309.78125</v>
      </c>
      <c r="H837" s="228">
        <f t="shared" si="73"/>
        <v>-1.2350828569686056E-2</v>
      </c>
      <c r="J837" s="227"/>
      <c r="K837" s="245">
        <v>54.377322999999997</v>
      </c>
      <c r="L837" s="228">
        <f t="shared" si="74"/>
        <v>-2.0124971391124014E-2</v>
      </c>
      <c r="M837" s="228"/>
      <c r="N837" s="227"/>
      <c r="O837" s="322">
        <v>66.400002000000001</v>
      </c>
      <c r="P837" s="228">
        <f t="shared" si="75"/>
        <v>-1.498296899670859E-2</v>
      </c>
      <c r="Q837" s="228"/>
      <c r="R837" s="227"/>
      <c r="S837" s="322">
        <v>328.48998999999998</v>
      </c>
      <c r="T837" s="228">
        <f t="shared" si="76"/>
        <v>-1.6055162209582363E-2</v>
      </c>
      <c r="U837" s="228"/>
      <c r="V837" s="228"/>
      <c r="W837" s="228"/>
      <c r="X837" s="322">
        <v>167.300003</v>
      </c>
      <c r="Y837" s="228">
        <f t="shared" si="77"/>
        <v>-3.2836126322953518E-2</v>
      </c>
      <c r="Z837" s="228"/>
      <c r="AA837" s="202"/>
    </row>
    <row r="838" spans="2:27" x14ac:dyDescent="0.15">
      <c r="B838" s="241">
        <v>43882</v>
      </c>
      <c r="C838" s="244"/>
      <c r="D838" s="245">
        <v>73.322425999999993</v>
      </c>
      <c r="E838" s="228">
        <f t="shared" si="72"/>
        <v>-1.0509854095652749E-2</v>
      </c>
      <c r="F838" s="228"/>
      <c r="G838" s="245">
        <v>302.39913899999999</v>
      </c>
      <c r="H838" s="228">
        <f t="shared" si="73"/>
        <v>-2.3830076868758265E-2</v>
      </c>
      <c r="J838" s="227"/>
      <c r="K838" s="245">
        <v>53.520457999999998</v>
      </c>
      <c r="L838" s="228">
        <f t="shared" si="74"/>
        <v>-1.5757763580969253E-2</v>
      </c>
      <c r="M838" s="228"/>
      <c r="N838" s="227"/>
      <c r="O838" s="322">
        <v>64.269997000000004</v>
      </c>
      <c r="P838" s="228">
        <f t="shared" si="75"/>
        <v>-3.2078387588000301E-2</v>
      </c>
      <c r="Q838" s="228"/>
      <c r="R838" s="227"/>
      <c r="S838" s="322">
        <v>316.79998799999998</v>
      </c>
      <c r="T838" s="228">
        <f t="shared" si="76"/>
        <v>-3.5587087448235466E-2</v>
      </c>
      <c r="U838" s="228"/>
      <c r="V838" s="228"/>
      <c r="W838" s="228"/>
      <c r="X838" s="322">
        <v>161.11999499999999</v>
      </c>
      <c r="Y838" s="228">
        <f t="shared" si="77"/>
        <v>-3.693967656414221E-2</v>
      </c>
      <c r="Z838" s="228"/>
      <c r="AA838" s="202"/>
    </row>
    <row r="839" spans="2:27" x14ac:dyDescent="0.15">
      <c r="B839" s="241">
        <v>43885</v>
      </c>
      <c r="C839" s="244"/>
      <c r="D839" s="245">
        <v>70.927666000000002</v>
      </c>
      <c r="E839" s="228">
        <f t="shared" si="72"/>
        <v>-3.2660676012001955E-2</v>
      </c>
      <c r="F839" s="228"/>
      <c r="G839" s="245">
        <v>286.98272700000001</v>
      </c>
      <c r="H839" s="228">
        <f t="shared" si="73"/>
        <v>-5.0980343565065422E-2</v>
      </c>
      <c r="J839" s="227"/>
      <c r="K839" s="245">
        <v>52.105186000000003</v>
      </c>
      <c r="L839" s="228">
        <f t="shared" si="74"/>
        <v>-2.6443570419371176E-2</v>
      </c>
      <c r="M839" s="228"/>
      <c r="N839" s="227"/>
      <c r="O839" s="322">
        <v>61.080002</v>
      </c>
      <c r="P839" s="228">
        <f t="shared" si="75"/>
        <v>-4.9634279584609309E-2</v>
      </c>
      <c r="Q839" s="228"/>
      <c r="R839" s="227"/>
      <c r="S839" s="322">
        <v>300.459991</v>
      </c>
      <c r="T839" s="228">
        <f t="shared" si="76"/>
        <v>-5.1578275312308408E-2</v>
      </c>
      <c r="U839" s="228"/>
      <c r="V839" s="228"/>
      <c r="W839" s="228"/>
      <c r="X839" s="322">
        <v>153.729996</v>
      </c>
      <c r="Y839" s="228">
        <f t="shared" si="77"/>
        <v>-4.5866430172120998E-2</v>
      </c>
      <c r="Z839" s="228"/>
      <c r="AA839" s="202"/>
    </row>
    <row r="840" spans="2:27" x14ac:dyDescent="0.15">
      <c r="B840" s="241">
        <v>43886</v>
      </c>
      <c r="C840" s="244"/>
      <c r="D840" s="245">
        <v>68.824950999999999</v>
      </c>
      <c r="E840" s="228">
        <f t="shared" si="72"/>
        <v>-2.9645907141509498E-2</v>
      </c>
      <c r="F840" s="228"/>
      <c r="G840" s="245">
        <v>281.24108899999999</v>
      </c>
      <c r="H840" s="228">
        <f t="shared" si="73"/>
        <v>-2.0006911426414975E-2</v>
      </c>
      <c r="J840" s="227"/>
      <c r="K840" s="245">
        <v>51.854866000000001</v>
      </c>
      <c r="L840" s="228">
        <f t="shared" si="74"/>
        <v>-4.8041283261133216E-3</v>
      </c>
      <c r="M840" s="228"/>
      <c r="N840" s="227"/>
      <c r="O840" s="322">
        <v>58.860000999999997</v>
      </c>
      <c r="P840" s="228">
        <f t="shared" si="75"/>
        <v>-3.6345791213300949E-2</v>
      </c>
      <c r="Q840" s="228"/>
      <c r="R840" s="227"/>
      <c r="S840" s="322">
        <v>292.22000100000002</v>
      </c>
      <c r="T840" s="228">
        <f t="shared" si="76"/>
        <v>-2.742458312860685E-2</v>
      </c>
      <c r="U840" s="228"/>
      <c r="V840" s="228"/>
      <c r="W840" s="228"/>
      <c r="X840" s="322">
        <v>147.41000399999999</v>
      </c>
      <c r="Y840" s="228">
        <f t="shared" si="77"/>
        <v>-4.1110987864723669E-2</v>
      </c>
      <c r="Z840" s="228"/>
      <c r="AA840" s="202"/>
    </row>
    <row r="841" spans="2:27" x14ac:dyDescent="0.15">
      <c r="B841" s="241">
        <v>43887</v>
      </c>
      <c r="C841" s="244"/>
      <c r="D841" s="245">
        <v>68.396621999999994</v>
      </c>
      <c r="E841" s="228">
        <f t="shared" ref="E841:E904" si="78">D841/D840-1</f>
        <v>-6.2234552117589326E-3</v>
      </c>
      <c r="F841" s="228"/>
      <c r="G841" s="245">
        <v>282.950714</v>
      </c>
      <c r="H841" s="228">
        <f t="shared" ref="H841:H904" si="79">G841/G840-1</f>
        <v>6.0788592665419472E-3</v>
      </c>
      <c r="J841" s="227"/>
      <c r="K841" s="245">
        <v>52.981307999999999</v>
      </c>
      <c r="L841" s="228">
        <f t="shared" ref="L841:L904" si="80">K841/K840-1</f>
        <v>2.1722975814844503E-2</v>
      </c>
      <c r="M841" s="228"/>
      <c r="N841" s="227"/>
      <c r="O841" s="322">
        <v>59.810001</v>
      </c>
      <c r="P841" s="228">
        <f t="shared" ref="P841:P904" si="81">O841/O840-1</f>
        <v>1.6139992930003677E-2</v>
      </c>
      <c r="Q841" s="228"/>
      <c r="R841" s="227"/>
      <c r="S841" s="322">
        <v>296.60000600000001</v>
      </c>
      <c r="T841" s="228">
        <f t="shared" ref="T841:T904" si="82">S841/S840-1</f>
        <v>1.4988724197561032E-2</v>
      </c>
      <c r="U841" s="228"/>
      <c r="V841" s="228"/>
      <c r="W841" s="228"/>
      <c r="X841" s="322">
        <v>147.270004</v>
      </c>
      <c r="Y841" s="228">
        <f t="shared" ref="Y841:Y904" si="83">X841/X840-1</f>
        <v>-9.4973201411752139E-4</v>
      </c>
      <c r="Z841" s="228"/>
      <c r="AA841" s="202"/>
    </row>
    <row r="842" spans="2:27" x14ac:dyDescent="0.15">
      <c r="B842" s="241">
        <v>43888</v>
      </c>
      <c r="C842" s="244"/>
      <c r="D842" s="245">
        <v>65.417770000000004</v>
      </c>
      <c r="E842" s="228">
        <f t="shared" si="78"/>
        <v>-4.3552618724357339E-2</v>
      </c>
      <c r="F842" s="228"/>
      <c r="G842" s="245">
        <v>273.96768200000002</v>
      </c>
      <c r="H842" s="228">
        <f t="shared" si="79"/>
        <v>-3.1747691578541071E-2</v>
      </c>
      <c r="J842" s="227"/>
      <c r="K842" s="245">
        <v>51.306083999999998</v>
      </c>
      <c r="L842" s="228">
        <f t="shared" si="80"/>
        <v>-3.1619151418458724E-2</v>
      </c>
      <c r="M842" s="228"/>
      <c r="N842" s="227"/>
      <c r="O842" s="322">
        <v>57</v>
      </c>
      <c r="P842" s="228">
        <f t="shared" si="81"/>
        <v>-4.6982125949136866E-2</v>
      </c>
      <c r="Q842" s="228"/>
      <c r="R842" s="227"/>
      <c r="S842" s="322">
        <v>285.70001200000002</v>
      </c>
      <c r="T842" s="228">
        <f t="shared" si="82"/>
        <v>-3.6749810450104947E-2</v>
      </c>
      <c r="U842" s="228"/>
      <c r="V842" s="228"/>
      <c r="W842" s="228"/>
      <c r="X842" s="322">
        <v>147.990005</v>
      </c>
      <c r="Y842" s="228">
        <f t="shared" si="83"/>
        <v>4.8889860830043652E-3</v>
      </c>
      <c r="Z842" s="228"/>
      <c r="AA842" s="202"/>
    </row>
    <row r="843" spans="2:27" x14ac:dyDescent="0.15">
      <c r="B843" s="241">
        <v>43889</v>
      </c>
      <c r="C843" s="244"/>
      <c r="D843" s="245">
        <v>64.979713000000004</v>
      </c>
      <c r="E843" s="228">
        <f t="shared" si="78"/>
        <v>-6.6962997974403526E-3</v>
      </c>
      <c r="F843" s="228"/>
      <c r="G843" s="245">
        <v>273.45382699999999</v>
      </c>
      <c r="H843" s="228">
        <f t="shared" si="79"/>
        <v>-1.8756044371687208E-3</v>
      </c>
      <c r="J843" s="227"/>
      <c r="K843" s="245">
        <v>51.835613000000002</v>
      </c>
      <c r="L843" s="228">
        <f t="shared" si="80"/>
        <v>1.0320978697185401E-2</v>
      </c>
      <c r="M843" s="228"/>
      <c r="N843" s="227"/>
      <c r="O843" s="322">
        <v>58.119999</v>
      </c>
      <c r="P843" s="228">
        <f t="shared" si="81"/>
        <v>1.9649105263157995E-2</v>
      </c>
      <c r="Q843" s="228"/>
      <c r="R843" s="227"/>
      <c r="S843" s="322">
        <v>293.42999300000002</v>
      </c>
      <c r="T843" s="228">
        <f t="shared" si="82"/>
        <v>2.7056285177895045E-2</v>
      </c>
      <c r="U843" s="228"/>
      <c r="V843" s="228"/>
      <c r="W843" s="228"/>
      <c r="X843" s="322">
        <v>153.71000699999999</v>
      </c>
      <c r="Y843" s="228">
        <f t="shared" si="83"/>
        <v>3.8651272428837258E-2</v>
      </c>
      <c r="Z843" s="228"/>
      <c r="AA843" s="202"/>
    </row>
    <row r="844" spans="2:27" x14ac:dyDescent="0.15">
      <c r="B844" s="241">
        <v>43892</v>
      </c>
      <c r="C844" s="244"/>
      <c r="D844" s="245">
        <v>67.773612999999997</v>
      </c>
      <c r="E844" s="228">
        <f t="shared" si="78"/>
        <v>4.2996496460364408E-2</v>
      </c>
      <c r="F844" s="228"/>
      <c r="G844" s="245">
        <v>284.106964</v>
      </c>
      <c r="H844" s="228">
        <f t="shared" si="79"/>
        <v>3.895771771371126E-2</v>
      </c>
      <c r="J844" s="227"/>
      <c r="K844" s="245">
        <v>53.895938999999998</v>
      </c>
      <c r="L844" s="228">
        <f t="shared" si="80"/>
        <v>3.9747306547720296E-2</v>
      </c>
      <c r="M844" s="228"/>
      <c r="N844" s="227"/>
      <c r="O844" s="322">
        <v>60.16</v>
      </c>
      <c r="P844" s="228">
        <f t="shared" si="81"/>
        <v>3.5099811340327136E-2</v>
      </c>
      <c r="Q844" s="228"/>
      <c r="R844" s="227"/>
      <c r="S844" s="322">
        <v>300.32998700000002</v>
      </c>
      <c r="T844" s="228">
        <f t="shared" si="82"/>
        <v>2.351495813176796E-2</v>
      </c>
      <c r="U844" s="228"/>
      <c r="V844" s="228"/>
      <c r="W844" s="228"/>
      <c r="X844" s="322">
        <v>158.740005</v>
      </c>
      <c r="Y844" s="228">
        <f t="shared" si="83"/>
        <v>3.2723946203450538E-2</v>
      </c>
      <c r="Z844" s="228"/>
      <c r="AA844" s="202"/>
    </row>
    <row r="845" spans="2:27" x14ac:dyDescent="0.15">
      <c r="B845" s="241">
        <v>43893</v>
      </c>
      <c r="C845" s="244"/>
      <c r="D845" s="245">
        <v>65.933723000000001</v>
      </c>
      <c r="E845" s="228">
        <f t="shared" si="78"/>
        <v>-2.7147586185201522E-2</v>
      </c>
      <c r="F845" s="228"/>
      <c r="G845" s="245">
        <v>280.95446800000002</v>
      </c>
      <c r="H845" s="228">
        <f t="shared" si="79"/>
        <v>-1.1096158839668524E-2</v>
      </c>
      <c r="J845" s="227"/>
      <c r="K845" s="245">
        <v>52.836894999999998</v>
      </c>
      <c r="L845" s="228">
        <f t="shared" si="80"/>
        <v>-1.9649792167087066E-2</v>
      </c>
      <c r="M845" s="228"/>
      <c r="N845" s="227"/>
      <c r="O845" s="322">
        <v>58.040000999999997</v>
      </c>
      <c r="P845" s="228">
        <f t="shared" si="81"/>
        <v>-3.523934507978721E-2</v>
      </c>
      <c r="Q845" s="228"/>
      <c r="R845" s="227"/>
      <c r="S845" s="322">
        <v>291.459991</v>
      </c>
      <c r="T845" s="228">
        <f t="shared" si="82"/>
        <v>-2.9534167029414915E-2</v>
      </c>
      <c r="U845" s="228"/>
      <c r="V845" s="228"/>
      <c r="W845" s="228"/>
      <c r="X845" s="322">
        <v>153.80999800000001</v>
      </c>
      <c r="Y845" s="228">
        <f t="shared" si="83"/>
        <v>-3.1057117580410742E-2</v>
      </c>
      <c r="Z845" s="228"/>
      <c r="AA845" s="202"/>
    </row>
    <row r="846" spans="2:27" x14ac:dyDescent="0.15">
      <c r="B846" s="241">
        <v>43894</v>
      </c>
      <c r="C846" s="244"/>
      <c r="D846" s="245">
        <v>68.503708000000003</v>
      </c>
      <c r="E846" s="228">
        <f t="shared" si="78"/>
        <v>3.8978308566012698E-2</v>
      </c>
      <c r="F846" s="228"/>
      <c r="G846" s="245">
        <v>298.06079099999999</v>
      </c>
      <c r="H846" s="228">
        <f t="shared" si="79"/>
        <v>6.0886460079360605E-2</v>
      </c>
      <c r="J846" s="227"/>
      <c r="K846" s="245">
        <v>54.954987000000003</v>
      </c>
      <c r="L846" s="228">
        <f t="shared" si="80"/>
        <v>4.0087366980970485E-2</v>
      </c>
      <c r="M846" s="228"/>
      <c r="N846" s="227"/>
      <c r="O846" s="322">
        <v>60.52</v>
      </c>
      <c r="P846" s="228">
        <f t="shared" si="81"/>
        <v>4.2729134343054254E-2</v>
      </c>
      <c r="Q846" s="228"/>
      <c r="R846" s="227"/>
      <c r="S846" s="322">
        <v>306.23998999999998</v>
      </c>
      <c r="T846" s="228">
        <f t="shared" si="82"/>
        <v>5.0710215660440205E-2</v>
      </c>
      <c r="U846" s="228"/>
      <c r="V846" s="228"/>
      <c r="W846" s="228"/>
      <c r="X846" s="322">
        <v>160.71000699999999</v>
      </c>
      <c r="Y846" s="228">
        <f t="shared" si="83"/>
        <v>4.4860601324498983E-2</v>
      </c>
      <c r="Z846" s="228"/>
      <c r="AA846" s="202"/>
    </row>
    <row r="847" spans="2:27" x14ac:dyDescent="0.15">
      <c r="B847" s="241">
        <v>43895</v>
      </c>
      <c r="C847" s="244"/>
      <c r="D847" s="245">
        <v>66.293914999999998</v>
      </c>
      <c r="E847" s="228">
        <f t="shared" si="78"/>
        <v>-3.225800565423409E-2</v>
      </c>
      <c r="F847" s="228"/>
      <c r="G847" s="245">
        <v>284.85803199999998</v>
      </c>
      <c r="H847" s="228">
        <f t="shared" si="79"/>
        <v>-4.4295524264377328E-2</v>
      </c>
      <c r="J847" s="227"/>
      <c r="K847" s="245">
        <v>53.655242999999999</v>
      </c>
      <c r="L847" s="228">
        <f t="shared" si="80"/>
        <v>-2.3651065552977135E-2</v>
      </c>
      <c r="M847" s="228"/>
      <c r="N847" s="227"/>
      <c r="O847" s="322">
        <v>59.130001</v>
      </c>
      <c r="P847" s="228">
        <f t="shared" si="81"/>
        <v>-2.2967597488433578E-2</v>
      </c>
      <c r="Q847" s="228"/>
      <c r="R847" s="227"/>
      <c r="S847" s="322">
        <v>299.13000499999998</v>
      </c>
      <c r="T847" s="228">
        <f t="shared" si="82"/>
        <v>-2.3217036416439241E-2</v>
      </c>
      <c r="U847" s="228"/>
      <c r="V847" s="228"/>
      <c r="W847" s="228"/>
      <c r="X847" s="322">
        <v>156.69000199999999</v>
      </c>
      <c r="Y847" s="228">
        <f t="shared" si="83"/>
        <v>-2.5014030395755005E-2</v>
      </c>
      <c r="Z847" s="228"/>
      <c r="AA847" s="202"/>
    </row>
    <row r="848" spans="2:27" x14ac:dyDescent="0.15">
      <c r="B848" s="241">
        <v>43896</v>
      </c>
      <c r="C848" s="244"/>
      <c r="D848" s="245">
        <v>65.106269999999995</v>
      </c>
      <c r="E848" s="228">
        <f t="shared" si="78"/>
        <v>-1.7914841807125215E-2</v>
      </c>
      <c r="F848" s="228"/>
      <c r="G848" s="245">
        <v>284.71966600000002</v>
      </c>
      <c r="H848" s="228">
        <f t="shared" si="79"/>
        <v>-4.8573669848273049E-4</v>
      </c>
      <c r="J848" s="227"/>
      <c r="K848" s="245">
        <v>53.019821</v>
      </c>
      <c r="L848" s="228">
        <f t="shared" si="80"/>
        <v>-1.184268236377195E-2</v>
      </c>
      <c r="M848" s="228"/>
      <c r="N848" s="227"/>
      <c r="O848" s="322">
        <v>57.790000999999997</v>
      </c>
      <c r="P848" s="228">
        <f t="shared" si="81"/>
        <v>-2.2661930954474441E-2</v>
      </c>
      <c r="Q848" s="228"/>
      <c r="R848" s="227"/>
      <c r="S848" s="322">
        <v>294.41000400000001</v>
      </c>
      <c r="T848" s="228">
        <f t="shared" si="82"/>
        <v>-1.5779095781447872E-2</v>
      </c>
      <c r="U848" s="228"/>
      <c r="V848" s="228"/>
      <c r="W848" s="228"/>
      <c r="X848" s="322">
        <v>155.679993</v>
      </c>
      <c r="Y848" s="228">
        <f t="shared" si="83"/>
        <v>-6.445905846628297E-3</v>
      </c>
      <c r="Z848" s="228"/>
      <c r="AA848" s="202"/>
    </row>
    <row r="849" spans="2:27" x14ac:dyDescent="0.15">
      <c r="B849" s="241">
        <v>43899</v>
      </c>
      <c r="C849" s="244"/>
      <c r="D849" s="245">
        <v>59.907890000000002</v>
      </c>
      <c r="E849" s="228">
        <f t="shared" si="78"/>
        <v>-7.984453724656615E-2</v>
      </c>
      <c r="F849" s="228"/>
      <c r="G849" s="245">
        <v>260.80444299999999</v>
      </c>
      <c r="H849" s="228">
        <f t="shared" si="79"/>
        <v>-8.3995683670126331E-2</v>
      </c>
      <c r="J849" s="227"/>
      <c r="K849" s="245">
        <v>49.900440000000003</v>
      </c>
      <c r="L849" s="228">
        <f t="shared" si="80"/>
        <v>-5.88342423864463E-2</v>
      </c>
      <c r="M849" s="228"/>
      <c r="N849" s="227"/>
      <c r="O849" s="322">
        <v>52.07</v>
      </c>
      <c r="P849" s="228">
        <f t="shared" si="81"/>
        <v>-9.8979077712768926E-2</v>
      </c>
      <c r="Q849" s="228"/>
      <c r="R849" s="227"/>
      <c r="S849" s="322">
        <v>267.60000600000001</v>
      </c>
      <c r="T849" s="228">
        <f t="shared" si="82"/>
        <v>-9.1063474867518424E-2</v>
      </c>
      <c r="U849" s="228"/>
      <c r="V849" s="228"/>
      <c r="W849" s="228"/>
      <c r="X849" s="322">
        <v>144.91999799999999</v>
      </c>
      <c r="Y849" s="228">
        <f t="shared" si="83"/>
        <v>-6.9116106653473453E-2</v>
      </c>
      <c r="Z849" s="228"/>
      <c r="AA849" s="202"/>
    </row>
    <row r="850" spans="2:27" x14ac:dyDescent="0.15">
      <c r="B850" s="241">
        <v>43900</v>
      </c>
      <c r="C850" s="244"/>
      <c r="D850" s="245">
        <v>62.662841999999998</v>
      </c>
      <c r="E850" s="228">
        <f t="shared" si="78"/>
        <v>4.5986463552630585E-2</v>
      </c>
      <c r="F850" s="228"/>
      <c r="G850" s="245">
        <v>276.46792599999998</v>
      </c>
      <c r="H850" s="228">
        <f t="shared" si="79"/>
        <v>6.005834417475775E-2</v>
      </c>
      <c r="J850" s="227"/>
      <c r="K850" s="245">
        <v>52.480663</v>
      </c>
      <c r="L850" s="228">
        <f t="shared" si="80"/>
        <v>5.1707419814334132E-2</v>
      </c>
      <c r="M850" s="228"/>
      <c r="N850" s="227"/>
      <c r="O850" s="322">
        <v>56.169998</v>
      </c>
      <c r="P850" s="228">
        <f t="shared" si="81"/>
        <v>7.8740119070481951E-2</v>
      </c>
      <c r="Q850" s="228"/>
      <c r="R850" s="227"/>
      <c r="S850" s="322">
        <v>287.57000699999998</v>
      </c>
      <c r="T850" s="228">
        <f t="shared" si="82"/>
        <v>7.4626309985956985E-2</v>
      </c>
      <c r="U850" s="228"/>
      <c r="V850" s="228"/>
      <c r="W850" s="228"/>
      <c r="X850" s="322">
        <v>154.570007</v>
      </c>
      <c r="Y850" s="228">
        <f t="shared" si="83"/>
        <v>6.6588525622254036E-2</v>
      </c>
      <c r="Z850" s="228"/>
      <c r="AA850" s="202"/>
    </row>
    <row r="851" spans="2:27" x14ac:dyDescent="0.15">
      <c r="B851" s="241">
        <v>43901</v>
      </c>
      <c r="C851" s="244"/>
      <c r="D851" s="245">
        <v>59.576908000000003</v>
      </c>
      <c r="E851" s="228">
        <f t="shared" si="78"/>
        <v>-4.9246633275905283E-2</v>
      </c>
      <c r="F851" s="228"/>
      <c r="G851" s="245">
        <v>261.031769</v>
      </c>
      <c r="H851" s="228">
        <f t="shared" si="79"/>
        <v>-5.5833445938318293E-2</v>
      </c>
      <c r="J851" s="227"/>
      <c r="K851" s="245">
        <v>50.295174000000003</v>
      </c>
      <c r="L851" s="228">
        <f t="shared" si="80"/>
        <v>-4.1643700271088324E-2</v>
      </c>
      <c r="M851" s="228"/>
      <c r="N851" s="227"/>
      <c r="O851" s="322">
        <v>52.490001999999997</v>
      </c>
      <c r="P851" s="228">
        <f t="shared" si="81"/>
        <v>-6.5515330799905014E-2</v>
      </c>
      <c r="Q851" s="228"/>
      <c r="R851" s="227"/>
      <c r="S851" s="322">
        <v>276.63000499999998</v>
      </c>
      <c r="T851" s="228">
        <f t="shared" si="82"/>
        <v>-3.8042917319955349E-2</v>
      </c>
      <c r="U851" s="228"/>
      <c r="V851" s="228"/>
      <c r="W851" s="228"/>
      <c r="X851" s="322">
        <v>144.91999799999999</v>
      </c>
      <c r="Y851" s="228">
        <f t="shared" si="83"/>
        <v>-6.2431316316107877E-2</v>
      </c>
      <c r="Z851" s="228"/>
      <c r="AA851" s="202"/>
    </row>
    <row r="852" spans="2:27" x14ac:dyDescent="0.15">
      <c r="B852" s="241">
        <v>43902</v>
      </c>
      <c r="C852" s="244"/>
      <c r="D852" s="245">
        <v>53.959941999999998</v>
      </c>
      <c r="E852" s="228">
        <f t="shared" si="78"/>
        <v>-9.4280925085941103E-2</v>
      </c>
      <c r="F852" s="228"/>
      <c r="G852" s="245">
        <v>237.916977</v>
      </c>
      <c r="H852" s="228">
        <f t="shared" si="79"/>
        <v>-8.8551642922819807E-2</v>
      </c>
      <c r="J852" s="227"/>
      <c r="K852" s="245">
        <v>46.877338000000002</v>
      </c>
      <c r="L852" s="228">
        <f t="shared" si="80"/>
        <v>-6.7955545794513017E-2</v>
      </c>
      <c r="M852" s="228"/>
      <c r="N852" s="227"/>
      <c r="O852" s="322">
        <v>45.110000999999997</v>
      </c>
      <c r="P852" s="228">
        <f t="shared" si="81"/>
        <v>-0.14059822287680612</v>
      </c>
      <c r="Q852" s="228"/>
      <c r="R852" s="227"/>
      <c r="S852" s="322">
        <v>237.85000600000001</v>
      </c>
      <c r="T852" s="228">
        <f t="shared" si="82"/>
        <v>-0.14018724758364509</v>
      </c>
      <c r="U852" s="228"/>
      <c r="V852" s="228"/>
      <c r="W852" s="228"/>
      <c r="X852" s="322">
        <v>125.360001</v>
      </c>
      <c r="Y852" s="228">
        <f t="shared" si="83"/>
        <v>-0.13497099965458181</v>
      </c>
      <c r="Z852" s="228"/>
      <c r="AA852" s="202"/>
    </row>
    <row r="853" spans="2:27" x14ac:dyDescent="0.15">
      <c r="B853" s="241">
        <v>43903</v>
      </c>
      <c r="C853" s="244"/>
      <c r="D853" s="245">
        <v>58.79813</v>
      </c>
      <c r="E853" s="228">
        <f t="shared" si="78"/>
        <v>8.9662587109526681E-2</v>
      </c>
      <c r="F853" s="228"/>
      <c r="G853" s="245">
        <v>253.926346</v>
      </c>
      <c r="H853" s="228">
        <f t="shared" si="79"/>
        <v>6.7289729391610376E-2</v>
      </c>
      <c r="J853" s="227"/>
      <c r="K853" s="245">
        <v>50.285544999999999</v>
      </c>
      <c r="L853" s="228">
        <f t="shared" si="80"/>
        <v>7.2704789678970094E-2</v>
      </c>
      <c r="M853" s="228"/>
      <c r="N853" s="227"/>
      <c r="O853" s="322">
        <v>50.889999000000003</v>
      </c>
      <c r="P853" s="228">
        <f t="shared" si="81"/>
        <v>0.12813118758299313</v>
      </c>
      <c r="Q853" s="228"/>
      <c r="R853" s="227"/>
      <c r="S853" s="322">
        <v>261.77999899999998</v>
      </c>
      <c r="T853" s="228">
        <f t="shared" si="82"/>
        <v>0.10060959594846497</v>
      </c>
      <c r="U853" s="228"/>
      <c r="V853" s="228"/>
      <c r="W853" s="228"/>
      <c r="X853" s="322">
        <v>145.36999499999999</v>
      </c>
      <c r="Y853" s="228">
        <f t="shared" si="83"/>
        <v>0.15962024441911105</v>
      </c>
      <c r="Z853" s="228"/>
      <c r="AA853" s="202"/>
    </row>
    <row r="854" spans="2:27" x14ac:dyDescent="0.15">
      <c r="B854" s="241">
        <v>43906</v>
      </c>
      <c r="C854" s="244"/>
      <c r="D854" s="245">
        <v>51.993507000000001</v>
      </c>
      <c r="E854" s="228">
        <f t="shared" si="78"/>
        <v>-0.11572856143554222</v>
      </c>
      <c r="F854" s="228"/>
      <c r="G854" s="245">
        <v>226.66099500000001</v>
      </c>
      <c r="H854" s="228">
        <f t="shared" si="79"/>
        <v>-0.10737503779934665</v>
      </c>
      <c r="J854" s="227"/>
      <c r="K854" s="245">
        <v>43.228436000000002</v>
      </c>
      <c r="L854" s="228">
        <f t="shared" si="80"/>
        <v>-0.14034070824925926</v>
      </c>
      <c r="M854" s="228"/>
      <c r="N854" s="227"/>
      <c r="O854" s="322">
        <v>40.529998999999997</v>
      </c>
      <c r="P854" s="228">
        <f t="shared" si="81"/>
        <v>-0.2035763451282443</v>
      </c>
      <c r="Q854" s="228"/>
      <c r="R854" s="227"/>
      <c r="S854" s="322">
        <v>213.53999300000001</v>
      </c>
      <c r="T854" s="228">
        <f t="shared" si="82"/>
        <v>-0.18427689733469654</v>
      </c>
      <c r="U854" s="228"/>
      <c r="V854" s="228"/>
      <c r="W854" s="228"/>
      <c r="X854" s="322">
        <v>129.5</v>
      </c>
      <c r="Y854" s="228">
        <f t="shared" si="83"/>
        <v>-0.10916967425086577</v>
      </c>
      <c r="Z854" s="228"/>
      <c r="AA854" s="202"/>
    </row>
    <row r="855" spans="2:27" x14ac:dyDescent="0.15">
      <c r="B855" s="241">
        <v>43907</v>
      </c>
      <c r="C855" s="244"/>
      <c r="D855" s="245">
        <v>54.806862000000002</v>
      </c>
      <c r="E855" s="228">
        <f t="shared" si="78"/>
        <v>5.4109737202377994E-2</v>
      </c>
      <c r="F855" s="228"/>
      <c r="G855" s="245">
        <v>235.53533899999999</v>
      </c>
      <c r="H855" s="228">
        <f t="shared" si="79"/>
        <v>3.9152497323149849E-2</v>
      </c>
      <c r="J855" s="227"/>
      <c r="K855" s="245">
        <v>46.732922000000002</v>
      </c>
      <c r="L855" s="228">
        <f t="shared" si="80"/>
        <v>8.1068998193688957E-2</v>
      </c>
      <c r="M855" s="228"/>
      <c r="N855" s="227"/>
      <c r="O855" s="322">
        <v>44.860000999999997</v>
      </c>
      <c r="P855" s="228">
        <f t="shared" si="81"/>
        <v>0.10683449560410807</v>
      </c>
      <c r="Q855" s="228"/>
      <c r="R855" s="227"/>
      <c r="S855" s="322">
        <v>229.300003</v>
      </c>
      <c r="T855" s="228">
        <f t="shared" si="82"/>
        <v>7.3803552105576653E-2</v>
      </c>
      <c r="U855" s="228"/>
      <c r="V855" s="228"/>
      <c r="W855" s="228"/>
      <c r="X855" s="322">
        <v>149.63000500000001</v>
      </c>
      <c r="Y855" s="228">
        <f t="shared" si="83"/>
        <v>0.15544405405405404</v>
      </c>
      <c r="Z855" s="228"/>
      <c r="AA855" s="202"/>
    </row>
    <row r="856" spans="2:27" x14ac:dyDescent="0.15">
      <c r="B856" s="241">
        <v>43908</v>
      </c>
      <c r="C856" s="244"/>
      <c r="D856" s="245">
        <v>51.672263999999998</v>
      </c>
      <c r="E856" s="228">
        <f t="shared" si="78"/>
        <v>-5.7193531715061585E-2</v>
      </c>
      <c r="F856" s="228"/>
      <c r="G856" s="245">
        <v>194.67193599999999</v>
      </c>
      <c r="H856" s="228">
        <f t="shared" si="79"/>
        <v>-0.17349160076569237</v>
      </c>
      <c r="J856" s="227"/>
      <c r="K856" s="245">
        <v>42.718159</v>
      </c>
      <c r="L856" s="228">
        <f t="shared" si="80"/>
        <v>-8.5908666271713119E-2</v>
      </c>
      <c r="M856" s="228"/>
      <c r="N856" s="227"/>
      <c r="O856" s="322">
        <v>39.18</v>
      </c>
      <c r="P856" s="228">
        <f t="shared" si="81"/>
        <v>-0.12661615856852071</v>
      </c>
      <c r="Q856" s="228"/>
      <c r="R856" s="227"/>
      <c r="S856" s="322">
        <v>194.13999899999999</v>
      </c>
      <c r="T856" s="228">
        <f t="shared" si="82"/>
        <v>-0.15333625617091695</v>
      </c>
      <c r="U856" s="228"/>
      <c r="V856" s="228"/>
      <c r="W856" s="228"/>
      <c r="X856" s="322">
        <v>132.020004</v>
      </c>
      <c r="Y856" s="228">
        <f t="shared" si="83"/>
        <v>-0.11769030549721637</v>
      </c>
      <c r="Z856" s="228"/>
      <c r="AA856" s="202"/>
    </row>
    <row r="857" spans="2:27" x14ac:dyDescent="0.15">
      <c r="B857" s="241">
        <v>43909</v>
      </c>
      <c r="C857" s="244"/>
      <c r="D857" s="245">
        <v>51.652790000000003</v>
      </c>
      <c r="E857" s="228">
        <f t="shared" si="78"/>
        <v>-3.7687530006413894E-4</v>
      </c>
      <c r="F857" s="228"/>
      <c r="G857" s="245">
        <v>211.51139800000001</v>
      </c>
      <c r="H857" s="228">
        <f t="shared" si="79"/>
        <v>8.6501744144569681E-2</v>
      </c>
      <c r="J857" s="227"/>
      <c r="K857" s="245">
        <v>42.656936999999999</v>
      </c>
      <c r="L857" s="228">
        <f t="shared" si="80"/>
        <v>-1.4331610123928806E-3</v>
      </c>
      <c r="M857" s="228"/>
      <c r="N857" s="227"/>
      <c r="O857" s="322">
        <v>40.189999</v>
      </c>
      <c r="P857" s="228">
        <f t="shared" si="81"/>
        <v>2.5778432873915236E-2</v>
      </c>
      <c r="Q857" s="228"/>
      <c r="R857" s="227"/>
      <c r="S857" s="322">
        <v>195.009995</v>
      </c>
      <c r="T857" s="228">
        <f t="shared" si="82"/>
        <v>4.481281572480178E-3</v>
      </c>
      <c r="U857" s="228"/>
      <c r="V857" s="228"/>
      <c r="W857" s="228"/>
      <c r="X857" s="322">
        <v>127.360001</v>
      </c>
      <c r="Y857" s="228">
        <f t="shared" si="83"/>
        <v>-3.5297703823732651E-2</v>
      </c>
      <c r="Z857" s="228"/>
      <c r="AA857" s="202"/>
    </row>
    <row r="858" spans="2:27" x14ac:dyDescent="0.15">
      <c r="B858" s="241">
        <v>43910</v>
      </c>
      <c r="C858" s="244"/>
      <c r="D858" s="245">
        <v>49.589011999999997</v>
      </c>
      <c r="E858" s="228">
        <f t="shared" si="78"/>
        <v>-3.9954821414293518E-2</v>
      </c>
      <c r="F858" s="228"/>
      <c r="G858" s="245">
        <v>213.557053</v>
      </c>
      <c r="H858" s="228">
        <f t="shared" si="79"/>
        <v>9.6716064445849792E-3</v>
      </c>
      <c r="J858" s="227"/>
      <c r="K858" s="245">
        <v>43.278953999999999</v>
      </c>
      <c r="L858" s="228">
        <f t="shared" si="80"/>
        <v>1.4581848668599795E-2</v>
      </c>
      <c r="M858" s="228"/>
      <c r="N858" s="227"/>
      <c r="O858" s="322">
        <v>37.990001999999997</v>
      </c>
      <c r="P858" s="228">
        <f t="shared" si="81"/>
        <v>-5.4739911787507256E-2</v>
      </c>
      <c r="Q858" s="228"/>
      <c r="R858" s="227"/>
      <c r="S858" s="322">
        <v>187.88999899999999</v>
      </c>
      <c r="T858" s="228">
        <f t="shared" si="82"/>
        <v>-3.6510928580865909E-2</v>
      </c>
      <c r="U858" s="228"/>
      <c r="V858" s="228"/>
      <c r="W858" s="228"/>
      <c r="X858" s="322">
        <v>114.019997</v>
      </c>
      <c r="Y858" s="228">
        <f t="shared" si="83"/>
        <v>-0.10474249289618009</v>
      </c>
      <c r="Z858" s="228"/>
      <c r="AA858" s="202"/>
    </row>
    <row r="859" spans="2:27" x14ac:dyDescent="0.15">
      <c r="B859" s="241">
        <v>43913</v>
      </c>
      <c r="C859" s="244"/>
      <c r="D859" s="245">
        <v>48.352691999999998</v>
      </c>
      <c r="E859" s="228">
        <f t="shared" si="78"/>
        <v>-2.4931329545343606E-2</v>
      </c>
      <c r="F859" s="228"/>
      <c r="G859" s="245">
        <v>230.40640300000001</v>
      </c>
      <c r="H859" s="228">
        <f t="shared" si="79"/>
        <v>7.8898588284977089E-2</v>
      </c>
      <c r="J859" s="227"/>
      <c r="K859" s="245">
        <v>43.988444999999999</v>
      </c>
      <c r="L859" s="228">
        <f t="shared" si="80"/>
        <v>1.6393441486594051E-2</v>
      </c>
      <c r="M859" s="228"/>
      <c r="N859" s="227"/>
      <c r="O859" s="322">
        <v>40.169998</v>
      </c>
      <c r="P859" s="228">
        <f t="shared" si="81"/>
        <v>5.738341366762767E-2</v>
      </c>
      <c r="Q859" s="228"/>
      <c r="R859" s="227"/>
      <c r="S859" s="322">
        <v>192.85000600000001</v>
      </c>
      <c r="T859" s="228">
        <f t="shared" si="82"/>
        <v>2.6398462006484991E-2</v>
      </c>
      <c r="U859" s="228"/>
      <c r="V859" s="228"/>
      <c r="W859" s="228"/>
      <c r="X859" s="322">
        <v>116.360001</v>
      </c>
      <c r="Y859" s="228">
        <f t="shared" si="83"/>
        <v>2.0522750934645284E-2</v>
      </c>
      <c r="Z859" s="228"/>
      <c r="AA859" s="202"/>
    </row>
    <row r="860" spans="2:27" x14ac:dyDescent="0.15">
      <c r="B860" s="241">
        <v>43914</v>
      </c>
      <c r="C860" s="244"/>
      <c r="D860" s="245">
        <v>52.801498000000002</v>
      </c>
      <c r="E860" s="228">
        <f t="shared" si="78"/>
        <v>9.2007410880039719E-2</v>
      </c>
      <c r="F860" s="228"/>
      <c r="G860" s="245">
        <v>257.14798000000002</v>
      </c>
      <c r="H860" s="228">
        <f t="shared" si="79"/>
        <v>0.11606264692218637</v>
      </c>
      <c r="J860" s="227"/>
      <c r="K860" s="245">
        <v>47.497020999999997</v>
      </c>
      <c r="L860" s="228">
        <f t="shared" si="80"/>
        <v>7.9761310044035305E-2</v>
      </c>
      <c r="M860" s="228"/>
      <c r="N860" s="227"/>
      <c r="O860" s="322">
        <v>45.139999000000003</v>
      </c>
      <c r="P860" s="228">
        <f t="shared" si="81"/>
        <v>0.12372420332209133</v>
      </c>
      <c r="Q860" s="228"/>
      <c r="R860" s="227"/>
      <c r="S860" s="322">
        <v>230.63999899999999</v>
      </c>
      <c r="T860" s="228">
        <f t="shared" si="82"/>
        <v>0.1959553633615132</v>
      </c>
      <c r="U860" s="228"/>
      <c r="V860" s="228"/>
      <c r="W860" s="228"/>
      <c r="X860" s="322">
        <v>136.36000100000001</v>
      </c>
      <c r="Y860" s="228">
        <f t="shared" si="83"/>
        <v>0.17188036978445886</v>
      </c>
      <c r="Z860" s="228"/>
      <c r="AA860" s="202"/>
    </row>
    <row r="861" spans="2:27" x14ac:dyDescent="0.15">
      <c r="B861" s="241">
        <v>43915</v>
      </c>
      <c r="C861" s="244"/>
      <c r="D861" s="245">
        <v>53.739716000000001</v>
      </c>
      <c r="E861" s="228">
        <f t="shared" si="78"/>
        <v>1.7768776181312118E-2</v>
      </c>
      <c r="F861" s="228"/>
      <c r="G861" s="245">
        <v>258.98608400000001</v>
      </c>
      <c r="H861" s="228">
        <f t="shared" si="79"/>
        <v>7.1480398173844328E-3</v>
      </c>
      <c r="J861" s="227"/>
      <c r="K861" s="245">
        <v>47.623370999999999</v>
      </c>
      <c r="L861" s="228">
        <f t="shared" si="80"/>
        <v>2.6601668344632401E-3</v>
      </c>
      <c r="M861" s="228"/>
      <c r="N861" s="227"/>
      <c r="O861" s="322">
        <v>44.73</v>
      </c>
      <c r="P861" s="228">
        <f t="shared" si="81"/>
        <v>-9.0828313930624294E-3</v>
      </c>
      <c r="Q861" s="228"/>
      <c r="R861" s="227"/>
      <c r="S861" s="322">
        <v>233.550003</v>
      </c>
      <c r="T861" s="228">
        <f t="shared" si="82"/>
        <v>1.2617082954461845E-2</v>
      </c>
      <c r="U861" s="228"/>
      <c r="V861" s="228"/>
      <c r="W861" s="228"/>
      <c r="X861" s="322">
        <v>137.470001</v>
      </c>
      <c r="Y861" s="228">
        <f t="shared" si="83"/>
        <v>8.1402170127586881E-3</v>
      </c>
      <c r="Z861" s="228"/>
      <c r="AA861" s="202"/>
    </row>
    <row r="862" spans="2:27" x14ac:dyDescent="0.15">
      <c r="B862" s="241">
        <v>43916</v>
      </c>
      <c r="C862" s="244"/>
      <c r="D862" s="245">
        <v>56.860596000000001</v>
      </c>
      <c r="E862" s="228">
        <f t="shared" si="78"/>
        <v>5.8073995031905357E-2</v>
      </c>
      <c r="F862" s="228"/>
      <c r="G862" s="245">
        <v>272.65335099999999</v>
      </c>
      <c r="H862" s="228">
        <f t="shared" si="79"/>
        <v>5.2772206092741136E-2</v>
      </c>
      <c r="J862" s="227"/>
      <c r="K862" s="245">
        <v>48.468924999999999</v>
      </c>
      <c r="L862" s="228">
        <f t="shared" si="80"/>
        <v>1.7755022003797194E-2</v>
      </c>
      <c r="M862" s="228"/>
      <c r="N862" s="227"/>
      <c r="O862" s="322">
        <v>49.200001</v>
      </c>
      <c r="P862" s="228">
        <f t="shared" si="81"/>
        <v>9.9932953275206904E-2</v>
      </c>
      <c r="Q862" s="228"/>
      <c r="R862" s="227"/>
      <c r="S862" s="322">
        <v>260.33999599999999</v>
      </c>
      <c r="T862" s="228">
        <f t="shared" si="82"/>
        <v>0.11470773990955574</v>
      </c>
      <c r="U862" s="228"/>
      <c r="V862" s="228"/>
      <c r="W862" s="228"/>
      <c r="X862" s="322">
        <v>149.759995</v>
      </c>
      <c r="Y862" s="228">
        <f t="shared" si="83"/>
        <v>8.9401279629000685E-2</v>
      </c>
      <c r="Z862" s="228"/>
      <c r="AA862" s="202"/>
    </row>
    <row r="863" spans="2:27" x14ac:dyDescent="0.15">
      <c r="B863" s="241">
        <v>43917</v>
      </c>
      <c r="C863" s="244"/>
      <c r="D863" s="245">
        <v>55.119163999999998</v>
      </c>
      <c r="E863" s="228">
        <f t="shared" si="78"/>
        <v>-3.062634095499106E-2</v>
      </c>
      <c r="F863" s="228"/>
      <c r="G863" s="245">
        <v>249.64729299999999</v>
      </c>
      <c r="H863" s="228">
        <f t="shared" si="79"/>
        <v>-8.4378416460394012E-2</v>
      </c>
      <c r="J863" s="227"/>
      <c r="K863" s="245">
        <v>45.592086999999999</v>
      </c>
      <c r="L863" s="228">
        <f t="shared" si="80"/>
        <v>-5.935427699293927E-2</v>
      </c>
      <c r="M863" s="228"/>
      <c r="N863" s="227"/>
      <c r="O863" s="322">
        <v>45.049999</v>
      </c>
      <c r="P863" s="228">
        <f t="shared" si="81"/>
        <v>-8.4349632431918065E-2</v>
      </c>
      <c r="Q863" s="228"/>
      <c r="R863" s="227"/>
      <c r="S863" s="322">
        <v>241.220001</v>
      </c>
      <c r="T863" s="228">
        <f t="shared" si="82"/>
        <v>-7.3442403371627885E-2</v>
      </c>
      <c r="U863" s="228"/>
      <c r="V863" s="228"/>
      <c r="W863" s="228"/>
      <c r="X863" s="322">
        <v>142.240005</v>
      </c>
      <c r="Y863" s="228">
        <f t="shared" si="83"/>
        <v>-5.0213610116640384E-2</v>
      </c>
      <c r="Z863" s="228"/>
      <c r="AA863" s="202"/>
    </row>
    <row r="864" spans="2:27" x14ac:dyDescent="0.15">
      <c r="B864" s="241">
        <v>43920</v>
      </c>
      <c r="C864" s="244"/>
      <c r="D864" s="245">
        <v>56.831242000000003</v>
      </c>
      <c r="E864" s="228">
        <f t="shared" si="78"/>
        <v>3.1061392730847848E-2</v>
      </c>
      <c r="F864" s="228"/>
      <c r="G864" s="245">
        <v>264.87597699999998</v>
      </c>
      <c r="H864" s="228">
        <f t="shared" si="79"/>
        <v>6.1000797633323334E-2</v>
      </c>
      <c r="J864" s="227"/>
      <c r="K864" s="245">
        <v>46.476517000000001</v>
      </c>
      <c r="L864" s="228">
        <f t="shared" si="80"/>
        <v>1.9398761017454635E-2</v>
      </c>
      <c r="M864" s="228"/>
      <c r="N864" s="227"/>
      <c r="O864" s="322">
        <v>47.299999</v>
      </c>
      <c r="P864" s="228">
        <f t="shared" si="81"/>
        <v>4.994450721297472E-2</v>
      </c>
      <c r="Q864" s="228"/>
      <c r="R864" s="227"/>
      <c r="S864" s="322">
        <v>255.300003</v>
      </c>
      <c r="T864" s="228">
        <f t="shared" si="82"/>
        <v>5.8369960789445452E-2</v>
      </c>
      <c r="U864" s="228"/>
      <c r="V864" s="228"/>
      <c r="W864" s="228"/>
      <c r="X864" s="322">
        <v>149.520004</v>
      </c>
      <c r="Y864" s="228">
        <f t="shared" si="83"/>
        <v>5.1181093532723043E-2</v>
      </c>
      <c r="Z864" s="228"/>
      <c r="AA864" s="202"/>
    </row>
    <row r="865" spans="2:27" x14ac:dyDescent="0.15">
      <c r="B865" s="241">
        <v>43921</v>
      </c>
      <c r="C865" s="244"/>
      <c r="D865" s="245">
        <v>55.970314000000002</v>
      </c>
      <c r="E865" s="228">
        <f t="shared" si="78"/>
        <v>-1.5148850697297767E-2</v>
      </c>
      <c r="F865" s="228"/>
      <c r="G865" s="245">
        <v>258.56118800000002</v>
      </c>
      <c r="H865" s="228">
        <f t="shared" si="79"/>
        <v>-2.3840550100169944E-2</v>
      </c>
      <c r="J865" s="227"/>
      <c r="K865" s="245">
        <v>46.447369000000002</v>
      </c>
      <c r="L865" s="228">
        <f t="shared" si="80"/>
        <v>-6.2715542991309547E-4</v>
      </c>
      <c r="M865" s="228"/>
      <c r="N865" s="227"/>
      <c r="O865" s="322">
        <v>45.82</v>
      </c>
      <c r="P865" s="228">
        <f t="shared" si="81"/>
        <v>-3.1289620111831229E-2</v>
      </c>
      <c r="Q865" s="228"/>
      <c r="R865" s="227"/>
      <c r="S865" s="322">
        <v>240</v>
      </c>
      <c r="T865" s="228">
        <f t="shared" si="82"/>
        <v>-5.9929505758760215E-2</v>
      </c>
      <c r="U865" s="228"/>
      <c r="V865" s="228"/>
      <c r="W865" s="228"/>
      <c r="X865" s="322">
        <v>143.740005</v>
      </c>
      <c r="Y865" s="228">
        <f t="shared" si="83"/>
        <v>-3.8657028125815174E-2</v>
      </c>
      <c r="Z865" s="228"/>
      <c r="AA865" s="202"/>
    </row>
    <row r="866" spans="2:27" x14ac:dyDescent="0.15">
      <c r="B866" s="241">
        <v>43922</v>
      </c>
      <c r="C866" s="244"/>
      <c r="D866" s="245">
        <v>53.309249999999999</v>
      </c>
      <c r="E866" s="228">
        <f t="shared" si="78"/>
        <v>-4.7544203521888484E-2</v>
      </c>
      <c r="F866" s="228"/>
      <c r="G866" s="245">
        <v>246.07977299999999</v>
      </c>
      <c r="H866" s="228">
        <f t="shared" si="79"/>
        <v>-4.8272577553287066E-2</v>
      </c>
      <c r="J866" s="227"/>
      <c r="K866" s="245">
        <v>45.203322999999997</v>
      </c>
      <c r="L866" s="228">
        <f t="shared" si="80"/>
        <v>-2.6783992867281725E-2</v>
      </c>
      <c r="M866" s="228"/>
      <c r="N866" s="227"/>
      <c r="O866" s="322">
        <v>43.299999</v>
      </c>
      <c r="P866" s="228">
        <f t="shared" si="81"/>
        <v>-5.4997839371453527E-2</v>
      </c>
      <c r="Q866" s="228"/>
      <c r="R866" s="227"/>
      <c r="S866" s="322">
        <v>223.33000200000001</v>
      </c>
      <c r="T866" s="228">
        <f t="shared" si="82"/>
        <v>-6.9458324999999932E-2</v>
      </c>
      <c r="U866" s="228"/>
      <c r="V866" s="228"/>
      <c r="W866" s="228"/>
      <c r="X866" s="322">
        <v>131.61000100000001</v>
      </c>
      <c r="Y866" s="228">
        <f t="shared" si="83"/>
        <v>-8.4388504091119088E-2</v>
      </c>
      <c r="Z866" s="228"/>
      <c r="AA866" s="202"/>
    </row>
    <row r="867" spans="2:27" x14ac:dyDescent="0.15">
      <c r="B867" s="241">
        <v>43923</v>
      </c>
      <c r="C867" s="244"/>
      <c r="D867" s="245">
        <v>54.502811000000001</v>
      </c>
      <c r="E867" s="228">
        <f t="shared" si="78"/>
        <v>2.2389378953934003E-2</v>
      </c>
      <c r="F867" s="228"/>
      <c r="G867" s="245">
        <v>244.370148</v>
      </c>
      <c r="H867" s="228">
        <f t="shared" si="79"/>
        <v>-6.9474422020049387E-3</v>
      </c>
      <c r="J867" s="227"/>
      <c r="K867" s="245">
        <v>46.777813000000002</v>
      </c>
      <c r="L867" s="228">
        <f t="shared" si="80"/>
        <v>3.4831288841309371E-2</v>
      </c>
      <c r="M867" s="228"/>
      <c r="N867" s="227"/>
      <c r="O867" s="322">
        <v>43.240001999999997</v>
      </c>
      <c r="P867" s="228">
        <f t="shared" si="81"/>
        <v>-1.3856120412382156E-3</v>
      </c>
      <c r="Q867" s="228"/>
      <c r="R867" s="227"/>
      <c r="S867" s="322">
        <v>220.570007</v>
      </c>
      <c r="T867" s="228">
        <f t="shared" si="82"/>
        <v>-1.2358370909789418E-2</v>
      </c>
      <c r="U867" s="228"/>
      <c r="V867" s="228"/>
      <c r="W867" s="228"/>
      <c r="X867" s="322">
        <v>132.44000199999999</v>
      </c>
      <c r="Y867" s="228">
        <f t="shared" si="83"/>
        <v>6.3065192135358661E-3</v>
      </c>
      <c r="Z867" s="228"/>
      <c r="AA867" s="202"/>
    </row>
    <row r="868" spans="2:27" x14ac:dyDescent="0.15">
      <c r="B868" s="241">
        <v>43924</v>
      </c>
      <c r="C868" s="244"/>
      <c r="D868" s="245">
        <v>53.485348000000002</v>
      </c>
      <c r="E868" s="228">
        <f t="shared" si="78"/>
        <v>-1.8668083009516723E-2</v>
      </c>
      <c r="F868" s="228"/>
      <c r="G868" s="245">
        <v>241.73156700000001</v>
      </c>
      <c r="H868" s="228">
        <f t="shared" si="79"/>
        <v>-1.0797476785094018E-2</v>
      </c>
      <c r="J868" s="227"/>
      <c r="K868" s="245">
        <v>45.737873</v>
      </c>
      <c r="L868" s="228">
        <f t="shared" si="80"/>
        <v>-2.2231479697436884E-2</v>
      </c>
      <c r="M868" s="228"/>
      <c r="N868" s="227"/>
      <c r="O868" s="322">
        <v>42.279998999999997</v>
      </c>
      <c r="P868" s="228">
        <f t="shared" si="81"/>
        <v>-2.2201733478180663E-2</v>
      </c>
      <c r="Q868" s="228"/>
      <c r="R868" s="227"/>
      <c r="S868" s="322">
        <v>218.14999399999999</v>
      </c>
      <c r="T868" s="228">
        <f t="shared" si="82"/>
        <v>-1.0971632240098783E-2</v>
      </c>
      <c r="U868" s="228"/>
      <c r="V868" s="228"/>
      <c r="W868" s="228"/>
      <c r="X868" s="322">
        <v>127.94000200000001</v>
      </c>
      <c r="Y868" s="228">
        <f t="shared" si="83"/>
        <v>-3.3977649743617389E-2</v>
      </c>
      <c r="Z868" s="228"/>
      <c r="AA868" s="202"/>
    </row>
    <row r="869" spans="2:27" x14ac:dyDescent="0.15">
      <c r="B869" s="241">
        <v>43927</v>
      </c>
      <c r="C869" s="244"/>
      <c r="D869" s="245">
        <v>57.320404000000003</v>
      </c>
      <c r="E869" s="228">
        <f t="shared" si="78"/>
        <v>7.1702926939916312E-2</v>
      </c>
      <c r="F869" s="228"/>
      <c r="G869" s="245">
        <v>267.93948399999999</v>
      </c>
      <c r="H869" s="228">
        <f t="shared" si="79"/>
        <v>0.10841743726420305</v>
      </c>
      <c r="J869" s="227"/>
      <c r="K869" s="245">
        <v>48.566119999999998</v>
      </c>
      <c r="L869" s="228">
        <f t="shared" si="80"/>
        <v>6.1835997489432915E-2</v>
      </c>
      <c r="M869" s="228"/>
      <c r="N869" s="227"/>
      <c r="O869" s="322">
        <v>46.150002000000001</v>
      </c>
      <c r="P869" s="228">
        <f t="shared" si="81"/>
        <v>9.153271266633678E-2</v>
      </c>
      <c r="Q869" s="228"/>
      <c r="R869" s="227"/>
      <c r="S869" s="322">
        <v>250.75</v>
      </c>
      <c r="T869" s="228">
        <f t="shared" si="82"/>
        <v>0.14943849138955279</v>
      </c>
      <c r="U869" s="228"/>
      <c r="V869" s="228"/>
      <c r="W869" s="228"/>
      <c r="X869" s="322">
        <v>148.5</v>
      </c>
      <c r="Y869" s="228">
        <f t="shared" si="83"/>
        <v>0.16070031013443309</v>
      </c>
      <c r="Z869" s="228"/>
      <c r="AA869" s="202"/>
    </row>
    <row r="870" spans="2:27" x14ac:dyDescent="0.15">
      <c r="B870" s="241">
        <v>43928</v>
      </c>
      <c r="C870" s="244"/>
      <c r="D870" s="245">
        <v>57.320404000000003</v>
      </c>
      <c r="E870" s="228">
        <f t="shared" si="78"/>
        <v>0</v>
      </c>
      <c r="F870" s="228"/>
      <c r="G870" s="245">
        <v>269.382294</v>
      </c>
      <c r="H870" s="228">
        <f t="shared" si="79"/>
        <v>5.3848353309511321E-3</v>
      </c>
      <c r="J870" s="227"/>
      <c r="K870" s="245">
        <v>48.323146999999999</v>
      </c>
      <c r="L870" s="228">
        <f t="shared" si="80"/>
        <v>-5.0029320851655568E-3</v>
      </c>
      <c r="M870" s="228"/>
      <c r="N870" s="227"/>
      <c r="O870" s="322">
        <v>47.560001</v>
      </c>
      <c r="P870" s="228">
        <f t="shared" si="81"/>
        <v>3.0552523052978398E-2</v>
      </c>
      <c r="Q870" s="228"/>
      <c r="R870" s="227"/>
      <c r="S870" s="322">
        <v>256.22000100000002</v>
      </c>
      <c r="T870" s="228">
        <f t="shared" si="82"/>
        <v>2.1814560319042942E-2</v>
      </c>
      <c r="U870" s="228"/>
      <c r="V870" s="228"/>
      <c r="W870" s="228"/>
      <c r="X870" s="322">
        <v>147.270004</v>
      </c>
      <c r="Y870" s="228">
        <f t="shared" si="83"/>
        <v>-8.2828013468013717E-3</v>
      </c>
      <c r="Z870" s="228"/>
      <c r="AA870" s="202"/>
    </row>
    <row r="871" spans="2:27" x14ac:dyDescent="0.15">
      <c r="B871" s="241">
        <v>43929</v>
      </c>
      <c r="C871" s="244"/>
      <c r="D871" s="245">
        <v>59.384689000000002</v>
      </c>
      <c r="E871" s="228">
        <f t="shared" si="78"/>
        <v>3.601309230130334E-2</v>
      </c>
      <c r="F871" s="228"/>
      <c r="G871" s="245">
        <v>275.30178799999999</v>
      </c>
      <c r="H871" s="228">
        <f t="shared" si="79"/>
        <v>2.1974324711927729E-2</v>
      </c>
      <c r="J871" s="227"/>
      <c r="K871" s="245">
        <v>48.857692999999998</v>
      </c>
      <c r="L871" s="228">
        <f t="shared" si="80"/>
        <v>1.1061903729076228E-2</v>
      </c>
      <c r="M871" s="228"/>
      <c r="N871" s="227"/>
      <c r="O871" s="322">
        <v>51.459999000000003</v>
      </c>
      <c r="P871" s="228">
        <f t="shared" si="81"/>
        <v>8.2001638309469493E-2</v>
      </c>
      <c r="Q871" s="228"/>
      <c r="R871" s="227"/>
      <c r="S871" s="322">
        <v>266.75</v>
      </c>
      <c r="T871" s="228">
        <f t="shared" si="82"/>
        <v>4.1097490277505644E-2</v>
      </c>
      <c r="U871" s="228"/>
      <c r="V871" s="228"/>
      <c r="W871" s="228"/>
      <c r="X871" s="322">
        <v>152.36999499999999</v>
      </c>
      <c r="Y871" s="228">
        <f t="shared" si="83"/>
        <v>3.4630208878109192E-2</v>
      </c>
      <c r="Z871" s="228"/>
      <c r="AA871" s="202"/>
    </row>
    <row r="872" spans="2:27" x14ac:dyDescent="0.15">
      <c r="B872" s="241">
        <v>43930</v>
      </c>
      <c r="C872" s="244"/>
      <c r="D872" s="245">
        <v>60.421719000000003</v>
      </c>
      <c r="E872" s="228">
        <f t="shared" si="78"/>
        <v>1.7462918766822266E-2</v>
      </c>
      <c r="F872" s="228"/>
      <c r="G872" s="245">
        <v>273.55264299999999</v>
      </c>
      <c r="H872" s="228">
        <f t="shared" si="79"/>
        <v>-6.353554812364659E-3</v>
      </c>
      <c r="J872" s="227"/>
      <c r="K872" s="245">
        <v>46.972197999999999</v>
      </c>
      <c r="L872" s="228">
        <f t="shared" si="80"/>
        <v>-3.859156837388944E-2</v>
      </c>
      <c r="M872" s="228"/>
      <c r="N872" s="227"/>
      <c r="O872" s="322">
        <v>49.59</v>
      </c>
      <c r="P872" s="228">
        <f t="shared" si="81"/>
        <v>-3.6338885276698152E-2</v>
      </c>
      <c r="Q872" s="228"/>
      <c r="R872" s="227"/>
      <c r="S872" s="322">
        <v>258.27999899999998</v>
      </c>
      <c r="T872" s="228">
        <f t="shared" si="82"/>
        <v>-3.1752581068416164E-2</v>
      </c>
      <c r="U872" s="228"/>
      <c r="V872" s="228"/>
      <c r="W872" s="228"/>
      <c r="X872" s="322">
        <v>150.11999499999999</v>
      </c>
      <c r="Y872" s="228">
        <f t="shared" si="83"/>
        <v>-1.4766686840148591E-2</v>
      </c>
      <c r="Z872" s="228"/>
      <c r="AA872" s="202"/>
    </row>
    <row r="873" spans="2:27" x14ac:dyDescent="0.15">
      <c r="B873" s="241">
        <v>43934</v>
      </c>
      <c r="C873" s="244"/>
      <c r="D873" s="245">
        <v>59.736888999999998</v>
      </c>
      <c r="E873" s="228">
        <f t="shared" si="78"/>
        <v>-1.1334169423415474E-2</v>
      </c>
      <c r="F873" s="228"/>
      <c r="G873" s="245">
        <v>270.87454200000002</v>
      </c>
      <c r="H873" s="228">
        <f t="shared" si="79"/>
        <v>-9.7900753969317744E-3</v>
      </c>
      <c r="J873" s="227"/>
      <c r="K873" s="245">
        <v>47.380398</v>
      </c>
      <c r="L873" s="228">
        <f t="shared" si="80"/>
        <v>8.6902469413929762E-3</v>
      </c>
      <c r="M873" s="228"/>
      <c r="N873" s="227"/>
      <c r="O873" s="322">
        <v>49.880001</v>
      </c>
      <c r="P873" s="228">
        <f t="shared" si="81"/>
        <v>5.8479733817300428E-3</v>
      </c>
      <c r="Q873" s="228"/>
      <c r="R873" s="227"/>
      <c r="S873" s="322">
        <v>258.77999899999998</v>
      </c>
      <c r="T873" s="228">
        <f t="shared" si="82"/>
        <v>1.9358835447416123E-3</v>
      </c>
      <c r="U873" s="228"/>
      <c r="V873" s="228"/>
      <c r="W873" s="228"/>
      <c r="X873" s="322">
        <v>152.08999600000001</v>
      </c>
      <c r="Y873" s="228">
        <f t="shared" si="83"/>
        <v>1.3122842163697301E-2</v>
      </c>
      <c r="Z873" s="228"/>
      <c r="AA873" s="202"/>
    </row>
    <row r="874" spans="2:27" x14ac:dyDescent="0.15">
      <c r="B874" s="241">
        <v>43935</v>
      </c>
      <c r="C874" s="244"/>
      <c r="D874" s="245">
        <v>61.507663999999998</v>
      </c>
      <c r="E874" s="228">
        <f t="shared" si="78"/>
        <v>2.9642906245084255E-2</v>
      </c>
      <c r="F874" s="228"/>
      <c r="G874" s="245">
        <v>285.53002900000001</v>
      </c>
      <c r="H874" s="228">
        <f t="shared" si="79"/>
        <v>5.4104335135340964E-2</v>
      </c>
      <c r="J874" s="227"/>
      <c r="K874" s="245">
        <v>49.207580999999998</v>
      </c>
      <c r="L874" s="228">
        <f t="shared" si="80"/>
        <v>3.8564112526028094E-2</v>
      </c>
      <c r="M874" s="228"/>
      <c r="N874" s="227"/>
      <c r="O874" s="322">
        <v>52.470001000000003</v>
      </c>
      <c r="P874" s="228">
        <f t="shared" si="81"/>
        <v>5.1924618044815185E-2</v>
      </c>
      <c r="Q874" s="228"/>
      <c r="R874" s="227"/>
      <c r="S874" s="322">
        <v>272.51001000000002</v>
      </c>
      <c r="T874" s="228">
        <f t="shared" si="82"/>
        <v>5.3056693148839651E-2</v>
      </c>
      <c r="U874" s="228"/>
      <c r="V874" s="228"/>
      <c r="W874" s="228"/>
      <c r="X874" s="322">
        <v>161.729996</v>
      </c>
      <c r="Y874" s="228">
        <f t="shared" si="83"/>
        <v>6.3383524581064332E-2</v>
      </c>
      <c r="Z874" s="228"/>
      <c r="AA874" s="202"/>
    </row>
    <row r="875" spans="2:27" x14ac:dyDescent="0.15">
      <c r="B875" s="241">
        <v>43936</v>
      </c>
      <c r="C875" s="244"/>
      <c r="D875" s="245">
        <v>60.177132</v>
      </c>
      <c r="E875" s="228">
        <f t="shared" si="78"/>
        <v>-2.1631970936174638E-2</v>
      </c>
      <c r="F875" s="228"/>
      <c r="G875" s="245">
        <v>279.16577100000001</v>
      </c>
      <c r="H875" s="228">
        <f t="shared" si="79"/>
        <v>-2.2289277321510759E-2</v>
      </c>
      <c r="J875" s="227"/>
      <c r="K875" s="245">
        <v>48.264828000000001</v>
      </c>
      <c r="L875" s="228">
        <f t="shared" si="80"/>
        <v>-1.9158694267047971E-2</v>
      </c>
      <c r="M875" s="228"/>
      <c r="N875" s="227"/>
      <c r="O875" s="322">
        <v>50.369999</v>
      </c>
      <c r="P875" s="228">
        <f t="shared" si="81"/>
        <v>-4.0022907565791854E-2</v>
      </c>
      <c r="Q875" s="228"/>
      <c r="R875" s="227"/>
      <c r="S875" s="322">
        <v>262.80999800000001</v>
      </c>
      <c r="T875" s="228">
        <f t="shared" si="82"/>
        <v>-3.5595066764703476E-2</v>
      </c>
      <c r="U875" s="228"/>
      <c r="V875" s="228"/>
      <c r="W875" s="228"/>
      <c r="X875" s="322">
        <v>153.220001</v>
      </c>
      <c r="Y875" s="228">
        <f t="shared" si="83"/>
        <v>-5.2618532186200051E-2</v>
      </c>
      <c r="Z875" s="228"/>
      <c r="AA875" s="202"/>
    </row>
    <row r="876" spans="2:27" x14ac:dyDescent="0.15">
      <c r="B876" s="241">
        <v>43937</v>
      </c>
      <c r="C876" s="244"/>
      <c r="D876" s="245">
        <v>60.372799000000001</v>
      </c>
      <c r="E876" s="228">
        <f t="shared" si="78"/>
        <v>3.2515175365950277E-3</v>
      </c>
      <c r="F876" s="228"/>
      <c r="G876" s="245">
        <v>288.95916699999998</v>
      </c>
      <c r="H876" s="228">
        <f t="shared" si="79"/>
        <v>3.5080934044739998E-2</v>
      </c>
      <c r="J876" s="227"/>
      <c r="K876" s="245">
        <v>50.927852999999999</v>
      </c>
      <c r="L876" s="228">
        <f t="shared" si="80"/>
        <v>5.5175271732036402E-2</v>
      </c>
      <c r="M876" s="228"/>
      <c r="N876" s="227"/>
      <c r="O876" s="322">
        <v>52.23</v>
      </c>
      <c r="P876" s="228">
        <f t="shared" si="81"/>
        <v>3.6926762694595272E-2</v>
      </c>
      <c r="Q876" s="228"/>
      <c r="R876" s="227"/>
      <c r="S876" s="322">
        <v>270.709991</v>
      </c>
      <c r="T876" s="228">
        <f t="shared" si="82"/>
        <v>3.0059712568469399E-2</v>
      </c>
      <c r="U876" s="228"/>
      <c r="V876" s="228"/>
      <c r="W876" s="228"/>
      <c r="X876" s="322">
        <v>156.64999399999999</v>
      </c>
      <c r="Y876" s="228">
        <f t="shared" si="83"/>
        <v>2.2386065641652131E-2</v>
      </c>
      <c r="Z876" s="228"/>
      <c r="AA876" s="202"/>
    </row>
    <row r="877" spans="2:27" x14ac:dyDescent="0.15">
      <c r="B877" s="241">
        <v>43938</v>
      </c>
      <c r="C877" s="244"/>
      <c r="D877" s="245">
        <v>62.172924000000002</v>
      </c>
      <c r="E877" s="228">
        <f t="shared" si="78"/>
        <v>2.9816821976400343E-2</v>
      </c>
      <c r="F877" s="228"/>
      <c r="G877" s="245">
        <v>292.17095899999998</v>
      </c>
      <c r="H877" s="228">
        <f t="shared" si="79"/>
        <v>1.1115037578994791E-2</v>
      </c>
      <c r="J877" s="227"/>
      <c r="K877" s="245">
        <v>52.181601999999998</v>
      </c>
      <c r="L877" s="228">
        <f t="shared" si="80"/>
        <v>2.461813970441673E-2</v>
      </c>
      <c r="M877" s="228"/>
      <c r="N877" s="227"/>
      <c r="O877" s="322">
        <v>53.200001</v>
      </c>
      <c r="P877" s="228">
        <f t="shared" si="81"/>
        <v>1.8571721233007876E-2</v>
      </c>
      <c r="Q877" s="228"/>
      <c r="R877" s="227"/>
      <c r="S877" s="322">
        <v>279.01998900000001</v>
      </c>
      <c r="T877" s="228">
        <f t="shared" si="82"/>
        <v>3.0697049522638409E-2</v>
      </c>
      <c r="U877" s="228"/>
      <c r="V877" s="228"/>
      <c r="W877" s="228"/>
      <c r="X877" s="322">
        <v>161.21000699999999</v>
      </c>
      <c r="Y877" s="228">
        <f t="shared" si="83"/>
        <v>2.9109563834391228E-2</v>
      </c>
      <c r="Z877" s="228"/>
      <c r="AA877" s="202"/>
    </row>
    <row r="878" spans="2:27" x14ac:dyDescent="0.15">
      <c r="B878" s="241">
        <v>43941</v>
      </c>
      <c r="C878" s="244"/>
      <c r="D878" s="245">
        <v>61.106547999999997</v>
      </c>
      <c r="E878" s="228">
        <f t="shared" si="78"/>
        <v>-1.7151774943060527E-2</v>
      </c>
      <c r="F878" s="228"/>
      <c r="G878" s="245">
        <v>288.14880399999998</v>
      </c>
      <c r="H878" s="228">
        <f t="shared" si="79"/>
        <v>-1.3766443502004622E-2</v>
      </c>
      <c r="J878" s="227"/>
      <c r="K878" s="245">
        <v>51.112510999999998</v>
      </c>
      <c r="L878" s="228">
        <f t="shared" si="80"/>
        <v>-2.0487891498616739E-2</v>
      </c>
      <c r="M878" s="228"/>
      <c r="N878" s="227"/>
      <c r="O878" s="322">
        <v>50.630001</v>
      </c>
      <c r="P878" s="228">
        <f t="shared" si="81"/>
        <v>-4.8308269768641554E-2</v>
      </c>
      <c r="Q878" s="228"/>
      <c r="R878" s="227"/>
      <c r="S878" s="322">
        <v>266.73001099999999</v>
      </c>
      <c r="T878" s="228">
        <f t="shared" si="82"/>
        <v>-4.4046944607972205E-2</v>
      </c>
      <c r="U878" s="228"/>
      <c r="V878" s="228"/>
      <c r="W878" s="228"/>
      <c r="X878" s="322">
        <v>156.300003</v>
      </c>
      <c r="Y878" s="228">
        <f t="shared" si="83"/>
        <v>-3.045719115935519E-2</v>
      </c>
      <c r="Z878" s="228"/>
      <c r="AA878" s="202"/>
    </row>
    <row r="879" spans="2:27" x14ac:dyDescent="0.15">
      <c r="B879" s="241">
        <v>43942</v>
      </c>
      <c r="C879" s="244"/>
      <c r="D879" s="245">
        <v>59.179237000000001</v>
      </c>
      <c r="E879" s="228">
        <f t="shared" si="78"/>
        <v>-3.1540171439564779E-2</v>
      </c>
      <c r="F879" s="228"/>
      <c r="G879" s="245">
        <v>277.78228799999999</v>
      </c>
      <c r="H879" s="228">
        <f t="shared" si="79"/>
        <v>-3.5976258988741128E-2</v>
      </c>
      <c r="J879" s="227"/>
      <c r="K879" s="245">
        <v>49.926785000000002</v>
      </c>
      <c r="L879" s="228">
        <f t="shared" si="80"/>
        <v>-2.3198351573844533E-2</v>
      </c>
      <c r="M879" s="228"/>
      <c r="N879" s="227"/>
      <c r="O879" s="322">
        <v>48.330002</v>
      </c>
      <c r="P879" s="228">
        <f t="shared" si="81"/>
        <v>-4.5427591439312853E-2</v>
      </c>
      <c r="Q879" s="228"/>
      <c r="R879" s="227"/>
      <c r="S879" s="322">
        <v>243.63000500000001</v>
      </c>
      <c r="T879" s="228">
        <f t="shared" si="82"/>
        <v>-8.6604450370603381E-2</v>
      </c>
      <c r="U879" s="228"/>
      <c r="V879" s="228"/>
      <c r="W879" s="228"/>
      <c r="X879" s="322">
        <v>148.58999600000001</v>
      </c>
      <c r="Y879" s="228">
        <f t="shared" si="83"/>
        <v>-4.9328258810078185E-2</v>
      </c>
      <c r="Z879" s="228"/>
      <c r="AA879" s="202"/>
    </row>
    <row r="880" spans="2:27" x14ac:dyDescent="0.15">
      <c r="B880" s="241">
        <v>43943</v>
      </c>
      <c r="C880" s="244"/>
      <c r="D880" s="245">
        <v>60.548901000000001</v>
      </c>
      <c r="E880" s="228">
        <f t="shared" si="78"/>
        <v>2.3144333543874573E-2</v>
      </c>
      <c r="F880" s="228"/>
      <c r="G880" s="245">
        <v>291.49896200000001</v>
      </c>
      <c r="H880" s="228">
        <f t="shared" si="79"/>
        <v>4.9379224639405361E-2</v>
      </c>
      <c r="J880" s="227"/>
      <c r="K880" s="245">
        <v>51.462395000000001</v>
      </c>
      <c r="L880" s="228">
        <f t="shared" si="80"/>
        <v>3.0757237823344719E-2</v>
      </c>
      <c r="M880" s="228"/>
      <c r="N880" s="227"/>
      <c r="O880" s="322">
        <v>52.110000999999997</v>
      </c>
      <c r="P880" s="228">
        <f t="shared" si="81"/>
        <v>7.821226657511815E-2</v>
      </c>
      <c r="Q880" s="228"/>
      <c r="R880" s="227"/>
      <c r="S880" s="322">
        <v>271.77999899999998</v>
      </c>
      <c r="T880" s="228">
        <f t="shared" si="82"/>
        <v>0.11554403571924543</v>
      </c>
      <c r="U880" s="228"/>
      <c r="V880" s="228"/>
      <c r="W880" s="228"/>
      <c r="X880" s="322">
        <v>158.679993</v>
      </c>
      <c r="Y880" s="228">
        <f t="shared" si="83"/>
        <v>6.7904955054982175E-2</v>
      </c>
      <c r="Z880" s="228"/>
      <c r="AA880" s="202"/>
    </row>
    <row r="881" spans="2:27" x14ac:dyDescent="0.15">
      <c r="B881" s="241">
        <v>43944</v>
      </c>
      <c r="C881" s="244"/>
      <c r="D881" s="245">
        <v>60.499985000000002</v>
      </c>
      <c r="E881" s="228">
        <f t="shared" si="78"/>
        <v>-8.0787593485798226E-4</v>
      </c>
      <c r="F881" s="228"/>
      <c r="G881" s="245">
        <v>285.99447600000002</v>
      </c>
      <c r="H881" s="228">
        <f t="shared" si="79"/>
        <v>-1.8883381135333166E-2</v>
      </c>
      <c r="J881" s="227"/>
      <c r="K881" s="245">
        <v>51.161105999999997</v>
      </c>
      <c r="L881" s="228">
        <f t="shared" si="80"/>
        <v>-5.8545468006299117E-3</v>
      </c>
      <c r="M881" s="228"/>
      <c r="N881" s="227"/>
      <c r="O881" s="322">
        <v>50.900002000000001</v>
      </c>
      <c r="P881" s="228">
        <f t="shared" si="81"/>
        <v>-2.3220091667240594E-2</v>
      </c>
      <c r="Q881" s="228"/>
      <c r="R881" s="227"/>
      <c r="S881" s="322">
        <v>263.959991</v>
      </c>
      <c r="T881" s="228">
        <f t="shared" si="82"/>
        <v>-2.8773302041258608E-2</v>
      </c>
      <c r="U881" s="228"/>
      <c r="V881" s="228"/>
      <c r="W881" s="228"/>
      <c r="X881" s="322">
        <v>159.449997</v>
      </c>
      <c r="Y881" s="228">
        <f t="shared" si="83"/>
        <v>4.8525588225858396E-3</v>
      </c>
      <c r="Z881" s="228"/>
      <c r="AA881" s="202"/>
    </row>
    <row r="882" spans="2:27" x14ac:dyDescent="0.15">
      <c r="B882" s="241">
        <v>43945</v>
      </c>
      <c r="C882" s="244"/>
      <c r="D882" s="245">
        <v>61.439182000000002</v>
      </c>
      <c r="E882" s="228">
        <f t="shared" si="78"/>
        <v>1.5523921204277924E-2</v>
      </c>
      <c r="F882" s="228"/>
      <c r="G882" s="245">
        <v>289.86611900000003</v>
      </c>
      <c r="H882" s="228">
        <f t="shared" si="79"/>
        <v>1.3537474758778201E-2</v>
      </c>
      <c r="J882" s="227"/>
      <c r="K882" s="245">
        <v>51.248573</v>
      </c>
      <c r="L882" s="228">
        <f t="shared" si="80"/>
        <v>1.7096385680168691E-3</v>
      </c>
      <c r="M882" s="228"/>
      <c r="N882" s="227"/>
      <c r="O882" s="322">
        <v>51.740001999999997</v>
      </c>
      <c r="P882" s="228">
        <f t="shared" si="81"/>
        <v>1.6502946306367505E-2</v>
      </c>
      <c r="Q882" s="228"/>
      <c r="R882" s="227"/>
      <c r="S882" s="322">
        <v>266.67001299999998</v>
      </c>
      <c r="T882" s="228">
        <f t="shared" si="82"/>
        <v>1.0266790772848422E-2</v>
      </c>
      <c r="U882" s="228"/>
      <c r="V882" s="228"/>
      <c r="W882" s="228"/>
      <c r="X882" s="322">
        <v>164.91999799999999</v>
      </c>
      <c r="Y882" s="228">
        <f t="shared" si="83"/>
        <v>3.430543181509127E-2</v>
      </c>
      <c r="Z882" s="228"/>
      <c r="AA882" s="202"/>
    </row>
    <row r="883" spans="2:27" x14ac:dyDescent="0.15">
      <c r="B883" s="241">
        <v>43948</v>
      </c>
      <c r="C883" s="244"/>
      <c r="D883" s="245">
        <v>62.525126999999998</v>
      </c>
      <c r="E883" s="228">
        <f t="shared" si="78"/>
        <v>1.7675121390776205E-2</v>
      </c>
      <c r="F883" s="228"/>
      <c r="G883" s="245">
        <v>288.93246499999998</v>
      </c>
      <c r="H883" s="228">
        <f t="shared" si="79"/>
        <v>-3.2209835465456527E-3</v>
      </c>
      <c r="J883" s="227"/>
      <c r="K883" s="245">
        <v>52.006667999999998</v>
      </c>
      <c r="L883" s="228">
        <f t="shared" si="80"/>
        <v>1.4792509442165258E-2</v>
      </c>
      <c r="M883" s="228"/>
      <c r="N883" s="227"/>
      <c r="O883" s="322">
        <v>51.029998999999997</v>
      </c>
      <c r="P883" s="228">
        <f t="shared" si="81"/>
        <v>-1.3722515897854004E-2</v>
      </c>
      <c r="Q883" s="228"/>
      <c r="R883" s="227"/>
      <c r="S883" s="322">
        <v>264.41000400000001</v>
      </c>
      <c r="T883" s="228">
        <f t="shared" si="82"/>
        <v>-8.4749274002546837E-3</v>
      </c>
      <c r="U883" s="228"/>
      <c r="V883" s="228"/>
      <c r="W883" s="228"/>
      <c r="X883" s="322">
        <v>166.05999800000001</v>
      </c>
      <c r="Y883" s="228">
        <f t="shared" si="83"/>
        <v>6.9124424801412232E-3</v>
      </c>
      <c r="Z883" s="228"/>
      <c r="AA883" s="202"/>
    </row>
    <row r="884" spans="2:27" x14ac:dyDescent="0.15">
      <c r="B884" s="241">
        <v>43949</v>
      </c>
      <c r="C884" s="244"/>
      <c r="D884" s="245">
        <v>62.349029999999999</v>
      </c>
      <c r="E884" s="228">
        <f t="shared" si="78"/>
        <v>-2.8164197091514742E-3</v>
      </c>
      <c r="F884" s="228"/>
      <c r="G884" s="245">
        <v>289.44897500000002</v>
      </c>
      <c r="H884" s="228">
        <f t="shared" si="79"/>
        <v>1.7876495810189574E-3</v>
      </c>
      <c r="J884" s="227"/>
      <c r="K884" s="245">
        <v>51.277732999999998</v>
      </c>
      <c r="L884" s="228">
        <f t="shared" si="80"/>
        <v>-1.4016183463243626E-2</v>
      </c>
      <c r="M884" s="228"/>
      <c r="N884" s="227"/>
      <c r="O884" s="322">
        <v>50.419998</v>
      </c>
      <c r="P884" s="228">
        <f t="shared" si="81"/>
        <v>-1.1953772525059136E-2</v>
      </c>
      <c r="Q884" s="228"/>
      <c r="R884" s="227"/>
      <c r="S884" s="322">
        <v>261.85000600000001</v>
      </c>
      <c r="T884" s="228">
        <f t="shared" si="82"/>
        <v>-9.6819256505892293E-3</v>
      </c>
      <c r="U884" s="228"/>
      <c r="V884" s="228"/>
      <c r="W884" s="228"/>
      <c r="X884" s="322">
        <v>166.270004</v>
      </c>
      <c r="Y884" s="228">
        <f t="shared" si="83"/>
        <v>1.2646393022357483E-3</v>
      </c>
      <c r="Z884" s="228"/>
      <c r="AA884" s="202"/>
    </row>
    <row r="885" spans="2:27" x14ac:dyDescent="0.15">
      <c r="B885" s="241">
        <v>43950</v>
      </c>
      <c r="C885" s="244"/>
      <c r="D885" s="245">
        <v>64.168716000000003</v>
      </c>
      <c r="E885" s="228">
        <f t="shared" si="78"/>
        <v>2.9185474096389274E-2</v>
      </c>
      <c r="F885" s="228"/>
      <c r="G885" s="245">
        <v>301.65585299999998</v>
      </c>
      <c r="H885" s="228">
        <f t="shared" si="79"/>
        <v>4.2172814742218234E-2</v>
      </c>
      <c r="J885" s="227"/>
      <c r="K885" s="245">
        <v>52.949413</v>
      </c>
      <c r="L885" s="228">
        <f t="shared" si="80"/>
        <v>3.260050517443891E-2</v>
      </c>
      <c r="M885" s="228"/>
      <c r="N885" s="227"/>
      <c r="O885" s="322">
        <v>54.34</v>
      </c>
      <c r="P885" s="228">
        <f t="shared" si="81"/>
        <v>7.7746968573858322E-2</v>
      </c>
      <c r="Q885" s="228"/>
      <c r="R885" s="227"/>
      <c r="S885" s="322">
        <v>279.98998999999998</v>
      </c>
      <c r="T885" s="228">
        <f t="shared" si="82"/>
        <v>6.9276240535965261E-2</v>
      </c>
      <c r="U885" s="228"/>
      <c r="V885" s="228"/>
      <c r="W885" s="228"/>
      <c r="X885" s="322">
        <v>175.88999899999999</v>
      </c>
      <c r="Y885" s="228">
        <f t="shared" si="83"/>
        <v>5.7857669865696293E-2</v>
      </c>
      <c r="Z885" s="228"/>
      <c r="AA885" s="202"/>
    </row>
    <row r="886" spans="2:27" x14ac:dyDescent="0.15">
      <c r="B886" s="241">
        <v>43951</v>
      </c>
      <c r="C886" s="244"/>
      <c r="D886" s="245">
        <v>63.356712000000002</v>
      </c>
      <c r="E886" s="228">
        <f t="shared" si="78"/>
        <v>-1.2654203646524587E-2</v>
      </c>
      <c r="F886" s="228"/>
      <c r="G886" s="245">
        <v>286.47918700000002</v>
      </c>
      <c r="H886" s="228">
        <f t="shared" si="79"/>
        <v>-5.0311193530860998E-2</v>
      </c>
      <c r="J886" s="227"/>
      <c r="K886" s="245">
        <v>51.637340999999999</v>
      </c>
      <c r="L886" s="228">
        <f t="shared" si="80"/>
        <v>-2.4779727019825559E-2</v>
      </c>
      <c r="M886" s="228"/>
      <c r="N886" s="227"/>
      <c r="O886" s="322">
        <v>49.68</v>
      </c>
      <c r="P886" s="228">
        <f t="shared" si="81"/>
        <v>-8.5756348914243663E-2</v>
      </c>
      <c r="Q886" s="228"/>
      <c r="R886" s="227"/>
      <c r="S886" s="322">
        <v>255.279999</v>
      </c>
      <c r="T886" s="228">
        <f t="shared" si="82"/>
        <v>-8.8253122906286618E-2</v>
      </c>
      <c r="U886" s="228"/>
      <c r="V886" s="228"/>
      <c r="W886" s="228"/>
      <c r="X886" s="322">
        <v>164.08999600000001</v>
      </c>
      <c r="Y886" s="228">
        <f t="shared" si="83"/>
        <v>-6.7087401598086127E-2</v>
      </c>
      <c r="Z886" s="228"/>
      <c r="AA886" s="202"/>
    </row>
    <row r="887" spans="2:27" x14ac:dyDescent="0.15">
      <c r="B887" s="241">
        <v>43952</v>
      </c>
      <c r="C887" s="244"/>
      <c r="D887" s="245">
        <v>61.605499000000002</v>
      </c>
      <c r="E887" s="228">
        <f t="shared" si="78"/>
        <v>-2.7640528441564283E-2</v>
      </c>
      <c r="F887" s="228"/>
      <c r="G887" s="245">
        <v>277.17257699999999</v>
      </c>
      <c r="H887" s="228">
        <f t="shared" si="79"/>
        <v>-3.248616451847175E-2</v>
      </c>
      <c r="J887" s="227"/>
      <c r="K887" s="245">
        <v>49.664375</v>
      </c>
      <c r="L887" s="228">
        <f t="shared" si="80"/>
        <v>-3.8208125395147619E-2</v>
      </c>
      <c r="M887" s="228"/>
      <c r="N887" s="227"/>
      <c r="O887" s="322">
        <v>46.889999000000003</v>
      </c>
      <c r="P887" s="228">
        <f t="shared" si="81"/>
        <v>-5.6159440418679485E-2</v>
      </c>
      <c r="Q887" s="228"/>
      <c r="R887" s="227"/>
      <c r="S887" s="322">
        <v>235.020004</v>
      </c>
      <c r="T887" s="228">
        <f t="shared" si="82"/>
        <v>-7.9363816512706964E-2</v>
      </c>
      <c r="U887" s="228"/>
      <c r="V887" s="228"/>
      <c r="W887" s="228"/>
      <c r="X887" s="322">
        <v>150.270004</v>
      </c>
      <c r="Y887" s="228">
        <f t="shared" si="83"/>
        <v>-8.4222026551819873E-2</v>
      </c>
      <c r="Z887" s="228"/>
      <c r="AA887" s="202"/>
    </row>
    <row r="888" spans="2:27" x14ac:dyDescent="0.15">
      <c r="B888" s="241">
        <v>43955</v>
      </c>
      <c r="C888" s="244"/>
      <c r="D888" s="245">
        <v>61.762034999999997</v>
      </c>
      <c r="E888" s="228">
        <f t="shared" si="78"/>
        <v>2.540942002596136E-3</v>
      </c>
      <c r="F888" s="228"/>
      <c r="G888" s="245">
        <v>281.26470899999998</v>
      </c>
      <c r="H888" s="228">
        <f t="shared" si="79"/>
        <v>1.4763841518131038E-2</v>
      </c>
      <c r="J888" s="227"/>
      <c r="K888" s="245">
        <v>50.684874999999998</v>
      </c>
      <c r="L888" s="228">
        <f t="shared" si="80"/>
        <v>2.0547927966474866E-2</v>
      </c>
      <c r="M888" s="228"/>
      <c r="N888" s="227"/>
      <c r="O888" s="322">
        <v>47.580002</v>
      </c>
      <c r="P888" s="228">
        <f t="shared" si="81"/>
        <v>1.4715355400199526E-2</v>
      </c>
      <c r="Q888" s="228"/>
      <c r="R888" s="227"/>
      <c r="S888" s="322">
        <v>234.520004</v>
      </c>
      <c r="T888" s="228">
        <f t="shared" si="82"/>
        <v>-2.1274784762577159E-3</v>
      </c>
      <c r="U888" s="228"/>
      <c r="V888" s="228"/>
      <c r="W888" s="228"/>
      <c r="X888" s="322">
        <v>152</v>
      </c>
      <c r="Y888" s="228">
        <f t="shared" si="83"/>
        <v>1.1512583708988222E-2</v>
      </c>
      <c r="Z888" s="228"/>
      <c r="AA888" s="202"/>
    </row>
    <row r="889" spans="2:27" x14ac:dyDescent="0.15">
      <c r="B889" s="241">
        <v>43956</v>
      </c>
      <c r="C889" s="244"/>
      <c r="D889" s="245">
        <v>62.319682999999998</v>
      </c>
      <c r="E889" s="228">
        <f t="shared" si="78"/>
        <v>9.0289771054337109E-3</v>
      </c>
      <c r="F889" s="228"/>
      <c r="G889" s="245">
        <v>286.39974999999998</v>
      </c>
      <c r="H889" s="228">
        <f t="shared" si="79"/>
        <v>1.8256968740433033E-2</v>
      </c>
      <c r="J889" s="227"/>
      <c r="K889" s="245">
        <v>50.257229000000002</v>
      </c>
      <c r="L889" s="228">
        <f t="shared" si="80"/>
        <v>-8.4373494065043131E-3</v>
      </c>
      <c r="M889" s="228"/>
      <c r="N889" s="227"/>
      <c r="O889" s="322">
        <v>48.849997999999999</v>
      </c>
      <c r="P889" s="228">
        <f t="shared" si="81"/>
        <v>2.6691802156712852E-2</v>
      </c>
      <c r="Q889" s="228"/>
      <c r="R889" s="227"/>
      <c r="S889" s="322">
        <v>242.80999800000001</v>
      </c>
      <c r="T889" s="228">
        <f t="shared" si="82"/>
        <v>3.5348771356835007E-2</v>
      </c>
      <c r="U889" s="228"/>
      <c r="V889" s="228"/>
      <c r="W889" s="228"/>
      <c r="X889" s="322">
        <v>155.63000500000001</v>
      </c>
      <c r="Y889" s="228">
        <f t="shared" si="83"/>
        <v>2.3881611842105244E-2</v>
      </c>
      <c r="Z889" s="228"/>
      <c r="AA889" s="202"/>
    </row>
    <row r="890" spans="2:27" x14ac:dyDescent="0.15">
      <c r="B890" s="241">
        <v>43957</v>
      </c>
      <c r="C890" s="244"/>
      <c r="D890" s="245">
        <v>62.016399</v>
      </c>
      <c r="E890" s="228">
        <f t="shared" si="78"/>
        <v>-4.8665844465222152E-3</v>
      </c>
      <c r="F890" s="228"/>
      <c r="G890" s="245">
        <v>289.92572000000001</v>
      </c>
      <c r="H890" s="228">
        <f t="shared" si="79"/>
        <v>1.231135851201004E-2</v>
      </c>
      <c r="J890" s="227"/>
      <c r="K890" s="245">
        <v>50.665432000000003</v>
      </c>
      <c r="L890" s="228">
        <f t="shared" si="80"/>
        <v>8.1222743100302086E-3</v>
      </c>
      <c r="M890" s="228"/>
      <c r="N890" s="227"/>
      <c r="O890" s="322">
        <v>50.5</v>
      </c>
      <c r="P890" s="228">
        <f t="shared" si="81"/>
        <v>3.3776910287693473E-2</v>
      </c>
      <c r="Q890" s="228"/>
      <c r="R890" s="227"/>
      <c r="S890" s="322">
        <v>244.55999800000001</v>
      </c>
      <c r="T890" s="228">
        <f t="shared" si="82"/>
        <v>7.2072814728163515E-3</v>
      </c>
      <c r="U890" s="228"/>
      <c r="V890" s="228"/>
      <c r="W890" s="228"/>
      <c r="X890" s="322">
        <v>163.80999800000001</v>
      </c>
      <c r="Y890" s="228">
        <f t="shared" si="83"/>
        <v>5.2560513636171757E-2</v>
      </c>
      <c r="Z890" s="228"/>
      <c r="AA890" s="202"/>
    </row>
    <row r="891" spans="2:27" x14ac:dyDescent="0.15">
      <c r="B891" s="241">
        <v>43958</v>
      </c>
      <c r="C891" s="244"/>
      <c r="D891" s="245">
        <v>62.769717999999997</v>
      </c>
      <c r="E891" s="228">
        <f t="shared" si="78"/>
        <v>1.2147093545370025E-2</v>
      </c>
      <c r="F891" s="228"/>
      <c r="G891" s="245">
        <v>297.56372099999999</v>
      </c>
      <c r="H891" s="228">
        <f t="shared" si="79"/>
        <v>2.6344682355190718E-2</v>
      </c>
      <c r="J891" s="227"/>
      <c r="K891" s="245">
        <v>50.859817999999997</v>
      </c>
      <c r="L891" s="228">
        <f t="shared" si="80"/>
        <v>3.8366592828023016E-3</v>
      </c>
      <c r="M891" s="228"/>
      <c r="N891" s="227"/>
      <c r="O891" s="322">
        <v>51.25</v>
      </c>
      <c r="P891" s="228">
        <f t="shared" si="81"/>
        <v>1.4851485148514865E-2</v>
      </c>
      <c r="Q891" s="228"/>
      <c r="R891" s="227"/>
      <c r="S891" s="322">
        <v>247.63000500000001</v>
      </c>
      <c r="T891" s="228">
        <f t="shared" si="82"/>
        <v>1.2553185415057122E-2</v>
      </c>
      <c r="U891" s="228"/>
      <c r="V891" s="228"/>
      <c r="W891" s="228"/>
      <c r="X891" s="322">
        <v>163.83999600000001</v>
      </c>
      <c r="Y891" s="228">
        <f t="shared" si="83"/>
        <v>1.8312679547194399E-4</v>
      </c>
      <c r="Z891" s="228"/>
      <c r="AA891" s="202"/>
    </row>
    <row r="892" spans="2:27" x14ac:dyDescent="0.15">
      <c r="B892" s="241">
        <v>43959</v>
      </c>
      <c r="C892" s="244"/>
      <c r="D892" s="245">
        <v>64.002403000000001</v>
      </c>
      <c r="E892" s="228">
        <f t="shared" si="78"/>
        <v>1.9638211533784533E-2</v>
      </c>
      <c r="F892" s="228"/>
      <c r="G892" s="245">
        <v>302.34118699999999</v>
      </c>
      <c r="H892" s="228">
        <f t="shared" si="79"/>
        <v>1.6055270393664722E-2</v>
      </c>
      <c r="J892" s="227"/>
      <c r="K892" s="245">
        <v>51.423527</v>
      </c>
      <c r="L892" s="228">
        <f t="shared" si="80"/>
        <v>1.1083582721432617E-2</v>
      </c>
      <c r="M892" s="228"/>
      <c r="N892" s="227"/>
      <c r="O892" s="322">
        <v>53.810001</v>
      </c>
      <c r="P892" s="228">
        <f t="shared" si="81"/>
        <v>4.9951239024390137E-2</v>
      </c>
      <c r="Q892" s="228"/>
      <c r="R892" s="227"/>
      <c r="S892" s="322">
        <v>265.39999399999999</v>
      </c>
      <c r="T892" s="228">
        <f t="shared" si="82"/>
        <v>7.1760241655691059E-2</v>
      </c>
      <c r="U892" s="228"/>
      <c r="V892" s="228"/>
      <c r="W892" s="228"/>
      <c r="X892" s="322">
        <v>171.5</v>
      </c>
      <c r="Y892" s="228">
        <f t="shared" si="83"/>
        <v>4.6752955242991945E-2</v>
      </c>
      <c r="Z892" s="228"/>
      <c r="AA892" s="202"/>
    </row>
    <row r="893" spans="2:27" x14ac:dyDescent="0.15">
      <c r="B893" s="241">
        <v>43962</v>
      </c>
      <c r="C893" s="244"/>
      <c r="D893" s="245">
        <v>63.943710000000003</v>
      </c>
      <c r="E893" s="228">
        <f t="shared" si="78"/>
        <v>-9.1704369287504139E-4</v>
      </c>
      <c r="F893" s="228"/>
      <c r="G893" s="245">
        <v>302.33126800000002</v>
      </c>
      <c r="H893" s="228">
        <f t="shared" si="79"/>
        <v>-3.2807306534654579E-5</v>
      </c>
      <c r="J893" s="227"/>
      <c r="K893" s="245">
        <v>50.927852999999999</v>
      </c>
      <c r="L893" s="228">
        <f t="shared" si="80"/>
        <v>-9.639051012584221E-3</v>
      </c>
      <c r="M893" s="228"/>
      <c r="N893" s="227"/>
      <c r="O893" s="322">
        <v>54.009998000000003</v>
      </c>
      <c r="P893" s="228">
        <f t="shared" si="81"/>
        <v>3.716725446632152E-3</v>
      </c>
      <c r="Q893" s="228"/>
      <c r="R893" s="227"/>
      <c r="S893" s="322">
        <v>262.23001099999999</v>
      </c>
      <c r="T893" s="228">
        <f t="shared" si="82"/>
        <v>-1.1944171332573639E-2</v>
      </c>
      <c r="U893" s="228"/>
      <c r="V893" s="228"/>
      <c r="W893" s="228"/>
      <c r="X893" s="322">
        <v>168.779999</v>
      </c>
      <c r="Y893" s="228">
        <f t="shared" si="83"/>
        <v>-1.5860064139941676E-2</v>
      </c>
      <c r="Z893" s="228"/>
      <c r="AA893" s="202"/>
    </row>
    <row r="894" spans="2:27" x14ac:dyDescent="0.15">
      <c r="B894" s="241">
        <v>43963</v>
      </c>
      <c r="C894" s="244"/>
      <c r="D894" s="245">
        <v>62.485996</v>
      </c>
      <c r="E894" s="228">
        <f t="shared" si="78"/>
        <v>-2.2796831775947934E-2</v>
      </c>
      <c r="F894" s="228"/>
      <c r="G894" s="245">
        <v>294.62374899999998</v>
      </c>
      <c r="H894" s="228">
        <f t="shared" si="79"/>
        <v>-2.5493621784432929E-2</v>
      </c>
      <c r="J894" s="227"/>
      <c r="K894" s="245">
        <v>49.664375</v>
      </c>
      <c r="L894" s="228">
        <f t="shared" si="80"/>
        <v>-2.4809174657333344E-2</v>
      </c>
      <c r="M894" s="228"/>
      <c r="N894" s="227"/>
      <c r="O894" s="322">
        <v>52.330002</v>
      </c>
      <c r="P894" s="228">
        <f t="shared" si="81"/>
        <v>-3.1105277952426569E-2</v>
      </c>
      <c r="Q894" s="228"/>
      <c r="R894" s="227"/>
      <c r="S894" s="322">
        <v>255.979996</v>
      </c>
      <c r="T894" s="228">
        <f t="shared" si="82"/>
        <v>-2.3834095022785107E-2</v>
      </c>
      <c r="U894" s="228"/>
      <c r="V894" s="228"/>
      <c r="W894" s="228"/>
      <c r="X894" s="322">
        <v>165.570007</v>
      </c>
      <c r="Y894" s="228">
        <f t="shared" si="83"/>
        <v>-1.9018793808619483E-2</v>
      </c>
      <c r="Z894" s="228"/>
      <c r="AA894" s="202"/>
    </row>
    <row r="895" spans="2:27" x14ac:dyDescent="0.15">
      <c r="B895" s="241">
        <v>43964</v>
      </c>
      <c r="C895" s="244"/>
      <c r="D895" s="245">
        <v>61.370697</v>
      </c>
      <c r="E895" s="228">
        <f t="shared" si="78"/>
        <v>-1.7848783269774571E-2</v>
      </c>
      <c r="F895" s="228"/>
      <c r="G895" s="245">
        <v>292.23998999999998</v>
      </c>
      <c r="H895" s="228">
        <f t="shared" si="79"/>
        <v>-8.0908582831182851E-3</v>
      </c>
      <c r="J895" s="227"/>
      <c r="K895" s="245">
        <v>49.489429000000001</v>
      </c>
      <c r="L895" s="228">
        <f t="shared" si="80"/>
        <v>-3.5225652190327139E-3</v>
      </c>
      <c r="M895" s="228"/>
      <c r="N895" s="227"/>
      <c r="O895" s="322">
        <v>51.490001999999997</v>
      </c>
      <c r="P895" s="228">
        <f t="shared" si="81"/>
        <v>-1.6051977219492586E-2</v>
      </c>
      <c r="Q895" s="228"/>
      <c r="R895" s="227"/>
      <c r="S895" s="322">
        <v>248.19000199999999</v>
      </c>
      <c r="T895" s="228">
        <f t="shared" si="82"/>
        <v>-3.0432042041285134E-2</v>
      </c>
      <c r="U895" s="228"/>
      <c r="V895" s="228"/>
      <c r="W895" s="228"/>
      <c r="X895" s="322">
        <v>164.070007</v>
      </c>
      <c r="Y895" s="228">
        <f t="shared" si="83"/>
        <v>-9.0596118655718039E-3</v>
      </c>
      <c r="Z895" s="228"/>
      <c r="AA895" s="202"/>
    </row>
    <row r="896" spans="2:27" x14ac:dyDescent="0.15">
      <c r="B896" s="241">
        <v>43965</v>
      </c>
      <c r="C896" s="244"/>
      <c r="D896" s="245">
        <v>62.035964999999997</v>
      </c>
      <c r="E896" s="228">
        <f t="shared" si="78"/>
        <v>1.0840157151873253E-2</v>
      </c>
      <c r="F896" s="228"/>
      <c r="G896" s="245">
        <v>300.503693</v>
      </c>
      <c r="H896" s="228">
        <f t="shared" si="79"/>
        <v>2.827711224600038E-2</v>
      </c>
      <c r="J896" s="227"/>
      <c r="K896" s="245">
        <v>50.636276000000002</v>
      </c>
      <c r="L896" s="228">
        <f t="shared" si="80"/>
        <v>2.3173575108332845E-2</v>
      </c>
      <c r="M896" s="228"/>
      <c r="N896" s="227"/>
      <c r="O896" s="322">
        <v>54.43</v>
      </c>
      <c r="P896" s="228">
        <f t="shared" si="81"/>
        <v>5.7098424661160552E-2</v>
      </c>
      <c r="Q896" s="228"/>
      <c r="R896" s="227"/>
      <c r="S896" s="322">
        <v>269</v>
      </c>
      <c r="T896" s="228">
        <f t="shared" si="82"/>
        <v>8.3847043927256948E-2</v>
      </c>
      <c r="U896" s="228"/>
      <c r="V896" s="228"/>
      <c r="W896" s="228"/>
      <c r="X896" s="322">
        <v>176.75</v>
      </c>
      <c r="Y896" s="228">
        <f t="shared" si="83"/>
        <v>7.7284040098809736E-2</v>
      </c>
      <c r="Z896" s="228"/>
      <c r="AA896" s="202"/>
    </row>
    <row r="897" spans="2:27" x14ac:dyDescent="0.15">
      <c r="B897" s="241">
        <v>43966</v>
      </c>
      <c r="C897" s="244"/>
      <c r="D897" s="245">
        <v>62.358809999999998</v>
      </c>
      <c r="E897" s="228">
        <f t="shared" si="78"/>
        <v>5.2041585876838603E-3</v>
      </c>
      <c r="F897" s="228"/>
      <c r="G897" s="245">
        <v>290.56143200000002</v>
      </c>
      <c r="H897" s="228">
        <f t="shared" si="79"/>
        <v>-3.3085320518839612E-2</v>
      </c>
      <c r="J897" s="227"/>
      <c r="K897" s="245">
        <v>48.400889999999997</v>
      </c>
      <c r="L897" s="228">
        <f t="shared" si="80"/>
        <v>-4.4145939958143976E-2</v>
      </c>
      <c r="M897" s="228"/>
      <c r="N897" s="227"/>
      <c r="O897" s="322">
        <v>52.040000999999997</v>
      </c>
      <c r="P897" s="228">
        <f t="shared" si="81"/>
        <v>-4.3909590299467283E-2</v>
      </c>
      <c r="Q897" s="228"/>
      <c r="R897" s="227"/>
      <c r="S897" s="322">
        <v>251.83999600000001</v>
      </c>
      <c r="T897" s="228">
        <f t="shared" si="82"/>
        <v>-6.3791836431226767E-2</v>
      </c>
      <c r="U897" s="228"/>
      <c r="V897" s="228"/>
      <c r="W897" s="228"/>
      <c r="X897" s="322">
        <v>167.429993</v>
      </c>
      <c r="Y897" s="228">
        <f t="shared" si="83"/>
        <v>-5.2729884016973094E-2</v>
      </c>
      <c r="Z897" s="228"/>
      <c r="AA897" s="202"/>
    </row>
    <row r="898" spans="2:27" x14ac:dyDescent="0.15">
      <c r="B898" s="241">
        <v>43969</v>
      </c>
      <c r="C898" s="244"/>
      <c r="D898" s="245">
        <v>64.491569999999996</v>
      </c>
      <c r="E898" s="228">
        <f t="shared" si="78"/>
        <v>3.4201422381215929E-2</v>
      </c>
      <c r="F898" s="228"/>
      <c r="G898" s="245">
        <v>302.82788099999999</v>
      </c>
      <c r="H898" s="228">
        <f t="shared" si="79"/>
        <v>4.2216370271743298E-2</v>
      </c>
      <c r="J898" s="227"/>
      <c r="K898" s="245">
        <v>50.412742999999999</v>
      </c>
      <c r="L898" s="228">
        <f t="shared" si="80"/>
        <v>4.1566446402121926E-2</v>
      </c>
      <c r="M898" s="228"/>
      <c r="N898" s="227"/>
      <c r="O898" s="322">
        <v>54.360000999999997</v>
      </c>
      <c r="P898" s="228">
        <f t="shared" si="81"/>
        <v>4.4581090611431673E-2</v>
      </c>
      <c r="Q898" s="228"/>
      <c r="R898" s="227"/>
      <c r="S898" s="322">
        <v>257.47000100000002</v>
      </c>
      <c r="T898" s="228">
        <f t="shared" si="82"/>
        <v>2.2355483995481151E-2</v>
      </c>
      <c r="U898" s="228"/>
      <c r="V898" s="228"/>
      <c r="W898" s="228"/>
      <c r="X898" s="322">
        <v>172.30999800000001</v>
      </c>
      <c r="Y898" s="228">
        <f t="shared" si="83"/>
        <v>2.9146540070631222E-2</v>
      </c>
      <c r="Z898" s="228"/>
      <c r="AA898" s="202"/>
    </row>
    <row r="899" spans="2:27" x14ac:dyDescent="0.15">
      <c r="B899" s="241">
        <v>43970</v>
      </c>
      <c r="C899" s="244"/>
      <c r="D899" s="245">
        <v>63.787182000000001</v>
      </c>
      <c r="E899" s="228">
        <f t="shared" si="78"/>
        <v>-1.0922171688485749E-2</v>
      </c>
      <c r="F899" s="228"/>
      <c r="G899" s="245">
        <v>304.17865</v>
      </c>
      <c r="H899" s="228">
        <f t="shared" si="79"/>
        <v>4.4605172929899073E-3</v>
      </c>
      <c r="J899" s="227"/>
      <c r="K899" s="245">
        <v>49.382522999999999</v>
      </c>
      <c r="L899" s="228">
        <f t="shared" si="80"/>
        <v>-2.0435706107084894E-2</v>
      </c>
      <c r="M899" s="228"/>
      <c r="N899" s="227"/>
      <c r="O899" s="322">
        <v>55.470001000000003</v>
      </c>
      <c r="P899" s="228">
        <f t="shared" si="81"/>
        <v>2.0419425672931979E-2</v>
      </c>
      <c r="Q899" s="228"/>
      <c r="R899" s="227"/>
      <c r="S899" s="322">
        <v>261.66000400000001</v>
      </c>
      <c r="T899" s="228">
        <f t="shared" si="82"/>
        <v>1.6273752218612714E-2</v>
      </c>
      <c r="U899" s="228"/>
      <c r="V899" s="228"/>
      <c r="W899" s="228"/>
      <c r="X899" s="322">
        <v>172.520004</v>
      </c>
      <c r="Y899" s="228">
        <f t="shared" si="83"/>
        <v>1.2187685127824643E-3</v>
      </c>
      <c r="Z899" s="228"/>
      <c r="AA899" s="202"/>
    </row>
    <row r="900" spans="2:27" x14ac:dyDescent="0.15">
      <c r="B900" s="241">
        <v>43971</v>
      </c>
      <c r="C900" s="244"/>
      <c r="D900" s="245">
        <v>64.990532000000002</v>
      </c>
      <c r="E900" s="228">
        <f t="shared" si="78"/>
        <v>1.8865075431612643E-2</v>
      </c>
      <c r="F900" s="228"/>
      <c r="G900" s="245">
        <v>323.43753099999998</v>
      </c>
      <c r="H900" s="228">
        <f t="shared" si="79"/>
        <v>6.3314374628199444E-2</v>
      </c>
      <c r="J900" s="227"/>
      <c r="K900" s="245">
        <v>50.383583000000002</v>
      </c>
      <c r="L900" s="228">
        <f t="shared" si="80"/>
        <v>2.0271544246534434E-2</v>
      </c>
      <c r="M900" s="228"/>
      <c r="N900" s="227"/>
      <c r="O900" s="322">
        <v>56.880001</v>
      </c>
      <c r="P900" s="228">
        <f t="shared" si="81"/>
        <v>2.5419145025795009E-2</v>
      </c>
      <c r="Q900" s="228"/>
      <c r="R900" s="227"/>
      <c r="S900" s="322">
        <v>271.17001299999998</v>
      </c>
      <c r="T900" s="228">
        <f t="shared" si="82"/>
        <v>3.6344908868838788E-2</v>
      </c>
      <c r="U900" s="228"/>
      <c r="V900" s="228"/>
      <c r="W900" s="228"/>
      <c r="X900" s="322">
        <v>177.91999799999999</v>
      </c>
      <c r="Y900" s="228">
        <f t="shared" si="83"/>
        <v>3.1300683252940331E-2</v>
      </c>
      <c r="Z900" s="228"/>
      <c r="AA900" s="202"/>
    </row>
    <row r="901" spans="2:27" x14ac:dyDescent="0.15">
      <c r="B901" s="241">
        <v>43972</v>
      </c>
      <c r="C901" s="244"/>
      <c r="D901" s="245">
        <v>64.589409000000003</v>
      </c>
      <c r="E901" s="228">
        <f t="shared" si="78"/>
        <v>-6.1720221031580369E-3</v>
      </c>
      <c r="F901" s="228"/>
      <c r="G901" s="245">
        <v>316.83248900000001</v>
      </c>
      <c r="H901" s="228">
        <f t="shared" si="79"/>
        <v>-2.0421383936423787E-2</v>
      </c>
      <c r="J901" s="227"/>
      <c r="K901" s="245">
        <v>49.324202999999997</v>
      </c>
      <c r="L901" s="228">
        <f t="shared" si="80"/>
        <v>-2.1026293425777332E-2</v>
      </c>
      <c r="M901" s="228"/>
      <c r="N901" s="227"/>
      <c r="O901" s="322">
        <v>55.02</v>
      </c>
      <c r="P901" s="228">
        <f t="shared" si="81"/>
        <v>-3.2700438946898003E-2</v>
      </c>
      <c r="Q901" s="228"/>
      <c r="R901" s="227"/>
      <c r="S901" s="322">
        <v>260.70001200000002</v>
      </c>
      <c r="T901" s="228">
        <f t="shared" si="82"/>
        <v>-3.8610467596208564E-2</v>
      </c>
      <c r="U901" s="228"/>
      <c r="V901" s="228"/>
      <c r="W901" s="228"/>
      <c r="X901" s="322">
        <v>172.429993</v>
      </c>
      <c r="Y901" s="228">
        <f t="shared" si="83"/>
        <v>-3.0856593197578608E-2</v>
      </c>
      <c r="Z901" s="228"/>
      <c r="AA901" s="202"/>
    </row>
    <row r="902" spans="2:27" x14ac:dyDescent="0.15">
      <c r="B902" s="241">
        <v>43973</v>
      </c>
      <c r="C902" s="244"/>
      <c r="D902" s="245">
        <v>64.736144999999993</v>
      </c>
      <c r="E902" s="228">
        <f t="shared" si="78"/>
        <v>2.2718275685102984E-3</v>
      </c>
      <c r="F902" s="228"/>
      <c r="G902" s="245">
        <v>317.19998199999998</v>
      </c>
      <c r="H902" s="228">
        <f t="shared" si="79"/>
        <v>1.1598968311610225E-3</v>
      </c>
      <c r="J902" s="227"/>
      <c r="K902" s="245">
        <v>48.400889999999997</v>
      </c>
      <c r="L902" s="228">
        <f t="shared" si="80"/>
        <v>-1.8719268510025366E-2</v>
      </c>
      <c r="M902" s="228"/>
      <c r="N902" s="227"/>
      <c r="O902" s="322">
        <v>54.389999000000003</v>
      </c>
      <c r="P902" s="228">
        <f t="shared" si="81"/>
        <v>-1.1450399854598281E-2</v>
      </c>
      <c r="Q902" s="228"/>
      <c r="R902" s="227"/>
      <c r="S902" s="322">
        <v>261.14001500000001</v>
      </c>
      <c r="T902" s="228">
        <f t="shared" si="82"/>
        <v>1.6877751428718835E-3</v>
      </c>
      <c r="U902" s="228"/>
      <c r="V902" s="228"/>
      <c r="W902" s="228"/>
      <c r="X902" s="322">
        <v>173</v>
      </c>
      <c r="Y902" s="228">
        <f t="shared" si="83"/>
        <v>3.3057299955929764E-3</v>
      </c>
      <c r="Z902" s="228"/>
      <c r="AA902" s="202"/>
    </row>
    <row r="903" spans="2:27" x14ac:dyDescent="0.15">
      <c r="B903" s="241">
        <v>43977</v>
      </c>
      <c r="C903" s="244"/>
      <c r="D903" s="245">
        <v>65.616660999999993</v>
      </c>
      <c r="E903" s="228">
        <f t="shared" si="78"/>
        <v>1.3601613132817825E-2</v>
      </c>
      <c r="F903" s="228"/>
      <c r="G903" s="245">
        <v>317.696594</v>
      </c>
      <c r="H903" s="228">
        <f t="shared" si="79"/>
        <v>1.5656116903564055E-3</v>
      </c>
      <c r="J903" s="227"/>
      <c r="K903" s="245">
        <v>49.392238999999996</v>
      </c>
      <c r="L903" s="228">
        <f t="shared" si="80"/>
        <v>2.0482040722804795E-2</v>
      </c>
      <c r="M903" s="228"/>
      <c r="N903" s="227"/>
      <c r="O903" s="322">
        <v>55.139999000000003</v>
      </c>
      <c r="P903" s="228">
        <f t="shared" si="81"/>
        <v>1.3789299757111628E-2</v>
      </c>
      <c r="Q903" s="228"/>
      <c r="R903" s="227"/>
      <c r="S903" s="322">
        <v>266.35998499999999</v>
      </c>
      <c r="T903" s="228">
        <f t="shared" si="82"/>
        <v>1.99891617529393E-2</v>
      </c>
      <c r="U903" s="228"/>
      <c r="V903" s="228"/>
      <c r="W903" s="228"/>
      <c r="X903" s="322">
        <v>176.63999899999999</v>
      </c>
      <c r="Y903" s="228">
        <f t="shared" si="83"/>
        <v>2.1040456647398731E-2</v>
      </c>
      <c r="Z903" s="228"/>
      <c r="AA903" s="202"/>
    </row>
    <row r="904" spans="2:27" x14ac:dyDescent="0.15">
      <c r="B904" s="241">
        <v>43978</v>
      </c>
      <c r="C904" s="244"/>
      <c r="D904" s="245">
        <v>66.731949</v>
      </c>
      <c r="E904" s="228">
        <f t="shared" si="78"/>
        <v>1.6997024581912212E-2</v>
      </c>
      <c r="F904" s="228"/>
      <c r="G904" s="245">
        <v>316.37560999999999</v>
      </c>
      <c r="H904" s="228">
        <f t="shared" si="79"/>
        <v>-4.1580049171066058E-3</v>
      </c>
      <c r="J904" s="227"/>
      <c r="K904" s="245">
        <v>50.286396000000003</v>
      </c>
      <c r="L904" s="228">
        <f t="shared" si="80"/>
        <v>1.8103188235706558E-2</v>
      </c>
      <c r="M904" s="228"/>
      <c r="N904" s="227"/>
      <c r="O904" s="322">
        <v>56.400002000000001</v>
      </c>
      <c r="P904" s="228">
        <f t="shared" si="81"/>
        <v>2.2850979739771127E-2</v>
      </c>
      <c r="Q904" s="228"/>
      <c r="R904" s="227"/>
      <c r="S904" s="322">
        <v>276.10998499999999</v>
      </c>
      <c r="T904" s="228">
        <f t="shared" si="82"/>
        <v>3.6604597345956558E-2</v>
      </c>
      <c r="U904" s="228"/>
      <c r="V904" s="228"/>
      <c r="W904" s="228"/>
      <c r="X904" s="322">
        <v>176.729996</v>
      </c>
      <c r="Y904" s="228">
        <f t="shared" si="83"/>
        <v>5.0949388875398682E-4</v>
      </c>
      <c r="Z904" s="228"/>
      <c r="AA904" s="202"/>
    </row>
    <row r="905" spans="2:27" x14ac:dyDescent="0.15">
      <c r="B905" s="241">
        <v>43979</v>
      </c>
      <c r="C905" s="244"/>
      <c r="D905" s="245">
        <v>66.487365999999994</v>
      </c>
      <c r="E905" s="228">
        <f t="shared" ref="E905:E968" si="84">D905/D904-1</f>
        <v>-3.6651559510123555E-3</v>
      </c>
      <c r="F905" s="228"/>
      <c r="G905" s="245">
        <v>317.80587800000001</v>
      </c>
      <c r="H905" s="228">
        <f t="shared" ref="H905:H968" si="85">G905/G904-1</f>
        <v>4.5207909674200852E-3</v>
      </c>
      <c r="J905" s="227"/>
      <c r="K905" s="245">
        <v>48.867412999999999</v>
      </c>
      <c r="L905" s="228">
        <f t="shared" ref="L905:L968" si="86">K905/K904-1</f>
        <v>-2.821802938512441E-2</v>
      </c>
      <c r="M905" s="228"/>
      <c r="N905" s="227"/>
      <c r="O905" s="322">
        <v>54.669998</v>
      </c>
      <c r="P905" s="228">
        <f t="shared" ref="P905:P968" si="87">O905/O904-1</f>
        <v>-3.0673828699509631E-2</v>
      </c>
      <c r="Q905" s="228"/>
      <c r="R905" s="227"/>
      <c r="S905" s="322">
        <v>266.82000699999998</v>
      </c>
      <c r="T905" s="228">
        <f t="shared" ref="T905:T968" si="88">S905/S904-1</f>
        <v>-3.3645932797396028E-2</v>
      </c>
      <c r="U905" s="228"/>
      <c r="V905" s="228"/>
      <c r="W905" s="228"/>
      <c r="X905" s="322">
        <v>174.61000100000001</v>
      </c>
      <c r="Y905" s="228">
        <f t="shared" ref="Y905:Y968" si="89">X905/X904-1</f>
        <v>-1.1995671634598915E-2</v>
      </c>
      <c r="Z905" s="228"/>
      <c r="AA905" s="202"/>
    </row>
    <row r="906" spans="2:27" x14ac:dyDescent="0.15">
      <c r="B906" s="241">
        <v>43980</v>
      </c>
      <c r="C906" s="244"/>
      <c r="D906" s="245">
        <v>66.673255999999995</v>
      </c>
      <c r="E906" s="228">
        <f t="shared" si="84"/>
        <v>2.7958695190302141E-3</v>
      </c>
      <c r="F906" s="228"/>
      <c r="G906" s="245">
        <v>327.28137199999998</v>
      </c>
      <c r="H906" s="228">
        <f t="shared" si="85"/>
        <v>2.9815351621658603E-2</v>
      </c>
      <c r="J906" s="227"/>
      <c r="K906" s="245">
        <v>48.916004000000001</v>
      </c>
      <c r="L906" s="228">
        <f t="shared" si="86"/>
        <v>9.9434361299222118E-4</v>
      </c>
      <c r="M906" s="228"/>
      <c r="N906" s="227"/>
      <c r="O906" s="322">
        <v>56.18</v>
      </c>
      <c r="P906" s="228">
        <f t="shared" si="87"/>
        <v>2.7620304650459282E-2</v>
      </c>
      <c r="Q906" s="228"/>
      <c r="R906" s="227"/>
      <c r="S906" s="322">
        <v>273.67001299999998</v>
      </c>
      <c r="T906" s="228">
        <f t="shared" si="88"/>
        <v>2.5672759989096461E-2</v>
      </c>
      <c r="U906" s="228"/>
      <c r="V906" s="228"/>
      <c r="W906" s="228"/>
      <c r="X906" s="322">
        <v>175.96000699999999</v>
      </c>
      <c r="Y906" s="228">
        <f t="shared" si="89"/>
        <v>7.7315502678449999E-3</v>
      </c>
      <c r="Z906" s="228"/>
      <c r="AA906" s="202"/>
    </row>
    <row r="907" spans="2:27" x14ac:dyDescent="0.15">
      <c r="B907" s="241">
        <v>43983</v>
      </c>
      <c r="C907" s="244"/>
      <c r="D907" s="245">
        <v>67.103713999999997</v>
      </c>
      <c r="E907" s="228">
        <f t="shared" si="84"/>
        <v>6.4562318660423834E-3</v>
      </c>
      <c r="F907" s="228"/>
      <c r="G907" s="245">
        <v>324.520172</v>
      </c>
      <c r="H907" s="228">
        <f t="shared" si="85"/>
        <v>-8.4367771472186881E-3</v>
      </c>
      <c r="J907" s="227"/>
      <c r="K907" s="245">
        <v>49.596339999999998</v>
      </c>
      <c r="L907" s="228">
        <f t="shared" si="86"/>
        <v>1.3908249741740875E-2</v>
      </c>
      <c r="M907" s="228"/>
      <c r="N907" s="227"/>
      <c r="O907" s="322">
        <v>55.689999</v>
      </c>
      <c r="P907" s="228">
        <f t="shared" si="87"/>
        <v>-8.7219829120683823E-3</v>
      </c>
      <c r="Q907" s="228"/>
      <c r="R907" s="227"/>
      <c r="S907" s="322">
        <v>270.97000100000002</v>
      </c>
      <c r="T907" s="228">
        <f t="shared" si="88"/>
        <v>-9.8659402628813453E-3</v>
      </c>
      <c r="U907" s="228"/>
      <c r="V907" s="228"/>
      <c r="W907" s="228"/>
      <c r="X907" s="322">
        <v>175.96000699999999</v>
      </c>
      <c r="Y907" s="228">
        <f t="shared" si="89"/>
        <v>0</v>
      </c>
      <c r="Z907" s="228"/>
      <c r="AA907" s="202"/>
    </row>
    <row r="908" spans="2:27" x14ac:dyDescent="0.15">
      <c r="B908" s="241">
        <v>43984</v>
      </c>
      <c r="C908" s="244"/>
      <c r="D908" s="245">
        <v>67.661368999999993</v>
      </c>
      <c r="E908" s="228">
        <f t="shared" si="84"/>
        <v>8.3103447895596094E-3</v>
      </c>
      <c r="F908" s="228"/>
      <c r="G908" s="245">
        <v>332.46606400000002</v>
      </c>
      <c r="H908" s="228">
        <f t="shared" si="85"/>
        <v>2.4485048035781221E-2</v>
      </c>
      <c r="J908" s="227"/>
      <c r="K908" s="245">
        <v>50.548800999999997</v>
      </c>
      <c r="L908" s="228">
        <f t="shared" si="86"/>
        <v>1.9204259830463366E-2</v>
      </c>
      <c r="M908" s="228"/>
      <c r="N908" s="227"/>
      <c r="O908" s="322">
        <v>55.790000999999997</v>
      </c>
      <c r="P908" s="228">
        <f t="shared" si="87"/>
        <v>1.7956904614058189E-3</v>
      </c>
      <c r="Q908" s="228"/>
      <c r="R908" s="227"/>
      <c r="S908" s="322">
        <v>271.459991</v>
      </c>
      <c r="T908" s="228">
        <f t="shared" si="88"/>
        <v>1.808281352886576E-3</v>
      </c>
      <c r="U908" s="228"/>
      <c r="V908" s="228"/>
      <c r="W908" s="228"/>
      <c r="X908" s="322">
        <v>177.28999300000001</v>
      </c>
      <c r="Y908" s="228">
        <f t="shared" si="89"/>
        <v>7.5584561666903749E-3</v>
      </c>
      <c r="Z908" s="228"/>
      <c r="AA908" s="202"/>
    </row>
    <row r="909" spans="2:27" x14ac:dyDescent="0.15">
      <c r="B909" s="241">
        <v>43985</v>
      </c>
      <c r="C909" s="244"/>
      <c r="D909" s="245">
        <v>68.727744999999999</v>
      </c>
      <c r="E909" s="228">
        <f t="shared" si="84"/>
        <v>1.5760485130000834E-2</v>
      </c>
      <c r="F909" s="228"/>
      <c r="G909" s="245">
        <v>343.957764</v>
      </c>
      <c r="H909" s="228">
        <f t="shared" si="85"/>
        <v>3.456503157567381E-2</v>
      </c>
      <c r="J909" s="227"/>
      <c r="K909" s="245">
        <v>51.569308999999997</v>
      </c>
      <c r="L909" s="228">
        <f t="shared" si="86"/>
        <v>2.0188569853516469E-2</v>
      </c>
      <c r="M909" s="228"/>
      <c r="N909" s="227"/>
      <c r="O909" s="322">
        <v>57.810001</v>
      </c>
      <c r="P909" s="228">
        <f t="shared" si="87"/>
        <v>3.6207204943409232E-2</v>
      </c>
      <c r="Q909" s="228"/>
      <c r="R909" s="227"/>
      <c r="S909" s="322">
        <v>286.89001500000001</v>
      </c>
      <c r="T909" s="228">
        <f t="shared" si="88"/>
        <v>5.6840877151580038E-2</v>
      </c>
      <c r="U909" s="228"/>
      <c r="V909" s="228"/>
      <c r="W909" s="228"/>
      <c r="X909" s="322">
        <v>186.050003</v>
      </c>
      <c r="Y909" s="228">
        <f t="shared" si="89"/>
        <v>4.9410628607786E-2</v>
      </c>
      <c r="Z909" s="228"/>
      <c r="AA909" s="202"/>
    </row>
    <row r="910" spans="2:27" x14ac:dyDescent="0.15">
      <c r="B910" s="241">
        <v>43986</v>
      </c>
      <c r="C910" s="244"/>
      <c r="D910" s="245">
        <v>68.4636</v>
      </c>
      <c r="E910" s="228">
        <f t="shared" si="84"/>
        <v>-3.84335321928575E-3</v>
      </c>
      <c r="F910" s="228"/>
      <c r="G910" s="245">
        <v>350.72170999999997</v>
      </c>
      <c r="H910" s="228">
        <f t="shared" si="85"/>
        <v>1.9665048177252231E-2</v>
      </c>
      <c r="J910" s="227"/>
      <c r="K910" s="245">
        <v>52.755028000000003</v>
      </c>
      <c r="L910" s="228">
        <f t="shared" si="86"/>
        <v>2.2992726158110877E-2</v>
      </c>
      <c r="M910" s="228"/>
      <c r="N910" s="227"/>
      <c r="O910" s="322">
        <v>58.130001</v>
      </c>
      <c r="P910" s="228">
        <f t="shared" si="87"/>
        <v>5.5353744069299715E-3</v>
      </c>
      <c r="Q910" s="228"/>
      <c r="R910" s="227"/>
      <c r="S910" s="322">
        <v>291.83999599999999</v>
      </c>
      <c r="T910" s="228">
        <f t="shared" si="88"/>
        <v>1.7253932661267291E-2</v>
      </c>
      <c r="U910" s="228"/>
      <c r="V910" s="228"/>
      <c r="W910" s="228"/>
      <c r="X910" s="322">
        <v>186.28999300000001</v>
      </c>
      <c r="Y910" s="228">
        <f t="shared" si="89"/>
        <v>1.2899220431616953E-3</v>
      </c>
      <c r="Z910" s="228"/>
      <c r="AA910" s="202"/>
    </row>
    <row r="911" spans="2:27" x14ac:dyDescent="0.15">
      <c r="B911" s="241">
        <v>43987</v>
      </c>
      <c r="C911" s="244"/>
      <c r="D911" s="245">
        <v>70.302856000000006</v>
      </c>
      <c r="E911" s="228">
        <f t="shared" si="84"/>
        <v>2.686472811829943E-2</v>
      </c>
      <c r="F911" s="228"/>
      <c r="G911" s="245">
        <v>354.80392499999999</v>
      </c>
      <c r="H911" s="228">
        <f t="shared" si="85"/>
        <v>1.1639470507827987E-2</v>
      </c>
      <c r="J911" s="227"/>
      <c r="K911" s="245">
        <v>53.649185000000003</v>
      </c>
      <c r="L911" s="228">
        <f t="shared" si="86"/>
        <v>1.6949228043249276E-2</v>
      </c>
      <c r="M911" s="228"/>
      <c r="N911" s="227"/>
      <c r="O911" s="322">
        <v>60.189999</v>
      </c>
      <c r="P911" s="228">
        <f t="shared" si="87"/>
        <v>3.5437776785863129E-2</v>
      </c>
      <c r="Q911" s="228"/>
      <c r="R911" s="227"/>
      <c r="S911" s="322">
        <v>304.92001299999998</v>
      </c>
      <c r="T911" s="228">
        <f t="shared" si="88"/>
        <v>4.4819137812762255E-2</v>
      </c>
      <c r="U911" s="228"/>
      <c r="V911" s="228"/>
      <c r="W911" s="228"/>
      <c r="X911" s="322">
        <v>192.479996</v>
      </c>
      <c r="Y911" s="228">
        <f t="shared" si="89"/>
        <v>3.3227780517443017E-2</v>
      </c>
      <c r="Z911" s="228"/>
      <c r="AA911" s="202"/>
    </row>
    <row r="912" spans="2:27" x14ac:dyDescent="0.15">
      <c r="B912" s="241">
        <v>43990</v>
      </c>
      <c r="C912" s="244"/>
      <c r="D912" s="245">
        <v>71.222487999999998</v>
      </c>
      <c r="E912" s="228">
        <f t="shared" si="84"/>
        <v>1.3081004845663546E-2</v>
      </c>
      <c r="F912" s="228"/>
      <c r="G912" s="245">
        <v>346.88784800000002</v>
      </c>
      <c r="H912" s="228">
        <f t="shared" si="85"/>
        <v>-2.2311131422799169E-2</v>
      </c>
      <c r="J912" s="227"/>
      <c r="K912" s="245">
        <v>54.008785000000003</v>
      </c>
      <c r="L912" s="228">
        <f t="shared" si="86"/>
        <v>6.7028045253623159E-3</v>
      </c>
      <c r="M912" s="228"/>
      <c r="N912" s="227"/>
      <c r="O912" s="322">
        <v>59.900002000000001</v>
      </c>
      <c r="P912" s="228">
        <f t="shared" si="87"/>
        <v>-4.8180263302546322E-3</v>
      </c>
      <c r="Q912" s="228"/>
      <c r="R912" s="227"/>
      <c r="S912" s="322">
        <v>297.58999599999999</v>
      </c>
      <c r="T912" s="228">
        <f t="shared" si="88"/>
        <v>-2.4039146948350631E-2</v>
      </c>
      <c r="U912" s="228"/>
      <c r="V912" s="228"/>
      <c r="W912" s="228"/>
      <c r="X912" s="322">
        <v>191.86999499999999</v>
      </c>
      <c r="Y912" s="228">
        <f t="shared" si="89"/>
        <v>-3.1691656934573764E-3</v>
      </c>
      <c r="Z912" s="228"/>
      <c r="AA912" s="202"/>
    </row>
    <row r="913" spans="2:27" x14ac:dyDescent="0.15">
      <c r="B913" s="241">
        <v>43991</v>
      </c>
      <c r="C913" s="244"/>
      <c r="D913" s="245">
        <v>70.576790000000003</v>
      </c>
      <c r="E913" s="228">
        <f t="shared" si="84"/>
        <v>-9.0659287274547085E-3</v>
      </c>
      <c r="F913" s="228"/>
      <c r="G913" s="245">
        <v>346.967285</v>
      </c>
      <c r="H913" s="228">
        <f t="shared" si="85"/>
        <v>2.2899908560636284E-4</v>
      </c>
      <c r="J913" s="227"/>
      <c r="K913" s="245">
        <v>55.019565999999998</v>
      </c>
      <c r="L913" s="228">
        <f t="shared" si="86"/>
        <v>1.8715121993579276E-2</v>
      </c>
      <c r="M913" s="228"/>
      <c r="N913" s="227"/>
      <c r="O913" s="322">
        <v>59.790000999999997</v>
      </c>
      <c r="P913" s="228">
        <f t="shared" si="87"/>
        <v>-1.8364106231583133E-3</v>
      </c>
      <c r="Q913" s="228"/>
      <c r="R913" s="227"/>
      <c r="S913" s="322">
        <v>302.32998700000002</v>
      </c>
      <c r="T913" s="228">
        <f t="shared" si="88"/>
        <v>1.5927924539506533E-2</v>
      </c>
      <c r="U913" s="228"/>
      <c r="V913" s="228"/>
      <c r="W913" s="228"/>
      <c r="X913" s="322">
        <v>191.029999</v>
      </c>
      <c r="Y913" s="228">
        <f t="shared" si="89"/>
        <v>-4.3779435132625943E-3</v>
      </c>
      <c r="Z913" s="228"/>
      <c r="AA913" s="202"/>
    </row>
    <row r="914" spans="2:27" x14ac:dyDescent="0.15">
      <c r="B914" s="241">
        <v>43992</v>
      </c>
      <c r="C914" s="244"/>
      <c r="D914" s="245">
        <v>70.058273</v>
      </c>
      <c r="E914" s="228">
        <f t="shared" si="84"/>
        <v>-7.3468487302978946E-3</v>
      </c>
      <c r="F914" s="228"/>
      <c r="G914" s="245">
        <v>345.56683299999997</v>
      </c>
      <c r="H914" s="228">
        <f t="shared" si="85"/>
        <v>-4.0362652634527985E-3</v>
      </c>
      <c r="J914" s="227"/>
      <c r="K914" s="245">
        <v>55.933166999999997</v>
      </c>
      <c r="L914" s="228">
        <f t="shared" si="86"/>
        <v>1.6605020112299584E-2</v>
      </c>
      <c r="M914" s="228"/>
      <c r="N914" s="227"/>
      <c r="O914" s="322">
        <v>59.860000999999997</v>
      </c>
      <c r="P914" s="228">
        <f t="shared" si="87"/>
        <v>1.1707643222820252E-3</v>
      </c>
      <c r="Q914" s="228"/>
      <c r="R914" s="227"/>
      <c r="S914" s="322">
        <v>301.29998799999998</v>
      </c>
      <c r="T914" s="228">
        <f t="shared" si="88"/>
        <v>-3.4068701230091092E-3</v>
      </c>
      <c r="U914" s="228"/>
      <c r="V914" s="228"/>
      <c r="W914" s="228"/>
      <c r="X914" s="322">
        <v>192.770004</v>
      </c>
      <c r="Y914" s="228">
        <f t="shared" si="89"/>
        <v>9.1085432084412332E-3</v>
      </c>
      <c r="Z914" s="228"/>
      <c r="AA914" s="202"/>
    </row>
    <row r="915" spans="2:27" x14ac:dyDescent="0.15">
      <c r="B915" s="241">
        <v>43993</v>
      </c>
      <c r="C915" s="244"/>
      <c r="D915" s="245">
        <v>65.988410999999999</v>
      </c>
      <c r="E915" s="228">
        <f t="shared" si="84"/>
        <v>-5.8092525346721047E-2</v>
      </c>
      <c r="F915" s="228"/>
      <c r="G915" s="245">
        <v>330.63851899999997</v>
      </c>
      <c r="H915" s="228">
        <f t="shared" si="85"/>
        <v>-4.319949883616292E-2</v>
      </c>
      <c r="J915" s="227"/>
      <c r="K915" s="245">
        <v>53.493682999999997</v>
      </c>
      <c r="L915" s="228">
        <f t="shared" si="86"/>
        <v>-4.3614265575199762E-2</v>
      </c>
      <c r="M915" s="228"/>
      <c r="N915" s="227"/>
      <c r="O915" s="322">
        <v>55.41</v>
      </c>
      <c r="P915" s="228">
        <f t="shared" si="87"/>
        <v>-7.4340142426659872E-2</v>
      </c>
      <c r="Q915" s="228"/>
      <c r="R915" s="227"/>
      <c r="S915" s="322">
        <v>282.42999300000002</v>
      </c>
      <c r="T915" s="228">
        <f t="shared" si="88"/>
        <v>-6.2628595259021203E-2</v>
      </c>
      <c r="U915" s="228"/>
      <c r="V915" s="228"/>
      <c r="W915" s="228"/>
      <c r="X915" s="322">
        <v>180.58000200000001</v>
      </c>
      <c r="Y915" s="228">
        <f t="shared" si="89"/>
        <v>-6.3235989765295653E-2</v>
      </c>
      <c r="Z915" s="228"/>
      <c r="AA915" s="202"/>
    </row>
    <row r="916" spans="2:27" x14ac:dyDescent="0.15">
      <c r="B916" s="241">
        <v>43994</v>
      </c>
      <c r="C916" s="244"/>
      <c r="D916" s="245">
        <v>66.722160000000002</v>
      </c>
      <c r="E916" s="228">
        <f t="shared" si="84"/>
        <v>1.111936154971227E-2</v>
      </c>
      <c r="F916" s="228"/>
      <c r="G916" s="245">
        <v>340.74963400000001</v>
      </c>
      <c r="H916" s="228">
        <f t="shared" si="85"/>
        <v>3.0580571890355124E-2</v>
      </c>
      <c r="J916" s="227"/>
      <c r="K916" s="245">
        <v>54.426712000000002</v>
      </c>
      <c r="L916" s="228">
        <f t="shared" si="86"/>
        <v>1.7441853835339804E-2</v>
      </c>
      <c r="M916" s="228"/>
      <c r="N916" s="227"/>
      <c r="O916" s="322">
        <v>56.549999</v>
      </c>
      <c r="P916" s="228">
        <f t="shared" si="87"/>
        <v>2.0573885580220219E-2</v>
      </c>
      <c r="Q916" s="228"/>
      <c r="R916" s="227"/>
      <c r="S916" s="322">
        <v>284.51998900000001</v>
      </c>
      <c r="T916" s="228">
        <f t="shared" si="88"/>
        <v>7.4000497532142884E-3</v>
      </c>
      <c r="U916" s="228"/>
      <c r="V916" s="228"/>
      <c r="W916" s="228"/>
      <c r="X916" s="322">
        <v>184.69000199999999</v>
      </c>
      <c r="Y916" s="228">
        <f t="shared" si="89"/>
        <v>2.2759995317753967E-2</v>
      </c>
      <c r="Z916" s="228"/>
      <c r="AA916" s="202"/>
    </row>
    <row r="917" spans="2:27" x14ac:dyDescent="0.15">
      <c r="B917" s="241">
        <v>43997</v>
      </c>
      <c r="C917" s="244"/>
      <c r="D917" s="245">
        <v>67.494263000000004</v>
      </c>
      <c r="E917" s="228">
        <f t="shared" si="84"/>
        <v>1.1571912540001783E-2</v>
      </c>
      <c r="F917" s="228"/>
      <c r="G917" s="245">
        <v>347.64273100000003</v>
      </c>
      <c r="H917" s="228">
        <f t="shared" si="85"/>
        <v>2.0229213217584974E-2</v>
      </c>
      <c r="J917" s="227"/>
      <c r="K917" s="245">
        <v>54.446148000000001</v>
      </c>
      <c r="L917" s="228">
        <f t="shared" si="86"/>
        <v>3.5710406316669108E-4</v>
      </c>
      <c r="M917" s="228"/>
      <c r="N917" s="227"/>
      <c r="O917" s="322">
        <v>57.049999</v>
      </c>
      <c r="P917" s="228">
        <f t="shared" si="87"/>
        <v>8.8417331360164386E-3</v>
      </c>
      <c r="Q917" s="228"/>
      <c r="R917" s="227"/>
      <c r="S917" s="322">
        <v>291.14001500000001</v>
      </c>
      <c r="T917" s="228">
        <f t="shared" si="88"/>
        <v>2.3267349416353333E-2</v>
      </c>
      <c r="U917" s="228"/>
      <c r="V917" s="228"/>
      <c r="W917" s="228"/>
      <c r="X917" s="322">
        <v>187.75</v>
      </c>
      <c r="Y917" s="228">
        <f t="shared" si="89"/>
        <v>1.6568292635569914E-2</v>
      </c>
      <c r="Z917" s="228"/>
      <c r="AA917" s="202"/>
    </row>
    <row r="918" spans="2:27" x14ac:dyDescent="0.15">
      <c r="B918" s="241">
        <v>43998</v>
      </c>
      <c r="C918" s="244"/>
      <c r="D918" s="245">
        <v>68.849845999999999</v>
      </c>
      <c r="E918" s="228">
        <f t="shared" si="84"/>
        <v>2.0084418137879201E-2</v>
      </c>
      <c r="F918" s="228"/>
      <c r="G918" s="245">
        <v>349.66888399999999</v>
      </c>
      <c r="H918" s="228">
        <f t="shared" si="85"/>
        <v>5.8282622339655976E-3</v>
      </c>
      <c r="J918" s="227"/>
      <c r="K918" s="245">
        <v>54.232326999999998</v>
      </c>
      <c r="L918" s="228">
        <f t="shared" si="86"/>
        <v>-3.9272016084591632E-3</v>
      </c>
      <c r="M918" s="228"/>
      <c r="N918" s="227"/>
      <c r="O918" s="322">
        <v>58.540000999999997</v>
      </c>
      <c r="P918" s="228">
        <f t="shared" si="87"/>
        <v>2.6117476356134484E-2</v>
      </c>
      <c r="Q918" s="228"/>
      <c r="R918" s="227"/>
      <c r="S918" s="322">
        <v>305.48001099999999</v>
      </c>
      <c r="T918" s="228">
        <f t="shared" si="88"/>
        <v>4.9254637841521065E-2</v>
      </c>
      <c r="U918" s="228"/>
      <c r="V918" s="228"/>
      <c r="W918" s="228"/>
      <c r="X918" s="322">
        <v>192.990005</v>
      </c>
      <c r="Y918" s="228">
        <f t="shared" si="89"/>
        <v>2.790948069241006E-2</v>
      </c>
      <c r="Z918" s="228"/>
      <c r="AA918" s="202"/>
    </row>
    <row r="919" spans="2:27" x14ac:dyDescent="0.15">
      <c r="B919" s="241">
        <v>43999</v>
      </c>
      <c r="C919" s="244"/>
      <c r="D919" s="245">
        <v>68.515861999999998</v>
      </c>
      <c r="E919" s="228">
        <f t="shared" si="84"/>
        <v>-4.8509040964304084E-3</v>
      </c>
      <c r="F919" s="228"/>
      <c r="G919" s="245">
        <v>359.95883199999997</v>
      </c>
      <c r="H919" s="228">
        <f t="shared" si="85"/>
        <v>2.9427691369873221E-2</v>
      </c>
      <c r="J919" s="227"/>
      <c r="K919" s="245">
        <v>55.009853</v>
      </c>
      <c r="L919" s="228">
        <f t="shared" si="86"/>
        <v>1.4336947038986469E-2</v>
      </c>
      <c r="M919" s="228"/>
      <c r="N919" s="227"/>
      <c r="O919" s="322">
        <v>60</v>
      </c>
      <c r="P919" s="228">
        <f t="shared" si="87"/>
        <v>2.4940194312603525E-2</v>
      </c>
      <c r="Q919" s="228"/>
      <c r="R919" s="227"/>
      <c r="S919" s="322">
        <v>313.77999899999998</v>
      </c>
      <c r="T919" s="228">
        <f t="shared" si="88"/>
        <v>2.717031459056729E-2</v>
      </c>
      <c r="U919" s="228"/>
      <c r="V919" s="228"/>
      <c r="W919" s="228"/>
      <c r="X919" s="322">
        <v>193.88999899999999</v>
      </c>
      <c r="Y919" s="228">
        <f t="shared" si="89"/>
        <v>4.6634228544633061E-3</v>
      </c>
      <c r="Z919" s="228"/>
      <c r="AA919" s="202"/>
    </row>
    <row r="920" spans="2:27" x14ac:dyDescent="0.15">
      <c r="B920" s="241">
        <v>44000</v>
      </c>
      <c r="C920" s="244"/>
      <c r="D920" s="245">
        <v>68.574791000000005</v>
      </c>
      <c r="E920" s="228">
        <f t="shared" si="84"/>
        <v>8.6007821079459035E-4</v>
      </c>
      <c r="F920" s="228"/>
      <c r="G920" s="245">
        <v>356.452698</v>
      </c>
      <c r="H920" s="228">
        <f t="shared" si="85"/>
        <v>-9.7403749771028947E-3</v>
      </c>
      <c r="J920" s="227"/>
      <c r="K920" s="245">
        <v>54.98048</v>
      </c>
      <c r="L920" s="228">
        <f t="shared" si="86"/>
        <v>-5.3395888914664624E-4</v>
      </c>
      <c r="M920" s="228"/>
      <c r="N920" s="227"/>
      <c r="O920" s="322">
        <v>60.380001</v>
      </c>
      <c r="P920" s="228">
        <f t="shared" si="87"/>
        <v>6.3333500000000154E-3</v>
      </c>
      <c r="Q920" s="228"/>
      <c r="R920" s="227"/>
      <c r="S920" s="322">
        <v>314.79998799999998</v>
      </c>
      <c r="T920" s="228">
        <f t="shared" si="88"/>
        <v>3.2506501473983374E-3</v>
      </c>
      <c r="U920" s="228"/>
      <c r="V920" s="228"/>
      <c r="W920" s="228"/>
      <c r="X920" s="322">
        <v>193.740005</v>
      </c>
      <c r="Y920" s="228">
        <f t="shared" si="89"/>
        <v>-7.7360359365408193E-4</v>
      </c>
      <c r="Z920" s="228"/>
      <c r="AA920" s="202"/>
    </row>
    <row r="921" spans="2:27" x14ac:dyDescent="0.15">
      <c r="B921" s="241">
        <v>44001</v>
      </c>
      <c r="C921" s="244"/>
      <c r="D921" s="245">
        <v>68.191688999999997</v>
      </c>
      <c r="E921" s="228">
        <f t="shared" si="84"/>
        <v>-5.5866302239260257E-3</v>
      </c>
      <c r="F921" s="228"/>
      <c r="G921" s="245">
        <v>358.23062099999999</v>
      </c>
      <c r="H921" s="228">
        <f t="shared" si="85"/>
        <v>4.9878230967970172E-3</v>
      </c>
      <c r="J921" s="227"/>
      <c r="K921" s="245">
        <v>54.157974000000003</v>
      </c>
      <c r="L921" s="228">
        <f t="shared" si="86"/>
        <v>-1.4959963972668078E-2</v>
      </c>
      <c r="M921" s="228"/>
      <c r="N921" s="227"/>
      <c r="O921" s="322">
        <v>60.950001</v>
      </c>
      <c r="P921" s="228">
        <f t="shared" si="87"/>
        <v>9.4402118343788199E-3</v>
      </c>
      <c r="Q921" s="228"/>
      <c r="R921" s="227"/>
      <c r="S921" s="322">
        <v>315.25</v>
      </c>
      <c r="T921" s="228">
        <f t="shared" si="88"/>
        <v>1.4295172082408047E-3</v>
      </c>
      <c r="U921" s="228"/>
      <c r="V921" s="228"/>
      <c r="W921" s="228"/>
      <c r="X921" s="322">
        <v>193.10000600000001</v>
      </c>
      <c r="Y921" s="228">
        <f t="shared" si="89"/>
        <v>-3.3033910575154257E-3</v>
      </c>
      <c r="Z921" s="228"/>
      <c r="AA921" s="202"/>
    </row>
    <row r="922" spans="2:27" x14ac:dyDescent="0.15">
      <c r="B922" s="241">
        <v>44004</v>
      </c>
      <c r="C922" s="244"/>
      <c r="D922" s="245">
        <v>68.653373999999999</v>
      </c>
      <c r="E922" s="228">
        <f t="shared" si="84"/>
        <v>6.7703998356749562E-3</v>
      </c>
      <c r="F922" s="228"/>
      <c r="G922" s="245">
        <v>361.82611100000003</v>
      </c>
      <c r="H922" s="228">
        <f t="shared" si="85"/>
        <v>1.0036802521133481E-2</v>
      </c>
      <c r="J922" s="227"/>
      <c r="K922" s="245">
        <v>54.833599</v>
      </c>
      <c r="L922" s="228">
        <f t="shared" si="86"/>
        <v>1.2475078923742444E-2</v>
      </c>
      <c r="M922" s="228"/>
      <c r="N922" s="227"/>
      <c r="O922" s="322">
        <v>61.27</v>
      </c>
      <c r="P922" s="228">
        <f t="shared" si="87"/>
        <v>5.2501885931059977E-3</v>
      </c>
      <c r="Q922" s="228"/>
      <c r="R922" s="227"/>
      <c r="S922" s="322">
        <v>312.29998799999998</v>
      </c>
      <c r="T922" s="228">
        <f t="shared" si="88"/>
        <v>-9.357690721649492E-3</v>
      </c>
      <c r="U922" s="228"/>
      <c r="V922" s="228"/>
      <c r="W922" s="228"/>
      <c r="X922" s="322">
        <v>191.86000100000001</v>
      </c>
      <c r="Y922" s="228">
        <f t="shared" si="89"/>
        <v>-6.4215689356321715E-3</v>
      </c>
      <c r="Z922" s="228"/>
      <c r="AA922" s="202"/>
    </row>
    <row r="923" spans="2:27" x14ac:dyDescent="0.15">
      <c r="B923" s="241">
        <v>44005</v>
      </c>
      <c r="C923" s="244"/>
      <c r="D923" s="245">
        <v>68.938248000000002</v>
      </c>
      <c r="E923" s="228">
        <f t="shared" si="84"/>
        <v>4.1494537471675752E-3</v>
      </c>
      <c r="F923" s="228"/>
      <c r="G923" s="245">
        <v>364.16021699999999</v>
      </c>
      <c r="H923" s="228">
        <f t="shared" si="85"/>
        <v>6.4509053632118007E-3</v>
      </c>
      <c r="J923" s="227"/>
      <c r="K923" s="245">
        <v>55.577770000000001</v>
      </c>
      <c r="L923" s="228">
        <f t="shared" si="86"/>
        <v>1.3571441845354748E-2</v>
      </c>
      <c r="M923" s="228"/>
      <c r="N923" s="227"/>
      <c r="O923" s="322">
        <v>60.84</v>
      </c>
      <c r="P923" s="228">
        <f t="shared" si="87"/>
        <v>-7.0181165333768059E-3</v>
      </c>
      <c r="Q923" s="228"/>
      <c r="R923" s="227"/>
      <c r="S923" s="322">
        <v>315.98001099999999</v>
      </c>
      <c r="T923" s="228">
        <f t="shared" si="88"/>
        <v>1.1783615566453465E-2</v>
      </c>
      <c r="U923" s="228"/>
      <c r="V923" s="228"/>
      <c r="W923" s="228"/>
      <c r="X923" s="322">
        <v>193.21000699999999</v>
      </c>
      <c r="Y923" s="228">
        <f t="shared" si="89"/>
        <v>7.0364119303845118E-3</v>
      </c>
      <c r="Z923" s="228"/>
      <c r="AA923" s="202"/>
    </row>
    <row r="924" spans="2:27" x14ac:dyDescent="0.15">
      <c r="B924" s="241">
        <v>44006</v>
      </c>
      <c r="C924" s="244"/>
      <c r="D924" s="245">
        <v>67.042404000000005</v>
      </c>
      <c r="E924" s="228">
        <f t="shared" si="84"/>
        <v>-2.7500611851928647E-2</v>
      </c>
      <c r="F924" s="228"/>
      <c r="G924" s="245">
        <v>359.13443000000001</v>
      </c>
      <c r="H924" s="228">
        <f t="shared" si="85"/>
        <v>-1.3801032527394286E-2</v>
      </c>
      <c r="J924" s="227"/>
      <c r="K924" s="245">
        <v>55.401524000000002</v>
      </c>
      <c r="L924" s="228">
        <f t="shared" si="86"/>
        <v>-3.1711599799704171E-3</v>
      </c>
      <c r="M924" s="228"/>
      <c r="N924" s="227"/>
      <c r="O924" s="322">
        <v>59.970001000000003</v>
      </c>
      <c r="P924" s="228">
        <f t="shared" si="87"/>
        <v>-1.4299786324786345E-2</v>
      </c>
      <c r="Q924" s="228"/>
      <c r="R924" s="227"/>
      <c r="S924" s="322">
        <v>305.77999899999998</v>
      </c>
      <c r="T924" s="228">
        <f t="shared" si="88"/>
        <v>-3.2280560937128389E-2</v>
      </c>
      <c r="U924" s="228"/>
      <c r="V924" s="228"/>
      <c r="W924" s="228"/>
      <c r="X924" s="322">
        <v>188.61999499999999</v>
      </c>
      <c r="Y924" s="228">
        <f t="shared" si="89"/>
        <v>-2.3756595588757534E-2</v>
      </c>
      <c r="Z924" s="228"/>
      <c r="AA924" s="202"/>
    </row>
    <row r="925" spans="2:27" x14ac:dyDescent="0.15">
      <c r="B925" s="241">
        <v>44007</v>
      </c>
      <c r="C925" s="244"/>
      <c r="D925" s="245">
        <v>67.877364999999998</v>
      </c>
      <c r="E925" s="228">
        <f t="shared" si="84"/>
        <v>1.2454222256111036E-2</v>
      </c>
      <c r="F925" s="228"/>
      <c r="G925" s="245">
        <v>364.070831</v>
      </c>
      <c r="H925" s="228">
        <f t="shared" si="85"/>
        <v>1.3745273601308616E-2</v>
      </c>
      <c r="J925" s="227"/>
      <c r="K925" s="245">
        <v>55.851944000000003</v>
      </c>
      <c r="L925" s="228">
        <f t="shared" si="86"/>
        <v>8.1301012585863752E-3</v>
      </c>
      <c r="M925" s="228"/>
      <c r="N925" s="227"/>
      <c r="O925" s="322">
        <v>59.98</v>
      </c>
      <c r="P925" s="228">
        <f t="shared" si="87"/>
        <v>1.6673336390304883E-4</v>
      </c>
      <c r="Q925" s="228"/>
      <c r="R925" s="227"/>
      <c r="S925" s="322">
        <v>312.60000600000001</v>
      </c>
      <c r="T925" s="228">
        <f t="shared" si="88"/>
        <v>2.2303639944743603E-2</v>
      </c>
      <c r="U925" s="228"/>
      <c r="V925" s="228"/>
      <c r="W925" s="228"/>
      <c r="X925" s="322">
        <v>192.35000600000001</v>
      </c>
      <c r="Y925" s="228">
        <f t="shared" si="89"/>
        <v>1.9775268258277912E-2</v>
      </c>
      <c r="Z925" s="228"/>
      <c r="AA925" s="202"/>
    </row>
    <row r="926" spans="2:27" x14ac:dyDescent="0.15">
      <c r="B926" s="241">
        <v>44008</v>
      </c>
      <c r="C926" s="244"/>
      <c r="D926" s="245">
        <v>66.276206999999999</v>
      </c>
      <c r="E926" s="228">
        <f t="shared" si="84"/>
        <v>-2.3588982866379671E-2</v>
      </c>
      <c r="F926" s="228"/>
      <c r="G926" s="245">
        <v>359.31323200000003</v>
      </c>
      <c r="H926" s="228">
        <f t="shared" si="85"/>
        <v>-1.3067784054361598E-2</v>
      </c>
      <c r="J926" s="227"/>
      <c r="K926" s="245">
        <v>55.156731000000001</v>
      </c>
      <c r="L926" s="228">
        <f t="shared" si="86"/>
        <v>-1.2447427076128337E-2</v>
      </c>
      <c r="M926" s="228"/>
      <c r="N926" s="227"/>
      <c r="O926" s="322">
        <v>58.380001</v>
      </c>
      <c r="P926" s="228">
        <f t="shared" si="87"/>
        <v>-2.667554184728238E-2</v>
      </c>
      <c r="Q926" s="228"/>
      <c r="R926" s="227"/>
      <c r="S926" s="322">
        <v>302.51998900000001</v>
      </c>
      <c r="T926" s="228">
        <f t="shared" si="88"/>
        <v>-3.2245735145635224E-2</v>
      </c>
      <c r="U926" s="228"/>
      <c r="V926" s="228"/>
      <c r="W926" s="228"/>
      <c r="X926" s="322">
        <v>189.570007</v>
      </c>
      <c r="Y926" s="228">
        <f t="shared" si="89"/>
        <v>-1.445281472983162E-2</v>
      </c>
      <c r="Z926" s="228"/>
      <c r="AA926" s="202"/>
    </row>
    <row r="927" spans="2:27" x14ac:dyDescent="0.15">
      <c r="B927" s="241">
        <v>44011</v>
      </c>
      <c r="C927" s="244"/>
      <c r="D927" s="245">
        <v>67.278152000000006</v>
      </c>
      <c r="E927" s="228">
        <f t="shared" si="84"/>
        <v>1.5117717886299786E-2</v>
      </c>
      <c r="F927" s="228"/>
      <c r="G927" s="245">
        <v>362.34258999999997</v>
      </c>
      <c r="H927" s="228">
        <f t="shared" si="85"/>
        <v>8.4309669953928079E-3</v>
      </c>
      <c r="J927" s="227"/>
      <c r="K927" s="245">
        <v>55.215477</v>
      </c>
      <c r="L927" s="228">
        <f t="shared" si="86"/>
        <v>1.0650739979496393E-3</v>
      </c>
      <c r="M927" s="228"/>
      <c r="N927" s="227"/>
      <c r="O927" s="322">
        <v>59.060001</v>
      </c>
      <c r="P927" s="228">
        <f t="shared" si="87"/>
        <v>1.1647824397947426E-2</v>
      </c>
      <c r="Q927" s="228"/>
      <c r="R927" s="227"/>
      <c r="S927" s="322">
        <v>308.459991</v>
      </c>
      <c r="T927" s="228">
        <f t="shared" si="88"/>
        <v>1.9635072775306739E-2</v>
      </c>
      <c r="U927" s="228"/>
      <c r="V927" s="228"/>
      <c r="W927" s="228"/>
      <c r="X927" s="322">
        <v>191.729996</v>
      </c>
      <c r="Y927" s="228">
        <f t="shared" si="89"/>
        <v>1.1394149497499395E-2</v>
      </c>
      <c r="Z927" s="228"/>
      <c r="AA927" s="202"/>
    </row>
    <row r="928" spans="2:27" x14ac:dyDescent="0.15">
      <c r="B928" s="241">
        <v>44012</v>
      </c>
      <c r="C928" s="244"/>
      <c r="D928" s="245">
        <v>68.211342000000002</v>
      </c>
      <c r="E928" s="228">
        <f t="shared" si="84"/>
        <v>1.3870624746054272E-2</v>
      </c>
      <c r="F928" s="228"/>
      <c r="G928" s="245">
        <v>365.54080199999999</v>
      </c>
      <c r="H928" s="228">
        <f t="shared" si="85"/>
        <v>8.8264865579286145E-3</v>
      </c>
      <c r="J928" s="227"/>
      <c r="K928" s="245">
        <v>55.587563000000003</v>
      </c>
      <c r="L928" s="228">
        <f t="shared" si="86"/>
        <v>6.7387989784097879E-3</v>
      </c>
      <c r="M928" s="228"/>
      <c r="N928" s="227"/>
      <c r="O928" s="322">
        <v>60.450001</v>
      </c>
      <c r="P928" s="228">
        <f t="shared" si="87"/>
        <v>2.3535387342780378E-2</v>
      </c>
      <c r="Q928" s="228"/>
      <c r="R928" s="227"/>
      <c r="S928" s="322">
        <v>323.459991</v>
      </c>
      <c r="T928" s="228">
        <f t="shared" si="88"/>
        <v>4.8628672883544333E-2</v>
      </c>
      <c r="U928" s="228"/>
      <c r="V928" s="228"/>
      <c r="W928" s="228"/>
      <c r="X928" s="322">
        <v>194.479996</v>
      </c>
      <c r="Y928" s="228">
        <f t="shared" si="89"/>
        <v>1.4343086931478455E-2</v>
      </c>
      <c r="Z928" s="228"/>
      <c r="AA928" s="202"/>
    </row>
    <row r="929" spans="2:27" x14ac:dyDescent="0.15">
      <c r="B929" s="241">
        <v>44013</v>
      </c>
      <c r="C929" s="244"/>
      <c r="D929" s="245">
        <v>68.574791000000005</v>
      </c>
      <c r="E929" s="228">
        <f t="shared" si="84"/>
        <v>5.3282781036620985E-3</v>
      </c>
      <c r="F929" s="228"/>
      <c r="G929" s="245">
        <v>365.10379</v>
      </c>
      <c r="H929" s="228">
        <f t="shared" si="85"/>
        <v>-1.195521806618971E-3</v>
      </c>
      <c r="J929" s="227"/>
      <c r="K929" s="245">
        <v>55.636519999999997</v>
      </c>
      <c r="L929" s="228">
        <f t="shared" si="86"/>
        <v>8.8071858807681203E-4</v>
      </c>
      <c r="M929" s="228"/>
      <c r="N929" s="227"/>
      <c r="O929" s="322">
        <v>59.68</v>
      </c>
      <c r="P929" s="228">
        <f t="shared" si="87"/>
        <v>-1.2737816166454641E-2</v>
      </c>
      <c r="Q929" s="228"/>
      <c r="R929" s="227"/>
      <c r="S929" s="322">
        <v>317.48001099999999</v>
      </c>
      <c r="T929" s="228">
        <f t="shared" si="88"/>
        <v>-1.8487541477734126E-2</v>
      </c>
      <c r="U929" s="228"/>
      <c r="V929" s="228"/>
      <c r="W929" s="228"/>
      <c r="X929" s="322">
        <v>193.14999399999999</v>
      </c>
      <c r="Y929" s="228">
        <f t="shared" si="89"/>
        <v>-6.8387599102994745E-3</v>
      </c>
      <c r="Z929" s="228"/>
      <c r="AA929" s="202"/>
    </row>
    <row r="930" spans="2:27" x14ac:dyDescent="0.15">
      <c r="B930" s="241">
        <v>44014</v>
      </c>
      <c r="C930" s="244"/>
      <c r="D930" s="245">
        <v>69.203468000000001</v>
      </c>
      <c r="E930" s="228">
        <f t="shared" si="84"/>
        <v>9.1677567052299569E-3</v>
      </c>
      <c r="F930" s="228"/>
      <c r="G930" s="245">
        <v>370.69570900000002</v>
      </c>
      <c r="H930" s="228">
        <f t="shared" si="85"/>
        <v>1.5315970836676351E-2</v>
      </c>
      <c r="J930" s="227"/>
      <c r="K930" s="245">
        <v>57.399028999999999</v>
      </c>
      <c r="L930" s="228">
        <f t="shared" si="86"/>
        <v>3.1678994300865737E-2</v>
      </c>
      <c r="M930" s="228"/>
      <c r="N930" s="227"/>
      <c r="O930" s="322">
        <v>61</v>
      </c>
      <c r="P930" s="228">
        <f t="shared" si="87"/>
        <v>2.2117962466488006E-2</v>
      </c>
      <c r="Q930" s="228"/>
      <c r="R930" s="227"/>
      <c r="S930" s="322">
        <v>323.70001200000002</v>
      </c>
      <c r="T930" s="228">
        <f t="shared" si="88"/>
        <v>1.9591787780302239E-2</v>
      </c>
      <c r="U930" s="228"/>
      <c r="V930" s="228"/>
      <c r="W930" s="228"/>
      <c r="X930" s="322">
        <v>196.509995</v>
      </c>
      <c r="Y930" s="228">
        <f t="shared" si="89"/>
        <v>1.7395812085813533E-2</v>
      </c>
      <c r="Z930" s="228"/>
      <c r="AA930" s="202"/>
    </row>
    <row r="931" spans="2:27" x14ac:dyDescent="0.15">
      <c r="B931" s="241">
        <v>44018</v>
      </c>
      <c r="C931" s="244"/>
      <c r="D931" s="245">
        <v>69.979491999999993</v>
      </c>
      <c r="E931" s="228">
        <f t="shared" si="84"/>
        <v>1.1213657673918798E-2</v>
      </c>
      <c r="F931" s="228"/>
      <c r="G931" s="245">
        <v>382.85290500000002</v>
      </c>
      <c r="H931" s="228">
        <f t="shared" si="85"/>
        <v>3.2795621057485791E-2</v>
      </c>
      <c r="J931" s="227"/>
      <c r="K931" s="245">
        <v>60.591132999999999</v>
      </c>
      <c r="L931" s="228">
        <f t="shared" si="86"/>
        <v>5.5612508706375463E-2</v>
      </c>
      <c r="M931" s="228"/>
      <c r="N931" s="227"/>
      <c r="O931" s="322">
        <v>63.459999000000003</v>
      </c>
      <c r="P931" s="228">
        <f t="shared" si="87"/>
        <v>4.0327852459016489E-2</v>
      </c>
      <c r="Q931" s="228"/>
      <c r="R931" s="227"/>
      <c r="S931" s="322">
        <v>334.959991</v>
      </c>
      <c r="T931" s="228">
        <f t="shared" si="88"/>
        <v>3.4785228861838879E-2</v>
      </c>
      <c r="U931" s="228"/>
      <c r="V931" s="228"/>
      <c r="W931" s="228"/>
      <c r="X931" s="322">
        <v>203.58999600000001</v>
      </c>
      <c r="Y931" s="228">
        <f t="shared" si="89"/>
        <v>3.6028706834988267E-2</v>
      </c>
      <c r="Z931" s="228"/>
      <c r="AA931" s="202"/>
    </row>
    <row r="932" spans="2:27" x14ac:dyDescent="0.15">
      <c r="B932" s="241">
        <v>44019</v>
      </c>
      <c r="C932" s="244"/>
      <c r="D932" s="245">
        <v>69.232940999999997</v>
      </c>
      <c r="E932" s="228">
        <f t="shared" si="84"/>
        <v>-1.0668139745855787E-2</v>
      </c>
      <c r="F932" s="228"/>
      <c r="G932" s="245">
        <v>379.43618800000002</v>
      </c>
      <c r="H932" s="228">
        <f t="shared" si="85"/>
        <v>-8.9243596048983465E-3</v>
      </c>
      <c r="J932" s="227"/>
      <c r="K932" s="245">
        <v>59.445495999999999</v>
      </c>
      <c r="L932" s="228">
        <f t="shared" si="86"/>
        <v>-1.8907667562512831E-2</v>
      </c>
      <c r="M932" s="228"/>
      <c r="N932" s="227"/>
      <c r="O932" s="322">
        <v>62.18</v>
      </c>
      <c r="P932" s="228">
        <f t="shared" si="87"/>
        <v>-2.0170170503784668E-2</v>
      </c>
      <c r="Q932" s="228"/>
      <c r="R932" s="227"/>
      <c r="S932" s="322">
        <v>327.89001500000001</v>
      </c>
      <c r="T932" s="228">
        <f t="shared" si="88"/>
        <v>-2.1106926767262779E-2</v>
      </c>
      <c r="U932" s="228"/>
      <c r="V932" s="228"/>
      <c r="W932" s="228"/>
      <c r="X932" s="322">
        <v>202.69000199999999</v>
      </c>
      <c r="Y932" s="228">
        <f t="shared" si="89"/>
        <v>-4.4206199601282137E-3</v>
      </c>
      <c r="Z932" s="228"/>
      <c r="AA932" s="202"/>
    </row>
    <row r="933" spans="2:27" x14ac:dyDescent="0.15">
      <c r="B933" s="241">
        <v>44020</v>
      </c>
      <c r="C933" s="244"/>
      <c r="D933" s="245">
        <v>69.841965000000002</v>
      </c>
      <c r="E933" s="228">
        <f t="shared" si="84"/>
        <v>8.7967373796817849E-3</v>
      </c>
      <c r="F933" s="228"/>
      <c r="G933" s="245">
        <v>389.27917500000001</v>
      </c>
      <c r="H933" s="228">
        <f t="shared" si="85"/>
        <v>2.5941086568158411E-2</v>
      </c>
      <c r="J933" s="227"/>
      <c r="K933" s="245">
        <v>61.286343000000002</v>
      </c>
      <c r="L933" s="228">
        <f t="shared" si="86"/>
        <v>3.0966971829119005E-2</v>
      </c>
      <c r="M933" s="228"/>
      <c r="N933" s="227"/>
      <c r="O933" s="322">
        <v>62.77</v>
      </c>
      <c r="P933" s="228">
        <f t="shared" si="87"/>
        <v>9.4885815374718963E-3</v>
      </c>
      <c r="Q933" s="228"/>
      <c r="R933" s="227"/>
      <c r="S933" s="322">
        <v>333.79998799999998</v>
      </c>
      <c r="T933" s="228">
        <f t="shared" si="88"/>
        <v>1.8024254260990524E-2</v>
      </c>
      <c r="U933" s="228"/>
      <c r="V933" s="228"/>
      <c r="W933" s="228"/>
      <c r="X933" s="322">
        <v>204.509995</v>
      </c>
      <c r="Y933" s="228">
        <f t="shared" si="89"/>
        <v>8.9791947409423312E-3</v>
      </c>
      <c r="Z933" s="228"/>
      <c r="AA933" s="202"/>
    </row>
    <row r="934" spans="2:27" x14ac:dyDescent="0.15">
      <c r="B934" s="241">
        <v>44021</v>
      </c>
      <c r="C934" s="244"/>
      <c r="D934" s="245">
        <v>69.429405000000003</v>
      </c>
      <c r="E934" s="228">
        <f t="shared" si="84"/>
        <v>-5.9070502956209969E-3</v>
      </c>
      <c r="F934" s="228"/>
      <c r="G934" s="245">
        <v>392.05029300000001</v>
      </c>
      <c r="H934" s="228">
        <f t="shared" si="85"/>
        <v>7.1185878360946475E-3</v>
      </c>
      <c r="J934" s="227"/>
      <c r="K934" s="245">
        <v>63.430720999999998</v>
      </c>
      <c r="L934" s="228">
        <f t="shared" si="86"/>
        <v>3.4989491867706946E-2</v>
      </c>
      <c r="M934" s="228"/>
      <c r="N934" s="227"/>
      <c r="O934" s="322">
        <v>63.490001999999997</v>
      </c>
      <c r="P934" s="228">
        <f t="shared" si="87"/>
        <v>1.147047952843705E-2</v>
      </c>
      <c r="Q934" s="228"/>
      <c r="R934" s="227"/>
      <c r="S934" s="322">
        <v>335.76001000000002</v>
      </c>
      <c r="T934" s="228">
        <f t="shared" si="88"/>
        <v>5.8718456275079767E-3</v>
      </c>
      <c r="U934" s="228"/>
      <c r="V934" s="228"/>
      <c r="W934" s="228"/>
      <c r="X934" s="322">
        <v>203.58999600000001</v>
      </c>
      <c r="Y934" s="228">
        <f t="shared" si="89"/>
        <v>-4.4985527479964871E-3</v>
      </c>
      <c r="Z934" s="228"/>
      <c r="AA934" s="202"/>
    </row>
    <row r="935" spans="2:27" x14ac:dyDescent="0.15">
      <c r="B935" s="241">
        <v>44022</v>
      </c>
      <c r="C935" s="244"/>
      <c r="D935" s="245">
        <v>70.156311000000002</v>
      </c>
      <c r="E935" s="228">
        <f t="shared" si="84"/>
        <v>1.0469713804979408E-2</v>
      </c>
      <c r="F935" s="228"/>
      <c r="G935" s="245">
        <v>393.17263800000001</v>
      </c>
      <c r="H935" s="228">
        <f t="shared" si="85"/>
        <v>2.8627577125672765E-3</v>
      </c>
      <c r="J935" s="227"/>
      <c r="K935" s="245">
        <v>62.520091999999998</v>
      </c>
      <c r="L935" s="228">
        <f t="shared" si="86"/>
        <v>-1.4356276984459959E-2</v>
      </c>
      <c r="M935" s="228"/>
      <c r="N935" s="227"/>
      <c r="O935" s="322">
        <v>62.59</v>
      </c>
      <c r="P935" s="228">
        <f t="shared" si="87"/>
        <v>-1.4175491756953984E-2</v>
      </c>
      <c r="Q935" s="228"/>
      <c r="R935" s="227"/>
      <c r="S935" s="322">
        <v>339.98001099999999</v>
      </c>
      <c r="T935" s="228">
        <f t="shared" si="88"/>
        <v>1.2568503914447637E-2</v>
      </c>
      <c r="U935" s="228"/>
      <c r="V935" s="228"/>
      <c r="W935" s="228"/>
      <c r="X935" s="322">
        <v>202.259995</v>
      </c>
      <c r="Y935" s="228">
        <f t="shared" si="89"/>
        <v>-6.5327424044941962E-3</v>
      </c>
      <c r="Z935" s="228"/>
      <c r="AA935" s="202"/>
    </row>
    <row r="936" spans="2:27" x14ac:dyDescent="0.15">
      <c r="B936" s="241">
        <v>44025</v>
      </c>
      <c r="C936" s="244"/>
      <c r="D936" s="245">
        <v>69.350814999999997</v>
      </c>
      <c r="E936" s="228">
        <f t="shared" si="84"/>
        <v>-1.148144747804658E-2</v>
      </c>
      <c r="F936" s="228"/>
      <c r="G936" s="245">
        <v>385.99154700000003</v>
      </c>
      <c r="H936" s="228">
        <f t="shared" si="85"/>
        <v>-1.8264472920925812E-2</v>
      </c>
      <c r="J936" s="227"/>
      <c r="K936" s="245">
        <v>63.714686999999998</v>
      </c>
      <c r="L936" s="228">
        <f t="shared" si="86"/>
        <v>1.910737751313607E-2</v>
      </c>
      <c r="M936" s="228"/>
      <c r="N936" s="227"/>
      <c r="O936" s="322">
        <v>61.509998000000003</v>
      </c>
      <c r="P936" s="228">
        <f t="shared" si="87"/>
        <v>-1.7255184534270662E-2</v>
      </c>
      <c r="Q936" s="228"/>
      <c r="R936" s="227"/>
      <c r="S936" s="322">
        <v>337.14001500000001</v>
      </c>
      <c r="T936" s="228">
        <f t="shared" si="88"/>
        <v>-8.353420519184529E-3</v>
      </c>
      <c r="U936" s="228"/>
      <c r="V936" s="228"/>
      <c r="W936" s="228"/>
      <c r="X936" s="322">
        <v>199.570007</v>
      </c>
      <c r="Y936" s="228">
        <f t="shared" si="89"/>
        <v>-1.3299654239584013E-2</v>
      </c>
      <c r="Z936" s="228"/>
      <c r="AA936" s="202"/>
    </row>
    <row r="937" spans="2:27" x14ac:dyDescent="0.15">
      <c r="B937" s="241">
        <v>44026</v>
      </c>
      <c r="C937" s="244"/>
      <c r="D937" s="245">
        <v>70.274185000000003</v>
      </c>
      <c r="E937" s="228">
        <f t="shared" si="84"/>
        <v>1.3314479433298665E-2</v>
      </c>
      <c r="F937" s="228"/>
      <c r="G937" s="245">
        <v>394.14599600000003</v>
      </c>
      <c r="H937" s="228">
        <f t="shared" si="85"/>
        <v>2.1125978181071314E-2</v>
      </c>
      <c r="J937" s="227"/>
      <c r="K937" s="245">
        <v>65.565323000000006</v>
      </c>
      <c r="L937" s="228">
        <f t="shared" si="86"/>
        <v>2.9045673566598706E-2</v>
      </c>
      <c r="M937" s="228"/>
      <c r="N937" s="227"/>
      <c r="O937" s="322">
        <v>62.540000999999997</v>
      </c>
      <c r="P937" s="228">
        <f t="shared" si="87"/>
        <v>1.6745293992693533E-2</v>
      </c>
      <c r="Q937" s="228"/>
      <c r="R937" s="227"/>
      <c r="S937" s="322">
        <v>346.05999800000001</v>
      </c>
      <c r="T937" s="228">
        <f t="shared" si="88"/>
        <v>2.6457799736409271E-2</v>
      </c>
      <c r="U937" s="228"/>
      <c r="V937" s="228"/>
      <c r="W937" s="228"/>
      <c r="X937" s="322">
        <v>200.929993</v>
      </c>
      <c r="Y937" s="228">
        <f t="shared" si="89"/>
        <v>6.8145811108779597E-3</v>
      </c>
      <c r="Z937" s="228"/>
      <c r="AA937" s="202"/>
    </row>
    <row r="938" spans="2:27" x14ac:dyDescent="0.15">
      <c r="B938" s="241">
        <v>44027</v>
      </c>
      <c r="C938" s="244"/>
      <c r="D938" s="245">
        <v>71.197556000000006</v>
      </c>
      <c r="E938" s="228">
        <f t="shared" si="84"/>
        <v>1.3139547616240588E-2</v>
      </c>
      <c r="F938" s="228"/>
      <c r="G938" s="245">
        <v>372.89074699999998</v>
      </c>
      <c r="H938" s="228">
        <f t="shared" si="85"/>
        <v>-5.3927349803649993E-2</v>
      </c>
      <c r="J938" s="227"/>
      <c r="K938" s="245">
        <v>64.684066999999999</v>
      </c>
      <c r="L938" s="228">
        <f t="shared" si="86"/>
        <v>-1.3440885511995515E-2</v>
      </c>
      <c r="M938" s="228"/>
      <c r="N938" s="227"/>
      <c r="O938" s="322">
        <v>62.099997999999999</v>
      </c>
      <c r="P938" s="228">
        <f t="shared" si="87"/>
        <v>-7.0355451385425427E-3</v>
      </c>
      <c r="Q938" s="228"/>
      <c r="R938" s="227"/>
      <c r="S938" s="322">
        <v>343.22000100000002</v>
      </c>
      <c r="T938" s="228">
        <f t="shared" si="88"/>
        <v>-8.2066607421062976E-3</v>
      </c>
      <c r="U938" s="228"/>
      <c r="V938" s="228"/>
      <c r="W938" s="228"/>
      <c r="X938" s="322">
        <v>196.03999300000001</v>
      </c>
      <c r="Y938" s="228">
        <f t="shared" si="89"/>
        <v>-2.4336834571033861E-2</v>
      </c>
      <c r="Z938" s="228"/>
      <c r="AA938" s="202"/>
    </row>
    <row r="939" spans="2:27" x14ac:dyDescent="0.15">
      <c r="B939" s="241">
        <v>44028</v>
      </c>
      <c r="C939" s="244"/>
      <c r="D939" s="245">
        <v>70.902862999999996</v>
      </c>
      <c r="E939" s="228">
        <f t="shared" si="84"/>
        <v>-4.1390887069214788E-3</v>
      </c>
      <c r="F939" s="228"/>
      <c r="G939" s="245">
        <v>382.614532</v>
      </c>
      <c r="H939" s="228">
        <f t="shared" si="85"/>
        <v>2.6076766662166628E-2</v>
      </c>
      <c r="J939" s="227"/>
      <c r="K939" s="245">
        <v>65.203025999999994</v>
      </c>
      <c r="L939" s="228">
        <f t="shared" si="86"/>
        <v>8.0229803732037031E-3</v>
      </c>
      <c r="M939" s="228"/>
      <c r="N939" s="227"/>
      <c r="O939" s="322">
        <v>62.34</v>
      </c>
      <c r="P939" s="228">
        <f t="shared" si="87"/>
        <v>3.8647666301052652E-3</v>
      </c>
      <c r="Q939" s="228"/>
      <c r="R939" s="227"/>
      <c r="S939" s="322">
        <v>344.88000499999998</v>
      </c>
      <c r="T939" s="228">
        <f t="shared" si="88"/>
        <v>4.8365596269546174E-3</v>
      </c>
      <c r="U939" s="228"/>
      <c r="V939" s="228"/>
      <c r="W939" s="228"/>
      <c r="X939" s="322">
        <v>196.03999300000001</v>
      </c>
      <c r="Y939" s="228">
        <f t="shared" si="89"/>
        <v>0</v>
      </c>
      <c r="Z939" s="228"/>
      <c r="AA939" s="202"/>
    </row>
    <row r="940" spans="2:27" x14ac:dyDescent="0.15">
      <c r="B940" s="241">
        <v>44029</v>
      </c>
      <c r="C940" s="244"/>
      <c r="D940" s="245">
        <v>71.148437999999999</v>
      </c>
      <c r="E940" s="228">
        <f t="shared" si="84"/>
        <v>3.4635413805503834E-3</v>
      </c>
      <c r="F940" s="228"/>
      <c r="G940" s="245">
        <v>380.99557499999997</v>
      </c>
      <c r="H940" s="228">
        <f t="shared" si="85"/>
        <v>-4.2313003417235873E-3</v>
      </c>
      <c r="J940" s="227"/>
      <c r="K940" s="245">
        <v>65.016991000000004</v>
      </c>
      <c r="L940" s="228">
        <f t="shared" si="86"/>
        <v>-2.8531651276428871E-3</v>
      </c>
      <c r="M940" s="228"/>
      <c r="N940" s="227"/>
      <c r="O940" s="322">
        <v>62.299999</v>
      </c>
      <c r="P940" s="228">
        <f t="shared" si="87"/>
        <v>-6.416586461341911E-4</v>
      </c>
      <c r="Q940" s="228"/>
      <c r="R940" s="227"/>
      <c r="S940" s="322">
        <v>346.26998900000001</v>
      </c>
      <c r="T940" s="228">
        <f t="shared" si="88"/>
        <v>4.0303409297388626E-3</v>
      </c>
      <c r="U940" s="228"/>
      <c r="V940" s="228"/>
      <c r="W940" s="228"/>
      <c r="X940" s="322">
        <v>197.199997</v>
      </c>
      <c r="Y940" s="228">
        <f t="shared" si="89"/>
        <v>5.9171803785975641E-3</v>
      </c>
      <c r="Z940" s="228"/>
      <c r="AA940" s="202"/>
    </row>
    <row r="941" spans="2:27" x14ac:dyDescent="0.15">
      <c r="B941" s="241">
        <v>44032</v>
      </c>
      <c r="C941" s="244"/>
      <c r="D941" s="245">
        <v>71.718177999999995</v>
      </c>
      <c r="E941" s="228">
        <f t="shared" si="84"/>
        <v>8.007765398869271E-3</v>
      </c>
      <c r="F941" s="228"/>
      <c r="G941" s="245">
        <v>388.832245</v>
      </c>
      <c r="H941" s="228">
        <f t="shared" si="85"/>
        <v>2.0568926555118106E-2</v>
      </c>
      <c r="J941" s="227"/>
      <c r="K941" s="245">
        <v>65.496787999999995</v>
      </c>
      <c r="L941" s="228">
        <f t="shared" si="86"/>
        <v>7.3795632898481234E-3</v>
      </c>
      <c r="M941" s="228"/>
      <c r="N941" s="227"/>
      <c r="O941" s="322">
        <v>63.73</v>
      </c>
      <c r="P941" s="228">
        <f t="shared" si="87"/>
        <v>2.2953467463137533E-2</v>
      </c>
      <c r="Q941" s="228"/>
      <c r="R941" s="227"/>
      <c r="S941" s="322">
        <v>353.75</v>
      </c>
      <c r="T941" s="228">
        <f t="shared" si="88"/>
        <v>2.1601672791805138E-2</v>
      </c>
      <c r="U941" s="228"/>
      <c r="V941" s="228"/>
      <c r="W941" s="228"/>
      <c r="X941" s="322">
        <v>203.009995</v>
      </c>
      <c r="Y941" s="228">
        <f t="shared" si="89"/>
        <v>2.9462464951254486E-2</v>
      </c>
      <c r="Z941" s="228"/>
      <c r="AA941" s="202"/>
    </row>
    <row r="942" spans="2:27" x14ac:dyDescent="0.15">
      <c r="B942" s="241">
        <v>44033</v>
      </c>
      <c r="C942" s="244"/>
      <c r="D942" s="245">
        <v>71.855698000000004</v>
      </c>
      <c r="E942" s="228">
        <f t="shared" si="84"/>
        <v>1.9175054893336707E-3</v>
      </c>
      <c r="F942" s="228"/>
      <c r="G942" s="245">
        <v>381.22403000000003</v>
      </c>
      <c r="H942" s="228">
        <f t="shared" si="85"/>
        <v>-1.9566831449382427E-2</v>
      </c>
      <c r="J942" s="227"/>
      <c r="K942" s="245">
        <v>66.397614000000004</v>
      </c>
      <c r="L942" s="228">
        <f t="shared" si="86"/>
        <v>1.3753743160657139E-2</v>
      </c>
      <c r="M942" s="228"/>
      <c r="N942" s="227"/>
      <c r="O942" s="322">
        <v>63.810001</v>
      </c>
      <c r="P942" s="228">
        <f t="shared" si="87"/>
        <v>1.2553114702651413E-3</v>
      </c>
      <c r="Q942" s="228"/>
      <c r="R942" s="227"/>
      <c r="S942" s="322">
        <v>357.01998900000001</v>
      </c>
      <c r="T942" s="228">
        <f t="shared" si="88"/>
        <v>9.2437851590105868E-3</v>
      </c>
      <c r="U942" s="228"/>
      <c r="V942" s="228"/>
      <c r="W942" s="228"/>
      <c r="X942" s="322">
        <v>203.509995</v>
      </c>
      <c r="Y942" s="228">
        <f t="shared" si="89"/>
        <v>2.46293292111055E-3</v>
      </c>
      <c r="Z942" s="228"/>
      <c r="AA942" s="202"/>
    </row>
    <row r="943" spans="2:27" x14ac:dyDescent="0.15">
      <c r="B943" s="241">
        <v>44034</v>
      </c>
      <c r="C943" s="244"/>
      <c r="D943" s="245">
        <v>72.297745000000006</v>
      </c>
      <c r="E943" s="228">
        <f t="shared" si="84"/>
        <v>6.1518712127743846E-3</v>
      </c>
      <c r="F943" s="228"/>
      <c r="G943" s="245">
        <v>389.94464099999999</v>
      </c>
      <c r="H943" s="228">
        <f t="shared" si="85"/>
        <v>2.2875291990381408E-2</v>
      </c>
      <c r="J943" s="227"/>
      <c r="K943" s="245">
        <v>67.102615</v>
      </c>
      <c r="L943" s="228">
        <f t="shared" si="86"/>
        <v>1.0617866479358584E-2</v>
      </c>
      <c r="M943" s="228"/>
      <c r="N943" s="227"/>
      <c r="O943" s="322">
        <v>64.220000999999996</v>
      </c>
      <c r="P943" s="228">
        <f t="shared" si="87"/>
        <v>6.425325083445621E-3</v>
      </c>
      <c r="Q943" s="228"/>
      <c r="R943" s="227"/>
      <c r="S943" s="322">
        <v>361.959991</v>
      </c>
      <c r="T943" s="228">
        <f t="shared" si="88"/>
        <v>1.3836765873632917E-2</v>
      </c>
      <c r="U943" s="228"/>
      <c r="V943" s="228"/>
      <c r="W943" s="228"/>
      <c r="X943" s="322">
        <v>205.94000199999999</v>
      </c>
      <c r="Y943" s="228">
        <f t="shared" si="89"/>
        <v>1.1940479876676235E-2</v>
      </c>
      <c r="Z943" s="228"/>
      <c r="AA943" s="202"/>
    </row>
    <row r="944" spans="2:27" x14ac:dyDescent="0.15">
      <c r="B944" s="241">
        <v>44035</v>
      </c>
      <c r="C944" s="244"/>
      <c r="D944" s="245">
        <v>71.492249000000001</v>
      </c>
      <c r="E944" s="228">
        <f t="shared" si="84"/>
        <v>-1.1141371006799794E-2</v>
      </c>
      <c r="F944" s="228"/>
      <c r="G944" s="245">
        <v>381.63125600000001</v>
      </c>
      <c r="H944" s="228">
        <f t="shared" si="85"/>
        <v>-2.1319398001420353E-2</v>
      </c>
      <c r="J944" s="227"/>
      <c r="K944" s="245">
        <v>65.966789000000006</v>
      </c>
      <c r="L944" s="228">
        <f t="shared" si="86"/>
        <v>-1.6926702483949341E-2</v>
      </c>
      <c r="M944" s="228"/>
      <c r="N944" s="227"/>
      <c r="O944" s="322">
        <v>63.630001</v>
      </c>
      <c r="P944" s="228">
        <f t="shared" si="87"/>
        <v>-9.1871689631396469E-3</v>
      </c>
      <c r="Q944" s="228"/>
      <c r="R944" s="227"/>
      <c r="S944" s="322">
        <v>354.82000699999998</v>
      </c>
      <c r="T944" s="228">
        <f t="shared" si="88"/>
        <v>-1.9725892854274174E-2</v>
      </c>
      <c r="U944" s="228"/>
      <c r="V944" s="228"/>
      <c r="W944" s="228"/>
      <c r="X944" s="322">
        <v>203.91999799999999</v>
      </c>
      <c r="Y944" s="228">
        <f t="shared" si="89"/>
        <v>-9.8087014683043705E-3</v>
      </c>
      <c r="Z944" s="228"/>
      <c r="AA944" s="202"/>
    </row>
    <row r="945" spans="2:27" x14ac:dyDescent="0.15">
      <c r="B945" s="241">
        <v>44036</v>
      </c>
      <c r="C945" s="244"/>
      <c r="D945" s="245">
        <v>70.902862999999996</v>
      </c>
      <c r="E945" s="228">
        <f t="shared" si="84"/>
        <v>-8.2440545407936883E-3</v>
      </c>
      <c r="F945" s="228"/>
      <c r="G945" s="245">
        <v>365.19317599999999</v>
      </c>
      <c r="H945" s="228">
        <f t="shared" si="85"/>
        <v>-4.307320153043237E-2</v>
      </c>
      <c r="J945" s="227"/>
      <c r="K945" s="245">
        <v>72.360778999999994</v>
      </c>
      <c r="L945" s="228">
        <f t="shared" si="86"/>
        <v>9.6927409942599851E-2</v>
      </c>
      <c r="M945" s="228"/>
      <c r="N945" s="227"/>
      <c r="O945" s="322">
        <v>60.619999</v>
      </c>
      <c r="P945" s="228">
        <f t="shared" si="87"/>
        <v>-4.730476116132698E-2</v>
      </c>
      <c r="Q945" s="228"/>
      <c r="R945" s="227"/>
      <c r="S945" s="322">
        <v>345.72000100000002</v>
      </c>
      <c r="T945" s="228">
        <f t="shared" si="88"/>
        <v>-2.5646823235646821E-2</v>
      </c>
      <c r="U945" s="228"/>
      <c r="V945" s="228"/>
      <c r="W945" s="228"/>
      <c r="X945" s="322">
        <v>188.21000699999999</v>
      </c>
      <c r="Y945" s="228">
        <f t="shared" si="89"/>
        <v>-7.7039972313063698E-2</v>
      </c>
      <c r="Z945" s="228"/>
      <c r="AA945" s="202"/>
    </row>
    <row r="946" spans="2:27" x14ac:dyDescent="0.15">
      <c r="B946" s="241">
        <v>44039</v>
      </c>
      <c r="C946" s="244"/>
      <c r="D946" s="245">
        <v>71.551186000000001</v>
      </c>
      <c r="E946" s="228">
        <f t="shared" si="84"/>
        <v>9.1438197636675156E-3</v>
      </c>
      <c r="F946" s="228"/>
      <c r="G946" s="245">
        <v>379.19781499999999</v>
      </c>
      <c r="H946" s="228">
        <f t="shared" si="85"/>
        <v>3.834857801395497E-2</v>
      </c>
      <c r="J946" s="227"/>
      <c r="K946" s="245">
        <v>81.516013999999998</v>
      </c>
      <c r="L946" s="228">
        <f t="shared" si="86"/>
        <v>0.12652206245596109</v>
      </c>
      <c r="M946" s="228"/>
      <c r="N946" s="227"/>
      <c r="O946" s="322">
        <v>63.009998000000003</v>
      </c>
      <c r="P946" s="228">
        <f t="shared" si="87"/>
        <v>3.9425916189804067E-2</v>
      </c>
      <c r="Q946" s="228"/>
      <c r="R946" s="227"/>
      <c r="S946" s="322">
        <v>358.07998700000002</v>
      </c>
      <c r="T946" s="228">
        <f t="shared" si="88"/>
        <v>3.5751434583618513E-2</v>
      </c>
      <c r="U946" s="228"/>
      <c r="V946" s="228"/>
      <c r="W946" s="228"/>
      <c r="X946" s="322">
        <v>197.070007</v>
      </c>
      <c r="Y946" s="228">
        <f t="shared" si="89"/>
        <v>4.7075073962459468E-2</v>
      </c>
      <c r="Z946" s="228"/>
      <c r="AA946" s="202"/>
    </row>
    <row r="947" spans="2:27" x14ac:dyDescent="0.15">
      <c r="B947" s="241">
        <v>44040</v>
      </c>
      <c r="C947" s="244"/>
      <c r="D947" s="245">
        <v>71.020736999999997</v>
      </c>
      <c r="E947" s="228">
        <f t="shared" si="84"/>
        <v>-7.4135598535013392E-3</v>
      </c>
      <c r="F947" s="228"/>
      <c r="G947" s="245">
        <v>373.81448399999999</v>
      </c>
      <c r="H947" s="228">
        <f t="shared" si="85"/>
        <v>-1.4196629798618465E-2</v>
      </c>
      <c r="J947" s="227"/>
      <c r="K947" s="245">
        <v>75.317870999999997</v>
      </c>
      <c r="L947" s="228">
        <f t="shared" si="86"/>
        <v>-7.6035894002373539E-2</v>
      </c>
      <c r="M947" s="228"/>
      <c r="N947" s="227"/>
      <c r="O947" s="322">
        <v>62.299999</v>
      </c>
      <c r="P947" s="228">
        <f t="shared" si="87"/>
        <v>-1.1268037177211254E-2</v>
      </c>
      <c r="Q947" s="228"/>
      <c r="R947" s="227"/>
      <c r="S947" s="322">
        <v>348.92999300000002</v>
      </c>
      <c r="T947" s="228">
        <f t="shared" si="88"/>
        <v>-2.5552933233322528E-2</v>
      </c>
      <c r="U947" s="228"/>
      <c r="V947" s="228"/>
      <c r="W947" s="228"/>
      <c r="X947" s="322">
        <v>192.470001</v>
      </c>
      <c r="Y947" s="228">
        <f t="shared" si="89"/>
        <v>-2.334198932666609E-2</v>
      </c>
      <c r="Z947" s="228"/>
      <c r="AA947" s="202"/>
    </row>
    <row r="948" spans="2:27" x14ac:dyDescent="0.15">
      <c r="B948" s="241">
        <v>44041</v>
      </c>
      <c r="C948" s="244"/>
      <c r="D948" s="245">
        <v>72.032516000000001</v>
      </c>
      <c r="E948" s="228">
        <f t="shared" si="84"/>
        <v>1.4246247543164836E-2</v>
      </c>
      <c r="F948" s="228"/>
      <c r="G948" s="245">
        <v>362.15386999999998</v>
      </c>
      <c r="H948" s="228">
        <f t="shared" si="85"/>
        <v>-3.1193585318647021E-2</v>
      </c>
      <c r="J948" s="227"/>
      <c r="K948" s="245">
        <v>80.948104999999998</v>
      </c>
      <c r="L948" s="228">
        <f t="shared" si="86"/>
        <v>7.4752962679999202E-2</v>
      </c>
      <c r="M948" s="228"/>
      <c r="N948" s="227"/>
      <c r="O948" s="322">
        <v>63.25</v>
      </c>
      <c r="P948" s="228">
        <f t="shared" si="87"/>
        <v>1.5248812443801274E-2</v>
      </c>
      <c r="Q948" s="228"/>
      <c r="R948" s="227"/>
      <c r="S948" s="322">
        <v>360.82998700000002</v>
      </c>
      <c r="T948" s="228">
        <f t="shared" si="88"/>
        <v>3.4104245088498297E-2</v>
      </c>
      <c r="U948" s="228"/>
      <c r="V948" s="228"/>
      <c r="W948" s="228"/>
      <c r="X948" s="322">
        <v>195.13000500000001</v>
      </c>
      <c r="Y948" s="228">
        <f t="shared" si="89"/>
        <v>1.3820356347377105E-2</v>
      </c>
      <c r="Z948" s="228"/>
      <c r="AA948" s="202"/>
    </row>
    <row r="949" spans="2:27" x14ac:dyDescent="0.15">
      <c r="B949" s="241">
        <v>44042</v>
      </c>
      <c r="C949" s="244"/>
      <c r="D949" s="245">
        <v>71.796752999999995</v>
      </c>
      <c r="E949" s="228">
        <f t="shared" si="84"/>
        <v>-3.2730079843387161E-3</v>
      </c>
      <c r="F949" s="228"/>
      <c r="G949" s="245">
        <v>360.27667200000002</v>
      </c>
      <c r="H949" s="228">
        <f t="shared" si="85"/>
        <v>-5.1834265915754463E-3</v>
      </c>
      <c r="J949" s="227"/>
      <c r="K949" s="245">
        <v>78.265174999999999</v>
      </c>
      <c r="L949" s="228">
        <f t="shared" si="86"/>
        <v>-3.3143827147034455E-2</v>
      </c>
      <c r="M949" s="228"/>
      <c r="N949" s="227"/>
      <c r="O949" s="322">
        <v>64.419998000000007</v>
      </c>
      <c r="P949" s="228">
        <f t="shared" si="87"/>
        <v>1.8497992094861804E-2</v>
      </c>
      <c r="Q949" s="228"/>
      <c r="R949" s="227"/>
      <c r="S949" s="322">
        <v>378.540009</v>
      </c>
      <c r="T949" s="228">
        <f t="shared" si="88"/>
        <v>4.9081347554409183E-2</v>
      </c>
      <c r="U949" s="228"/>
      <c r="V949" s="228"/>
      <c r="W949" s="228"/>
      <c r="X949" s="322">
        <v>197.89999399999999</v>
      </c>
      <c r="Y949" s="228">
        <f t="shared" si="89"/>
        <v>1.419560769242012E-2</v>
      </c>
      <c r="Z949" s="228"/>
      <c r="AA949" s="202"/>
    </row>
    <row r="950" spans="2:27" x14ac:dyDescent="0.15">
      <c r="B950" s="241">
        <v>44043</v>
      </c>
      <c r="C950" s="244"/>
      <c r="D950" s="245">
        <v>72.140579000000002</v>
      </c>
      <c r="E950" s="228">
        <f t="shared" si="84"/>
        <v>4.788879519384448E-3</v>
      </c>
      <c r="F950" s="228"/>
      <c r="G950" s="245">
        <v>351.327606</v>
      </c>
      <c r="H950" s="228">
        <f t="shared" si="85"/>
        <v>-2.483942673923667E-2</v>
      </c>
      <c r="J950" s="227"/>
      <c r="K950" s="245">
        <v>77.246834000000007</v>
      </c>
      <c r="L950" s="228">
        <f t="shared" si="86"/>
        <v>-1.3011419191230278E-2</v>
      </c>
      <c r="M950" s="228"/>
      <c r="N950" s="227"/>
      <c r="O950" s="322">
        <v>64.330001999999993</v>
      </c>
      <c r="P950" s="228">
        <f t="shared" si="87"/>
        <v>-1.3970196025155923E-3</v>
      </c>
      <c r="Q950" s="228"/>
      <c r="R950" s="227"/>
      <c r="S950" s="322">
        <v>377.16000400000001</v>
      </c>
      <c r="T950" s="228">
        <f t="shared" si="88"/>
        <v>-3.6455987932307865E-3</v>
      </c>
      <c r="U950" s="228"/>
      <c r="V950" s="228"/>
      <c r="W950" s="228"/>
      <c r="X950" s="322">
        <v>199.83000200000001</v>
      </c>
      <c r="Y950" s="228">
        <f t="shared" si="89"/>
        <v>9.7524409222569108E-3</v>
      </c>
      <c r="Z950" s="228"/>
      <c r="AA950" s="202"/>
    </row>
    <row r="951" spans="2:27" x14ac:dyDescent="0.15">
      <c r="B951" s="241">
        <v>44046</v>
      </c>
      <c r="C951" s="244"/>
      <c r="D951" s="245">
        <v>72.779060000000001</v>
      </c>
      <c r="E951" s="228">
        <f t="shared" si="84"/>
        <v>8.8505111665377889E-3</v>
      </c>
      <c r="F951" s="228"/>
      <c r="G951" s="245">
        <v>364.130402</v>
      </c>
      <c r="H951" s="228">
        <f t="shared" si="85"/>
        <v>3.6441189879055536E-2</v>
      </c>
      <c r="J951" s="227"/>
      <c r="K951" s="245">
        <v>77.305580000000006</v>
      </c>
      <c r="L951" s="228">
        <f t="shared" si="86"/>
        <v>7.604971874963784E-4</v>
      </c>
      <c r="M951" s="228"/>
      <c r="N951" s="227"/>
      <c r="O951" s="322">
        <v>65.010002</v>
      </c>
      <c r="P951" s="228">
        <f t="shared" si="87"/>
        <v>1.0570495551982306E-2</v>
      </c>
      <c r="Q951" s="228"/>
      <c r="R951" s="227"/>
      <c r="S951" s="322">
        <v>381.41000400000001</v>
      </c>
      <c r="T951" s="228">
        <f t="shared" si="88"/>
        <v>1.1268427073195086E-2</v>
      </c>
      <c r="U951" s="228"/>
      <c r="V951" s="228"/>
      <c r="W951" s="228"/>
      <c r="X951" s="322">
        <v>207.64999399999999</v>
      </c>
      <c r="Y951" s="228">
        <f t="shared" si="89"/>
        <v>3.9133222848088511E-2</v>
      </c>
      <c r="Z951" s="228"/>
      <c r="AA951" s="202"/>
    </row>
    <row r="952" spans="2:27" x14ac:dyDescent="0.15">
      <c r="B952" s="241">
        <v>44047</v>
      </c>
      <c r="C952" s="244"/>
      <c r="D952" s="245">
        <v>73.034469999999999</v>
      </c>
      <c r="E952" s="228">
        <f t="shared" si="84"/>
        <v>3.5093885521466639E-3</v>
      </c>
      <c r="F952" s="228"/>
      <c r="G952" s="245">
        <v>367.82522599999999</v>
      </c>
      <c r="H952" s="228">
        <f t="shared" si="85"/>
        <v>1.0146980256814597E-2</v>
      </c>
      <c r="J952" s="227"/>
      <c r="K952" s="245">
        <v>78.519752999999994</v>
      </c>
      <c r="L952" s="228">
        <f t="shared" si="86"/>
        <v>1.5706149543150527E-2</v>
      </c>
      <c r="M952" s="228"/>
      <c r="N952" s="227"/>
      <c r="O952" s="322">
        <v>64.849997999999999</v>
      </c>
      <c r="P952" s="228">
        <f t="shared" si="87"/>
        <v>-2.4612212748432727E-3</v>
      </c>
      <c r="Q952" s="228"/>
      <c r="R952" s="227"/>
      <c r="S952" s="322">
        <v>384.959991</v>
      </c>
      <c r="T952" s="228">
        <f t="shared" si="88"/>
        <v>9.3075351007310125E-3</v>
      </c>
      <c r="U952" s="228"/>
      <c r="V952" s="228"/>
      <c r="W952" s="228"/>
      <c r="X952" s="322">
        <v>204.89999399999999</v>
      </c>
      <c r="Y952" s="228">
        <f t="shared" si="89"/>
        <v>-1.3243438860874757E-2</v>
      </c>
      <c r="Z952" s="228"/>
      <c r="AA952" s="202"/>
    </row>
    <row r="953" spans="2:27" x14ac:dyDescent="0.15">
      <c r="B953" s="241">
        <v>44048</v>
      </c>
      <c r="C953" s="244"/>
      <c r="D953" s="245">
        <v>73.614029000000002</v>
      </c>
      <c r="E953" s="228">
        <f t="shared" si="84"/>
        <v>7.9354173447141463E-3</v>
      </c>
      <c r="F953" s="228"/>
      <c r="G953" s="245">
        <v>366.01757800000001</v>
      </c>
      <c r="H953" s="228">
        <f t="shared" si="85"/>
        <v>-4.9144209592627552E-3</v>
      </c>
      <c r="J953" s="227"/>
      <c r="K953" s="245">
        <v>79.929764000000006</v>
      </c>
      <c r="L953" s="228">
        <f t="shared" si="86"/>
        <v>1.7957404934781263E-2</v>
      </c>
      <c r="M953" s="228"/>
      <c r="N953" s="227"/>
      <c r="O953" s="322">
        <v>64.870002999999997</v>
      </c>
      <c r="P953" s="228">
        <f t="shared" si="87"/>
        <v>3.0848111976800041E-4</v>
      </c>
      <c r="Q953" s="228"/>
      <c r="R953" s="227"/>
      <c r="S953" s="322">
        <v>383.47000100000002</v>
      </c>
      <c r="T953" s="228">
        <f t="shared" si="88"/>
        <v>-3.8705061170888344E-3</v>
      </c>
      <c r="U953" s="228"/>
      <c r="V953" s="228"/>
      <c r="W953" s="228"/>
      <c r="X953" s="322">
        <v>203.990005</v>
      </c>
      <c r="Y953" s="228">
        <f t="shared" si="89"/>
        <v>-4.4411372701163021E-3</v>
      </c>
      <c r="Z953" s="228"/>
      <c r="AA953" s="202"/>
    </row>
    <row r="954" spans="2:27" x14ac:dyDescent="0.15">
      <c r="B954" s="241">
        <v>44049</v>
      </c>
      <c r="C954" s="244"/>
      <c r="D954" s="245">
        <v>73.987305000000006</v>
      </c>
      <c r="E954" s="228">
        <f t="shared" si="84"/>
        <v>5.0707182458387123E-3</v>
      </c>
      <c r="F954" s="228"/>
      <c r="G954" s="245">
        <v>366.73269699999997</v>
      </c>
      <c r="H954" s="228">
        <f t="shared" si="85"/>
        <v>1.9537832142038081E-3</v>
      </c>
      <c r="J954" s="227"/>
      <c r="K954" s="245">
        <v>78.842888000000002</v>
      </c>
      <c r="L954" s="228">
        <f t="shared" si="86"/>
        <v>-1.3597888266003166E-2</v>
      </c>
      <c r="M954" s="228"/>
      <c r="N954" s="227"/>
      <c r="O954" s="322">
        <v>63.610000999999997</v>
      </c>
      <c r="P954" s="228">
        <f t="shared" si="87"/>
        <v>-1.9423492241861018E-2</v>
      </c>
      <c r="Q954" s="228"/>
      <c r="R954" s="227"/>
      <c r="S954" s="322">
        <v>377.80999800000001</v>
      </c>
      <c r="T954" s="228">
        <f t="shared" si="88"/>
        <v>-1.4759962931233384E-2</v>
      </c>
      <c r="U954" s="228"/>
      <c r="V954" s="228"/>
      <c r="W954" s="228"/>
      <c r="X954" s="322">
        <v>203.58999600000001</v>
      </c>
      <c r="Y954" s="228">
        <f t="shared" si="89"/>
        <v>-1.9609245070609793E-3</v>
      </c>
      <c r="Z954" s="228"/>
      <c r="AA954" s="202"/>
    </row>
    <row r="955" spans="2:27" x14ac:dyDescent="0.15">
      <c r="B955" s="241">
        <v>44050</v>
      </c>
      <c r="C955" s="244"/>
      <c r="D955" s="245">
        <v>74.026588000000004</v>
      </c>
      <c r="E955" s="228">
        <f t="shared" si="84"/>
        <v>5.3094243667883845E-4</v>
      </c>
      <c r="F955" s="228"/>
      <c r="G955" s="245">
        <v>363.594086</v>
      </c>
      <c r="H955" s="228">
        <f t="shared" si="85"/>
        <v>-8.5583069785565291E-3</v>
      </c>
      <c r="J955" s="227"/>
      <c r="K955" s="245">
        <v>78.363083000000003</v>
      </c>
      <c r="L955" s="228">
        <f t="shared" si="86"/>
        <v>-6.0855837751656594E-3</v>
      </c>
      <c r="M955" s="228"/>
      <c r="N955" s="227"/>
      <c r="O955" s="322">
        <v>63.57</v>
      </c>
      <c r="P955" s="228">
        <f t="shared" si="87"/>
        <v>-6.2884765557535971E-4</v>
      </c>
      <c r="Q955" s="228"/>
      <c r="R955" s="227"/>
      <c r="S955" s="322">
        <v>372.44000199999999</v>
      </c>
      <c r="T955" s="228">
        <f t="shared" si="88"/>
        <v>-1.4213483042870734E-2</v>
      </c>
      <c r="U955" s="228"/>
      <c r="V955" s="228"/>
      <c r="W955" s="228"/>
      <c r="X955" s="322">
        <v>202.85000600000001</v>
      </c>
      <c r="Y955" s="228">
        <f t="shared" si="89"/>
        <v>-3.6347070805974324E-3</v>
      </c>
      <c r="Z955" s="228"/>
      <c r="AA955" s="202"/>
    </row>
    <row r="956" spans="2:27" x14ac:dyDescent="0.15">
      <c r="B956" s="241">
        <v>44053</v>
      </c>
      <c r="C956" s="244"/>
      <c r="D956" s="245">
        <v>74.232879999999994</v>
      </c>
      <c r="E956" s="228">
        <f t="shared" si="84"/>
        <v>2.7867284657234759E-3</v>
      </c>
      <c r="F956" s="228"/>
      <c r="G956" s="245">
        <v>362.93853799999999</v>
      </c>
      <c r="H956" s="228">
        <f t="shared" si="85"/>
        <v>-1.8029666192095339E-3</v>
      </c>
      <c r="J956" s="227"/>
      <c r="K956" s="245">
        <v>78.206429</v>
      </c>
      <c r="L956" s="228">
        <f t="shared" si="86"/>
        <v>-1.9990790816640791E-3</v>
      </c>
      <c r="M956" s="228"/>
      <c r="N956" s="227"/>
      <c r="O956" s="322">
        <v>65.239998</v>
      </c>
      <c r="P956" s="228">
        <f t="shared" si="87"/>
        <v>2.6270221802737082E-2</v>
      </c>
      <c r="Q956" s="228"/>
      <c r="R956" s="227"/>
      <c r="S956" s="322">
        <v>375.76001000000002</v>
      </c>
      <c r="T956" s="228">
        <f t="shared" si="88"/>
        <v>8.9142089522382673E-3</v>
      </c>
      <c r="U956" s="228"/>
      <c r="V956" s="228"/>
      <c r="W956" s="228"/>
      <c r="X956" s="322">
        <v>203.08999600000001</v>
      </c>
      <c r="Y956" s="228">
        <f t="shared" si="89"/>
        <v>1.183090918912777E-3</v>
      </c>
      <c r="Z956" s="228"/>
      <c r="AA956" s="202"/>
    </row>
    <row r="957" spans="2:27" x14ac:dyDescent="0.15">
      <c r="B957" s="241">
        <v>44054</v>
      </c>
      <c r="C957" s="244"/>
      <c r="D957" s="245">
        <v>73.643494000000004</v>
      </c>
      <c r="E957" s="228">
        <f t="shared" si="84"/>
        <v>-7.9396892589913559E-3</v>
      </c>
      <c r="F957" s="228"/>
      <c r="G957" s="245">
        <v>358.866241</v>
      </c>
      <c r="H957" s="228">
        <f t="shared" si="85"/>
        <v>-1.1220348829420801E-2</v>
      </c>
      <c r="J957" s="227"/>
      <c r="K957" s="245">
        <v>76.31662</v>
      </c>
      <c r="L957" s="228">
        <f t="shared" si="86"/>
        <v>-2.4164368890951415E-2</v>
      </c>
      <c r="M957" s="228"/>
      <c r="N957" s="227"/>
      <c r="O957" s="322">
        <v>64.459998999999996</v>
      </c>
      <c r="P957" s="228">
        <f t="shared" si="87"/>
        <v>-1.1955840341993929E-2</v>
      </c>
      <c r="Q957" s="228"/>
      <c r="R957" s="227"/>
      <c r="S957" s="322">
        <v>369.01001000000002</v>
      </c>
      <c r="T957" s="228">
        <f t="shared" si="88"/>
        <v>-1.7963593305205583E-2</v>
      </c>
      <c r="U957" s="228"/>
      <c r="V957" s="228"/>
      <c r="W957" s="228"/>
      <c r="X957" s="322">
        <v>200.53999300000001</v>
      </c>
      <c r="Y957" s="228">
        <f t="shared" si="89"/>
        <v>-1.2556024669969523E-2</v>
      </c>
      <c r="Z957" s="228"/>
      <c r="AA957" s="202"/>
    </row>
    <row r="958" spans="2:27" x14ac:dyDescent="0.15">
      <c r="B958" s="241">
        <v>44055</v>
      </c>
      <c r="C958" s="244"/>
      <c r="D958" s="245">
        <v>74.684730999999999</v>
      </c>
      <c r="E958" s="228">
        <f t="shared" si="84"/>
        <v>1.4138886457505606E-2</v>
      </c>
      <c r="F958" s="228"/>
      <c r="G958" s="245">
        <v>372.27496300000001</v>
      </c>
      <c r="H958" s="228">
        <f t="shared" si="85"/>
        <v>3.7364121971004804E-2</v>
      </c>
      <c r="J958" s="227"/>
      <c r="K958" s="245">
        <v>77.736419999999995</v>
      </c>
      <c r="L958" s="228">
        <f t="shared" si="86"/>
        <v>1.8604073398428733E-2</v>
      </c>
      <c r="M958" s="228"/>
      <c r="N958" s="227"/>
      <c r="O958" s="322">
        <v>66.5</v>
      </c>
      <c r="P958" s="228">
        <f t="shared" si="87"/>
        <v>3.164754935847891E-2</v>
      </c>
      <c r="Q958" s="228"/>
      <c r="R958" s="227"/>
      <c r="S958" s="322">
        <v>381.51998900000001</v>
      </c>
      <c r="T958" s="228">
        <f t="shared" si="88"/>
        <v>3.3901462456262355E-2</v>
      </c>
      <c r="U958" s="228"/>
      <c r="V958" s="228"/>
      <c r="W958" s="228"/>
      <c r="X958" s="322">
        <v>208</v>
      </c>
      <c r="Y958" s="228">
        <f t="shared" si="89"/>
        <v>3.7199597389035555E-2</v>
      </c>
      <c r="Z958" s="228"/>
      <c r="AA958" s="202"/>
    </row>
    <row r="959" spans="2:27" x14ac:dyDescent="0.15">
      <c r="B959" s="241">
        <v>44056</v>
      </c>
      <c r="C959" s="244"/>
      <c r="D959" s="245">
        <v>74.596335999999994</v>
      </c>
      <c r="E959" s="228">
        <f t="shared" si="84"/>
        <v>-1.1835752611869532E-3</v>
      </c>
      <c r="F959" s="228"/>
      <c r="G959" s="245">
        <v>372.22531099999998</v>
      </c>
      <c r="H959" s="228">
        <f t="shared" si="85"/>
        <v>-1.3337453477912931E-4</v>
      </c>
      <c r="J959" s="227"/>
      <c r="K959" s="245">
        <v>76.669121000000004</v>
      </c>
      <c r="L959" s="228">
        <f t="shared" si="86"/>
        <v>-1.3729716392908098E-2</v>
      </c>
      <c r="M959" s="228"/>
      <c r="N959" s="227"/>
      <c r="O959" s="322">
        <v>65.069999999999993</v>
      </c>
      <c r="P959" s="228">
        <f t="shared" si="87"/>
        <v>-2.1503759398496358E-2</v>
      </c>
      <c r="Q959" s="228"/>
      <c r="R959" s="227"/>
      <c r="S959" s="322">
        <v>377.01998900000001</v>
      </c>
      <c r="T959" s="228">
        <f t="shared" si="88"/>
        <v>-1.1794925900985964E-2</v>
      </c>
      <c r="U959" s="228"/>
      <c r="V959" s="228"/>
      <c r="W959" s="228"/>
      <c r="X959" s="322">
        <v>209.96000699999999</v>
      </c>
      <c r="Y959" s="228">
        <f t="shared" si="89"/>
        <v>9.4231105769231327E-3</v>
      </c>
      <c r="Z959" s="228"/>
      <c r="AA959" s="202"/>
    </row>
    <row r="960" spans="2:27" x14ac:dyDescent="0.15">
      <c r="B960" s="241">
        <v>44057</v>
      </c>
      <c r="C960" s="244"/>
      <c r="D960" s="245">
        <v>74.596335999999994</v>
      </c>
      <c r="E960" s="228">
        <f t="shared" si="84"/>
        <v>0</v>
      </c>
      <c r="F960" s="228"/>
      <c r="G960" s="245">
        <v>368.590057</v>
      </c>
      <c r="H960" s="228">
        <f t="shared" si="85"/>
        <v>-9.7662729872767251E-3</v>
      </c>
      <c r="J960" s="227"/>
      <c r="K960" s="245">
        <v>76.776832999999996</v>
      </c>
      <c r="L960" s="228">
        <f t="shared" si="86"/>
        <v>1.4048941554969385E-3</v>
      </c>
      <c r="M960" s="228"/>
      <c r="N960" s="227"/>
      <c r="O960" s="322">
        <v>67.620002999999997</v>
      </c>
      <c r="P960" s="228">
        <f t="shared" si="87"/>
        <v>3.918861226371595E-2</v>
      </c>
      <c r="Q960" s="228"/>
      <c r="R960" s="227"/>
      <c r="S960" s="322">
        <v>373.64001500000001</v>
      </c>
      <c r="T960" s="228">
        <f t="shared" si="88"/>
        <v>-8.9649729420580027E-3</v>
      </c>
      <c r="U960" s="228"/>
      <c r="V960" s="228"/>
      <c r="W960" s="228"/>
      <c r="X960" s="322">
        <v>211.509995</v>
      </c>
      <c r="Y960" s="228">
        <f t="shared" si="89"/>
        <v>7.3823011446174647E-3</v>
      </c>
      <c r="Z960" s="228"/>
      <c r="AA960" s="202"/>
    </row>
    <row r="961" spans="2:27" x14ac:dyDescent="0.15">
      <c r="B961" s="241">
        <v>44060</v>
      </c>
      <c r="C961" s="244"/>
      <c r="D961" s="245">
        <v>74.910683000000006</v>
      </c>
      <c r="E961" s="228">
        <f t="shared" si="84"/>
        <v>4.2139737265380894E-3</v>
      </c>
      <c r="F961" s="228"/>
      <c r="G961" s="245">
        <v>375.94992100000002</v>
      </c>
      <c r="H961" s="228">
        <f t="shared" si="85"/>
        <v>1.9967614047711635E-2</v>
      </c>
      <c r="J961" s="227"/>
      <c r="K961" s="245">
        <v>78.519752999999994</v>
      </c>
      <c r="L961" s="228">
        <f t="shared" si="86"/>
        <v>2.2701118708556178E-2</v>
      </c>
      <c r="M961" s="228"/>
      <c r="N961" s="227"/>
      <c r="O961" s="322">
        <v>66.940002000000007</v>
      </c>
      <c r="P961" s="228">
        <f t="shared" si="87"/>
        <v>-1.0056210733974558E-2</v>
      </c>
      <c r="Q961" s="228"/>
      <c r="R961" s="227"/>
      <c r="S961" s="322">
        <v>379.07998700000002</v>
      </c>
      <c r="T961" s="228">
        <f t="shared" si="88"/>
        <v>1.4559393484661953E-2</v>
      </c>
      <c r="U961" s="228"/>
      <c r="V961" s="228"/>
      <c r="W961" s="228"/>
      <c r="X961" s="322">
        <v>216.63000500000001</v>
      </c>
      <c r="Y961" s="228">
        <f t="shared" si="89"/>
        <v>2.420694114242683E-2</v>
      </c>
      <c r="Z961" s="228"/>
      <c r="AA961" s="202"/>
    </row>
    <row r="962" spans="2:27" x14ac:dyDescent="0.15">
      <c r="B962" s="241">
        <v>44061</v>
      </c>
      <c r="C962" s="244"/>
      <c r="D962" s="245">
        <v>75.018722999999994</v>
      </c>
      <c r="E962" s="228">
        <f t="shared" si="84"/>
        <v>1.4422509003153561E-3</v>
      </c>
      <c r="F962" s="228"/>
      <c r="G962" s="245">
        <v>374.66867100000002</v>
      </c>
      <c r="H962" s="228">
        <f t="shared" si="85"/>
        <v>-3.4080336992543536E-3</v>
      </c>
      <c r="J962" s="227"/>
      <c r="K962" s="245">
        <v>77.756020000000007</v>
      </c>
      <c r="L962" s="228">
        <f t="shared" si="86"/>
        <v>-9.7266352837354075E-3</v>
      </c>
      <c r="M962" s="228"/>
      <c r="N962" s="227"/>
      <c r="O962" s="322">
        <v>66.430000000000007</v>
      </c>
      <c r="P962" s="228">
        <f t="shared" si="87"/>
        <v>-7.6187927212789663E-3</v>
      </c>
      <c r="Q962" s="228"/>
      <c r="R962" s="227"/>
      <c r="S962" s="322">
        <v>374.57000699999998</v>
      </c>
      <c r="T962" s="228">
        <f t="shared" si="88"/>
        <v>-1.1897172508872234E-2</v>
      </c>
      <c r="U962" s="228"/>
      <c r="V962" s="228"/>
      <c r="W962" s="228"/>
      <c r="X962" s="322">
        <v>211.759995</v>
      </c>
      <c r="Y962" s="228">
        <f t="shared" si="89"/>
        <v>-2.2480773150515332E-2</v>
      </c>
      <c r="Z962" s="228"/>
      <c r="AA962" s="202"/>
    </row>
    <row r="963" spans="2:27" x14ac:dyDescent="0.15">
      <c r="B963" s="241">
        <v>44062</v>
      </c>
      <c r="C963" s="244"/>
      <c r="D963" s="245">
        <v>74.665099999999995</v>
      </c>
      <c r="E963" s="228">
        <f t="shared" si="84"/>
        <v>-4.7137965811547833E-3</v>
      </c>
      <c r="F963" s="228"/>
      <c r="G963" s="245">
        <v>372.40408300000001</v>
      </c>
      <c r="H963" s="228">
        <f t="shared" si="85"/>
        <v>-6.0442416868102811E-3</v>
      </c>
      <c r="J963" s="227"/>
      <c r="K963" s="245">
        <v>76.904128999999998</v>
      </c>
      <c r="L963" s="228">
        <f t="shared" si="86"/>
        <v>-1.0955949134227927E-2</v>
      </c>
      <c r="M963" s="228"/>
      <c r="N963" s="227"/>
      <c r="O963" s="322">
        <v>65.870002999999997</v>
      </c>
      <c r="P963" s="228">
        <f t="shared" si="87"/>
        <v>-8.4298810778263844E-3</v>
      </c>
      <c r="Q963" s="228"/>
      <c r="R963" s="227"/>
      <c r="S963" s="322">
        <v>372.19000199999999</v>
      </c>
      <c r="T963" s="228">
        <f t="shared" si="88"/>
        <v>-6.3539657621332069E-3</v>
      </c>
      <c r="U963" s="228"/>
      <c r="V963" s="228"/>
      <c r="W963" s="228"/>
      <c r="X963" s="322">
        <v>210.53999300000001</v>
      </c>
      <c r="Y963" s="228">
        <f t="shared" si="89"/>
        <v>-5.7612487193343664E-3</v>
      </c>
      <c r="Z963" s="228"/>
      <c r="AA963" s="202"/>
    </row>
    <row r="964" spans="2:27" x14ac:dyDescent="0.15">
      <c r="B964" s="241">
        <v>44063</v>
      </c>
      <c r="C964" s="244"/>
      <c r="D964" s="245">
        <v>74.920485999999997</v>
      </c>
      <c r="E964" s="228">
        <f t="shared" si="84"/>
        <v>3.420419982026468E-3</v>
      </c>
      <c r="F964" s="228"/>
      <c r="G964" s="245">
        <v>369.65283199999999</v>
      </c>
      <c r="H964" s="228">
        <f t="shared" si="85"/>
        <v>-7.3878110514702389E-3</v>
      </c>
      <c r="J964" s="227"/>
      <c r="K964" s="245">
        <v>75.210159000000004</v>
      </c>
      <c r="L964" s="228">
        <f t="shared" si="86"/>
        <v>-2.2027035765530778E-2</v>
      </c>
      <c r="M964" s="228"/>
      <c r="N964" s="227"/>
      <c r="O964" s="322">
        <v>63.790000999999997</v>
      </c>
      <c r="P964" s="228">
        <f t="shared" si="87"/>
        <v>-3.1577378249094679E-2</v>
      </c>
      <c r="Q964" s="228"/>
      <c r="R964" s="227"/>
      <c r="S964" s="322">
        <v>358.5</v>
      </c>
      <c r="T964" s="228">
        <f t="shared" si="88"/>
        <v>-3.6782293791975618E-2</v>
      </c>
      <c r="U964" s="228"/>
      <c r="V964" s="228"/>
      <c r="W964" s="228"/>
      <c r="X964" s="322">
        <v>206.85000600000001</v>
      </c>
      <c r="Y964" s="228">
        <f t="shared" si="89"/>
        <v>-1.7526299623274011E-2</v>
      </c>
      <c r="Z964" s="228"/>
      <c r="AA964" s="202"/>
    </row>
    <row r="965" spans="2:27" x14ac:dyDescent="0.15">
      <c r="B965" s="241">
        <v>44064</v>
      </c>
      <c r="C965" s="244"/>
      <c r="D965" s="245">
        <v>75.048195000000007</v>
      </c>
      <c r="E965" s="228">
        <f t="shared" si="84"/>
        <v>1.7045938543431838E-3</v>
      </c>
      <c r="F965" s="228"/>
      <c r="G965" s="245">
        <v>369.60311899999999</v>
      </c>
      <c r="H965" s="228">
        <f t="shared" si="85"/>
        <v>-1.3448564625095916E-4</v>
      </c>
      <c r="J965" s="227"/>
      <c r="K965" s="245">
        <v>76.708290000000005</v>
      </c>
      <c r="L965" s="228">
        <f t="shared" si="86"/>
        <v>1.9919263832429923E-2</v>
      </c>
      <c r="M965" s="228"/>
      <c r="N965" s="227"/>
      <c r="O965" s="322">
        <v>62.27</v>
      </c>
      <c r="P965" s="228">
        <f t="shared" si="87"/>
        <v>-2.3828201538984017E-2</v>
      </c>
      <c r="Q965" s="228"/>
      <c r="R965" s="227"/>
      <c r="S965" s="322">
        <v>353.44000199999999</v>
      </c>
      <c r="T965" s="228">
        <f t="shared" si="88"/>
        <v>-1.4114359832635981E-2</v>
      </c>
      <c r="U965" s="228"/>
      <c r="V965" s="228"/>
      <c r="W965" s="228"/>
      <c r="X965" s="322">
        <v>203.970001</v>
      </c>
      <c r="Y965" s="228">
        <f t="shared" si="89"/>
        <v>-1.3923156473101606E-2</v>
      </c>
      <c r="Z965" s="228"/>
      <c r="AA965" s="202"/>
    </row>
    <row r="966" spans="2:27" x14ac:dyDescent="0.15">
      <c r="B966" s="241">
        <v>44067</v>
      </c>
      <c r="C966" s="244"/>
      <c r="D966" s="245">
        <v>75.834038000000007</v>
      </c>
      <c r="E966" s="228">
        <f t="shared" si="84"/>
        <v>1.0471177887755978E-2</v>
      </c>
      <c r="F966" s="228"/>
      <c r="G966" s="245">
        <v>375.43344100000002</v>
      </c>
      <c r="H966" s="228">
        <f t="shared" si="85"/>
        <v>1.5774547616845158E-2</v>
      </c>
      <c r="J966" s="227"/>
      <c r="K966" s="245">
        <v>77.256637999999995</v>
      </c>
      <c r="L966" s="228">
        <f t="shared" si="86"/>
        <v>7.1484842120712599E-3</v>
      </c>
      <c r="M966" s="228"/>
      <c r="N966" s="227"/>
      <c r="O966" s="322">
        <v>63.740001999999997</v>
      </c>
      <c r="P966" s="228">
        <f t="shared" si="87"/>
        <v>2.360690541191568E-2</v>
      </c>
      <c r="Q966" s="228"/>
      <c r="R966" s="227"/>
      <c r="S966" s="322">
        <v>351.01998900000001</v>
      </c>
      <c r="T966" s="228">
        <f t="shared" si="88"/>
        <v>-6.8470263306528167E-3</v>
      </c>
      <c r="U966" s="228"/>
      <c r="V966" s="228"/>
      <c r="W966" s="228"/>
      <c r="X966" s="322">
        <v>208.36000100000001</v>
      </c>
      <c r="Y966" s="228">
        <f t="shared" si="89"/>
        <v>2.1522772851288119E-2</v>
      </c>
      <c r="Z966" s="228"/>
      <c r="AA966" s="202"/>
    </row>
    <row r="967" spans="2:27" x14ac:dyDescent="0.15">
      <c r="B967" s="241">
        <v>44068</v>
      </c>
      <c r="C967" s="244"/>
      <c r="D967" s="245">
        <v>76.030495000000002</v>
      </c>
      <c r="E967" s="228">
        <f t="shared" si="84"/>
        <v>2.5906176854251228E-3</v>
      </c>
      <c r="F967" s="228"/>
      <c r="G967" s="245">
        <v>378.254211</v>
      </c>
      <c r="H967" s="228">
        <f t="shared" si="85"/>
        <v>7.5133690608024661E-3</v>
      </c>
      <c r="J967" s="227"/>
      <c r="K967" s="245">
        <v>78.372887000000006</v>
      </c>
      <c r="L967" s="228">
        <f t="shared" si="86"/>
        <v>1.4448583693222661E-2</v>
      </c>
      <c r="M967" s="228"/>
      <c r="N967" s="227"/>
      <c r="O967" s="322">
        <v>64.050003000000004</v>
      </c>
      <c r="P967" s="228">
        <f t="shared" si="87"/>
        <v>4.8635235373857277E-3</v>
      </c>
      <c r="Q967" s="228"/>
      <c r="R967" s="227"/>
      <c r="S967" s="322">
        <v>352.5</v>
      </c>
      <c r="T967" s="228">
        <f t="shared" si="88"/>
        <v>4.2163154417966808E-3</v>
      </c>
      <c r="U967" s="228"/>
      <c r="V967" s="228"/>
      <c r="W967" s="228"/>
      <c r="X967" s="322">
        <v>210.279999</v>
      </c>
      <c r="Y967" s="228">
        <f t="shared" si="89"/>
        <v>9.2148108599787726E-3</v>
      </c>
      <c r="Z967" s="228"/>
      <c r="AA967" s="202"/>
    </row>
    <row r="968" spans="2:27" x14ac:dyDescent="0.15">
      <c r="B968" s="241">
        <v>44069</v>
      </c>
      <c r="C968" s="244"/>
      <c r="D968" s="245">
        <v>76.747574</v>
      </c>
      <c r="E968" s="228">
        <f t="shared" si="84"/>
        <v>9.4314656244181005E-3</v>
      </c>
      <c r="F968" s="228"/>
      <c r="G968" s="245">
        <v>383.309845</v>
      </c>
      <c r="H968" s="228">
        <f t="shared" si="85"/>
        <v>1.3365704473280893E-2</v>
      </c>
      <c r="J968" s="227"/>
      <c r="K968" s="245">
        <v>80.047272000000007</v>
      </c>
      <c r="L968" s="228">
        <f t="shared" si="86"/>
        <v>2.1364339940673549E-2</v>
      </c>
      <c r="M968" s="228"/>
      <c r="N968" s="227"/>
      <c r="O968" s="322">
        <v>63.759998000000003</v>
      </c>
      <c r="P968" s="228">
        <f t="shared" si="87"/>
        <v>-4.5277905763720927E-3</v>
      </c>
      <c r="Q968" s="228"/>
      <c r="R968" s="227"/>
      <c r="S968" s="322">
        <v>351.79998799999998</v>
      </c>
      <c r="T968" s="228">
        <f t="shared" si="88"/>
        <v>-1.9858496453900587E-3</v>
      </c>
      <c r="U968" s="228"/>
      <c r="V968" s="228"/>
      <c r="W968" s="228"/>
      <c r="X968" s="322">
        <v>212.229996</v>
      </c>
      <c r="Y968" s="228">
        <f t="shared" si="89"/>
        <v>9.2733355966965192E-3</v>
      </c>
      <c r="Z968" s="228"/>
      <c r="AA968" s="202"/>
    </row>
    <row r="969" spans="2:27" x14ac:dyDescent="0.15">
      <c r="B969" s="241">
        <v>44070</v>
      </c>
      <c r="C969" s="244"/>
      <c r="D969" s="245">
        <v>76.983345</v>
      </c>
      <c r="E969" s="228">
        <f t="shared" ref="E969:E1032" si="90">D969/D968-1</f>
        <v>3.0720319576484911E-3</v>
      </c>
      <c r="F969" s="228"/>
      <c r="G969" s="245">
        <v>373.67541499999999</v>
      </c>
      <c r="H969" s="228">
        <f t="shared" ref="H969:H1032" si="91">G969/G968-1</f>
        <v>-2.5134835761914776E-2</v>
      </c>
      <c r="J969" s="227"/>
      <c r="K969" s="245">
        <v>78.921204000000003</v>
      </c>
      <c r="L969" s="228">
        <f t="shared" ref="L969:L1032" si="92">K969/K968-1</f>
        <v>-1.4067537492095994E-2</v>
      </c>
      <c r="M969" s="228"/>
      <c r="N969" s="227"/>
      <c r="O969" s="322">
        <v>62.029998999999997</v>
      </c>
      <c r="P969" s="228">
        <f t="shared" ref="P969:P1032" si="93">O969/O968-1</f>
        <v>-2.7132983912578013E-2</v>
      </c>
      <c r="Q969" s="228"/>
      <c r="R969" s="227"/>
      <c r="S969" s="322">
        <v>341.45001200000002</v>
      </c>
      <c r="T969" s="228">
        <f t="shared" ref="T969:T1032" si="94">S969/S968-1</f>
        <v>-2.9420057854009807E-2</v>
      </c>
      <c r="U969" s="228"/>
      <c r="V969" s="228"/>
      <c r="W969" s="228"/>
      <c r="X969" s="322">
        <v>204.449997</v>
      </c>
      <c r="Y969" s="228">
        <f t="shared" ref="Y969:Y1032" si="95">X969/X968-1</f>
        <v>-3.6658338343463992E-2</v>
      </c>
      <c r="Z969" s="228"/>
      <c r="AA969" s="202"/>
    </row>
    <row r="970" spans="2:27" x14ac:dyDescent="0.15">
      <c r="B970" s="241">
        <v>44071</v>
      </c>
      <c r="C970" s="244"/>
      <c r="D970" s="245">
        <v>77.494140999999999</v>
      </c>
      <c r="E970" s="228">
        <f t="shared" si="90"/>
        <v>6.6351494599252714E-3</v>
      </c>
      <c r="F970" s="228"/>
      <c r="G970" s="245">
        <v>376.90344199999998</v>
      </c>
      <c r="H970" s="228">
        <f t="shared" si="91"/>
        <v>8.638585441860025E-3</v>
      </c>
      <c r="J970" s="227"/>
      <c r="K970" s="245">
        <v>78.764549000000002</v>
      </c>
      <c r="L970" s="228">
        <f t="shared" si="92"/>
        <v>-1.9849545123513668E-3</v>
      </c>
      <c r="M970" s="228"/>
      <c r="N970" s="227"/>
      <c r="O970" s="322">
        <v>63.07</v>
      </c>
      <c r="P970" s="228">
        <f t="shared" si="93"/>
        <v>1.67660973201047E-2</v>
      </c>
      <c r="Q970" s="228"/>
      <c r="R970" s="227"/>
      <c r="S970" s="322">
        <v>350.77999899999998</v>
      </c>
      <c r="T970" s="228">
        <f t="shared" si="94"/>
        <v>2.7324605863537021E-2</v>
      </c>
      <c r="U970" s="228"/>
      <c r="V970" s="228"/>
      <c r="W970" s="228"/>
      <c r="X970" s="322">
        <v>208.61000100000001</v>
      </c>
      <c r="Y970" s="228">
        <f t="shared" si="95"/>
        <v>2.0347293035176683E-2</v>
      </c>
      <c r="Z970" s="228"/>
      <c r="AA970" s="202"/>
    </row>
    <row r="971" spans="2:27" x14ac:dyDescent="0.15">
      <c r="B971" s="241">
        <v>44074</v>
      </c>
      <c r="C971" s="244"/>
      <c r="D971" s="245">
        <v>77.228920000000002</v>
      </c>
      <c r="E971" s="228">
        <f t="shared" si="90"/>
        <v>-3.4224651899812386E-3</v>
      </c>
      <c r="F971" s="228"/>
      <c r="G971" s="245">
        <v>371.64923099999999</v>
      </c>
      <c r="H971" s="228">
        <f t="shared" si="91"/>
        <v>-1.3940469665437494E-2</v>
      </c>
      <c r="J971" s="227"/>
      <c r="K971" s="245">
        <v>77.599334999999996</v>
      </c>
      <c r="L971" s="228">
        <f t="shared" si="92"/>
        <v>-1.4793635141616912E-2</v>
      </c>
      <c r="M971" s="228"/>
      <c r="N971" s="227"/>
      <c r="O971" s="322">
        <v>61.599997999999999</v>
      </c>
      <c r="P971" s="228">
        <f t="shared" si="93"/>
        <v>-2.3307467892817568E-2</v>
      </c>
      <c r="Q971" s="228"/>
      <c r="R971" s="227"/>
      <c r="S971" s="322">
        <v>336.33999599999999</v>
      </c>
      <c r="T971" s="228">
        <f t="shared" si="94"/>
        <v>-4.116541148630315E-2</v>
      </c>
      <c r="U971" s="228"/>
      <c r="V971" s="228"/>
      <c r="W971" s="228"/>
      <c r="X971" s="322">
        <v>205.13999899999999</v>
      </c>
      <c r="Y971" s="228">
        <f t="shared" si="95"/>
        <v>-1.6633919674829079E-2</v>
      </c>
      <c r="Z971" s="228"/>
      <c r="AA971" s="202"/>
    </row>
    <row r="972" spans="2:27" x14ac:dyDescent="0.15">
      <c r="B972" s="241">
        <v>44075</v>
      </c>
      <c r="C972" s="244"/>
      <c r="D972" s="245">
        <v>77.926345999999995</v>
      </c>
      <c r="E972" s="228">
        <f t="shared" si="90"/>
        <v>9.0306325661422271E-3</v>
      </c>
      <c r="F972" s="228"/>
      <c r="G972" s="245">
        <v>384.28320300000001</v>
      </c>
      <c r="H972" s="228">
        <f t="shared" si="91"/>
        <v>3.3994344522133568E-2</v>
      </c>
      <c r="J972" s="227"/>
      <c r="K972" s="245">
        <v>79.851433</v>
      </c>
      <c r="L972" s="228">
        <f t="shared" si="92"/>
        <v>2.9022130150986536E-2</v>
      </c>
      <c r="M972" s="228"/>
      <c r="N972" s="227"/>
      <c r="O972" s="322">
        <v>61.889999000000003</v>
      </c>
      <c r="P972" s="228">
        <f t="shared" si="93"/>
        <v>4.7078085944094461E-3</v>
      </c>
      <c r="Q972" s="228"/>
      <c r="R972" s="227"/>
      <c r="S972" s="322">
        <v>340.55999800000001</v>
      </c>
      <c r="T972" s="228">
        <f t="shared" si="94"/>
        <v>1.2546833710493477E-2</v>
      </c>
      <c r="U972" s="228"/>
      <c r="V972" s="228"/>
      <c r="W972" s="228"/>
      <c r="X972" s="322">
        <v>207.949997</v>
      </c>
      <c r="Y972" s="228">
        <f t="shared" si="95"/>
        <v>1.3697952684498249E-2</v>
      </c>
      <c r="Z972" s="228"/>
      <c r="AA972" s="202"/>
    </row>
    <row r="973" spans="2:27" x14ac:dyDescent="0.15">
      <c r="B973" s="241">
        <v>44076</v>
      </c>
      <c r="C973" s="244"/>
      <c r="D973" s="245">
        <v>79.046188000000001</v>
      </c>
      <c r="E973" s="228">
        <f t="shared" si="90"/>
        <v>1.4370518540674393E-2</v>
      </c>
      <c r="F973" s="228"/>
      <c r="G973" s="245">
        <v>395.79480000000001</v>
      </c>
      <c r="H973" s="228">
        <f t="shared" si="91"/>
        <v>2.995602438548417E-2</v>
      </c>
      <c r="J973" s="227"/>
      <c r="K973" s="245">
        <v>80.458511000000001</v>
      </c>
      <c r="L973" s="228">
        <f t="shared" si="92"/>
        <v>7.6025936816939144E-3</v>
      </c>
      <c r="M973" s="228"/>
      <c r="N973" s="227"/>
      <c r="O973" s="322">
        <v>65.080001999999993</v>
      </c>
      <c r="P973" s="228">
        <f t="shared" si="93"/>
        <v>5.1543109574133217E-2</v>
      </c>
      <c r="Q973" s="228"/>
      <c r="R973" s="227"/>
      <c r="S973" s="322">
        <v>362.70001200000002</v>
      </c>
      <c r="T973" s="228">
        <f t="shared" si="94"/>
        <v>6.501061231507288E-2</v>
      </c>
      <c r="U973" s="228"/>
      <c r="V973" s="228"/>
      <c r="W973" s="228"/>
      <c r="X973" s="322">
        <v>215.53999300000001</v>
      </c>
      <c r="Y973" s="228">
        <f t="shared" si="95"/>
        <v>3.6499139742714348E-2</v>
      </c>
      <c r="Z973" s="228"/>
      <c r="AA973" s="202"/>
    </row>
    <row r="974" spans="2:27" x14ac:dyDescent="0.15">
      <c r="B974" s="241">
        <v>44077</v>
      </c>
      <c r="C974" s="244"/>
      <c r="D974" s="245">
        <v>76.276084999999995</v>
      </c>
      <c r="E974" s="228">
        <f t="shared" si="90"/>
        <v>-3.5044106111733142E-2</v>
      </c>
      <c r="F974" s="228"/>
      <c r="G974" s="245">
        <v>373.61584499999998</v>
      </c>
      <c r="H974" s="228">
        <f t="shared" si="91"/>
        <v>-5.6036499216260638E-2</v>
      </c>
      <c r="J974" s="227"/>
      <c r="K974" s="245">
        <v>79.489142999999999</v>
      </c>
      <c r="L974" s="228">
        <f t="shared" si="92"/>
        <v>-1.204804796847414E-2</v>
      </c>
      <c r="M974" s="228"/>
      <c r="N974" s="227"/>
      <c r="O974" s="322">
        <v>61.459999000000003</v>
      </c>
      <c r="P974" s="228">
        <f t="shared" si="93"/>
        <v>-5.562389195992945E-2</v>
      </c>
      <c r="Q974" s="228"/>
      <c r="R974" s="227"/>
      <c r="S974" s="322">
        <v>341.52999899999998</v>
      </c>
      <c r="T974" s="228">
        <f t="shared" si="94"/>
        <v>-5.8367830988657499E-2</v>
      </c>
      <c r="U974" s="228"/>
      <c r="V974" s="228"/>
      <c r="W974" s="228"/>
      <c r="X974" s="322">
        <v>201.41000399999999</v>
      </c>
      <c r="Y974" s="228">
        <f t="shared" si="95"/>
        <v>-6.5556228351552503E-2</v>
      </c>
      <c r="Z974" s="228"/>
      <c r="AA974" s="202"/>
    </row>
    <row r="975" spans="2:27" x14ac:dyDescent="0.15">
      <c r="B975" s="241">
        <v>44078</v>
      </c>
      <c r="C975" s="244"/>
      <c r="D975" s="245">
        <v>75.608108999999999</v>
      </c>
      <c r="E975" s="228">
        <f t="shared" si="90"/>
        <v>-8.7573451102006539E-3</v>
      </c>
      <c r="F975" s="228"/>
      <c r="G975" s="245">
        <v>364.93496699999997</v>
      </c>
      <c r="H975" s="228">
        <f t="shared" si="91"/>
        <v>-2.3234769392609711E-2</v>
      </c>
      <c r="J975" s="227"/>
      <c r="K975" s="245">
        <v>77.266425999999996</v>
      </c>
      <c r="L975" s="228">
        <f t="shared" si="92"/>
        <v>-2.7962523133505224E-2</v>
      </c>
      <c r="M975" s="228"/>
      <c r="N975" s="227"/>
      <c r="O975" s="322">
        <v>60.959999000000003</v>
      </c>
      <c r="P975" s="228">
        <f t="shared" si="93"/>
        <v>-8.1353727324336989E-3</v>
      </c>
      <c r="Q975" s="228"/>
      <c r="R975" s="227"/>
      <c r="S975" s="322">
        <v>333.11999500000002</v>
      </c>
      <c r="T975" s="228">
        <f t="shared" si="94"/>
        <v>-2.4624495724019702E-2</v>
      </c>
      <c r="U975" s="228"/>
      <c r="V975" s="228"/>
      <c r="W975" s="228"/>
      <c r="X975" s="322">
        <v>193.36999499999999</v>
      </c>
      <c r="Y975" s="228">
        <f t="shared" si="95"/>
        <v>-3.9918617945114532E-2</v>
      </c>
      <c r="Z975" s="228"/>
      <c r="AA975" s="202"/>
    </row>
    <row r="976" spans="2:27" x14ac:dyDescent="0.15">
      <c r="B976" s="241">
        <v>44082</v>
      </c>
      <c r="C976" s="244"/>
      <c r="D976" s="245">
        <v>73.466682000000006</v>
      </c>
      <c r="E976" s="228">
        <f t="shared" si="90"/>
        <v>-2.8322716019785532E-2</v>
      </c>
      <c r="F976" s="228"/>
      <c r="G976" s="245">
        <v>345.00067100000001</v>
      </c>
      <c r="H976" s="228">
        <f t="shared" si="91"/>
        <v>-5.4624242132434442E-2</v>
      </c>
      <c r="J976" s="227"/>
      <c r="K976" s="245">
        <v>75.709541000000002</v>
      </c>
      <c r="L976" s="228">
        <f t="shared" si="92"/>
        <v>-2.0149566643602679E-2</v>
      </c>
      <c r="M976" s="228"/>
      <c r="N976" s="227"/>
      <c r="O976" s="322">
        <v>55.630001</v>
      </c>
      <c r="P976" s="228">
        <f t="shared" si="93"/>
        <v>-8.7434351827991419E-2</v>
      </c>
      <c r="Q976" s="228"/>
      <c r="R976" s="227"/>
      <c r="S976" s="322">
        <v>302.72000100000002</v>
      </c>
      <c r="T976" s="228">
        <f t="shared" si="94"/>
        <v>-9.1258388737667895E-2</v>
      </c>
      <c r="U976" s="228"/>
      <c r="V976" s="228"/>
      <c r="W976" s="228"/>
      <c r="X976" s="322">
        <v>174.470001</v>
      </c>
      <c r="Y976" s="228">
        <f t="shared" si="95"/>
        <v>-9.7740055275897353E-2</v>
      </c>
      <c r="Z976" s="228"/>
      <c r="AA976" s="202"/>
    </row>
    <row r="977" spans="2:27" x14ac:dyDescent="0.15">
      <c r="B977" s="241">
        <v>44083</v>
      </c>
      <c r="C977" s="244"/>
      <c r="D977" s="245">
        <v>74.940146999999996</v>
      </c>
      <c r="E977" s="228">
        <f t="shared" si="90"/>
        <v>2.0056234471021783E-2</v>
      </c>
      <c r="F977" s="228"/>
      <c r="G977" s="245">
        <v>356.939392</v>
      </c>
      <c r="H977" s="228">
        <f t="shared" si="91"/>
        <v>3.4604921101733188E-2</v>
      </c>
      <c r="J977" s="227"/>
      <c r="K977" s="245">
        <v>77.746216000000004</v>
      </c>
      <c r="L977" s="228">
        <f t="shared" si="92"/>
        <v>2.6901166921617037E-2</v>
      </c>
      <c r="M977" s="228"/>
      <c r="N977" s="227"/>
      <c r="O977" s="322">
        <v>55.200001</v>
      </c>
      <c r="P977" s="228">
        <f t="shared" si="93"/>
        <v>-7.7296421403982851E-3</v>
      </c>
      <c r="Q977" s="228"/>
      <c r="R977" s="227"/>
      <c r="S977" s="322">
        <v>300.91000400000001</v>
      </c>
      <c r="T977" s="228">
        <f t="shared" si="94"/>
        <v>-5.9791126916651782E-3</v>
      </c>
      <c r="U977" s="228"/>
      <c r="V977" s="228"/>
      <c r="W977" s="228"/>
      <c r="X977" s="322">
        <v>174.46000699999999</v>
      </c>
      <c r="Y977" s="228">
        <f t="shared" si="95"/>
        <v>-5.7282053893104035E-5</v>
      </c>
      <c r="Z977" s="228"/>
      <c r="AA977" s="202"/>
    </row>
    <row r="978" spans="2:27" x14ac:dyDescent="0.15">
      <c r="B978" s="241">
        <v>44084</v>
      </c>
      <c r="C978" s="244"/>
      <c r="D978" s="245">
        <v>73.722092000000004</v>
      </c>
      <c r="E978" s="228">
        <f t="shared" si="90"/>
        <v>-1.6253704439624261E-2</v>
      </c>
      <c r="F978" s="228"/>
      <c r="G978" s="245">
        <v>354.585419</v>
      </c>
      <c r="H978" s="228">
        <f t="shared" si="91"/>
        <v>-6.5948815198295652E-3</v>
      </c>
      <c r="J978" s="227"/>
      <c r="K978" s="245">
        <v>77.256637999999995</v>
      </c>
      <c r="L978" s="228">
        <f t="shared" si="92"/>
        <v>-6.2971296249325626E-3</v>
      </c>
      <c r="M978" s="228"/>
      <c r="N978" s="227"/>
      <c r="O978" s="322">
        <v>55.119999</v>
      </c>
      <c r="P978" s="228">
        <f t="shared" si="93"/>
        <v>-1.4493115679472535E-3</v>
      </c>
      <c r="Q978" s="228"/>
      <c r="R978" s="227"/>
      <c r="S978" s="322">
        <v>297.51001000000002</v>
      </c>
      <c r="T978" s="228">
        <f t="shared" si="94"/>
        <v>-1.129903942974253E-2</v>
      </c>
      <c r="U978" s="228"/>
      <c r="V978" s="228"/>
      <c r="W978" s="228"/>
      <c r="X978" s="322">
        <v>173.13000500000001</v>
      </c>
      <c r="Y978" s="228">
        <f t="shared" si="95"/>
        <v>-7.6235351750271185E-3</v>
      </c>
      <c r="Z978" s="228"/>
      <c r="AA978" s="202"/>
    </row>
    <row r="979" spans="2:27" x14ac:dyDescent="0.15">
      <c r="B979" s="241">
        <v>44085</v>
      </c>
      <c r="C979" s="244"/>
      <c r="D979" s="245">
        <v>73.702431000000004</v>
      </c>
      <c r="E979" s="228">
        <f t="shared" si="90"/>
        <v>-2.6669074990437469E-4</v>
      </c>
      <c r="F979" s="228"/>
      <c r="G979" s="245">
        <v>356.80035400000003</v>
      </c>
      <c r="H979" s="228">
        <f t="shared" si="91"/>
        <v>6.2465484515594749E-3</v>
      </c>
      <c r="J979" s="227"/>
      <c r="K979" s="245">
        <v>77.178291000000002</v>
      </c>
      <c r="L979" s="228">
        <f t="shared" si="92"/>
        <v>-1.0141135056899175E-3</v>
      </c>
      <c r="M979" s="228"/>
      <c r="N979" s="227"/>
      <c r="O979" s="322">
        <v>55</v>
      </c>
      <c r="P979" s="228">
        <f t="shared" si="93"/>
        <v>-2.1770501120654817E-3</v>
      </c>
      <c r="Q979" s="228"/>
      <c r="R979" s="227"/>
      <c r="S979" s="322">
        <v>293.98998999999998</v>
      </c>
      <c r="T979" s="228">
        <f t="shared" si="94"/>
        <v>-1.1831601901394984E-2</v>
      </c>
      <c r="U979" s="228"/>
      <c r="V979" s="228"/>
      <c r="W979" s="228"/>
      <c r="X979" s="322">
        <v>171.94000199999999</v>
      </c>
      <c r="Y979" s="228">
        <f t="shared" si="95"/>
        <v>-6.8734648277750665E-3</v>
      </c>
      <c r="Z979" s="228"/>
      <c r="AA979" s="202"/>
    </row>
    <row r="980" spans="2:27" x14ac:dyDescent="0.15">
      <c r="B980" s="241">
        <v>44088</v>
      </c>
      <c r="C980" s="244"/>
      <c r="D980" s="245">
        <v>74.841910999999996</v>
      </c>
      <c r="E980" s="228">
        <f t="shared" si="90"/>
        <v>1.5460548377298267E-2</v>
      </c>
      <c r="F980" s="228"/>
      <c r="G980" s="245">
        <v>365.45144699999997</v>
      </c>
      <c r="H980" s="228">
        <f t="shared" si="91"/>
        <v>2.4246312827368888E-2</v>
      </c>
      <c r="J980" s="227"/>
      <c r="K980" s="245">
        <v>78.823302999999996</v>
      </c>
      <c r="L980" s="228">
        <f t="shared" si="92"/>
        <v>2.1314439315584188E-2</v>
      </c>
      <c r="M980" s="228"/>
      <c r="N980" s="227"/>
      <c r="O980" s="322">
        <v>56.459999000000003</v>
      </c>
      <c r="P980" s="228">
        <f t="shared" si="93"/>
        <v>2.6545436363636377E-2</v>
      </c>
      <c r="Q980" s="228"/>
      <c r="R980" s="227"/>
      <c r="S980" s="322">
        <v>305.42001299999998</v>
      </c>
      <c r="T980" s="228">
        <f t="shared" si="94"/>
        <v>3.8878952987480897E-2</v>
      </c>
      <c r="U980" s="228"/>
      <c r="V980" s="228"/>
      <c r="W980" s="228"/>
      <c r="X980" s="322">
        <v>178.08000200000001</v>
      </c>
      <c r="Y980" s="228">
        <f t="shared" si="95"/>
        <v>3.5710131025821434E-2</v>
      </c>
      <c r="Z980" s="228"/>
      <c r="AA980" s="202"/>
    </row>
    <row r="981" spans="2:27" x14ac:dyDescent="0.15">
      <c r="B981" s="241">
        <v>44089</v>
      </c>
      <c r="C981" s="244"/>
      <c r="D981" s="245">
        <v>75.254478000000006</v>
      </c>
      <c r="E981" s="228">
        <f t="shared" si="90"/>
        <v>5.512512902029032E-3</v>
      </c>
      <c r="F981" s="228"/>
      <c r="G981" s="245">
        <v>367.745789</v>
      </c>
      <c r="H981" s="228">
        <f t="shared" si="91"/>
        <v>6.2781034767664945E-3</v>
      </c>
      <c r="J981" s="227"/>
      <c r="K981" s="245">
        <v>84.061874000000003</v>
      </c>
      <c r="L981" s="228">
        <f t="shared" si="92"/>
        <v>6.6459673733794355E-2</v>
      </c>
      <c r="M981" s="228"/>
      <c r="N981" s="227"/>
      <c r="O981" s="322">
        <v>57.200001</v>
      </c>
      <c r="P981" s="228">
        <f t="shared" si="93"/>
        <v>1.3106659814145605E-2</v>
      </c>
      <c r="Q981" s="228"/>
      <c r="R981" s="227"/>
      <c r="S981" s="322">
        <v>308.92999300000002</v>
      </c>
      <c r="T981" s="228">
        <f t="shared" si="94"/>
        <v>1.1492305188265606E-2</v>
      </c>
      <c r="U981" s="228"/>
      <c r="V981" s="228"/>
      <c r="W981" s="228"/>
      <c r="X981" s="322">
        <v>180.759995</v>
      </c>
      <c r="Y981" s="228">
        <f t="shared" si="95"/>
        <v>1.5049376515617885E-2</v>
      </c>
      <c r="Z981" s="228"/>
      <c r="AA981" s="202"/>
    </row>
    <row r="982" spans="2:27" x14ac:dyDescent="0.15">
      <c r="B982" s="241">
        <v>44090</v>
      </c>
      <c r="C982" s="244"/>
      <c r="D982" s="245">
        <v>74.979438999999999</v>
      </c>
      <c r="E982" s="228">
        <f t="shared" si="90"/>
        <v>-3.6547858321468452E-3</v>
      </c>
      <c r="F982" s="228"/>
      <c r="G982" s="245">
        <v>359.92904700000003</v>
      </c>
      <c r="H982" s="228">
        <f t="shared" si="91"/>
        <v>-2.1255830070157411E-2</v>
      </c>
      <c r="J982" s="227"/>
      <c r="K982" s="245">
        <v>81.398514000000006</v>
      </c>
      <c r="L982" s="228">
        <f t="shared" si="92"/>
        <v>-3.1683328877488481E-2</v>
      </c>
      <c r="M982" s="228"/>
      <c r="N982" s="227"/>
      <c r="O982" s="322">
        <v>56.470001000000003</v>
      </c>
      <c r="P982" s="228">
        <f t="shared" si="93"/>
        <v>-1.2762237539121646E-2</v>
      </c>
      <c r="Q982" s="228"/>
      <c r="R982" s="227"/>
      <c r="S982" s="322">
        <v>306.60000600000001</v>
      </c>
      <c r="T982" s="228">
        <f t="shared" si="94"/>
        <v>-7.5421197449093702E-3</v>
      </c>
      <c r="U982" s="228"/>
      <c r="V982" s="228"/>
      <c r="W982" s="228"/>
      <c r="X982" s="322">
        <v>180.80999800000001</v>
      </c>
      <c r="Y982" s="228">
        <f t="shared" si="95"/>
        <v>2.7662647368398297E-4</v>
      </c>
      <c r="Z982" s="228"/>
      <c r="AA982" s="202"/>
    </row>
    <row r="983" spans="2:27" x14ac:dyDescent="0.15">
      <c r="B983" s="241">
        <v>44091</v>
      </c>
      <c r="C983" s="244"/>
      <c r="D983" s="245">
        <v>74.390052999999995</v>
      </c>
      <c r="E983" s="228">
        <f t="shared" si="90"/>
        <v>-7.8606349668741693E-3</v>
      </c>
      <c r="F983" s="228"/>
      <c r="G983" s="245">
        <v>364.25952100000001</v>
      </c>
      <c r="H983" s="228">
        <f t="shared" si="91"/>
        <v>1.2031465746080716E-2</v>
      </c>
      <c r="J983" s="227"/>
      <c r="K983" s="245">
        <v>80.618033999999994</v>
      </c>
      <c r="L983" s="228">
        <f t="shared" si="92"/>
        <v>-9.5883814291746194E-3</v>
      </c>
      <c r="M983" s="228"/>
      <c r="N983" s="227"/>
      <c r="O983" s="322">
        <v>56.34</v>
      </c>
      <c r="P983" s="228">
        <f t="shared" si="93"/>
        <v>-2.3021249813683919E-3</v>
      </c>
      <c r="Q983" s="228"/>
      <c r="R983" s="227"/>
      <c r="S983" s="322">
        <v>305.89001500000001</v>
      </c>
      <c r="T983" s="228">
        <f t="shared" si="94"/>
        <v>-2.3156914093471759E-3</v>
      </c>
      <c r="U983" s="228"/>
      <c r="V983" s="228"/>
      <c r="W983" s="228"/>
      <c r="X983" s="322">
        <v>180.490005</v>
      </c>
      <c r="Y983" s="228">
        <f t="shared" si="95"/>
        <v>-1.7697749214067304E-3</v>
      </c>
      <c r="Z983" s="228"/>
      <c r="AA983" s="202"/>
    </row>
    <row r="984" spans="2:27" x14ac:dyDescent="0.15">
      <c r="B984" s="241">
        <v>44092</v>
      </c>
      <c r="C984" s="244"/>
      <c r="D984" s="245">
        <v>73.643494000000004</v>
      </c>
      <c r="E984" s="228">
        <f t="shared" si="90"/>
        <v>-1.0035736901545023E-2</v>
      </c>
      <c r="F984" s="228"/>
      <c r="G984" s="245">
        <v>363.862213</v>
      </c>
      <c r="H984" s="228">
        <f t="shared" si="91"/>
        <v>-1.0907278385181574E-3</v>
      </c>
      <c r="J984" s="227"/>
      <c r="K984" s="245">
        <v>78.964539000000002</v>
      </c>
      <c r="L984" s="228">
        <f t="shared" si="92"/>
        <v>-2.0510237200773163E-2</v>
      </c>
      <c r="M984" s="228"/>
      <c r="N984" s="227"/>
      <c r="O984" s="322">
        <v>56.150002000000001</v>
      </c>
      <c r="P984" s="228">
        <f t="shared" si="93"/>
        <v>-3.3723464678736548E-3</v>
      </c>
      <c r="Q984" s="228"/>
      <c r="R984" s="227"/>
      <c r="S984" s="322">
        <v>307.209991</v>
      </c>
      <c r="T984" s="228">
        <f t="shared" si="94"/>
        <v>4.3151980622839758E-3</v>
      </c>
      <c r="U984" s="228"/>
      <c r="V984" s="228"/>
      <c r="W984" s="228"/>
      <c r="X984" s="322">
        <v>178.96000699999999</v>
      </c>
      <c r="Y984" s="228">
        <f t="shared" si="95"/>
        <v>-8.476912613526788E-3</v>
      </c>
      <c r="Z984" s="228"/>
      <c r="AA984" s="202"/>
    </row>
    <row r="985" spans="2:27" x14ac:dyDescent="0.15">
      <c r="B985" s="241">
        <v>44095</v>
      </c>
      <c r="C985" s="244"/>
      <c r="D985" s="245">
        <v>72.779060000000001</v>
      </c>
      <c r="E985" s="228">
        <f t="shared" si="90"/>
        <v>-1.1738090536551726E-2</v>
      </c>
      <c r="F985" s="228"/>
      <c r="G985" s="245">
        <v>360.167419</v>
      </c>
      <c r="H985" s="228">
        <f t="shared" si="91"/>
        <v>-1.0154376761293382E-2</v>
      </c>
      <c r="J985" s="227"/>
      <c r="K985" s="245">
        <v>79.318854999999999</v>
      </c>
      <c r="L985" s="228">
        <f t="shared" si="92"/>
        <v>4.4870267652672435E-3</v>
      </c>
      <c r="M985" s="228"/>
      <c r="N985" s="227"/>
      <c r="O985" s="322">
        <v>57.32</v>
      </c>
      <c r="P985" s="228">
        <f t="shared" si="93"/>
        <v>2.0837007272056729E-2</v>
      </c>
      <c r="Q985" s="228"/>
      <c r="R985" s="227"/>
      <c r="S985" s="322">
        <v>314.959991</v>
      </c>
      <c r="T985" s="228">
        <f t="shared" si="94"/>
        <v>2.5227044129564113E-2</v>
      </c>
      <c r="U985" s="228"/>
      <c r="V985" s="228"/>
      <c r="W985" s="228"/>
      <c r="X985" s="322">
        <v>181.10000600000001</v>
      </c>
      <c r="Y985" s="228">
        <f t="shared" si="95"/>
        <v>1.1957973381170106E-2</v>
      </c>
      <c r="Z985" s="228"/>
      <c r="AA985" s="202"/>
    </row>
    <row r="986" spans="2:27" x14ac:dyDescent="0.15">
      <c r="B986" s="241">
        <v>44096</v>
      </c>
      <c r="C986" s="244"/>
      <c r="D986" s="245">
        <v>73.456856000000002</v>
      </c>
      <c r="E986" s="228">
        <f t="shared" si="90"/>
        <v>9.3130634003792956E-3</v>
      </c>
      <c r="F986" s="228"/>
      <c r="G986" s="245">
        <v>362.173767</v>
      </c>
      <c r="H986" s="228">
        <f t="shared" si="91"/>
        <v>5.5705982666911513E-3</v>
      </c>
      <c r="J986" s="227"/>
      <c r="K986" s="245">
        <v>79.210587000000004</v>
      </c>
      <c r="L986" s="228">
        <f t="shared" si="92"/>
        <v>-1.3649717964284713E-3</v>
      </c>
      <c r="M986" s="228"/>
      <c r="N986" s="227"/>
      <c r="O986" s="322">
        <v>57.889999000000003</v>
      </c>
      <c r="P986" s="228">
        <f t="shared" si="93"/>
        <v>9.9441556175854373E-3</v>
      </c>
      <c r="Q986" s="228"/>
      <c r="R986" s="227"/>
      <c r="S986" s="322">
        <v>318.69000199999999</v>
      </c>
      <c r="T986" s="228">
        <f t="shared" si="94"/>
        <v>1.1842808949026118E-2</v>
      </c>
      <c r="U986" s="228"/>
      <c r="V986" s="228"/>
      <c r="W986" s="228"/>
      <c r="X986" s="322">
        <v>183.300003</v>
      </c>
      <c r="Y986" s="228">
        <f t="shared" si="95"/>
        <v>1.2147967571022544E-2</v>
      </c>
      <c r="Z986" s="228"/>
      <c r="AA986" s="202"/>
    </row>
    <row r="987" spans="2:27" x14ac:dyDescent="0.15">
      <c r="B987" s="241">
        <v>44097</v>
      </c>
      <c r="C987" s="244"/>
      <c r="D987" s="245">
        <v>71.633460999999997</v>
      </c>
      <c r="E987" s="228">
        <f t="shared" si="90"/>
        <v>-2.4822665974160496E-2</v>
      </c>
      <c r="F987" s="228"/>
      <c r="G987" s="245">
        <v>355.14160199999998</v>
      </c>
      <c r="H987" s="228">
        <f t="shared" si="91"/>
        <v>-1.9416549846361542E-2</v>
      </c>
      <c r="J987" s="227"/>
      <c r="K987" s="245">
        <v>76.690963999999994</v>
      </c>
      <c r="L987" s="228">
        <f t="shared" si="92"/>
        <v>-3.1809169650516611E-2</v>
      </c>
      <c r="M987" s="228"/>
      <c r="N987" s="227"/>
      <c r="O987" s="322">
        <v>57.25</v>
      </c>
      <c r="P987" s="228">
        <f t="shared" si="93"/>
        <v>-1.1055432908195439E-2</v>
      </c>
      <c r="Q987" s="228"/>
      <c r="R987" s="227"/>
      <c r="S987" s="322">
        <v>317.01998900000001</v>
      </c>
      <c r="T987" s="228">
        <f t="shared" si="94"/>
        <v>-5.2402428363598208E-3</v>
      </c>
      <c r="U987" s="228"/>
      <c r="V987" s="228"/>
      <c r="W987" s="228"/>
      <c r="X987" s="322">
        <v>180.78999300000001</v>
      </c>
      <c r="Y987" s="228">
        <f t="shared" si="95"/>
        <v>-1.3693453131039979E-2</v>
      </c>
      <c r="Z987" s="228"/>
      <c r="AA987" s="202"/>
    </row>
    <row r="988" spans="2:27" x14ac:dyDescent="0.15">
      <c r="B988" s="241">
        <v>44098</v>
      </c>
      <c r="C988" s="244"/>
      <c r="D988" s="245">
        <v>71.811065999999997</v>
      </c>
      <c r="E988" s="228">
        <f t="shared" si="90"/>
        <v>2.4793580754112199E-3</v>
      </c>
      <c r="F988" s="228"/>
      <c r="G988" s="245">
        <v>357.72406000000001</v>
      </c>
      <c r="H988" s="228">
        <f t="shared" si="91"/>
        <v>7.2716290782515181E-3</v>
      </c>
      <c r="J988" s="227"/>
      <c r="K988" s="245">
        <v>77.143707000000006</v>
      </c>
      <c r="L988" s="228">
        <f t="shared" si="92"/>
        <v>5.9034725394768728E-3</v>
      </c>
      <c r="M988" s="228"/>
      <c r="N988" s="227"/>
      <c r="O988" s="322">
        <v>57.790000999999997</v>
      </c>
      <c r="P988" s="228">
        <f t="shared" si="93"/>
        <v>9.4323318777291831E-3</v>
      </c>
      <c r="Q988" s="228"/>
      <c r="R988" s="227"/>
      <c r="S988" s="322">
        <v>327.17001299999998</v>
      </c>
      <c r="T988" s="228">
        <f t="shared" si="94"/>
        <v>3.2016984266566073E-2</v>
      </c>
      <c r="U988" s="228"/>
      <c r="V988" s="228"/>
      <c r="W988" s="228"/>
      <c r="X988" s="322">
        <v>184.53999300000001</v>
      </c>
      <c r="Y988" s="228">
        <f t="shared" si="95"/>
        <v>2.0742298496576606E-2</v>
      </c>
      <c r="Z988" s="228"/>
      <c r="AA988" s="202"/>
    </row>
    <row r="989" spans="2:27" x14ac:dyDescent="0.15">
      <c r="B989" s="241">
        <v>44099</v>
      </c>
      <c r="C989" s="244"/>
      <c r="D989" s="245">
        <v>73.044426000000001</v>
      </c>
      <c r="E989" s="228">
        <f t="shared" si="90"/>
        <v>1.7175068811817962E-2</v>
      </c>
      <c r="F989" s="228"/>
      <c r="G989" s="245">
        <v>358.041901</v>
      </c>
      <c r="H989" s="228">
        <f t="shared" si="91"/>
        <v>8.8850886909863647E-4</v>
      </c>
      <c r="J989" s="227"/>
      <c r="K989" s="245">
        <v>77.635818</v>
      </c>
      <c r="L989" s="228">
        <f t="shared" si="92"/>
        <v>6.3791463897371337E-3</v>
      </c>
      <c r="M989" s="228"/>
      <c r="N989" s="227"/>
      <c r="O989" s="322">
        <v>58.23</v>
      </c>
      <c r="P989" s="228">
        <f t="shared" si="93"/>
        <v>7.6137565735636681E-3</v>
      </c>
      <c r="Q989" s="228"/>
      <c r="R989" s="227"/>
      <c r="S989" s="322">
        <v>330.26998900000001</v>
      </c>
      <c r="T989" s="228">
        <f t="shared" si="94"/>
        <v>9.4751226482361339E-3</v>
      </c>
      <c r="U989" s="228"/>
      <c r="V989" s="228"/>
      <c r="W989" s="228"/>
      <c r="X989" s="322">
        <v>187.91000399999999</v>
      </c>
      <c r="Y989" s="228">
        <f t="shared" si="95"/>
        <v>1.826168379663895E-2</v>
      </c>
      <c r="Z989" s="228"/>
      <c r="AA989" s="202"/>
    </row>
    <row r="990" spans="2:27" x14ac:dyDescent="0.15">
      <c r="B990" s="241">
        <v>44102</v>
      </c>
      <c r="C990" s="244"/>
      <c r="D990" s="245">
        <v>74.297522999999998</v>
      </c>
      <c r="E990" s="228">
        <f t="shared" si="90"/>
        <v>1.715527205320222E-2</v>
      </c>
      <c r="F990" s="228"/>
      <c r="G990" s="245">
        <v>368.55032299999999</v>
      </c>
      <c r="H990" s="228">
        <f t="shared" si="91"/>
        <v>2.9349698933700985E-2</v>
      </c>
      <c r="J990" s="227"/>
      <c r="K990" s="245">
        <v>78.511780000000002</v>
      </c>
      <c r="L990" s="228">
        <f t="shared" si="92"/>
        <v>1.1282962201802249E-2</v>
      </c>
      <c r="M990" s="228"/>
      <c r="N990" s="227"/>
      <c r="O990" s="322">
        <v>59.360000999999997</v>
      </c>
      <c r="P990" s="228">
        <f t="shared" si="93"/>
        <v>1.9405821741370399E-2</v>
      </c>
      <c r="Q990" s="228"/>
      <c r="R990" s="227"/>
      <c r="S990" s="322">
        <v>336.60998499999999</v>
      </c>
      <c r="T990" s="228">
        <f t="shared" si="94"/>
        <v>1.9196403582403487E-2</v>
      </c>
      <c r="U990" s="228"/>
      <c r="V990" s="228"/>
      <c r="W990" s="228"/>
      <c r="X990" s="322">
        <v>193.25</v>
      </c>
      <c r="Y990" s="228">
        <f t="shared" si="95"/>
        <v>2.841783772193418E-2</v>
      </c>
      <c r="Z990" s="228"/>
      <c r="AA990" s="202"/>
    </row>
    <row r="991" spans="2:27" x14ac:dyDescent="0.15">
      <c r="B991" s="241">
        <v>44103</v>
      </c>
      <c r="C991" s="244"/>
      <c r="D991" s="245">
        <v>73.932441999999995</v>
      </c>
      <c r="E991" s="228">
        <f t="shared" si="90"/>
        <v>-4.9137708130593261E-3</v>
      </c>
      <c r="F991" s="228"/>
      <c r="G991" s="245">
        <v>371.47042800000003</v>
      </c>
      <c r="H991" s="228">
        <f t="shared" si="91"/>
        <v>7.9232192125904266E-3</v>
      </c>
      <c r="J991" s="227"/>
      <c r="K991" s="245">
        <v>79.240111999999996</v>
      </c>
      <c r="L991" s="228">
        <f t="shared" si="92"/>
        <v>9.2767225504248874E-3</v>
      </c>
      <c r="M991" s="228"/>
      <c r="N991" s="227"/>
      <c r="O991" s="322">
        <v>59.650002000000001</v>
      </c>
      <c r="P991" s="228">
        <f t="shared" si="93"/>
        <v>4.8854615079942931E-3</v>
      </c>
      <c r="Q991" s="228"/>
      <c r="R991" s="227"/>
      <c r="S991" s="322">
        <v>337.709991</v>
      </c>
      <c r="T991" s="228">
        <f t="shared" si="94"/>
        <v>3.2678947417439375E-3</v>
      </c>
      <c r="U991" s="228"/>
      <c r="V991" s="228"/>
      <c r="W991" s="228"/>
      <c r="X991" s="322">
        <v>193.33000200000001</v>
      </c>
      <c r="Y991" s="228">
        <f t="shared" si="95"/>
        <v>4.1398188874519626E-4</v>
      </c>
      <c r="Z991" s="228"/>
      <c r="AA991" s="202"/>
    </row>
    <row r="992" spans="2:27" x14ac:dyDescent="0.15">
      <c r="B992" s="241">
        <v>44104</v>
      </c>
      <c r="C992" s="244"/>
      <c r="D992" s="245">
        <v>74.484984999999995</v>
      </c>
      <c r="E992" s="228">
        <f t="shared" si="90"/>
        <v>7.473620308659612E-3</v>
      </c>
      <c r="F992" s="228"/>
      <c r="G992" s="245">
        <v>366.7724</v>
      </c>
      <c r="H992" s="228">
        <f t="shared" si="91"/>
        <v>-1.2647111710329839E-2</v>
      </c>
      <c r="J992" s="227"/>
      <c r="K992" s="245">
        <v>79.791283000000007</v>
      </c>
      <c r="L992" s="228">
        <f t="shared" si="92"/>
        <v>6.9557069783041658E-3</v>
      </c>
      <c r="M992" s="228"/>
      <c r="N992" s="227"/>
      <c r="O992" s="322">
        <v>59.450001</v>
      </c>
      <c r="P992" s="228">
        <f t="shared" si="93"/>
        <v>-3.3529085212771204E-3</v>
      </c>
      <c r="Q992" s="228"/>
      <c r="R992" s="227"/>
      <c r="S992" s="322">
        <v>331.75</v>
      </c>
      <c r="T992" s="228">
        <f t="shared" si="94"/>
        <v>-1.7648251928679248E-2</v>
      </c>
      <c r="U992" s="228"/>
      <c r="V992" s="228"/>
      <c r="W992" s="228"/>
      <c r="X992" s="322">
        <v>193.740005</v>
      </c>
      <c r="Y992" s="228">
        <f t="shared" si="95"/>
        <v>2.1207417149873287E-3</v>
      </c>
      <c r="Z992" s="228"/>
      <c r="AA992" s="202"/>
    </row>
    <row r="993" spans="2:27" x14ac:dyDescent="0.15">
      <c r="B993" s="241">
        <v>44105</v>
      </c>
      <c r="C993" s="244"/>
      <c r="D993" s="245">
        <v>75.057265999999998</v>
      </c>
      <c r="E993" s="228">
        <f t="shared" si="90"/>
        <v>7.6831726555359747E-3</v>
      </c>
      <c r="F993" s="228"/>
      <c r="G993" s="245">
        <v>379.42626999999999</v>
      </c>
      <c r="H993" s="228">
        <f t="shared" si="91"/>
        <v>3.45006058253019E-2</v>
      </c>
      <c r="J993" s="227"/>
      <c r="K993" s="245">
        <v>81.316840999999997</v>
      </c>
      <c r="L993" s="228">
        <f t="shared" si="92"/>
        <v>1.9119356684614175E-2</v>
      </c>
      <c r="M993" s="228"/>
      <c r="N993" s="227"/>
      <c r="O993" s="322">
        <v>60.650002000000001</v>
      </c>
      <c r="P993" s="228">
        <f t="shared" si="93"/>
        <v>2.0185045917829436E-2</v>
      </c>
      <c r="Q993" s="228"/>
      <c r="R993" s="227"/>
      <c r="S993" s="322">
        <v>339.13000499999998</v>
      </c>
      <c r="T993" s="228">
        <f t="shared" si="94"/>
        <v>2.2245681989449873E-2</v>
      </c>
      <c r="U993" s="228"/>
      <c r="V993" s="228"/>
      <c r="W993" s="228"/>
      <c r="X993" s="322">
        <v>198.979996</v>
      </c>
      <c r="Y993" s="228">
        <f t="shared" si="95"/>
        <v>2.7046510089643094E-2</v>
      </c>
      <c r="Z993" s="228"/>
      <c r="AA993" s="202"/>
    </row>
    <row r="994" spans="2:27" x14ac:dyDescent="0.15">
      <c r="B994" s="241">
        <v>44106</v>
      </c>
      <c r="C994" s="244"/>
      <c r="D994" s="245">
        <v>74.504722999999998</v>
      </c>
      <c r="E994" s="228">
        <f t="shared" si="90"/>
        <v>-7.3616190603051912E-3</v>
      </c>
      <c r="F994" s="228"/>
      <c r="G994" s="245">
        <v>367.49749800000001</v>
      </c>
      <c r="H994" s="228">
        <f t="shared" si="91"/>
        <v>-3.1438972319971392E-2</v>
      </c>
      <c r="J994" s="227"/>
      <c r="K994" s="245">
        <v>79.525536000000002</v>
      </c>
      <c r="L994" s="228">
        <f t="shared" si="92"/>
        <v>-2.2028708665650099E-2</v>
      </c>
      <c r="M994" s="228"/>
      <c r="N994" s="227"/>
      <c r="O994" s="322">
        <v>58.209999000000003</v>
      </c>
      <c r="P994" s="228">
        <f t="shared" si="93"/>
        <v>-4.023088078381265E-2</v>
      </c>
      <c r="Q994" s="228"/>
      <c r="R994" s="227"/>
      <c r="S994" s="322">
        <v>328.709991</v>
      </c>
      <c r="T994" s="228">
        <f t="shared" si="94"/>
        <v>-3.0725721246635085E-2</v>
      </c>
      <c r="U994" s="228"/>
      <c r="V994" s="228"/>
      <c r="W994" s="228"/>
      <c r="X994" s="322">
        <v>191.96000699999999</v>
      </c>
      <c r="Y994" s="228">
        <f t="shared" si="95"/>
        <v>-3.5279873058194355E-2</v>
      </c>
      <c r="Z994" s="228"/>
      <c r="AA994" s="202"/>
    </row>
    <row r="995" spans="2:27" x14ac:dyDescent="0.15">
      <c r="B995" s="241">
        <v>44109</v>
      </c>
      <c r="C995" s="244"/>
      <c r="D995" s="245">
        <v>75.856476000000001</v>
      </c>
      <c r="E995" s="228">
        <f t="shared" si="90"/>
        <v>1.8143185365577352E-2</v>
      </c>
      <c r="F995" s="228"/>
      <c r="G995" s="245">
        <v>379.52557400000001</v>
      </c>
      <c r="H995" s="228">
        <f t="shared" si="91"/>
        <v>3.2729681332415383E-2</v>
      </c>
      <c r="J995" s="227"/>
      <c r="K995" s="245">
        <v>83.206551000000005</v>
      </c>
      <c r="L995" s="228">
        <f t="shared" si="92"/>
        <v>4.6287207671256825E-2</v>
      </c>
      <c r="M995" s="228"/>
      <c r="N995" s="227"/>
      <c r="O995" s="322">
        <v>60.599997999999999</v>
      </c>
      <c r="P995" s="228">
        <f t="shared" si="93"/>
        <v>4.1058220942419066E-2</v>
      </c>
      <c r="Q995" s="228"/>
      <c r="R995" s="227"/>
      <c r="S995" s="322">
        <v>342.23001099999999</v>
      </c>
      <c r="T995" s="228">
        <f t="shared" si="94"/>
        <v>4.11305417242398E-2</v>
      </c>
      <c r="U995" s="228"/>
      <c r="V995" s="228"/>
      <c r="W995" s="228"/>
      <c r="X995" s="322">
        <v>199.949997</v>
      </c>
      <c r="Y995" s="228">
        <f t="shared" si="95"/>
        <v>4.1623201232744211E-2</v>
      </c>
      <c r="Z995" s="228"/>
      <c r="AA995" s="202"/>
    </row>
    <row r="996" spans="2:27" x14ac:dyDescent="0.15">
      <c r="B996" s="241">
        <v>44110</v>
      </c>
      <c r="C996" s="244"/>
      <c r="D996" s="245">
        <v>74.840194999999994</v>
      </c>
      <c r="E996" s="228">
        <f t="shared" si="90"/>
        <v>-1.3397419094448915E-2</v>
      </c>
      <c r="F996" s="228"/>
      <c r="G996" s="245">
        <v>367.60672</v>
      </c>
      <c r="H996" s="228">
        <f t="shared" si="91"/>
        <v>-3.1404613592653452E-2</v>
      </c>
      <c r="J996" s="227"/>
      <c r="K996" s="245">
        <v>81.808944999999994</v>
      </c>
      <c r="L996" s="228">
        <f t="shared" si="92"/>
        <v>-1.6796826490260486E-2</v>
      </c>
      <c r="M996" s="228"/>
      <c r="N996" s="227"/>
      <c r="O996" s="322">
        <v>60.400002000000001</v>
      </c>
      <c r="P996" s="228">
        <f t="shared" si="93"/>
        <v>-3.3002641353222506E-3</v>
      </c>
      <c r="Q996" s="228"/>
      <c r="R996" s="227"/>
      <c r="S996" s="322">
        <v>340.98001099999999</v>
      </c>
      <c r="T996" s="228">
        <f t="shared" si="94"/>
        <v>-3.6525142735071014E-3</v>
      </c>
      <c r="U996" s="228"/>
      <c r="V996" s="228"/>
      <c r="W996" s="228"/>
      <c r="X996" s="322">
        <v>199.83000200000001</v>
      </c>
      <c r="Y996" s="228">
        <f t="shared" si="95"/>
        <v>-6.0012504026185631E-4</v>
      </c>
      <c r="Z996" s="228"/>
      <c r="AA996" s="202"/>
    </row>
    <row r="997" spans="2:27" x14ac:dyDescent="0.15">
      <c r="B997" s="241">
        <v>44111</v>
      </c>
      <c r="C997" s="244"/>
      <c r="D997" s="245">
        <v>76.172211000000004</v>
      </c>
      <c r="E997" s="228">
        <f t="shared" si="90"/>
        <v>1.7798136415865917E-2</v>
      </c>
      <c r="F997" s="228"/>
      <c r="G997" s="245">
        <v>373.25824</v>
      </c>
      <c r="H997" s="228">
        <f t="shared" si="91"/>
        <v>1.537382124026454E-2</v>
      </c>
      <c r="J997" s="227"/>
      <c r="K997" s="245">
        <v>85.549003999999996</v>
      </c>
      <c r="L997" s="228">
        <f t="shared" si="92"/>
        <v>4.5716993416795804E-2</v>
      </c>
      <c r="M997" s="228"/>
      <c r="N997" s="227"/>
      <c r="O997" s="322">
        <v>61.119999</v>
      </c>
      <c r="P997" s="228">
        <f t="shared" si="93"/>
        <v>1.1920479737732359E-2</v>
      </c>
      <c r="Q997" s="228"/>
      <c r="R997" s="227"/>
      <c r="S997" s="322">
        <v>345.76998900000001</v>
      </c>
      <c r="T997" s="228">
        <f t="shared" si="94"/>
        <v>1.4047679762670962E-2</v>
      </c>
      <c r="U997" s="228"/>
      <c r="V997" s="228"/>
      <c r="W997" s="228"/>
      <c r="X997" s="322">
        <v>202.89999399999999</v>
      </c>
      <c r="Y997" s="228">
        <f t="shared" si="95"/>
        <v>1.5363018412019924E-2</v>
      </c>
      <c r="Z997" s="228"/>
      <c r="AA997" s="202"/>
    </row>
    <row r="998" spans="2:27" x14ac:dyDescent="0.15">
      <c r="B998" s="241">
        <v>44112</v>
      </c>
      <c r="C998" s="244"/>
      <c r="D998" s="245">
        <v>76.922104000000004</v>
      </c>
      <c r="E998" s="228">
        <f t="shared" si="90"/>
        <v>9.8447057024508844E-3</v>
      </c>
      <c r="F998" s="228"/>
      <c r="G998" s="245">
        <v>378.31384300000002</v>
      </c>
      <c r="H998" s="228">
        <f t="shared" si="91"/>
        <v>1.3544518133076E-2</v>
      </c>
      <c r="J998" s="227"/>
      <c r="K998" s="245">
        <v>86.415122999999994</v>
      </c>
      <c r="L998" s="228">
        <f t="shared" si="92"/>
        <v>1.012424411159718E-2</v>
      </c>
      <c r="M998" s="228"/>
      <c r="N998" s="227"/>
      <c r="O998" s="322">
        <v>62.599997999999999</v>
      </c>
      <c r="P998" s="228">
        <f t="shared" si="93"/>
        <v>2.4214643720789297E-2</v>
      </c>
      <c r="Q998" s="228"/>
      <c r="R998" s="227"/>
      <c r="S998" s="322">
        <v>355.42999300000002</v>
      </c>
      <c r="T998" s="228">
        <f t="shared" si="94"/>
        <v>2.7937658869521043E-2</v>
      </c>
      <c r="U998" s="228"/>
      <c r="V998" s="228"/>
      <c r="W998" s="228"/>
      <c r="X998" s="322">
        <v>206.69000199999999</v>
      </c>
      <c r="Y998" s="228">
        <f t="shared" si="95"/>
        <v>1.8679192272425649E-2</v>
      </c>
      <c r="Z998" s="228"/>
      <c r="AA998" s="202"/>
    </row>
    <row r="999" spans="2:27" x14ac:dyDescent="0.15">
      <c r="B999" s="241">
        <v>44113</v>
      </c>
      <c r="C999" s="244"/>
      <c r="D999" s="245">
        <v>77.583183000000005</v>
      </c>
      <c r="E999" s="228">
        <f t="shared" si="90"/>
        <v>8.5941356986283246E-3</v>
      </c>
      <c r="F999" s="228"/>
      <c r="G999" s="245">
        <v>386.359039</v>
      </c>
      <c r="H999" s="228">
        <f t="shared" si="91"/>
        <v>2.1265930784351461E-2</v>
      </c>
      <c r="J999" s="227"/>
      <c r="K999" s="245">
        <v>87.379669000000007</v>
      </c>
      <c r="L999" s="228">
        <f t="shared" si="92"/>
        <v>1.1161773153988586E-2</v>
      </c>
      <c r="M999" s="228"/>
      <c r="N999" s="227"/>
      <c r="O999" s="322">
        <v>63.290000999999997</v>
      </c>
      <c r="P999" s="228">
        <f t="shared" si="93"/>
        <v>1.1022412492728728E-2</v>
      </c>
      <c r="Q999" s="228"/>
      <c r="R999" s="227"/>
      <c r="S999" s="322">
        <v>362.709991</v>
      </c>
      <c r="T999" s="228">
        <f t="shared" si="94"/>
        <v>2.0482227564852629E-2</v>
      </c>
      <c r="U999" s="228"/>
      <c r="V999" s="228"/>
      <c r="W999" s="228"/>
      <c r="X999" s="322">
        <v>211.03999300000001</v>
      </c>
      <c r="Y999" s="228">
        <f t="shared" si="95"/>
        <v>2.104596718713081E-2</v>
      </c>
      <c r="Z999" s="228"/>
      <c r="AA999" s="202"/>
    </row>
    <row r="1000" spans="2:27" x14ac:dyDescent="0.15">
      <c r="B1000" s="241">
        <v>44116</v>
      </c>
      <c r="C1000" s="244"/>
      <c r="D1000" s="245">
        <v>78.717872999999997</v>
      </c>
      <c r="E1000" s="228">
        <f t="shared" si="90"/>
        <v>1.4625463355892432E-2</v>
      </c>
      <c r="F1000" s="228"/>
      <c r="G1000" s="245">
        <v>396.34106400000002</v>
      </c>
      <c r="H1000" s="228">
        <f t="shared" si="91"/>
        <v>2.5836136837476653E-2</v>
      </c>
      <c r="J1000" s="227"/>
      <c r="K1000" s="245">
        <v>89.476073999999997</v>
      </c>
      <c r="L1000" s="228">
        <f t="shared" si="92"/>
        <v>2.3991908232108283E-2</v>
      </c>
      <c r="M1000" s="228"/>
      <c r="N1000" s="227"/>
      <c r="O1000" s="322">
        <v>64.680000000000007</v>
      </c>
      <c r="P1000" s="228">
        <f t="shared" si="93"/>
        <v>2.1962379175819668E-2</v>
      </c>
      <c r="Q1000" s="228"/>
      <c r="R1000" s="227"/>
      <c r="S1000" s="322">
        <v>370.10998499999999</v>
      </c>
      <c r="T1000" s="228">
        <f t="shared" si="94"/>
        <v>2.0401957992935538E-2</v>
      </c>
      <c r="U1000" s="228"/>
      <c r="V1000" s="228"/>
      <c r="W1000" s="228"/>
      <c r="X1000" s="322">
        <v>214.550003</v>
      </c>
      <c r="Y1000" s="228">
        <f t="shared" si="95"/>
        <v>1.66319660558365E-2</v>
      </c>
      <c r="Z1000" s="228"/>
      <c r="AA1000" s="202"/>
    </row>
    <row r="1001" spans="2:27" x14ac:dyDescent="0.15">
      <c r="B1001" s="241">
        <v>44117</v>
      </c>
      <c r="C1001" s="244"/>
      <c r="D1001" s="245">
        <v>78.293602000000007</v>
      </c>
      <c r="E1001" s="228">
        <f t="shared" si="90"/>
        <v>-5.3897670736097192E-3</v>
      </c>
      <c r="F1001" s="228"/>
      <c r="G1001" s="245">
        <v>402.40976000000001</v>
      </c>
      <c r="H1001" s="228">
        <f t="shared" si="91"/>
        <v>1.5311802261296803E-2</v>
      </c>
      <c r="J1001" s="227"/>
      <c r="K1001" s="245">
        <v>88.226105000000004</v>
      </c>
      <c r="L1001" s="228">
        <f t="shared" si="92"/>
        <v>-1.3969868637732086E-2</v>
      </c>
      <c r="M1001" s="228"/>
      <c r="N1001" s="227"/>
      <c r="O1001" s="322">
        <v>64.690002000000007</v>
      </c>
      <c r="P1001" s="228">
        <f t="shared" si="93"/>
        <v>1.5463821892391927E-4</v>
      </c>
      <c r="Q1001" s="228"/>
      <c r="R1001" s="227"/>
      <c r="S1001" s="322">
        <v>374.19000199999999</v>
      </c>
      <c r="T1001" s="228">
        <f t="shared" si="94"/>
        <v>1.1023796075104508E-2</v>
      </c>
      <c r="U1001" s="228"/>
      <c r="V1001" s="228"/>
      <c r="W1001" s="228"/>
      <c r="X1001" s="322">
        <v>219.94000199999999</v>
      </c>
      <c r="Y1001" s="228">
        <f t="shared" si="95"/>
        <v>2.5122344090575455E-2</v>
      </c>
      <c r="Z1001" s="228"/>
      <c r="AA1001" s="202"/>
    </row>
    <row r="1002" spans="2:27" x14ac:dyDescent="0.15">
      <c r="B1002" s="241">
        <v>44118</v>
      </c>
      <c r="C1002" s="244"/>
      <c r="D1002" s="245">
        <v>77.810126999999994</v>
      </c>
      <c r="E1002" s="228">
        <f t="shared" si="90"/>
        <v>-6.1751533669380798E-3</v>
      </c>
      <c r="F1002" s="228"/>
      <c r="G1002" s="245">
        <v>395.33789100000001</v>
      </c>
      <c r="H1002" s="228">
        <f t="shared" si="91"/>
        <v>-1.757380089389482E-2</v>
      </c>
      <c r="J1002" s="227"/>
      <c r="K1002" s="245">
        <v>87.202515000000005</v>
      </c>
      <c r="L1002" s="228">
        <f t="shared" si="92"/>
        <v>-1.1601894926677292E-2</v>
      </c>
      <c r="M1002" s="228"/>
      <c r="N1002" s="227"/>
      <c r="O1002" s="322">
        <v>63.98</v>
      </c>
      <c r="P1002" s="228">
        <f t="shared" si="93"/>
        <v>-1.0975451817114013E-2</v>
      </c>
      <c r="Q1002" s="228"/>
      <c r="R1002" s="227"/>
      <c r="S1002" s="322">
        <v>374.23998999999998</v>
      </c>
      <c r="T1002" s="228">
        <f t="shared" si="94"/>
        <v>1.3358988677625305E-4</v>
      </c>
      <c r="U1002" s="228"/>
      <c r="V1002" s="228"/>
      <c r="W1002" s="228"/>
      <c r="X1002" s="322">
        <v>216</v>
      </c>
      <c r="Y1002" s="228">
        <f t="shared" si="95"/>
        <v>-1.7913985469546367E-2</v>
      </c>
      <c r="Z1002" s="228"/>
      <c r="AA1002" s="202"/>
    </row>
    <row r="1003" spans="2:27" x14ac:dyDescent="0.15">
      <c r="B1003" s="241">
        <v>44119</v>
      </c>
      <c r="C1003" s="244"/>
      <c r="D1003" s="245">
        <v>77.780524999999997</v>
      </c>
      <c r="E1003" s="228">
        <f t="shared" si="90"/>
        <v>-3.8043891124861506E-4</v>
      </c>
      <c r="F1003" s="228"/>
      <c r="G1003" s="245">
        <v>383.955444</v>
      </c>
      <c r="H1003" s="228">
        <f t="shared" si="91"/>
        <v>-2.8791692522081136E-2</v>
      </c>
      <c r="J1003" s="227"/>
      <c r="K1003" s="245">
        <v>86.759613000000002</v>
      </c>
      <c r="L1003" s="228">
        <f t="shared" si="92"/>
        <v>-5.0790048887925376E-3</v>
      </c>
      <c r="M1003" s="228"/>
      <c r="N1003" s="227"/>
      <c r="O1003" s="322">
        <v>63.509998000000003</v>
      </c>
      <c r="P1003" s="228">
        <f t="shared" si="93"/>
        <v>-7.3460768990308845E-3</v>
      </c>
      <c r="Q1003" s="228"/>
      <c r="R1003" s="227"/>
      <c r="S1003" s="322">
        <v>375.48998999999998</v>
      </c>
      <c r="T1003" s="228">
        <f t="shared" si="94"/>
        <v>3.3401026972024184E-3</v>
      </c>
      <c r="U1003" s="228"/>
      <c r="V1003" s="228"/>
      <c r="W1003" s="228"/>
      <c r="X1003" s="322">
        <v>213.08999600000001</v>
      </c>
      <c r="Y1003" s="228">
        <f t="shared" si="95"/>
        <v>-1.3472240740740715E-2</v>
      </c>
      <c r="Z1003" s="228"/>
      <c r="AA1003" s="202"/>
    </row>
    <row r="1004" spans="2:27" x14ac:dyDescent="0.15">
      <c r="B1004" s="241">
        <v>44120</v>
      </c>
      <c r="C1004" s="244"/>
      <c r="D1004" s="245">
        <v>77.681861999999995</v>
      </c>
      <c r="E1004" s="228">
        <f t="shared" si="90"/>
        <v>-1.2684794812068967E-3</v>
      </c>
      <c r="F1004" s="228"/>
      <c r="G1004" s="245">
        <v>384.28320300000001</v>
      </c>
      <c r="H1004" s="228">
        <f t="shared" si="91"/>
        <v>8.53638111197208E-4</v>
      </c>
      <c r="J1004" s="227"/>
      <c r="K1004" s="245">
        <v>85.332481000000001</v>
      </c>
      <c r="L1004" s="228">
        <f t="shared" si="92"/>
        <v>-1.644926654986345E-2</v>
      </c>
      <c r="M1004" s="228"/>
      <c r="N1004" s="227"/>
      <c r="O1004" s="322">
        <v>63</v>
      </c>
      <c r="P1004" s="228">
        <f t="shared" si="93"/>
        <v>-8.0302002213887835E-3</v>
      </c>
      <c r="Q1004" s="228"/>
      <c r="R1004" s="227"/>
      <c r="S1004" s="322">
        <v>364.959991</v>
      </c>
      <c r="T1004" s="228">
        <f t="shared" si="94"/>
        <v>-2.8043354764264117E-2</v>
      </c>
      <c r="U1004" s="228"/>
      <c r="V1004" s="228"/>
      <c r="W1004" s="228"/>
      <c r="X1004" s="322">
        <v>208.39999399999999</v>
      </c>
      <c r="Y1004" s="228">
        <f t="shared" si="95"/>
        <v>-2.2009489361480949E-2</v>
      </c>
      <c r="Z1004" s="228"/>
      <c r="AA1004" s="202"/>
    </row>
    <row r="1005" spans="2:27" x14ac:dyDescent="0.15">
      <c r="B1005" s="241">
        <v>44123</v>
      </c>
      <c r="C1005" s="244"/>
      <c r="D1005" s="245">
        <v>76.517562999999996</v>
      </c>
      <c r="E1005" s="228">
        <f t="shared" si="90"/>
        <v>-1.4988041867482482E-2</v>
      </c>
      <c r="F1005" s="228"/>
      <c r="G1005" s="245">
        <v>382.70394900000002</v>
      </c>
      <c r="H1005" s="228">
        <f t="shared" si="91"/>
        <v>-4.1096097556988509E-3</v>
      </c>
      <c r="J1005" s="227"/>
      <c r="K1005" s="245">
        <v>86.178909000000004</v>
      </c>
      <c r="L1005" s="228">
        <f t="shared" si="92"/>
        <v>9.9191772005315926E-3</v>
      </c>
      <c r="M1005" s="228"/>
      <c r="N1005" s="227"/>
      <c r="O1005" s="322">
        <v>62.049999</v>
      </c>
      <c r="P1005" s="228">
        <f t="shared" si="93"/>
        <v>-1.5079380952380927E-2</v>
      </c>
      <c r="Q1005" s="228"/>
      <c r="R1005" s="227"/>
      <c r="S1005" s="322">
        <v>363.57000699999998</v>
      </c>
      <c r="T1005" s="228">
        <f t="shared" si="94"/>
        <v>-3.8085928164109939E-3</v>
      </c>
      <c r="U1005" s="228"/>
      <c r="V1005" s="228"/>
      <c r="W1005" s="228"/>
      <c r="X1005" s="322">
        <v>206.80999800000001</v>
      </c>
      <c r="Y1005" s="228">
        <f t="shared" si="95"/>
        <v>-7.6295395670692434E-3</v>
      </c>
      <c r="Z1005" s="228"/>
      <c r="AA1005" s="202"/>
    </row>
    <row r="1006" spans="2:27" x14ac:dyDescent="0.15">
      <c r="B1006" s="241">
        <v>44124</v>
      </c>
      <c r="C1006" s="244"/>
      <c r="D1006" s="245">
        <v>76.734627000000003</v>
      </c>
      <c r="E1006" s="228">
        <f t="shared" si="90"/>
        <v>2.8367866342007275E-3</v>
      </c>
      <c r="F1006" s="228"/>
      <c r="G1006" s="245">
        <v>382.35629299999999</v>
      </c>
      <c r="H1006" s="228">
        <f t="shared" si="91"/>
        <v>-9.0842020550985225E-4</v>
      </c>
      <c r="J1006" s="227"/>
      <c r="K1006" s="245">
        <v>86.867874</v>
      </c>
      <c r="L1006" s="228">
        <f t="shared" si="92"/>
        <v>7.9945894882469393E-3</v>
      </c>
      <c r="M1006" s="228"/>
      <c r="N1006" s="227"/>
      <c r="O1006" s="322">
        <v>62.259998000000003</v>
      </c>
      <c r="P1006" s="228">
        <f t="shared" si="93"/>
        <v>3.3843513841154138E-3</v>
      </c>
      <c r="Q1006" s="228"/>
      <c r="R1006" s="227"/>
      <c r="S1006" s="322">
        <v>363.57000699999998</v>
      </c>
      <c r="T1006" s="228">
        <f t="shared" si="94"/>
        <v>0</v>
      </c>
      <c r="U1006" s="228"/>
      <c r="V1006" s="228"/>
      <c r="W1006" s="228"/>
      <c r="X1006" s="322">
        <v>205.720001</v>
      </c>
      <c r="Y1006" s="228">
        <f t="shared" si="95"/>
        <v>-5.2705237200380006E-3</v>
      </c>
      <c r="Z1006" s="228"/>
      <c r="AA1006" s="202"/>
    </row>
    <row r="1007" spans="2:27" x14ac:dyDescent="0.15">
      <c r="B1007" s="241">
        <v>44125</v>
      </c>
      <c r="C1007" s="244"/>
      <c r="D1007" s="245">
        <v>76.566901999999999</v>
      </c>
      <c r="E1007" s="228">
        <f t="shared" si="90"/>
        <v>-2.1857798305321419E-3</v>
      </c>
      <c r="F1007" s="228"/>
      <c r="G1007" s="245">
        <v>380.40957600000002</v>
      </c>
      <c r="H1007" s="228">
        <f t="shared" si="91"/>
        <v>-5.0913690597998995E-3</v>
      </c>
      <c r="J1007" s="227"/>
      <c r="K1007" s="245">
        <v>86.257651999999993</v>
      </c>
      <c r="L1007" s="228">
        <f t="shared" si="92"/>
        <v>-7.0247143380072208E-3</v>
      </c>
      <c r="M1007" s="228"/>
      <c r="N1007" s="227"/>
      <c r="O1007" s="322">
        <v>62.110000999999997</v>
      </c>
      <c r="P1007" s="228">
        <f t="shared" si="93"/>
        <v>-2.4092034182205957E-3</v>
      </c>
      <c r="Q1007" s="228"/>
      <c r="R1007" s="227"/>
      <c r="S1007" s="322">
        <v>366.61999500000002</v>
      </c>
      <c r="T1007" s="228">
        <f t="shared" si="94"/>
        <v>8.388997830615974E-3</v>
      </c>
      <c r="U1007" s="228"/>
      <c r="V1007" s="228"/>
      <c r="W1007" s="228"/>
      <c r="X1007" s="322">
        <v>206.300003</v>
      </c>
      <c r="Y1007" s="228">
        <f t="shared" si="95"/>
        <v>2.8193758369658983E-3</v>
      </c>
      <c r="Z1007" s="228"/>
      <c r="AA1007" s="202"/>
    </row>
    <row r="1008" spans="2:27" x14ac:dyDescent="0.15">
      <c r="B1008" s="241">
        <v>44126</v>
      </c>
      <c r="C1008" s="244"/>
      <c r="D1008" s="245">
        <v>77.079971</v>
      </c>
      <c r="E1008" s="228">
        <f t="shared" si="90"/>
        <v>6.7009241147042431E-3</v>
      </c>
      <c r="F1008" s="228"/>
      <c r="G1008" s="245">
        <v>372.96026599999999</v>
      </c>
      <c r="H1008" s="228">
        <f t="shared" si="91"/>
        <v>-1.9582340903006146E-2</v>
      </c>
      <c r="J1008" s="227"/>
      <c r="K1008" s="245">
        <v>86.818664999999996</v>
      </c>
      <c r="L1008" s="228">
        <f t="shared" si="92"/>
        <v>6.5039215303472897E-3</v>
      </c>
      <c r="M1008" s="228"/>
      <c r="N1008" s="227"/>
      <c r="O1008" s="322">
        <v>61.700001</v>
      </c>
      <c r="P1008" s="228">
        <f t="shared" si="93"/>
        <v>-6.6011913282693069E-3</v>
      </c>
      <c r="Q1008" s="228"/>
      <c r="R1008" s="227"/>
      <c r="S1008" s="322">
        <v>358.01001000000002</v>
      </c>
      <c r="T1008" s="228">
        <f t="shared" si="94"/>
        <v>-2.3484766563263926E-2</v>
      </c>
      <c r="U1008" s="228"/>
      <c r="V1008" s="228"/>
      <c r="W1008" s="228"/>
      <c r="X1008" s="322">
        <v>203.30999800000001</v>
      </c>
      <c r="Y1008" s="228">
        <f t="shared" si="95"/>
        <v>-1.449348015763241E-2</v>
      </c>
      <c r="Z1008" s="228"/>
      <c r="AA1008" s="202"/>
    </row>
    <row r="1009" spans="2:27" x14ac:dyDescent="0.15">
      <c r="B1009" s="241">
        <v>44127</v>
      </c>
      <c r="C1009" s="244"/>
      <c r="D1009" s="245">
        <v>77.366118999999998</v>
      </c>
      <c r="E1009" s="228">
        <f t="shared" si="90"/>
        <v>3.7123522010664711E-3</v>
      </c>
      <c r="F1009" s="228"/>
      <c r="G1009" s="245">
        <v>375.99960299999998</v>
      </c>
      <c r="H1009" s="228">
        <f t="shared" si="91"/>
        <v>8.1492246683456671E-3</v>
      </c>
      <c r="J1009" s="227"/>
      <c r="K1009" s="245">
        <v>86.917084000000003</v>
      </c>
      <c r="L1009" s="228">
        <f t="shared" si="92"/>
        <v>1.133615680453115E-3</v>
      </c>
      <c r="M1009" s="228"/>
      <c r="N1009" s="227"/>
      <c r="O1009" s="322">
        <v>60.950001</v>
      </c>
      <c r="P1009" s="228">
        <f t="shared" si="93"/>
        <v>-1.2155591375112018E-2</v>
      </c>
      <c r="Q1009" s="228"/>
      <c r="R1009" s="227"/>
      <c r="S1009" s="322">
        <v>353.92001299999998</v>
      </c>
      <c r="T1009" s="228">
        <f t="shared" si="94"/>
        <v>-1.1424253193367484E-2</v>
      </c>
      <c r="U1009" s="228"/>
      <c r="V1009" s="228"/>
      <c r="W1009" s="228"/>
      <c r="X1009" s="322">
        <v>203.16999799999999</v>
      </c>
      <c r="Y1009" s="228">
        <f t="shared" si="95"/>
        <v>-6.8860361702438588E-4</v>
      </c>
      <c r="Z1009" s="228"/>
      <c r="AA1009" s="202"/>
    </row>
    <row r="1010" spans="2:27" x14ac:dyDescent="0.15">
      <c r="B1010" s="241">
        <v>44130</v>
      </c>
      <c r="C1010" s="244"/>
      <c r="D1010" s="245">
        <v>75.935417000000001</v>
      </c>
      <c r="E1010" s="228">
        <f t="shared" si="90"/>
        <v>-1.849261690378956E-2</v>
      </c>
      <c r="F1010" s="228"/>
      <c r="G1010" s="245">
        <v>365.004456</v>
      </c>
      <c r="H1010" s="228">
        <f t="shared" si="91"/>
        <v>-2.9242443109707139E-2</v>
      </c>
      <c r="J1010" s="227"/>
      <c r="K1010" s="245">
        <v>85.362015</v>
      </c>
      <c r="L1010" s="228">
        <f t="shared" si="92"/>
        <v>-1.7891407861773234E-2</v>
      </c>
      <c r="M1010" s="228"/>
      <c r="N1010" s="227"/>
      <c r="O1010" s="322">
        <v>59.509998000000003</v>
      </c>
      <c r="P1010" s="228">
        <f t="shared" si="93"/>
        <v>-2.3625971720656724E-2</v>
      </c>
      <c r="Q1010" s="228"/>
      <c r="R1010" s="227"/>
      <c r="S1010" s="322">
        <v>347.63000499999998</v>
      </c>
      <c r="T1010" s="228">
        <f t="shared" si="94"/>
        <v>-1.777239988968915E-2</v>
      </c>
      <c r="U1010" s="228"/>
      <c r="V1010" s="228"/>
      <c r="W1010" s="228"/>
      <c r="X1010" s="322">
        <v>198.94000199999999</v>
      </c>
      <c r="Y1010" s="228">
        <f t="shared" si="95"/>
        <v>-2.0819983470197201E-2</v>
      </c>
      <c r="Z1010" s="228"/>
      <c r="AA1010" s="202"/>
    </row>
    <row r="1011" spans="2:27" x14ac:dyDescent="0.15">
      <c r="B1011" s="241">
        <v>44131</v>
      </c>
      <c r="C1011" s="244"/>
      <c r="D1011" s="245">
        <v>75.659142000000003</v>
      </c>
      <c r="E1011" s="228">
        <f t="shared" si="90"/>
        <v>-3.6382891003284845E-3</v>
      </c>
      <c r="F1011" s="228"/>
      <c r="G1011" s="245">
        <v>363.89205900000002</v>
      </c>
      <c r="H1011" s="228">
        <f t="shared" si="91"/>
        <v>-3.0476258076147511E-3</v>
      </c>
      <c r="J1011" s="227"/>
      <c r="K1011" s="245">
        <v>85.342315999999997</v>
      </c>
      <c r="L1011" s="228">
        <f t="shared" si="92"/>
        <v>-2.3077009135741289E-4</v>
      </c>
      <c r="M1011" s="228"/>
      <c r="N1011" s="227"/>
      <c r="O1011" s="322">
        <v>58.830002</v>
      </c>
      <c r="P1011" s="228">
        <f t="shared" si="93"/>
        <v>-1.1426584151456365E-2</v>
      </c>
      <c r="Q1011" s="228"/>
      <c r="R1011" s="227"/>
      <c r="S1011" s="322">
        <v>343.82998700000002</v>
      </c>
      <c r="T1011" s="228">
        <f t="shared" si="94"/>
        <v>-1.0931214064792694E-2</v>
      </c>
      <c r="U1011" s="228"/>
      <c r="V1011" s="228"/>
      <c r="W1011" s="228"/>
      <c r="X1011" s="322">
        <v>198.58999600000001</v>
      </c>
      <c r="Y1011" s="228">
        <f t="shared" si="95"/>
        <v>-1.7593545615827155E-3</v>
      </c>
      <c r="Z1011" s="228"/>
      <c r="AA1011" s="202"/>
    </row>
    <row r="1012" spans="2:27" x14ac:dyDescent="0.15">
      <c r="B1012" s="241">
        <v>44132</v>
      </c>
      <c r="C1012" s="244"/>
      <c r="D1012" s="245">
        <v>73.172691</v>
      </c>
      <c r="E1012" s="228">
        <f t="shared" si="90"/>
        <v>-3.286385404687775E-2</v>
      </c>
      <c r="F1012" s="228"/>
      <c r="G1012" s="245">
        <v>360.40576199999998</v>
      </c>
      <c r="H1012" s="228">
        <f t="shared" si="91"/>
        <v>-9.5805800477773984E-3</v>
      </c>
      <c r="J1012" s="227"/>
      <c r="K1012" s="245">
        <v>82.527428</v>
      </c>
      <c r="L1012" s="228">
        <f t="shared" si="92"/>
        <v>-3.2983496721602834E-2</v>
      </c>
      <c r="M1012" s="228"/>
      <c r="N1012" s="227"/>
      <c r="O1012" s="322">
        <v>57.32</v>
      </c>
      <c r="P1012" s="228">
        <f t="shared" si="93"/>
        <v>-2.5667209734244079E-2</v>
      </c>
      <c r="Q1012" s="228"/>
      <c r="R1012" s="227"/>
      <c r="S1012" s="322">
        <v>338.89999399999999</v>
      </c>
      <c r="T1012" s="228">
        <f t="shared" si="94"/>
        <v>-1.4338461409417524E-2</v>
      </c>
      <c r="U1012" s="228"/>
      <c r="V1012" s="228"/>
      <c r="W1012" s="228"/>
      <c r="X1012" s="322">
        <v>190.550003</v>
      </c>
      <c r="Y1012" s="228">
        <f t="shared" si="95"/>
        <v>-4.0485387793653071E-2</v>
      </c>
      <c r="Z1012" s="228"/>
      <c r="AA1012" s="202"/>
    </row>
    <row r="1013" spans="2:27" x14ac:dyDescent="0.15">
      <c r="B1013" s="241">
        <v>44133</v>
      </c>
      <c r="C1013" s="244"/>
      <c r="D1013" s="245">
        <v>73.873244999999997</v>
      </c>
      <c r="E1013" s="228">
        <f t="shared" si="90"/>
        <v>9.5739816374935671E-3</v>
      </c>
      <c r="F1013" s="228"/>
      <c r="G1013" s="245">
        <v>368.351654</v>
      </c>
      <c r="H1013" s="228">
        <f t="shared" si="91"/>
        <v>2.2047072599244544E-2</v>
      </c>
      <c r="J1013" s="227"/>
      <c r="K1013" s="245">
        <v>83.551033000000004</v>
      </c>
      <c r="L1013" s="228">
        <f t="shared" si="92"/>
        <v>1.2403209754701328E-2</v>
      </c>
      <c r="M1013" s="228"/>
      <c r="N1013" s="227"/>
      <c r="O1013" s="322">
        <v>59.5</v>
      </c>
      <c r="P1013" s="228">
        <f t="shared" si="93"/>
        <v>3.8032100488485598E-2</v>
      </c>
      <c r="Q1013" s="228"/>
      <c r="R1013" s="227"/>
      <c r="S1013" s="322">
        <v>353.26001000000002</v>
      </c>
      <c r="T1013" s="228">
        <f t="shared" si="94"/>
        <v>4.2372429195144834E-2</v>
      </c>
      <c r="U1013" s="228"/>
      <c r="V1013" s="228"/>
      <c r="W1013" s="228"/>
      <c r="X1013" s="322">
        <v>201.949997</v>
      </c>
      <c r="Y1013" s="228">
        <f t="shared" si="95"/>
        <v>5.982678467866509E-2</v>
      </c>
      <c r="Z1013" s="228"/>
      <c r="AA1013" s="202"/>
    </row>
    <row r="1014" spans="2:27" x14ac:dyDescent="0.15">
      <c r="B1014" s="241">
        <v>44134</v>
      </c>
      <c r="C1014" s="244"/>
      <c r="D1014" s="245">
        <v>73.064155999999997</v>
      </c>
      <c r="E1014" s="228">
        <f t="shared" si="90"/>
        <v>-1.0952395552679461E-2</v>
      </c>
      <c r="F1014" s="228"/>
      <c r="G1014" s="245">
        <v>358.76693699999998</v>
      </c>
      <c r="H1014" s="228">
        <f t="shared" si="91"/>
        <v>-2.6020561862333924E-2</v>
      </c>
      <c r="J1014" s="227"/>
      <c r="K1014" s="245">
        <v>82.547111999999998</v>
      </c>
      <c r="L1014" s="228">
        <f t="shared" si="92"/>
        <v>-1.2015662331787191E-2</v>
      </c>
      <c r="M1014" s="228"/>
      <c r="N1014" s="227"/>
      <c r="O1014" s="322">
        <v>59.23</v>
      </c>
      <c r="P1014" s="228">
        <f t="shared" si="93"/>
        <v>-4.5378151260504485E-3</v>
      </c>
      <c r="Q1014" s="228"/>
      <c r="R1014" s="227"/>
      <c r="S1014" s="322">
        <v>342.07998700000002</v>
      </c>
      <c r="T1014" s="228">
        <f t="shared" si="94"/>
        <v>-3.1648142114925504E-2</v>
      </c>
      <c r="U1014" s="228"/>
      <c r="V1014" s="228"/>
      <c r="W1014" s="228"/>
      <c r="X1014" s="322">
        <v>197.179993</v>
      </c>
      <c r="Y1014" s="228">
        <f t="shared" si="95"/>
        <v>-2.361972800623513E-2</v>
      </c>
      <c r="Z1014" s="228"/>
      <c r="AA1014" s="202"/>
    </row>
    <row r="1015" spans="2:27" x14ac:dyDescent="0.15">
      <c r="B1015" s="241">
        <v>44137</v>
      </c>
      <c r="C1015" s="244"/>
      <c r="D1015" s="245">
        <v>73.843643</v>
      </c>
      <c r="E1015" s="228">
        <f t="shared" si="90"/>
        <v>1.066852808099239E-2</v>
      </c>
      <c r="F1015" s="228"/>
      <c r="G1015" s="245">
        <v>364.14721700000001</v>
      </c>
      <c r="H1015" s="228">
        <f t="shared" si="91"/>
        <v>1.4996588161076962E-2</v>
      </c>
      <c r="J1015" s="227"/>
      <c r="K1015" s="245">
        <v>84.358101000000005</v>
      </c>
      <c r="L1015" s="228">
        <f t="shared" si="92"/>
        <v>2.1938853536147995E-2</v>
      </c>
      <c r="M1015" s="228"/>
      <c r="N1015" s="227"/>
      <c r="O1015" s="322">
        <v>60.330002</v>
      </c>
      <c r="P1015" s="228">
        <f t="shared" si="93"/>
        <v>1.8571703528617256E-2</v>
      </c>
      <c r="Q1015" s="228"/>
      <c r="R1015" s="227"/>
      <c r="S1015" s="322">
        <v>350.95001200000002</v>
      </c>
      <c r="T1015" s="228">
        <f t="shared" si="94"/>
        <v>2.5929681177168762E-2</v>
      </c>
      <c r="U1015" s="228"/>
      <c r="V1015" s="228"/>
      <c r="W1015" s="228"/>
      <c r="X1015" s="322">
        <v>202.229996</v>
      </c>
      <c r="Y1015" s="228">
        <f t="shared" si="95"/>
        <v>2.5611132869854725E-2</v>
      </c>
      <c r="Z1015" s="228"/>
      <c r="AA1015" s="202"/>
    </row>
    <row r="1016" spans="2:27" x14ac:dyDescent="0.15">
      <c r="B1016" s="241">
        <v>44138</v>
      </c>
      <c r="C1016" s="244"/>
      <c r="D1016" s="245">
        <v>75.244736000000003</v>
      </c>
      <c r="E1016" s="228">
        <f t="shared" si="90"/>
        <v>1.8973779503267396E-2</v>
      </c>
      <c r="F1016" s="228"/>
      <c r="G1016" s="245">
        <v>370.97729500000003</v>
      </c>
      <c r="H1016" s="228">
        <f t="shared" si="91"/>
        <v>1.8756364682034565E-2</v>
      </c>
      <c r="J1016" s="227"/>
      <c r="K1016" s="245">
        <v>86.306870000000004</v>
      </c>
      <c r="L1016" s="228">
        <f t="shared" si="92"/>
        <v>2.3101148282131279E-2</v>
      </c>
      <c r="M1016" s="228"/>
      <c r="N1016" s="227"/>
      <c r="O1016" s="322">
        <v>61.830002</v>
      </c>
      <c r="P1016" s="228">
        <f t="shared" si="93"/>
        <v>2.4863251289134691E-2</v>
      </c>
      <c r="Q1016" s="228"/>
      <c r="R1016" s="227"/>
      <c r="S1016" s="322">
        <v>370.52999899999998</v>
      </c>
      <c r="T1016" s="228">
        <f t="shared" si="94"/>
        <v>5.5791384329686222E-2</v>
      </c>
      <c r="U1016" s="228"/>
      <c r="V1016" s="228"/>
      <c r="W1016" s="228"/>
      <c r="X1016" s="322">
        <v>210.88000500000001</v>
      </c>
      <c r="Y1016" s="228">
        <f t="shared" si="95"/>
        <v>4.2773125506069931E-2</v>
      </c>
      <c r="Z1016" s="228"/>
      <c r="AA1016" s="202"/>
    </row>
    <row r="1017" spans="2:27" x14ac:dyDescent="0.15">
      <c r="B1017" s="241">
        <v>44139</v>
      </c>
      <c r="C1017" s="244"/>
      <c r="D1017" s="245">
        <v>76.843163000000004</v>
      </c>
      <c r="E1017" s="228">
        <f t="shared" si="90"/>
        <v>2.124304084208628E-2</v>
      </c>
      <c r="F1017" s="228"/>
      <c r="G1017" s="245">
        <v>381.885468</v>
      </c>
      <c r="H1017" s="228">
        <f t="shared" si="91"/>
        <v>2.9403883059743618E-2</v>
      </c>
      <c r="J1017" s="227"/>
      <c r="K1017" s="245">
        <v>88.039101000000002</v>
      </c>
      <c r="L1017" s="228">
        <f t="shared" si="92"/>
        <v>2.0070603881243709E-2</v>
      </c>
      <c r="M1017" s="228"/>
      <c r="N1017" s="227"/>
      <c r="O1017" s="322">
        <v>64.860000999999997</v>
      </c>
      <c r="P1017" s="228">
        <f t="shared" si="93"/>
        <v>4.9005319456402407E-2</v>
      </c>
      <c r="Q1017" s="228"/>
      <c r="R1017" s="227"/>
      <c r="S1017" s="322">
        <v>380.33999599999999</v>
      </c>
      <c r="T1017" s="228">
        <f t="shared" si="94"/>
        <v>2.6475580996074832E-2</v>
      </c>
      <c r="U1017" s="228"/>
      <c r="V1017" s="228"/>
      <c r="W1017" s="228"/>
      <c r="X1017" s="322">
        <v>220.529999</v>
      </c>
      <c r="Y1017" s="228">
        <f t="shared" si="95"/>
        <v>4.5760592617588358E-2</v>
      </c>
      <c r="Z1017" s="228"/>
      <c r="AA1017" s="202"/>
    </row>
    <row r="1018" spans="2:27" x14ac:dyDescent="0.15">
      <c r="B1018" s="241">
        <v>44140</v>
      </c>
      <c r="C1018" s="244"/>
      <c r="D1018" s="245">
        <v>78.461326999999997</v>
      </c>
      <c r="E1018" s="228">
        <f t="shared" si="90"/>
        <v>2.1058008765203917E-2</v>
      </c>
      <c r="F1018" s="228"/>
      <c r="G1018" s="245">
        <v>397.03125</v>
      </c>
      <c r="H1018" s="228">
        <f t="shared" si="91"/>
        <v>3.9660535079590886E-2</v>
      </c>
      <c r="J1018" s="227"/>
      <c r="K1018" s="245">
        <v>89.003639000000007</v>
      </c>
      <c r="L1018" s="228">
        <f t="shared" si="92"/>
        <v>1.095579110922551E-2</v>
      </c>
      <c r="M1018" s="228"/>
      <c r="N1018" s="227"/>
      <c r="O1018" s="322">
        <v>69.949996999999996</v>
      </c>
      <c r="P1018" s="228">
        <f t="shared" si="93"/>
        <v>7.8476656206033724E-2</v>
      </c>
      <c r="Q1018" s="228"/>
      <c r="R1018" s="227"/>
      <c r="S1018" s="322">
        <v>399.709991</v>
      </c>
      <c r="T1018" s="228">
        <f t="shared" si="94"/>
        <v>5.0928104337467639E-2</v>
      </c>
      <c r="U1018" s="228"/>
      <c r="V1018" s="228"/>
      <c r="W1018" s="228"/>
      <c r="X1018" s="322">
        <v>228.10000600000001</v>
      </c>
      <c r="Y1018" s="228">
        <f t="shared" si="95"/>
        <v>3.4326427399113291E-2</v>
      </c>
      <c r="Z1018" s="228"/>
      <c r="AA1018" s="202"/>
    </row>
    <row r="1019" spans="2:27" x14ac:dyDescent="0.15">
      <c r="B1019" s="241">
        <v>44141</v>
      </c>
      <c r="C1019" s="244"/>
      <c r="D1019" s="245">
        <v>78.412002999999999</v>
      </c>
      <c r="E1019" s="228">
        <f t="shared" si="90"/>
        <v>-6.2864090993508537E-4</v>
      </c>
      <c r="F1019" s="228"/>
      <c r="G1019" s="245">
        <v>405.05783100000002</v>
      </c>
      <c r="H1019" s="228">
        <f t="shared" si="91"/>
        <v>2.0216496812278661E-2</v>
      </c>
      <c r="J1019" s="227"/>
      <c r="K1019" s="245">
        <v>89.968185000000005</v>
      </c>
      <c r="L1019" s="228">
        <f t="shared" si="92"/>
        <v>1.0837152400027028E-2</v>
      </c>
      <c r="M1019" s="228"/>
      <c r="N1019" s="227"/>
      <c r="O1019" s="322">
        <v>70.529999000000004</v>
      </c>
      <c r="P1019" s="228">
        <f t="shared" si="93"/>
        <v>8.2916658309506452E-3</v>
      </c>
      <c r="Q1019" s="228"/>
      <c r="R1019" s="227"/>
      <c r="S1019" s="322">
        <v>409.42001299999998</v>
      </c>
      <c r="T1019" s="228">
        <f t="shared" si="94"/>
        <v>2.4292667730689832E-2</v>
      </c>
      <c r="U1019" s="228"/>
      <c r="V1019" s="228"/>
      <c r="W1019" s="228"/>
      <c r="X1019" s="322">
        <v>231.679993</v>
      </c>
      <c r="Y1019" s="228">
        <f t="shared" si="95"/>
        <v>1.5694813265370922E-2</v>
      </c>
      <c r="Z1019" s="228"/>
      <c r="AA1019" s="202"/>
    </row>
    <row r="1020" spans="2:27" x14ac:dyDescent="0.15">
      <c r="B1020" s="241">
        <v>44144</v>
      </c>
      <c r="C1020" s="244"/>
      <c r="D1020" s="245">
        <v>79.329628</v>
      </c>
      <c r="E1020" s="228">
        <f t="shared" si="90"/>
        <v>1.1702608846760443E-2</v>
      </c>
      <c r="F1020" s="228"/>
      <c r="G1020" s="245">
        <v>405.14755200000002</v>
      </c>
      <c r="H1020" s="228">
        <f t="shared" si="91"/>
        <v>2.2150170453061335E-4</v>
      </c>
      <c r="J1020" s="227"/>
      <c r="K1020" s="245">
        <v>87.625725000000003</v>
      </c>
      <c r="L1020" s="228">
        <f t="shared" si="92"/>
        <v>-2.6036537249250924E-2</v>
      </c>
      <c r="M1020" s="228"/>
      <c r="N1020" s="227"/>
      <c r="O1020" s="322">
        <v>71.300003000000004</v>
      </c>
      <c r="P1020" s="228">
        <f t="shared" si="93"/>
        <v>1.0917397007194074E-2</v>
      </c>
      <c r="Q1020" s="228"/>
      <c r="R1020" s="227"/>
      <c r="S1020" s="322">
        <v>416.27999899999998</v>
      </c>
      <c r="T1020" s="228">
        <f t="shared" si="94"/>
        <v>1.6755375365590686E-2</v>
      </c>
      <c r="U1020" s="228"/>
      <c r="V1020" s="228"/>
      <c r="W1020" s="228"/>
      <c r="X1020" s="322">
        <v>232.320007</v>
      </c>
      <c r="Y1020" s="228">
        <f t="shared" si="95"/>
        <v>2.7624914508694864E-3</v>
      </c>
      <c r="Z1020" s="228"/>
      <c r="AA1020" s="202"/>
    </row>
    <row r="1021" spans="2:27" x14ac:dyDescent="0.15">
      <c r="B1021" s="241">
        <v>44145</v>
      </c>
      <c r="C1021" s="244"/>
      <c r="D1021" s="245">
        <v>79.280281000000002</v>
      </c>
      <c r="E1021" s="228">
        <f t="shared" si="90"/>
        <v>-6.2205006180038325E-4</v>
      </c>
      <c r="F1021" s="228"/>
      <c r="G1021" s="245">
        <v>398.13803100000001</v>
      </c>
      <c r="H1021" s="228">
        <f t="shared" si="91"/>
        <v>-1.7301155999580153E-2</v>
      </c>
      <c r="J1021" s="227"/>
      <c r="K1021" s="245">
        <v>86.277336000000005</v>
      </c>
      <c r="L1021" s="228">
        <f t="shared" si="92"/>
        <v>-1.5388049571059104E-2</v>
      </c>
      <c r="M1021" s="228"/>
      <c r="N1021" s="227"/>
      <c r="O1021" s="322">
        <v>69.389999000000003</v>
      </c>
      <c r="P1021" s="228">
        <f t="shared" si="93"/>
        <v>-2.6788273767674342E-2</v>
      </c>
      <c r="Q1021" s="228"/>
      <c r="R1021" s="227"/>
      <c r="S1021" s="322">
        <v>407.86999500000002</v>
      </c>
      <c r="T1021" s="228">
        <f t="shared" si="94"/>
        <v>-2.0202757807732064E-2</v>
      </c>
      <c r="U1021" s="228"/>
      <c r="V1021" s="228"/>
      <c r="W1021" s="228"/>
      <c r="X1021" s="322">
        <v>223.729996</v>
      </c>
      <c r="Y1021" s="228">
        <f t="shared" si="95"/>
        <v>-3.6974908493352499E-2</v>
      </c>
      <c r="Z1021" s="228"/>
      <c r="AA1021" s="202"/>
    </row>
    <row r="1022" spans="2:27" x14ac:dyDescent="0.15">
      <c r="B1022" s="241">
        <v>44146</v>
      </c>
      <c r="C1022" s="244"/>
      <c r="D1022" s="245">
        <v>79.793364999999994</v>
      </c>
      <c r="E1022" s="228">
        <f t="shared" si="90"/>
        <v>6.4717732269388151E-3</v>
      </c>
      <c r="F1022" s="228"/>
      <c r="G1022" s="245">
        <v>416.83346599999999</v>
      </c>
      <c r="H1022" s="228">
        <f t="shared" si="91"/>
        <v>4.69571694847708E-2</v>
      </c>
      <c r="J1022" s="227"/>
      <c r="K1022" s="245">
        <v>89.446548000000007</v>
      </c>
      <c r="L1022" s="228">
        <f t="shared" si="92"/>
        <v>3.6732844880606796E-2</v>
      </c>
      <c r="M1022" s="228"/>
      <c r="N1022" s="227"/>
      <c r="O1022" s="322">
        <v>71.160004000000001</v>
      </c>
      <c r="P1022" s="228">
        <f t="shared" si="93"/>
        <v>2.5508070694740814E-2</v>
      </c>
      <c r="Q1022" s="228"/>
      <c r="R1022" s="227"/>
      <c r="S1022" s="322">
        <v>424</v>
      </c>
      <c r="T1022" s="228">
        <f t="shared" si="94"/>
        <v>3.9546927201644211E-2</v>
      </c>
      <c r="U1022" s="228"/>
      <c r="V1022" s="228"/>
      <c r="W1022" s="228"/>
      <c r="X1022" s="322">
        <v>233.509995</v>
      </c>
      <c r="Y1022" s="228">
        <f t="shared" si="95"/>
        <v>4.3713400861992602E-2</v>
      </c>
      <c r="Z1022" s="228"/>
      <c r="AA1022" s="202"/>
    </row>
    <row r="1023" spans="2:27" x14ac:dyDescent="0.15">
      <c r="B1023" s="241">
        <v>44147</v>
      </c>
      <c r="C1023" s="244"/>
      <c r="D1023" s="245">
        <v>79.082947000000004</v>
      </c>
      <c r="E1023" s="228">
        <f t="shared" si="90"/>
        <v>-8.9032214645915486E-3</v>
      </c>
      <c r="F1023" s="228"/>
      <c r="G1023" s="245">
        <v>411.51898199999999</v>
      </c>
      <c r="H1023" s="228">
        <f t="shared" si="91"/>
        <v>-1.2749657677437964E-2</v>
      </c>
      <c r="J1023" s="227"/>
      <c r="K1023" s="245">
        <v>88.403274999999994</v>
      </c>
      <c r="L1023" s="228">
        <f t="shared" si="92"/>
        <v>-1.1663647433325375E-2</v>
      </c>
      <c r="M1023" s="228"/>
      <c r="N1023" s="227"/>
      <c r="O1023" s="322">
        <v>69.800003000000004</v>
      </c>
      <c r="P1023" s="228">
        <f t="shared" si="93"/>
        <v>-1.9111873574374716E-2</v>
      </c>
      <c r="Q1023" s="228"/>
      <c r="R1023" s="227"/>
      <c r="S1023" s="322">
        <v>418.459991</v>
      </c>
      <c r="T1023" s="228">
        <f t="shared" si="94"/>
        <v>-1.3066058962264093E-2</v>
      </c>
      <c r="U1023" s="228"/>
      <c r="V1023" s="228"/>
      <c r="W1023" s="228"/>
      <c r="X1023" s="322">
        <v>233.259995</v>
      </c>
      <c r="Y1023" s="228">
        <f t="shared" si="95"/>
        <v>-1.0706179836114105E-3</v>
      </c>
      <c r="Z1023" s="228"/>
      <c r="AA1023" s="202"/>
    </row>
    <row r="1024" spans="2:27" x14ac:dyDescent="0.15">
      <c r="B1024" s="241">
        <v>44148</v>
      </c>
      <c r="C1024" s="244"/>
      <c r="D1024" s="245">
        <v>80.178168999999997</v>
      </c>
      <c r="E1024" s="228">
        <f t="shared" si="90"/>
        <v>1.3849028666066188E-2</v>
      </c>
      <c r="F1024" s="228"/>
      <c r="G1024" s="245">
        <v>418.368988</v>
      </c>
      <c r="H1024" s="228">
        <f t="shared" si="91"/>
        <v>1.6645662289279217E-2</v>
      </c>
      <c r="J1024" s="227"/>
      <c r="K1024" s="245">
        <v>91.749640999999997</v>
      </c>
      <c r="L1024" s="228">
        <f t="shared" si="92"/>
        <v>3.7853416629644032E-2</v>
      </c>
      <c r="M1024" s="228"/>
      <c r="N1024" s="227"/>
      <c r="O1024" s="322">
        <v>72.809997999999993</v>
      </c>
      <c r="P1024" s="228">
        <f t="shared" si="93"/>
        <v>4.312313568238646E-2</v>
      </c>
      <c r="Q1024" s="228"/>
      <c r="R1024" s="227"/>
      <c r="S1024" s="322">
        <v>426.30999800000001</v>
      </c>
      <c r="T1024" s="228">
        <f t="shared" si="94"/>
        <v>1.8759277275805397E-2</v>
      </c>
      <c r="U1024" s="228"/>
      <c r="V1024" s="228"/>
      <c r="W1024" s="228"/>
      <c r="X1024" s="322">
        <v>236.10000600000001</v>
      </c>
      <c r="Y1024" s="228">
        <f t="shared" si="95"/>
        <v>1.2175302498827589E-2</v>
      </c>
      <c r="Z1024" s="228"/>
      <c r="AA1024" s="202"/>
    </row>
    <row r="1025" spans="2:27" x14ac:dyDescent="0.15">
      <c r="B1025" s="241">
        <v>44151</v>
      </c>
      <c r="C1025" s="244"/>
      <c r="D1025" s="245">
        <v>81.224059999999994</v>
      </c>
      <c r="E1025" s="228">
        <f t="shared" si="90"/>
        <v>1.304458574004097E-2</v>
      </c>
      <c r="F1025" s="228"/>
      <c r="G1025" s="245">
        <v>425.26886000000002</v>
      </c>
      <c r="H1025" s="228">
        <f t="shared" si="91"/>
        <v>1.649231228391157E-2</v>
      </c>
      <c r="J1025" s="227"/>
      <c r="K1025" s="245">
        <v>97.704207999999994</v>
      </c>
      <c r="L1025" s="228">
        <f t="shared" si="92"/>
        <v>6.490016674833643E-2</v>
      </c>
      <c r="M1025" s="228"/>
      <c r="N1025" s="227"/>
      <c r="O1025" s="322">
        <v>74.480002999999996</v>
      </c>
      <c r="P1025" s="228">
        <f t="shared" si="93"/>
        <v>2.2936479135736265E-2</v>
      </c>
      <c r="Q1025" s="228"/>
      <c r="R1025" s="227"/>
      <c r="S1025" s="322">
        <v>439.290009</v>
      </c>
      <c r="T1025" s="228">
        <f t="shared" si="94"/>
        <v>3.0447353008127065E-2</v>
      </c>
      <c r="U1025" s="228"/>
      <c r="V1025" s="228"/>
      <c r="W1025" s="228"/>
      <c r="X1025" s="322">
        <v>241.779999</v>
      </c>
      <c r="Y1025" s="228">
        <f t="shared" si="95"/>
        <v>2.4057572450887577E-2</v>
      </c>
      <c r="Z1025" s="228"/>
      <c r="AA1025" s="202"/>
    </row>
    <row r="1026" spans="2:27" x14ac:dyDescent="0.15">
      <c r="B1026" s="241">
        <v>44152</v>
      </c>
      <c r="C1026" s="244"/>
      <c r="D1026" s="245">
        <v>81.006989000000004</v>
      </c>
      <c r="E1026" s="228">
        <f t="shared" si="90"/>
        <v>-2.6724963022038972E-3</v>
      </c>
      <c r="F1026" s="228"/>
      <c r="G1026" s="245">
        <v>425.23895299999998</v>
      </c>
      <c r="H1026" s="228">
        <f t="shared" si="91"/>
        <v>-7.0324923390874261E-5</v>
      </c>
      <c r="J1026" s="227"/>
      <c r="K1026" s="245">
        <v>94.200371000000004</v>
      </c>
      <c r="L1026" s="228">
        <f t="shared" si="92"/>
        <v>-3.5861679570648453E-2</v>
      </c>
      <c r="M1026" s="228"/>
      <c r="N1026" s="227"/>
      <c r="O1026" s="322">
        <v>74.370002999999997</v>
      </c>
      <c r="P1026" s="228">
        <f t="shared" si="93"/>
        <v>-1.4769064926057895E-3</v>
      </c>
      <c r="Q1026" s="228"/>
      <c r="R1026" s="227"/>
      <c r="S1026" s="322">
        <v>431.92999300000002</v>
      </c>
      <c r="T1026" s="228">
        <f t="shared" si="94"/>
        <v>-1.6754344167203561E-2</v>
      </c>
      <c r="U1026" s="228"/>
      <c r="V1026" s="228"/>
      <c r="W1026" s="228"/>
      <c r="X1026" s="322">
        <v>241.83999600000001</v>
      </c>
      <c r="Y1026" s="228">
        <f t="shared" si="95"/>
        <v>2.4814707688047832E-4</v>
      </c>
      <c r="Z1026" s="228"/>
      <c r="AA1026" s="202"/>
    </row>
    <row r="1027" spans="2:27" x14ac:dyDescent="0.15">
      <c r="B1027" s="241">
        <v>44153</v>
      </c>
      <c r="C1027" s="244"/>
      <c r="D1027" s="245">
        <v>80.138701999999995</v>
      </c>
      <c r="E1027" s="228">
        <f t="shared" si="90"/>
        <v>-1.0718667743594423E-2</v>
      </c>
      <c r="F1027" s="228"/>
      <c r="G1027" s="245">
        <v>422.57669099999998</v>
      </c>
      <c r="H1027" s="228">
        <f t="shared" si="91"/>
        <v>-6.2606258933197712E-3</v>
      </c>
      <c r="J1027" s="227"/>
      <c r="K1027" s="245">
        <v>95.401115000000004</v>
      </c>
      <c r="L1027" s="228">
        <f t="shared" si="92"/>
        <v>1.2746701390379922E-2</v>
      </c>
      <c r="M1027" s="228"/>
      <c r="N1027" s="227"/>
      <c r="O1027" s="322">
        <v>75.709998999999996</v>
      </c>
      <c r="P1027" s="228">
        <f t="shared" si="93"/>
        <v>1.8017963506065771E-2</v>
      </c>
      <c r="Q1027" s="228"/>
      <c r="R1027" s="227"/>
      <c r="S1027" s="322">
        <v>430.32998700000002</v>
      </c>
      <c r="T1027" s="228">
        <f t="shared" si="94"/>
        <v>-3.7043178893113593E-3</v>
      </c>
      <c r="U1027" s="228"/>
      <c r="V1027" s="228"/>
      <c r="W1027" s="228"/>
      <c r="X1027" s="322">
        <v>240.33999600000001</v>
      </c>
      <c r="Y1027" s="228">
        <f t="shared" si="95"/>
        <v>-6.2024480020252959E-3</v>
      </c>
      <c r="Z1027" s="228"/>
      <c r="AA1027" s="202"/>
    </row>
    <row r="1028" spans="2:27" x14ac:dyDescent="0.15">
      <c r="B1028" s="241">
        <v>44154</v>
      </c>
      <c r="C1028" s="244"/>
      <c r="D1028" s="245">
        <v>80.582710000000006</v>
      </c>
      <c r="E1028" s="228">
        <f t="shared" si="90"/>
        <v>5.540494029963261E-3</v>
      </c>
      <c r="F1028" s="228"/>
      <c r="G1028" s="245">
        <v>422.12799100000001</v>
      </c>
      <c r="H1028" s="228">
        <f t="shared" si="91"/>
        <v>-1.0618190959329477E-3</v>
      </c>
      <c r="J1028" s="227"/>
      <c r="K1028" s="245">
        <v>95.086166000000006</v>
      </c>
      <c r="L1028" s="228">
        <f t="shared" si="92"/>
        <v>-3.3013136167223678E-3</v>
      </c>
      <c r="M1028" s="228"/>
      <c r="N1028" s="227"/>
      <c r="O1028" s="322">
        <v>77.25</v>
      </c>
      <c r="P1028" s="228">
        <f t="shared" si="93"/>
        <v>2.0340787483037692E-2</v>
      </c>
      <c r="Q1028" s="228"/>
      <c r="R1028" s="227"/>
      <c r="S1028" s="322">
        <v>437.67999300000002</v>
      </c>
      <c r="T1028" s="228">
        <f t="shared" si="94"/>
        <v>1.7079929872514388E-2</v>
      </c>
      <c r="U1028" s="228"/>
      <c r="V1028" s="228"/>
      <c r="W1028" s="228"/>
      <c r="X1028" s="322">
        <v>243.75</v>
      </c>
      <c r="Y1028" s="228">
        <f t="shared" si="95"/>
        <v>1.4188250215332321E-2</v>
      </c>
      <c r="Z1028" s="228"/>
      <c r="AA1028" s="202"/>
    </row>
    <row r="1029" spans="2:27" x14ac:dyDescent="0.15">
      <c r="B1029" s="241">
        <v>44155</v>
      </c>
      <c r="C1029" s="244"/>
      <c r="D1029" s="245">
        <v>80.158439999999999</v>
      </c>
      <c r="E1029" s="228">
        <f t="shared" si="90"/>
        <v>-5.2650252144660348E-3</v>
      </c>
      <c r="F1029" s="228"/>
      <c r="G1029" s="245">
        <v>422.35732999999999</v>
      </c>
      <c r="H1029" s="228">
        <f t="shared" si="91"/>
        <v>5.432925673956035E-4</v>
      </c>
      <c r="J1029" s="227"/>
      <c r="K1029" s="245">
        <v>93.826363000000001</v>
      </c>
      <c r="L1029" s="228">
        <f t="shared" si="92"/>
        <v>-1.3249067167141915E-2</v>
      </c>
      <c r="M1029" s="228"/>
      <c r="N1029" s="227"/>
      <c r="O1029" s="322">
        <v>76.720000999999996</v>
      </c>
      <c r="P1029" s="228">
        <f t="shared" si="93"/>
        <v>-6.8608284789644092E-3</v>
      </c>
      <c r="Q1029" s="228"/>
      <c r="R1029" s="227"/>
      <c r="S1029" s="322">
        <v>433.64001500000001</v>
      </c>
      <c r="T1029" s="228">
        <f t="shared" si="94"/>
        <v>-9.2304379103753664E-3</v>
      </c>
      <c r="U1029" s="228"/>
      <c r="V1029" s="228"/>
      <c r="W1029" s="228"/>
      <c r="X1029" s="322">
        <v>242.570007</v>
      </c>
      <c r="Y1029" s="228">
        <f t="shared" si="95"/>
        <v>-4.8409969230769345E-3</v>
      </c>
      <c r="Z1029" s="228"/>
      <c r="AA1029" s="202"/>
    </row>
    <row r="1030" spans="2:27" x14ac:dyDescent="0.15">
      <c r="B1030" s="241">
        <v>44158</v>
      </c>
      <c r="C1030" s="244"/>
      <c r="D1030" s="245">
        <v>80.809646999999998</v>
      </c>
      <c r="E1030" s="228">
        <f t="shared" si="90"/>
        <v>8.1239979221152669E-3</v>
      </c>
      <c r="F1030" s="228"/>
      <c r="G1030" s="245">
        <v>425.90698200000003</v>
      </c>
      <c r="H1030" s="228">
        <f t="shared" si="91"/>
        <v>8.4043811906853172E-3</v>
      </c>
      <c r="J1030" s="227"/>
      <c r="K1030" s="245">
        <v>96.582183999999998</v>
      </c>
      <c r="L1030" s="228">
        <f t="shared" si="92"/>
        <v>2.9371499777733012E-2</v>
      </c>
      <c r="M1030" s="228"/>
      <c r="N1030" s="227"/>
      <c r="O1030" s="322">
        <v>80.5</v>
      </c>
      <c r="P1030" s="228">
        <f t="shared" si="93"/>
        <v>4.9270059316083747E-2</v>
      </c>
      <c r="Q1030" s="228"/>
      <c r="R1030" s="227"/>
      <c r="S1030" s="322">
        <v>448.73998999999998</v>
      </c>
      <c r="T1030" s="228">
        <f t="shared" si="94"/>
        <v>3.48214520747121E-2</v>
      </c>
      <c r="U1030" s="228"/>
      <c r="V1030" s="228"/>
      <c r="W1030" s="228"/>
      <c r="X1030" s="322">
        <v>250.240005</v>
      </c>
      <c r="Y1030" s="228">
        <f t="shared" si="95"/>
        <v>3.1619729474633651E-2</v>
      </c>
      <c r="Z1030" s="228"/>
      <c r="AA1030" s="202"/>
    </row>
    <row r="1031" spans="2:27" x14ac:dyDescent="0.15">
      <c r="B1031" s="241">
        <v>44159</v>
      </c>
      <c r="C1031" s="244"/>
      <c r="D1031" s="245">
        <v>82.062743999999995</v>
      </c>
      <c r="E1031" s="228">
        <f t="shared" si="90"/>
        <v>1.5506774828505376E-2</v>
      </c>
      <c r="F1031" s="228"/>
      <c r="G1031" s="245">
        <v>423.03537</v>
      </c>
      <c r="H1031" s="228">
        <f t="shared" si="91"/>
        <v>-6.7423454448088949E-3</v>
      </c>
      <c r="J1031" s="227"/>
      <c r="K1031" s="245">
        <v>95.115684999999999</v>
      </c>
      <c r="L1031" s="228">
        <f t="shared" si="92"/>
        <v>-1.5183949453866141E-2</v>
      </c>
      <c r="M1031" s="228"/>
      <c r="N1031" s="227"/>
      <c r="O1031" s="322">
        <v>82.949996999999996</v>
      </c>
      <c r="P1031" s="228">
        <f t="shared" si="93"/>
        <v>3.0434745341614944E-2</v>
      </c>
      <c r="Q1031" s="228"/>
      <c r="R1031" s="227"/>
      <c r="S1031" s="322">
        <v>446.44000199999999</v>
      </c>
      <c r="T1031" s="228">
        <f t="shared" si="94"/>
        <v>-5.1254357785228688E-3</v>
      </c>
      <c r="U1031" s="228"/>
      <c r="V1031" s="228"/>
      <c r="W1031" s="228"/>
      <c r="X1031" s="322">
        <v>250.16999799999999</v>
      </c>
      <c r="Y1031" s="228">
        <f t="shared" si="95"/>
        <v>-2.7975942535651832E-4</v>
      </c>
      <c r="Z1031" s="228"/>
      <c r="AA1031" s="202"/>
    </row>
    <row r="1032" spans="2:27" x14ac:dyDescent="0.15">
      <c r="B1032" s="241">
        <v>44160</v>
      </c>
      <c r="C1032" s="244"/>
      <c r="D1032" s="245">
        <v>82.013412000000002</v>
      </c>
      <c r="E1032" s="228">
        <f t="shared" si="90"/>
        <v>-6.0114977388514568E-4</v>
      </c>
      <c r="F1032" s="228"/>
      <c r="G1032" s="245">
        <v>422.247681</v>
      </c>
      <c r="H1032" s="228">
        <f t="shared" si="91"/>
        <v>-1.861993241841664E-3</v>
      </c>
      <c r="J1032" s="227"/>
      <c r="K1032" s="245">
        <v>95.952286000000001</v>
      </c>
      <c r="L1032" s="228">
        <f t="shared" si="92"/>
        <v>8.7956155706601091E-3</v>
      </c>
      <c r="M1032" s="228"/>
      <c r="N1032" s="227"/>
      <c r="O1032" s="322">
        <v>81.139999000000003</v>
      </c>
      <c r="P1032" s="228">
        <f t="shared" si="93"/>
        <v>-2.1820350397360411E-2</v>
      </c>
      <c r="Q1032" s="228"/>
      <c r="R1032" s="227"/>
      <c r="S1032" s="322">
        <v>446.77999899999998</v>
      </c>
      <c r="T1032" s="228">
        <f t="shared" si="94"/>
        <v>7.6157378029928502E-4</v>
      </c>
      <c r="U1032" s="228"/>
      <c r="V1032" s="228"/>
      <c r="W1032" s="228"/>
      <c r="X1032" s="322">
        <v>248.949997</v>
      </c>
      <c r="Y1032" s="228">
        <f t="shared" si="95"/>
        <v>-4.8766878912473999E-3</v>
      </c>
      <c r="Z1032" s="228"/>
      <c r="AA1032" s="202"/>
    </row>
    <row r="1033" spans="2:27" x14ac:dyDescent="0.15">
      <c r="B1033" s="241">
        <v>44162</v>
      </c>
      <c r="C1033" s="244"/>
      <c r="D1033" s="245">
        <v>82.319282999999999</v>
      </c>
      <c r="E1033" s="228">
        <f t="shared" ref="E1033:E1096" si="96">D1033/D1032-1</f>
        <v>3.7295241417343306E-3</v>
      </c>
      <c r="F1033" s="228"/>
      <c r="G1033" s="245">
        <v>436.49606299999999</v>
      </c>
      <c r="H1033" s="228">
        <f t="shared" ref="H1033:H1096" si="97">G1033/G1032-1</f>
        <v>3.3744133221184081E-2</v>
      </c>
      <c r="J1033" s="227"/>
      <c r="K1033" s="245">
        <v>97.182570999999996</v>
      </c>
      <c r="L1033" s="228">
        <f t="shared" ref="L1033:L1096" si="98">K1033/K1032-1</f>
        <v>1.282184147233334E-2</v>
      </c>
      <c r="M1033" s="228"/>
      <c r="N1033" s="227"/>
      <c r="O1033" s="322">
        <v>82.660004000000001</v>
      </c>
      <c r="P1033" s="228">
        <f t="shared" ref="P1033:P1096" si="99">O1033/O1032-1</f>
        <v>1.8733115833535985E-2</v>
      </c>
      <c r="Q1033" s="228"/>
      <c r="R1033" s="227"/>
      <c r="S1033" s="322">
        <v>456.540009</v>
      </c>
      <c r="T1033" s="228">
        <f t="shared" ref="T1033:T1096" si="100">S1033/S1032-1</f>
        <v>2.1845225887115127E-2</v>
      </c>
      <c r="U1033" s="228"/>
      <c r="V1033" s="228"/>
      <c r="W1033" s="228"/>
      <c r="X1033" s="322">
        <v>254.13000500000001</v>
      </c>
      <c r="Y1033" s="228">
        <f t="shared" ref="Y1033:Y1096" si="101">X1033/X1032-1</f>
        <v>2.0807423428087057E-2</v>
      </c>
      <c r="Z1033" s="228"/>
      <c r="AA1033" s="202"/>
    </row>
    <row r="1034" spans="2:27" x14ac:dyDescent="0.15">
      <c r="B1034" s="241">
        <v>44165</v>
      </c>
      <c r="C1034" s="244"/>
      <c r="D1034" s="245">
        <v>81.825942999999995</v>
      </c>
      <c r="E1034" s="228">
        <f t="shared" si="96"/>
        <v>-5.9930065231497132E-3</v>
      </c>
      <c r="F1034" s="228"/>
      <c r="G1034" s="245">
        <v>436.45620700000001</v>
      </c>
      <c r="H1034" s="228">
        <f t="shared" si="97"/>
        <v>-9.1308956433833188E-5</v>
      </c>
      <c r="J1034" s="227"/>
      <c r="K1034" s="245">
        <v>95.489699999999999</v>
      </c>
      <c r="L1034" s="228">
        <f t="shared" si="98"/>
        <v>-1.7419491814020804E-2</v>
      </c>
      <c r="M1034" s="228"/>
      <c r="N1034" s="227"/>
      <c r="O1034" s="322">
        <v>82.480002999999996</v>
      </c>
      <c r="P1034" s="228">
        <f t="shared" si="99"/>
        <v>-2.1776069597093661E-3</v>
      </c>
      <c r="Q1034" s="228"/>
      <c r="R1034" s="227"/>
      <c r="S1034" s="322">
        <v>452.66000400000001</v>
      </c>
      <c r="T1034" s="228">
        <f t="shared" si="100"/>
        <v>-8.4987184551441608E-3</v>
      </c>
      <c r="U1034" s="228"/>
      <c r="V1034" s="228"/>
      <c r="W1034" s="228"/>
      <c r="X1034" s="322">
        <v>251.970001</v>
      </c>
      <c r="Y1034" s="228">
        <f t="shared" si="101"/>
        <v>-8.499602398386652E-3</v>
      </c>
      <c r="Z1034" s="228"/>
      <c r="AA1034" s="202"/>
    </row>
    <row r="1035" spans="2:27" x14ac:dyDescent="0.15">
      <c r="B1035" s="241">
        <v>44166</v>
      </c>
      <c r="C1035" s="244"/>
      <c r="D1035" s="245">
        <v>82.694220999999999</v>
      </c>
      <c r="E1035" s="228">
        <f t="shared" si="96"/>
        <v>1.06112800924274E-2</v>
      </c>
      <c r="F1035" s="228"/>
      <c r="G1035" s="245">
        <v>447.93270899999999</v>
      </c>
      <c r="H1035" s="228">
        <f t="shared" si="97"/>
        <v>2.6294738890034752E-2</v>
      </c>
      <c r="J1035" s="227"/>
      <c r="K1035" s="245">
        <v>99.269135000000006</v>
      </c>
      <c r="L1035" s="228">
        <f t="shared" si="98"/>
        <v>3.957950438633695E-2</v>
      </c>
      <c r="M1035" s="228"/>
      <c r="N1035" s="227"/>
      <c r="O1035" s="322">
        <v>84.269997000000004</v>
      </c>
      <c r="P1035" s="228">
        <f t="shared" si="99"/>
        <v>2.1702157309572367E-2</v>
      </c>
      <c r="Q1035" s="228"/>
      <c r="R1035" s="227"/>
      <c r="S1035" s="322">
        <v>467.64999399999999</v>
      </c>
      <c r="T1035" s="228">
        <f t="shared" si="100"/>
        <v>3.3115340139483473E-2</v>
      </c>
      <c r="U1035" s="228"/>
      <c r="V1035" s="228"/>
      <c r="W1035" s="228"/>
      <c r="X1035" s="322">
        <v>256.66000400000001</v>
      </c>
      <c r="Y1035" s="228">
        <f t="shared" si="101"/>
        <v>1.8613338815679059E-2</v>
      </c>
      <c r="Z1035" s="228"/>
      <c r="AA1035" s="202"/>
    </row>
    <row r="1036" spans="2:27" x14ac:dyDescent="0.15">
      <c r="B1036" s="241">
        <v>44167</v>
      </c>
      <c r="C1036" s="244"/>
      <c r="D1036" s="245">
        <v>82.802750000000003</v>
      </c>
      <c r="E1036" s="228">
        <f t="shared" si="96"/>
        <v>1.3124133547373074E-3</v>
      </c>
      <c r="F1036" s="228"/>
      <c r="G1036" s="245">
        <v>449.687592</v>
      </c>
      <c r="H1036" s="228">
        <f t="shared" si="97"/>
        <v>3.917738010063454E-3</v>
      </c>
      <c r="J1036" s="227"/>
      <c r="K1036" s="245">
        <v>97.969948000000002</v>
      </c>
      <c r="L1036" s="228">
        <f t="shared" si="98"/>
        <v>-1.3087522118531592E-2</v>
      </c>
      <c r="M1036" s="228"/>
      <c r="N1036" s="227"/>
      <c r="O1036" s="322">
        <v>85.290001000000004</v>
      </c>
      <c r="P1036" s="228">
        <f t="shared" si="99"/>
        <v>1.2103999481571037E-2</v>
      </c>
      <c r="Q1036" s="228"/>
      <c r="R1036" s="227"/>
      <c r="S1036" s="322">
        <v>479.22000100000002</v>
      </c>
      <c r="T1036" s="228">
        <f t="shared" si="100"/>
        <v>2.474074018698702E-2</v>
      </c>
      <c r="U1036" s="228"/>
      <c r="V1036" s="228"/>
      <c r="W1036" s="228"/>
      <c r="X1036" s="322">
        <v>256.32000699999998</v>
      </c>
      <c r="Y1036" s="228">
        <f t="shared" si="101"/>
        <v>-1.3246980234600247E-3</v>
      </c>
      <c r="Z1036" s="228"/>
      <c r="AA1036" s="202"/>
    </row>
    <row r="1037" spans="2:27" x14ac:dyDescent="0.15">
      <c r="B1037" s="241">
        <v>44168</v>
      </c>
      <c r="C1037" s="244"/>
      <c r="D1037" s="245">
        <v>82.950760000000002</v>
      </c>
      <c r="E1037" s="228">
        <f t="shared" si="96"/>
        <v>1.787501018987836E-3</v>
      </c>
      <c r="F1037" s="228"/>
      <c r="G1037" s="245">
        <v>451.58206200000001</v>
      </c>
      <c r="H1037" s="228">
        <f t="shared" si="97"/>
        <v>4.2128580679183791E-3</v>
      </c>
      <c r="J1037" s="227"/>
      <c r="K1037" s="245">
        <v>97.930588</v>
      </c>
      <c r="L1037" s="228">
        <f t="shared" si="98"/>
        <v>-4.0175585272339553E-4</v>
      </c>
      <c r="M1037" s="228"/>
      <c r="N1037" s="227"/>
      <c r="O1037" s="322">
        <v>86.099997999999999</v>
      </c>
      <c r="P1037" s="228">
        <f t="shared" si="99"/>
        <v>9.4969749150313199E-3</v>
      </c>
      <c r="Q1037" s="228"/>
      <c r="R1037" s="227"/>
      <c r="S1037" s="322">
        <v>484.07000699999998</v>
      </c>
      <c r="T1037" s="228">
        <f t="shared" si="100"/>
        <v>1.0120625161469388E-2</v>
      </c>
      <c r="U1037" s="228"/>
      <c r="V1037" s="228"/>
      <c r="W1037" s="228"/>
      <c r="X1037" s="322">
        <v>257.39001500000001</v>
      </c>
      <c r="Y1037" s="228">
        <f t="shared" si="101"/>
        <v>4.1745005102158395E-3</v>
      </c>
      <c r="Z1037" s="228"/>
      <c r="AA1037" s="202"/>
    </row>
    <row r="1038" spans="2:27" x14ac:dyDescent="0.15">
      <c r="B1038" s="241">
        <v>44169</v>
      </c>
      <c r="C1038" s="244"/>
      <c r="D1038" s="245">
        <v>83.779578999999998</v>
      </c>
      <c r="E1038" s="228">
        <f t="shared" si="96"/>
        <v>9.9916986896804172E-3</v>
      </c>
      <c r="F1038" s="228"/>
      <c r="G1038" s="245">
        <v>463.038635</v>
      </c>
      <c r="H1038" s="228">
        <f t="shared" si="97"/>
        <v>2.5369858468824669E-2</v>
      </c>
      <c r="J1038" s="227"/>
      <c r="K1038" s="245">
        <v>102.093864</v>
      </c>
      <c r="L1038" s="228">
        <f t="shared" si="98"/>
        <v>4.2512519173274033E-2</v>
      </c>
      <c r="M1038" s="228"/>
      <c r="N1038" s="227"/>
      <c r="O1038" s="322">
        <v>88.839995999999999</v>
      </c>
      <c r="P1038" s="228">
        <f t="shared" si="99"/>
        <v>3.1823438602170517E-2</v>
      </c>
      <c r="Q1038" s="228"/>
      <c r="R1038" s="227"/>
      <c r="S1038" s="322">
        <v>499.98001099999999</v>
      </c>
      <c r="T1038" s="228">
        <f t="shared" si="100"/>
        <v>3.2867155101390155E-2</v>
      </c>
      <c r="U1038" s="228"/>
      <c r="V1038" s="228"/>
      <c r="W1038" s="228"/>
      <c r="X1038" s="322">
        <v>263.70001200000002</v>
      </c>
      <c r="Y1038" s="228">
        <f t="shared" si="101"/>
        <v>2.4515313851627196E-2</v>
      </c>
      <c r="Z1038" s="228"/>
      <c r="AA1038" s="202"/>
    </row>
    <row r="1039" spans="2:27" x14ac:dyDescent="0.15">
      <c r="B1039" s="241">
        <v>44172</v>
      </c>
      <c r="C1039" s="244"/>
      <c r="D1039" s="245">
        <v>83.710503000000003</v>
      </c>
      <c r="E1039" s="228">
        <f t="shared" si="96"/>
        <v>-8.2449686217678231E-4</v>
      </c>
      <c r="F1039" s="228"/>
      <c r="G1039" s="245">
        <v>468.36309799999998</v>
      </c>
      <c r="H1039" s="228">
        <f t="shared" si="97"/>
        <v>1.1498960556498572E-2</v>
      </c>
      <c r="J1039" s="227"/>
      <c r="K1039" s="245">
        <v>104.711906</v>
      </c>
      <c r="L1039" s="228">
        <f t="shared" si="98"/>
        <v>2.5643480395648455E-2</v>
      </c>
      <c r="M1039" s="228"/>
      <c r="N1039" s="227"/>
      <c r="O1039" s="322">
        <v>89.139999000000003</v>
      </c>
      <c r="P1039" s="228">
        <f t="shared" si="99"/>
        <v>3.3768911921157052E-3</v>
      </c>
      <c r="Q1039" s="228"/>
      <c r="R1039" s="227"/>
      <c r="S1039" s="322">
        <v>508.67999300000002</v>
      </c>
      <c r="T1039" s="228">
        <f t="shared" si="100"/>
        <v>1.7400659643571403E-2</v>
      </c>
      <c r="U1039" s="228"/>
      <c r="V1039" s="228"/>
      <c r="W1039" s="228"/>
      <c r="X1039" s="322">
        <v>266.70001200000002</v>
      </c>
      <c r="Y1039" s="228">
        <f t="shared" si="101"/>
        <v>1.1376563759883274E-2</v>
      </c>
      <c r="Z1039" s="228"/>
      <c r="AA1039" s="202"/>
    </row>
    <row r="1040" spans="2:27" x14ac:dyDescent="0.15">
      <c r="B1040" s="241">
        <v>44173</v>
      </c>
      <c r="C1040" s="244"/>
      <c r="D1040" s="245">
        <v>84.055854999999994</v>
      </c>
      <c r="E1040" s="228">
        <f t="shared" si="96"/>
        <v>4.1255516049161223E-3</v>
      </c>
      <c r="F1040" s="228"/>
      <c r="G1040" s="245">
        <v>467.20645100000002</v>
      </c>
      <c r="H1040" s="228">
        <f t="shared" si="97"/>
        <v>-2.4695519457853532E-3</v>
      </c>
      <c r="J1040" s="227"/>
      <c r="K1040" s="245">
        <v>103.97374000000001</v>
      </c>
      <c r="L1040" s="228">
        <f t="shared" si="98"/>
        <v>-7.0494944481288568E-3</v>
      </c>
      <c r="M1040" s="228"/>
      <c r="N1040" s="227"/>
      <c r="O1040" s="322">
        <v>89.75</v>
      </c>
      <c r="P1040" s="228">
        <f t="shared" si="99"/>
        <v>6.8431793453351819E-3</v>
      </c>
      <c r="Q1040" s="228"/>
      <c r="R1040" s="227"/>
      <c r="S1040" s="322">
        <v>511.66000400000001</v>
      </c>
      <c r="T1040" s="228">
        <f t="shared" si="100"/>
        <v>5.8583216187155784E-3</v>
      </c>
      <c r="U1040" s="228"/>
      <c r="V1040" s="228"/>
      <c r="W1040" s="228"/>
      <c r="X1040" s="322">
        <v>266.94000199999999</v>
      </c>
      <c r="Y1040" s="228">
        <f t="shared" si="101"/>
        <v>8.9984997825931501E-4</v>
      </c>
      <c r="Z1040" s="228"/>
      <c r="AA1040" s="202"/>
    </row>
    <row r="1041" spans="2:27" x14ac:dyDescent="0.15">
      <c r="B1041" s="241">
        <v>44174</v>
      </c>
      <c r="C1041" s="244"/>
      <c r="D1041" s="245">
        <v>83.157959000000005</v>
      </c>
      <c r="E1041" s="228">
        <f t="shared" si="96"/>
        <v>-1.0682135111230395E-2</v>
      </c>
      <c r="F1041" s="228"/>
      <c r="G1041" s="245">
        <v>451.57208300000002</v>
      </c>
      <c r="H1041" s="228">
        <f t="shared" si="97"/>
        <v>-3.3463510545576725E-2</v>
      </c>
      <c r="J1041" s="227"/>
      <c r="K1041" s="245">
        <v>102.77298</v>
      </c>
      <c r="L1041" s="228">
        <f t="shared" si="98"/>
        <v>-1.1548685273800929E-2</v>
      </c>
      <c r="M1041" s="228"/>
      <c r="N1041" s="227"/>
      <c r="O1041" s="322">
        <v>87.82</v>
      </c>
      <c r="P1041" s="228">
        <f t="shared" si="99"/>
        <v>-2.1504178272980567E-2</v>
      </c>
      <c r="Q1041" s="228"/>
      <c r="R1041" s="227"/>
      <c r="S1041" s="322">
        <v>493.82998700000002</v>
      </c>
      <c r="T1041" s="228">
        <f t="shared" si="100"/>
        <v>-3.4847392527480037E-2</v>
      </c>
      <c r="U1041" s="228"/>
      <c r="V1041" s="228"/>
      <c r="W1041" s="228"/>
      <c r="X1041" s="322">
        <v>256.48998999999998</v>
      </c>
      <c r="Y1041" s="228">
        <f t="shared" si="101"/>
        <v>-3.9147418602327066E-2</v>
      </c>
      <c r="Z1041" s="228"/>
      <c r="AA1041" s="202"/>
    </row>
    <row r="1042" spans="2:27" x14ac:dyDescent="0.15">
      <c r="B1042" s="241">
        <v>44175</v>
      </c>
      <c r="C1042" s="244"/>
      <c r="D1042" s="245">
        <v>83.315842000000004</v>
      </c>
      <c r="E1042" s="228">
        <f t="shared" si="96"/>
        <v>1.8985915707718792E-3</v>
      </c>
      <c r="F1042" s="228"/>
      <c r="G1042" s="245">
        <v>456.46777300000002</v>
      </c>
      <c r="H1042" s="228">
        <f t="shared" si="97"/>
        <v>1.0841436360449208E-2</v>
      </c>
      <c r="J1042" s="227"/>
      <c r="K1042" s="245">
        <v>102.585983</v>
      </c>
      <c r="L1042" s="228">
        <f t="shared" si="98"/>
        <v>-1.8195152072072451E-3</v>
      </c>
      <c r="M1042" s="228"/>
      <c r="N1042" s="227"/>
      <c r="O1042" s="322">
        <v>87.889999000000003</v>
      </c>
      <c r="P1042" s="228">
        <f t="shared" si="99"/>
        <v>7.9707355955371817E-4</v>
      </c>
      <c r="Q1042" s="228"/>
      <c r="R1042" s="227"/>
      <c r="S1042" s="322">
        <v>490.14999399999999</v>
      </c>
      <c r="T1042" s="228">
        <f t="shared" si="100"/>
        <v>-7.451943172499198E-3</v>
      </c>
      <c r="U1042" s="228"/>
      <c r="V1042" s="228"/>
      <c r="W1042" s="228"/>
      <c r="X1042" s="322">
        <v>255.979996</v>
      </c>
      <c r="Y1042" s="228">
        <f t="shared" si="101"/>
        <v>-1.9883582981151671E-3</v>
      </c>
      <c r="Z1042" s="228"/>
      <c r="AA1042" s="202"/>
    </row>
    <row r="1043" spans="2:27" x14ac:dyDescent="0.15">
      <c r="B1043" s="241">
        <v>44176</v>
      </c>
      <c r="C1043" s="244"/>
      <c r="D1043" s="245">
        <v>83.227028000000004</v>
      </c>
      <c r="E1043" s="228">
        <f t="shared" si="96"/>
        <v>-1.0659917474038494E-3</v>
      </c>
      <c r="F1043" s="228"/>
      <c r="G1043" s="245">
        <v>451.312836</v>
      </c>
      <c r="H1043" s="228">
        <f t="shared" si="97"/>
        <v>-1.1293101736669642E-2</v>
      </c>
      <c r="J1043" s="227"/>
      <c r="K1043" s="245">
        <v>102.38912999999999</v>
      </c>
      <c r="L1043" s="228">
        <f t="shared" si="98"/>
        <v>-1.9189073813330459E-3</v>
      </c>
      <c r="M1043" s="228"/>
      <c r="N1043" s="227"/>
      <c r="O1043" s="322">
        <v>88.300003000000004</v>
      </c>
      <c r="P1043" s="228">
        <f t="shared" si="99"/>
        <v>4.6649676261800721E-3</v>
      </c>
      <c r="Q1043" s="228"/>
      <c r="R1043" s="227"/>
      <c r="S1043" s="322">
        <v>491.70001200000002</v>
      </c>
      <c r="T1043" s="228">
        <f t="shared" si="100"/>
        <v>3.1623340181046178E-3</v>
      </c>
      <c r="U1043" s="228"/>
      <c r="V1043" s="228"/>
      <c r="W1043" s="228"/>
      <c r="X1043" s="322">
        <v>257.63000499999998</v>
      </c>
      <c r="Y1043" s="228">
        <f t="shared" si="101"/>
        <v>6.4458513391021377E-3</v>
      </c>
      <c r="Z1043" s="228"/>
      <c r="AA1043" s="202"/>
    </row>
    <row r="1044" spans="2:27" x14ac:dyDescent="0.15">
      <c r="B1044" s="241">
        <v>44179</v>
      </c>
      <c r="C1044" s="244"/>
      <c r="D1044" s="245">
        <v>82.971435999999997</v>
      </c>
      <c r="E1044" s="228">
        <f t="shared" si="96"/>
        <v>-3.071021591687817E-3</v>
      </c>
      <c r="F1044" s="228"/>
      <c r="G1044" s="245">
        <v>451.671783</v>
      </c>
      <c r="H1044" s="228">
        <f t="shared" si="97"/>
        <v>7.9533966545541901E-4</v>
      </c>
      <c r="J1044" s="227"/>
      <c r="K1044" s="245">
        <v>101.926537</v>
      </c>
      <c r="L1044" s="228">
        <f t="shared" si="98"/>
        <v>-4.5179893607846244E-3</v>
      </c>
      <c r="M1044" s="228"/>
      <c r="N1044" s="227"/>
      <c r="O1044" s="322">
        <v>88.5</v>
      </c>
      <c r="P1044" s="228">
        <f t="shared" si="99"/>
        <v>2.2649716104765627E-3</v>
      </c>
      <c r="Q1044" s="228"/>
      <c r="R1044" s="227"/>
      <c r="S1044" s="322">
        <v>491.86999500000002</v>
      </c>
      <c r="T1044" s="228">
        <f t="shared" si="100"/>
        <v>3.4570468954964184E-4</v>
      </c>
      <c r="U1044" s="228"/>
      <c r="V1044" s="228"/>
      <c r="W1044" s="228"/>
      <c r="X1044" s="322">
        <v>260.13000499999998</v>
      </c>
      <c r="Y1044" s="228">
        <f t="shared" si="101"/>
        <v>9.7038386503156548E-3</v>
      </c>
      <c r="Z1044" s="228"/>
      <c r="AA1044" s="202"/>
    </row>
    <row r="1045" spans="2:27" x14ac:dyDescent="0.15">
      <c r="B1045" s="241">
        <v>44180</v>
      </c>
      <c r="C1045" s="244"/>
      <c r="D1045" s="245">
        <v>84.140465000000006</v>
      </c>
      <c r="E1045" s="228">
        <f t="shared" si="96"/>
        <v>1.4089535584270285E-2</v>
      </c>
      <c r="F1045" s="228"/>
      <c r="G1045" s="245">
        <v>467.934326</v>
      </c>
      <c r="H1045" s="228">
        <f t="shared" si="97"/>
        <v>3.600522240283488E-2</v>
      </c>
      <c r="J1045" s="227"/>
      <c r="K1045" s="245">
        <v>103.432411</v>
      </c>
      <c r="L1045" s="228">
        <f t="shared" si="98"/>
        <v>1.4774111279774127E-2</v>
      </c>
      <c r="M1045" s="228"/>
      <c r="N1045" s="227"/>
      <c r="O1045" s="322">
        <v>88.470000999999996</v>
      </c>
      <c r="P1045" s="228">
        <f t="shared" si="99"/>
        <v>-3.3897175141250901E-4</v>
      </c>
      <c r="Q1045" s="228"/>
      <c r="R1045" s="227"/>
      <c r="S1045" s="322">
        <v>495.32998700000002</v>
      </c>
      <c r="T1045" s="228">
        <f t="shared" si="100"/>
        <v>7.034362809628103E-3</v>
      </c>
      <c r="U1045" s="228"/>
      <c r="V1045" s="228"/>
      <c r="W1045" s="228"/>
      <c r="X1045" s="322">
        <v>261.01001000000002</v>
      </c>
      <c r="Y1045" s="228">
        <f t="shared" si="101"/>
        <v>3.3829430787888359E-3</v>
      </c>
      <c r="Z1045" s="228"/>
      <c r="AA1045" s="202"/>
    </row>
    <row r="1046" spans="2:27" x14ac:dyDescent="0.15">
      <c r="B1046" s="241">
        <v>44181</v>
      </c>
      <c r="C1046" s="244"/>
      <c r="D1046" s="245">
        <v>84.239531999999997</v>
      </c>
      <c r="E1046" s="228">
        <f t="shared" si="96"/>
        <v>1.1774001962074898E-3</v>
      </c>
      <c r="F1046" s="228"/>
      <c r="G1046" s="245">
        <v>470.15783699999997</v>
      </c>
      <c r="H1046" s="228">
        <f t="shared" si="97"/>
        <v>4.7517586901713038E-3</v>
      </c>
      <c r="J1046" s="227"/>
      <c r="K1046" s="245">
        <v>103.540672</v>
      </c>
      <c r="L1046" s="228">
        <f t="shared" si="98"/>
        <v>1.0466835197333602E-3</v>
      </c>
      <c r="M1046" s="228"/>
      <c r="N1046" s="227"/>
      <c r="O1046" s="322">
        <v>88.550003000000004</v>
      </c>
      <c r="P1046" s="228">
        <f t="shared" si="99"/>
        <v>9.0428392783681311E-4</v>
      </c>
      <c r="Q1046" s="228"/>
      <c r="R1046" s="227"/>
      <c r="S1046" s="322">
        <v>493.30999800000001</v>
      </c>
      <c r="T1046" s="228">
        <f t="shared" si="100"/>
        <v>-4.0780672541838037E-3</v>
      </c>
      <c r="U1046" s="228"/>
      <c r="V1046" s="228"/>
      <c r="W1046" s="228"/>
      <c r="X1046" s="322">
        <v>260.54998799999998</v>
      </c>
      <c r="Y1046" s="228">
        <f t="shared" si="101"/>
        <v>-1.7624688033996971E-3</v>
      </c>
      <c r="Z1046" s="228"/>
      <c r="AA1046" s="202"/>
    </row>
    <row r="1047" spans="2:27" x14ac:dyDescent="0.15">
      <c r="B1047" s="241">
        <v>44182</v>
      </c>
      <c r="C1047" s="244"/>
      <c r="D1047" s="245">
        <v>84.863677999999993</v>
      </c>
      <c r="E1047" s="228">
        <f t="shared" si="96"/>
        <v>7.4091817129278148E-3</v>
      </c>
      <c r="F1047" s="228"/>
      <c r="G1047" s="245">
        <v>475.91104100000001</v>
      </c>
      <c r="H1047" s="228">
        <f t="shared" si="97"/>
        <v>1.2236750187363254E-2</v>
      </c>
      <c r="J1047" s="227"/>
      <c r="K1047" s="245">
        <v>102.69265</v>
      </c>
      <c r="L1047" s="228">
        <f t="shared" si="98"/>
        <v>-8.1902307916255079E-3</v>
      </c>
      <c r="M1047" s="228"/>
      <c r="N1047" s="227"/>
      <c r="O1047" s="322">
        <v>87.5</v>
      </c>
      <c r="P1047" s="228">
        <f t="shared" si="99"/>
        <v>-1.1857740987315402E-2</v>
      </c>
      <c r="Q1047" s="228"/>
      <c r="R1047" s="227"/>
      <c r="S1047" s="322">
        <v>486.23998999999998</v>
      </c>
      <c r="T1047" s="228">
        <f t="shared" si="100"/>
        <v>-1.4331775209632025E-2</v>
      </c>
      <c r="U1047" s="228"/>
      <c r="V1047" s="228"/>
      <c r="W1047" s="228"/>
      <c r="X1047" s="322">
        <v>259.67999300000002</v>
      </c>
      <c r="Y1047" s="228">
        <f t="shared" si="101"/>
        <v>-3.3390713493334223E-3</v>
      </c>
      <c r="Z1047" s="228"/>
      <c r="AA1047" s="202"/>
    </row>
    <row r="1048" spans="2:27" x14ac:dyDescent="0.15">
      <c r="B1048" s="241">
        <v>44183</v>
      </c>
      <c r="C1048" s="244"/>
      <c r="D1048" s="245">
        <v>84.665543</v>
      </c>
      <c r="E1048" s="228">
        <f t="shared" si="96"/>
        <v>-2.3347444356582869E-3</v>
      </c>
      <c r="F1048" s="228"/>
      <c r="G1048" s="245">
        <v>475.85122699999999</v>
      </c>
      <c r="H1048" s="228">
        <f t="shared" si="97"/>
        <v>-1.2568315262095897E-4</v>
      </c>
      <c r="J1048" s="227"/>
      <c r="K1048" s="245">
        <v>103.06823</v>
      </c>
      <c r="L1048" s="228">
        <f t="shared" si="98"/>
        <v>3.6573211422628038E-3</v>
      </c>
      <c r="M1048" s="228"/>
      <c r="N1048" s="227"/>
      <c r="O1048" s="322">
        <v>86.089995999999999</v>
      </c>
      <c r="P1048" s="228">
        <f t="shared" si="99"/>
        <v>-1.6114331428571438E-2</v>
      </c>
      <c r="Q1048" s="228"/>
      <c r="R1048" s="227"/>
      <c r="S1048" s="322">
        <v>480.97000100000002</v>
      </c>
      <c r="T1048" s="228">
        <f t="shared" si="100"/>
        <v>-1.0838246767815085E-2</v>
      </c>
      <c r="U1048" s="228"/>
      <c r="V1048" s="228"/>
      <c r="W1048" s="228"/>
      <c r="X1048" s="322">
        <v>262.14999399999999</v>
      </c>
      <c r="Y1048" s="228">
        <f t="shared" si="101"/>
        <v>9.511710823251418E-3</v>
      </c>
      <c r="Z1048" s="228"/>
      <c r="AA1048" s="202"/>
    </row>
    <row r="1049" spans="2:27" x14ac:dyDescent="0.15">
      <c r="B1049" s="241">
        <v>44186</v>
      </c>
      <c r="C1049" s="244"/>
      <c r="D1049" s="245">
        <v>84.447577999999993</v>
      </c>
      <c r="E1049" s="228">
        <f t="shared" si="96"/>
        <v>-2.5744239306421113E-3</v>
      </c>
      <c r="F1049" s="228"/>
      <c r="G1049" s="245">
        <v>470.88571200000001</v>
      </c>
      <c r="H1049" s="228">
        <f t="shared" si="97"/>
        <v>-1.0435015648283641E-2</v>
      </c>
      <c r="J1049" s="227"/>
      <c r="K1049" s="245">
        <v>103.611847</v>
      </c>
      <c r="L1049" s="228">
        <f t="shared" si="98"/>
        <v>5.2743410845417227E-3</v>
      </c>
      <c r="M1049" s="228"/>
      <c r="N1049" s="227"/>
      <c r="O1049" s="322">
        <v>86.410004000000001</v>
      </c>
      <c r="P1049" s="228">
        <f t="shared" si="99"/>
        <v>3.717133405372719E-3</v>
      </c>
      <c r="Q1049" s="228"/>
      <c r="R1049" s="227"/>
      <c r="S1049" s="322">
        <v>483.23001099999999</v>
      </c>
      <c r="T1049" s="228">
        <f t="shared" si="100"/>
        <v>4.6988585468972222E-3</v>
      </c>
      <c r="U1049" s="228"/>
      <c r="V1049" s="228"/>
      <c r="W1049" s="228"/>
      <c r="X1049" s="322">
        <v>260.76998900000001</v>
      </c>
      <c r="Y1049" s="228">
        <f t="shared" si="101"/>
        <v>-5.2641809329966316E-3</v>
      </c>
      <c r="Z1049" s="228"/>
      <c r="AA1049" s="202"/>
    </row>
    <row r="1050" spans="2:27" x14ac:dyDescent="0.15">
      <c r="B1050" s="241">
        <v>44187</v>
      </c>
      <c r="C1050" s="244"/>
      <c r="D1050" s="245">
        <v>84.467399999999998</v>
      </c>
      <c r="E1050" s="228">
        <f t="shared" si="96"/>
        <v>2.3472550035719131E-4</v>
      </c>
      <c r="F1050" s="228"/>
      <c r="G1050" s="245">
        <v>474.79431199999999</v>
      </c>
      <c r="H1050" s="228">
        <f t="shared" si="97"/>
        <v>8.3005279208812066E-3</v>
      </c>
      <c r="J1050" s="227"/>
      <c r="K1050" s="245">
        <v>102.732193</v>
      </c>
      <c r="L1050" s="228">
        <f t="shared" si="98"/>
        <v>-8.489897878183772E-3</v>
      </c>
      <c r="M1050" s="228"/>
      <c r="N1050" s="227"/>
      <c r="O1050" s="322">
        <v>85.639999000000003</v>
      </c>
      <c r="P1050" s="228">
        <f t="shared" si="99"/>
        <v>-8.9110631218116687E-3</v>
      </c>
      <c r="Q1050" s="228"/>
      <c r="R1050" s="227"/>
      <c r="S1050" s="322">
        <v>476.95001200000002</v>
      </c>
      <c r="T1050" s="228">
        <f t="shared" si="100"/>
        <v>-1.2995879512955111E-2</v>
      </c>
      <c r="U1050" s="228"/>
      <c r="V1050" s="228"/>
      <c r="W1050" s="228"/>
      <c r="X1050" s="322">
        <v>257.58999599999999</v>
      </c>
      <c r="Y1050" s="228">
        <f t="shared" si="101"/>
        <v>-1.2194627963879823E-2</v>
      </c>
      <c r="Z1050" s="228"/>
      <c r="AA1050" s="202"/>
    </row>
    <row r="1051" spans="2:27" x14ac:dyDescent="0.15">
      <c r="B1051" s="241">
        <v>44188</v>
      </c>
      <c r="C1051" s="244"/>
      <c r="D1051" s="245">
        <v>84.556556999999998</v>
      </c>
      <c r="E1051" s="228">
        <f t="shared" si="96"/>
        <v>1.0555196442652015E-3</v>
      </c>
      <c r="F1051" s="228"/>
      <c r="G1051" s="245">
        <v>473.238831</v>
      </c>
      <c r="H1051" s="228">
        <f t="shared" si="97"/>
        <v>-3.2761154897744671E-3</v>
      </c>
      <c r="J1051" s="227"/>
      <c r="K1051" s="245">
        <v>102.554276</v>
      </c>
      <c r="L1051" s="228">
        <f t="shared" si="98"/>
        <v>-1.7318524486281683E-3</v>
      </c>
      <c r="M1051" s="228"/>
      <c r="N1051" s="227"/>
      <c r="O1051" s="322">
        <v>84.029999000000004</v>
      </c>
      <c r="P1051" s="228">
        <f t="shared" si="99"/>
        <v>-1.8799626562349681E-2</v>
      </c>
      <c r="Q1051" s="228"/>
      <c r="R1051" s="227"/>
      <c r="S1051" s="322">
        <v>471.13000499999998</v>
      </c>
      <c r="T1051" s="228">
        <f t="shared" si="100"/>
        <v>-1.2202551323135413E-2</v>
      </c>
      <c r="U1051" s="228"/>
      <c r="V1051" s="228"/>
      <c r="W1051" s="228"/>
      <c r="X1051" s="322">
        <v>252.78999300000001</v>
      </c>
      <c r="Y1051" s="228">
        <f t="shared" si="101"/>
        <v>-1.8634275688252933E-2</v>
      </c>
      <c r="Z1051" s="228"/>
      <c r="AA1051" s="202"/>
    </row>
    <row r="1052" spans="2:27" x14ac:dyDescent="0.15">
      <c r="B1052" s="241">
        <v>44189</v>
      </c>
      <c r="C1052" s="244"/>
      <c r="D1052" s="245">
        <v>84.734879000000006</v>
      </c>
      <c r="E1052" s="228">
        <f t="shared" si="96"/>
        <v>2.1089080057978826E-3</v>
      </c>
      <c r="F1052" s="228"/>
      <c r="G1052" s="245">
        <v>481.68420400000002</v>
      </c>
      <c r="H1052" s="228">
        <f t="shared" si="97"/>
        <v>1.7845900308210316E-2</v>
      </c>
      <c r="J1052" s="227"/>
      <c r="K1052" s="245">
        <v>104.738602</v>
      </c>
      <c r="L1052" s="228">
        <f t="shared" si="98"/>
        <v>2.1299219156888149E-2</v>
      </c>
      <c r="M1052" s="228"/>
      <c r="N1052" s="227"/>
      <c r="O1052" s="322">
        <v>85.330001999999993</v>
      </c>
      <c r="P1052" s="228">
        <f t="shared" si="99"/>
        <v>1.5470701124249642E-2</v>
      </c>
      <c r="Q1052" s="228"/>
      <c r="R1052" s="227"/>
      <c r="S1052" s="322">
        <v>480.33999599999999</v>
      </c>
      <c r="T1052" s="228">
        <f t="shared" si="100"/>
        <v>1.9548725197411354E-2</v>
      </c>
      <c r="U1052" s="228"/>
      <c r="V1052" s="228"/>
      <c r="W1052" s="228"/>
      <c r="X1052" s="322">
        <v>259.07998700000002</v>
      </c>
      <c r="Y1052" s="228">
        <f t="shared" si="101"/>
        <v>2.4882290336548207E-2</v>
      </c>
      <c r="Z1052" s="228"/>
      <c r="AA1052" s="202"/>
    </row>
    <row r="1053" spans="2:27" x14ac:dyDescent="0.15">
      <c r="B1053" s="241">
        <v>44193</v>
      </c>
      <c r="C1053" s="244"/>
      <c r="D1053" s="245">
        <v>85.180701999999997</v>
      </c>
      <c r="E1053" s="228">
        <f t="shared" si="96"/>
        <v>5.2613871083710961E-3</v>
      </c>
      <c r="F1053" s="228"/>
      <c r="G1053" s="245">
        <v>478.842468</v>
      </c>
      <c r="H1053" s="228">
        <f t="shared" si="97"/>
        <v>-5.8995831218912054E-3</v>
      </c>
      <c r="J1053" s="227"/>
      <c r="K1053" s="245">
        <v>104.916504</v>
      </c>
      <c r="L1053" s="228">
        <f t="shared" si="98"/>
        <v>1.6985332685650611E-3</v>
      </c>
      <c r="M1053" s="228"/>
      <c r="N1053" s="227"/>
      <c r="O1053" s="322">
        <v>84.870002999999997</v>
      </c>
      <c r="P1053" s="228">
        <f t="shared" si="99"/>
        <v>-5.3908237339546083E-3</v>
      </c>
      <c r="Q1053" s="228"/>
      <c r="R1053" s="227"/>
      <c r="S1053" s="322">
        <v>476.10000600000001</v>
      </c>
      <c r="T1053" s="228">
        <f t="shared" si="100"/>
        <v>-8.8270600726739756E-3</v>
      </c>
      <c r="U1053" s="228"/>
      <c r="V1053" s="228"/>
      <c r="W1053" s="228"/>
      <c r="X1053" s="322">
        <v>257.57998700000002</v>
      </c>
      <c r="Y1053" s="228">
        <f t="shared" si="101"/>
        <v>-5.7897177523017485E-3</v>
      </c>
      <c r="Z1053" s="228"/>
      <c r="AA1053" s="202"/>
    </row>
    <row r="1054" spans="2:27" x14ac:dyDescent="0.15">
      <c r="B1054" s="241">
        <v>44194</v>
      </c>
      <c r="C1054" s="244"/>
      <c r="D1054" s="245">
        <v>84.863677999999993</v>
      </c>
      <c r="E1054" s="228">
        <f t="shared" si="96"/>
        <v>-3.7217819594865809E-3</v>
      </c>
      <c r="F1054" s="228"/>
      <c r="G1054" s="245">
        <v>482.60153200000002</v>
      </c>
      <c r="H1054" s="228">
        <f t="shared" si="97"/>
        <v>7.8503145631603211E-3</v>
      </c>
      <c r="J1054" s="227"/>
      <c r="K1054" s="245">
        <v>104.333359</v>
      </c>
      <c r="L1054" s="228">
        <f t="shared" si="98"/>
        <v>-5.5581817709061676E-3</v>
      </c>
      <c r="M1054" s="228"/>
      <c r="N1054" s="227"/>
      <c r="O1054" s="322">
        <v>84.269997000000004</v>
      </c>
      <c r="P1054" s="228">
        <f t="shared" si="99"/>
        <v>-7.0697063602082055E-3</v>
      </c>
      <c r="Q1054" s="228"/>
      <c r="R1054" s="227"/>
      <c r="S1054" s="322">
        <v>473.22000100000002</v>
      </c>
      <c r="T1054" s="228">
        <f t="shared" si="100"/>
        <v>-6.0491597641357808E-3</v>
      </c>
      <c r="U1054" s="228"/>
      <c r="V1054" s="228"/>
      <c r="W1054" s="228"/>
      <c r="X1054" s="322">
        <v>254.36000100000001</v>
      </c>
      <c r="Y1054" s="228">
        <f t="shared" si="101"/>
        <v>-1.2500916851121646E-2</v>
      </c>
      <c r="Z1054" s="228"/>
      <c r="AA1054" s="202"/>
    </row>
    <row r="1055" spans="2:27" x14ac:dyDescent="0.15">
      <c r="B1055" s="241">
        <v>44195</v>
      </c>
      <c r="C1055" s="244"/>
      <c r="D1055" s="245">
        <v>85.071731999999997</v>
      </c>
      <c r="E1055" s="228">
        <f t="shared" si="96"/>
        <v>2.4516260065938766E-3</v>
      </c>
      <c r="F1055" s="228"/>
      <c r="G1055" s="245">
        <v>488.48434400000002</v>
      </c>
      <c r="H1055" s="228">
        <f t="shared" si="97"/>
        <v>1.2189791390881943E-2</v>
      </c>
      <c r="J1055" s="227"/>
      <c r="K1055" s="245">
        <v>107.634552</v>
      </c>
      <c r="L1055" s="228">
        <f t="shared" si="98"/>
        <v>3.1640819692194455E-2</v>
      </c>
      <c r="M1055" s="228"/>
      <c r="N1055" s="227"/>
      <c r="O1055" s="322">
        <v>86.980002999999996</v>
      </c>
      <c r="P1055" s="228">
        <f t="shared" si="99"/>
        <v>3.2158610377071684E-2</v>
      </c>
      <c r="Q1055" s="228"/>
      <c r="R1055" s="227"/>
      <c r="S1055" s="322">
        <v>484.45001200000002</v>
      </c>
      <c r="T1055" s="228">
        <f t="shared" si="100"/>
        <v>2.3731057386139565E-2</v>
      </c>
      <c r="U1055" s="228"/>
      <c r="V1055" s="228"/>
      <c r="W1055" s="228"/>
      <c r="X1055" s="322">
        <v>260.14999399999999</v>
      </c>
      <c r="Y1055" s="228">
        <f t="shared" si="101"/>
        <v>2.2762985442825068E-2</v>
      </c>
      <c r="Z1055" s="228"/>
      <c r="AA1055" s="202"/>
    </row>
    <row r="1056" spans="2:27" x14ac:dyDescent="0.15">
      <c r="B1056" s="241">
        <v>44196</v>
      </c>
      <c r="C1056" s="244"/>
      <c r="D1056" s="245">
        <v>85.418471999999994</v>
      </c>
      <c r="E1056" s="228">
        <f t="shared" si="96"/>
        <v>4.0758544800756358E-3</v>
      </c>
      <c r="F1056" s="228"/>
      <c r="G1056" s="245">
        <v>486.30072000000001</v>
      </c>
      <c r="H1056" s="228">
        <f t="shared" si="97"/>
        <v>-4.4702026315095456E-3</v>
      </c>
      <c r="J1056" s="227"/>
      <c r="K1056" s="245">
        <v>107.772919</v>
      </c>
      <c r="L1056" s="228">
        <f t="shared" si="98"/>
        <v>1.2855258597630481E-3</v>
      </c>
      <c r="M1056" s="228"/>
      <c r="N1056" s="227"/>
      <c r="O1056" s="322">
        <v>86.300003000000004</v>
      </c>
      <c r="P1056" s="228">
        <f t="shared" si="99"/>
        <v>-7.8178889002796792E-3</v>
      </c>
      <c r="Q1056" s="228"/>
      <c r="R1056" s="227"/>
      <c r="S1056" s="322">
        <v>472.26998900000001</v>
      </c>
      <c r="T1056" s="228">
        <f t="shared" si="100"/>
        <v>-2.5141960363910587E-2</v>
      </c>
      <c r="U1056" s="228"/>
      <c r="V1056" s="228"/>
      <c r="W1056" s="228"/>
      <c r="X1056" s="322">
        <v>258.91000400000001</v>
      </c>
      <c r="Y1056" s="228">
        <f t="shared" si="101"/>
        <v>-4.7664425469868821E-3</v>
      </c>
      <c r="Z1056" s="228"/>
      <c r="AA1056" s="202"/>
    </row>
    <row r="1057" spans="2:27" x14ac:dyDescent="0.15">
      <c r="B1057" s="241">
        <v>44200</v>
      </c>
      <c r="C1057" s="244"/>
      <c r="D1057" s="245">
        <v>84.328697000000005</v>
      </c>
      <c r="E1057" s="228">
        <f t="shared" si="96"/>
        <v>-1.2758071813787408E-2</v>
      </c>
      <c r="F1057" s="228"/>
      <c r="G1057" s="245">
        <v>498.544983</v>
      </c>
      <c r="H1057" s="228">
        <f t="shared" si="97"/>
        <v>2.5178377280625774E-2</v>
      </c>
      <c r="J1057" s="227"/>
      <c r="K1057" s="245">
        <v>110.402008</v>
      </c>
      <c r="L1057" s="228">
        <f t="shared" si="98"/>
        <v>2.4394709027042216E-2</v>
      </c>
      <c r="M1057" s="228"/>
      <c r="N1057" s="227"/>
      <c r="O1057" s="322">
        <v>86.870002999999997</v>
      </c>
      <c r="P1057" s="228">
        <f t="shared" si="99"/>
        <v>6.604866514315022E-3</v>
      </c>
      <c r="Q1057" s="228"/>
      <c r="R1057" s="227"/>
      <c r="S1057" s="322">
        <v>478.01998900000001</v>
      </c>
      <c r="T1057" s="228">
        <f t="shared" si="100"/>
        <v>1.2175239024133644E-2</v>
      </c>
      <c r="U1057" s="228"/>
      <c r="V1057" s="228"/>
      <c r="W1057" s="228"/>
      <c r="X1057" s="322">
        <v>260.32998700000002</v>
      </c>
      <c r="Y1057" s="228">
        <f t="shared" si="101"/>
        <v>5.4844655597008352E-3</v>
      </c>
      <c r="Z1057" s="228"/>
      <c r="AA1057" s="202"/>
    </row>
    <row r="1058" spans="2:27" x14ac:dyDescent="0.15">
      <c r="B1058" s="241">
        <v>44201</v>
      </c>
      <c r="C1058" s="244"/>
      <c r="D1058" s="245">
        <v>84.962753000000006</v>
      </c>
      <c r="E1058" s="228">
        <f t="shared" si="96"/>
        <v>7.5188639520897826E-3</v>
      </c>
      <c r="F1058" s="228"/>
      <c r="G1058" s="245">
        <v>503.88937399999998</v>
      </c>
      <c r="H1058" s="228">
        <f t="shared" si="97"/>
        <v>1.0719977499001221E-2</v>
      </c>
      <c r="J1058" s="227"/>
      <c r="K1058" s="245">
        <v>111.45957900000001</v>
      </c>
      <c r="L1058" s="228">
        <f t="shared" si="98"/>
        <v>9.5792732320594265E-3</v>
      </c>
      <c r="M1058" s="228"/>
      <c r="N1058" s="227"/>
      <c r="O1058" s="322">
        <v>89.599997999999999</v>
      </c>
      <c r="P1058" s="228">
        <f t="shared" si="99"/>
        <v>3.1426210495238527E-2</v>
      </c>
      <c r="Q1058" s="228"/>
      <c r="R1058" s="227"/>
      <c r="S1058" s="322">
        <v>494.54998799999998</v>
      </c>
      <c r="T1058" s="228">
        <f t="shared" si="100"/>
        <v>3.4580141794028574E-2</v>
      </c>
      <c r="U1058" s="228"/>
      <c r="V1058" s="228"/>
      <c r="W1058" s="228"/>
      <c r="X1058" s="322">
        <v>265.790009</v>
      </c>
      <c r="Y1058" s="228">
        <f t="shared" si="101"/>
        <v>2.0973465496312516E-2</v>
      </c>
      <c r="Z1058" s="228"/>
      <c r="AA1058" s="202"/>
    </row>
    <row r="1059" spans="2:27" x14ac:dyDescent="0.15">
      <c r="B1059" s="241">
        <v>44202</v>
      </c>
      <c r="C1059" s="244"/>
      <c r="D1059" s="245">
        <v>85.735496999999995</v>
      </c>
      <c r="E1059" s="228">
        <f t="shared" si="96"/>
        <v>9.0950913513829779E-3</v>
      </c>
      <c r="F1059" s="228"/>
      <c r="G1059" s="245">
        <v>488.79345699999999</v>
      </c>
      <c r="H1059" s="228">
        <f t="shared" si="97"/>
        <v>-2.9958792105824417E-2</v>
      </c>
      <c r="J1059" s="227"/>
      <c r="K1059" s="245">
        <v>114.26657899999999</v>
      </c>
      <c r="L1059" s="228">
        <f t="shared" si="98"/>
        <v>2.5184017606956655E-2</v>
      </c>
      <c r="M1059" s="228"/>
      <c r="N1059" s="227"/>
      <c r="O1059" s="322">
        <v>90.830001999999993</v>
      </c>
      <c r="P1059" s="228">
        <f t="shared" si="99"/>
        <v>1.3727723520708057E-2</v>
      </c>
      <c r="Q1059" s="228"/>
      <c r="R1059" s="227"/>
      <c r="S1059" s="322">
        <v>496.48998999999998</v>
      </c>
      <c r="T1059" s="228">
        <f t="shared" si="100"/>
        <v>3.922762202149821E-3</v>
      </c>
      <c r="U1059" s="228"/>
      <c r="V1059" s="228"/>
      <c r="W1059" s="228"/>
      <c r="X1059" s="322">
        <v>265.209991</v>
      </c>
      <c r="Y1059" s="228">
        <f t="shared" si="101"/>
        <v>-2.1822415454298971E-3</v>
      </c>
      <c r="Z1059" s="228"/>
      <c r="AA1059" s="202"/>
    </row>
    <row r="1060" spans="2:27" x14ac:dyDescent="0.15">
      <c r="B1060" s="241">
        <v>44203</v>
      </c>
      <c r="C1060" s="244"/>
      <c r="D1060" s="245">
        <v>87.043221000000003</v>
      </c>
      <c r="E1060" s="228">
        <f t="shared" si="96"/>
        <v>1.5253005415015064E-2</v>
      </c>
      <c r="F1060" s="228"/>
      <c r="G1060" s="245">
        <v>499.97082499999999</v>
      </c>
      <c r="H1060" s="228">
        <f t="shared" si="97"/>
        <v>2.2867261907722369E-2</v>
      </c>
      <c r="J1060" s="227"/>
      <c r="K1060" s="245">
        <v>120.018944</v>
      </c>
      <c r="L1060" s="228">
        <f t="shared" si="98"/>
        <v>5.0341622636659311E-2</v>
      </c>
      <c r="M1060" s="228"/>
      <c r="N1060" s="227"/>
      <c r="O1060" s="322">
        <v>94.559997999999993</v>
      </c>
      <c r="P1060" s="228">
        <f t="shared" si="99"/>
        <v>4.1065682240103873E-2</v>
      </c>
      <c r="Q1060" s="228"/>
      <c r="R1060" s="227"/>
      <c r="S1060" s="322">
        <v>514.46002199999998</v>
      </c>
      <c r="T1060" s="228">
        <f t="shared" si="100"/>
        <v>3.6194147640318031E-2</v>
      </c>
      <c r="U1060" s="228"/>
      <c r="V1060" s="228"/>
      <c r="W1060" s="228"/>
      <c r="X1060" s="322">
        <v>278.19000199999999</v>
      </c>
      <c r="Y1060" s="228">
        <f t="shared" si="101"/>
        <v>4.8942390711064876E-2</v>
      </c>
      <c r="Z1060" s="228"/>
      <c r="AA1060" s="202"/>
    </row>
    <row r="1061" spans="2:27" x14ac:dyDescent="0.15">
      <c r="B1061" s="241">
        <v>44204</v>
      </c>
      <c r="C1061" s="244"/>
      <c r="D1061" s="245">
        <v>87.459320000000005</v>
      </c>
      <c r="E1061" s="228">
        <f t="shared" si="96"/>
        <v>4.7803722704609086E-3</v>
      </c>
      <c r="F1061" s="228"/>
      <c r="G1061" s="245">
        <v>507.25955199999999</v>
      </c>
      <c r="H1061" s="228">
        <f t="shared" si="97"/>
        <v>1.4578304644075946E-2</v>
      </c>
      <c r="J1061" s="227"/>
      <c r="K1061" s="245">
        <v>117.31079099999999</v>
      </c>
      <c r="L1061" s="228">
        <f t="shared" si="98"/>
        <v>-2.2564379503289156E-2</v>
      </c>
      <c r="M1061" s="228"/>
      <c r="N1061" s="227"/>
      <c r="O1061" s="322">
        <v>95.559997999999993</v>
      </c>
      <c r="P1061" s="228">
        <f t="shared" si="99"/>
        <v>1.0575296331964745E-2</v>
      </c>
      <c r="Q1061" s="228"/>
      <c r="R1061" s="227"/>
      <c r="S1061" s="322">
        <v>501.63000499999998</v>
      </c>
      <c r="T1061" s="228">
        <f t="shared" si="100"/>
        <v>-2.4938802727804577E-2</v>
      </c>
      <c r="U1061" s="228"/>
      <c r="V1061" s="228"/>
      <c r="W1061" s="228"/>
      <c r="X1061" s="322">
        <v>283.17999300000002</v>
      </c>
      <c r="Y1061" s="228">
        <f t="shared" si="101"/>
        <v>1.7937348445757673E-2</v>
      </c>
      <c r="Z1061" s="228"/>
      <c r="AA1061" s="202"/>
    </row>
    <row r="1062" spans="2:27" x14ac:dyDescent="0.15">
      <c r="B1062" s="241">
        <v>44207</v>
      </c>
      <c r="C1062" s="244"/>
      <c r="D1062" s="245">
        <v>86.993683000000004</v>
      </c>
      <c r="E1062" s="228">
        <f t="shared" si="96"/>
        <v>-5.3240409369750274E-3</v>
      </c>
      <c r="F1062" s="228"/>
      <c r="G1062" s="245">
        <v>506.47186299999998</v>
      </c>
      <c r="H1062" s="228">
        <f t="shared" si="97"/>
        <v>-1.5528322668234562E-3</v>
      </c>
      <c r="J1062" s="227"/>
      <c r="K1062" s="245">
        <v>121.175346</v>
      </c>
      <c r="L1062" s="228">
        <f t="shared" si="98"/>
        <v>3.2942877352178268E-2</v>
      </c>
      <c r="M1062" s="228"/>
      <c r="N1062" s="227"/>
      <c r="O1062" s="322">
        <v>97.959998999999996</v>
      </c>
      <c r="P1062" s="228">
        <f t="shared" si="99"/>
        <v>2.5115121915343819E-2</v>
      </c>
      <c r="Q1062" s="228"/>
      <c r="R1062" s="227"/>
      <c r="S1062" s="322">
        <v>516.47997999999995</v>
      </c>
      <c r="T1062" s="228">
        <f t="shared" si="100"/>
        <v>2.960344248147595E-2</v>
      </c>
      <c r="U1062" s="228"/>
      <c r="V1062" s="228"/>
      <c r="W1062" s="228"/>
      <c r="X1062" s="322">
        <v>289.10998499999999</v>
      </c>
      <c r="Y1062" s="228">
        <f t="shared" si="101"/>
        <v>2.0940716669909598E-2</v>
      </c>
      <c r="Z1062" s="228"/>
      <c r="AA1062" s="202"/>
    </row>
    <row r="1063" spans="2:27" x14ac:dyDescent="0.15">
      <c r="B1063" s="241">
        <v>44208</v>
      </c>
      <c r="C1063" s="244"/>
      <c r="D1063" s="245">
        <v>87.251266000000001</v>
      </c>
      <c r="E1063" s="228">
        <f t="shared" si="96"/>
        <v>2.9609391293388132E-3</v>
      </c>
      <c r="F1063" s="228"/>
      <c r="G1063" s="245">
        <v>512.43444799999997</v>
      </c>
      <c r="H1063" s="228">
        <f t="shared" si="97"/>
        <v>1.177278628013334E-2</v>
      </c>
      <c r="J1063" s="227"/>
      <c r="K1063" s="245">
        <v>121.570702</v>
      </c>
      <c r="L1063" s="228">
        <f t="shared" si="98"/>
        <v>3.2626768814836282E-3</v>
      </c>
      <c r="M1063" s="228"/>
      <c r="N1063" s="227"/>
      <c r="O1063" s="322">
        <v>100.010002</v>
      </c>
      <c r="P1063" s="228">
        <f t="shared" si="99"/>
        <v>2.0926939780797627E-2</v>
      </c>
      <c r="Q1063" s="228"/>
      <c r="R1063" s="227"/>
      <c r="S1063" s="322">
        <v>536.44000200000005</v>
      </c>
      <c r="T1063" s="228">
        <f t="shared" si="100"/>
        <v>3.8646264662572483E-2</v>
      </c>
      <c r="U1063" s="228"/>
      <c r="V1063" s="228"/>
      <c r="W1063" s="228"/>
      <c r="X1063" s="322">
        <v>290.98998999999998</v>
      </c>
      <c r="Y1063" s="228">
        <f t="shared" si="101"/>
        <v>6.5027328613365132E-3</v>
      </c>
      <c r="Z1063" s="228"/>
      <c r="AA1063" s="202"/>
    </row>
    <row r="1064" spans="2:27" x14ac:dyDescent="0.15">
      <c r="B1064" s="241">
        <v>44209</v>
      </c>
      <c r="C1064" s="244"/>
      <c r="D1064" s="245">
        <v>87.330535999999995</v>
      </c>
      <c r="E1064" s="228">
        <f t="shared" si="96"/>
        <v>9.0852549921738301E-4</v>
      </c>
      <c r="F1064" s="228"/>
      <c r="G1064" s="245">
        <v>512.56408699999997</v>
      </c>
      <c r="H1064" s="228">
        <f t="shared" si="97"/>
        <v>2.5298650491967223E-4</v>
      </c>
      <c r="J1064" s="227"/>
      <c r="K1064" s="245">
        <v>117.84451300000001</v>
      </c>
      <c r="L1064" s="228">
        <f t="shared" si="98"/>
        <v>-3.0650386472227398E-2</v>
      </c>
      <c r="M1064" s="228"/>
      <c r="N1064" s="227"/>
      <c r="O1064" s="322">
        <v>98.050003000000004</v>
      </c>
      <c r="P1064" s="228">
        <f t="shared" si="99"/>
        <v>-1.959802980505887E-2</v>
      </c>
      <c r="Q1064" s="228"/>
      <c r="R1064" s="227"/>
      <c r="S1064" s="322">
        <v>526.5</v>
      </c>
      <c r="T1064" s="228">
        <f t="shared" si="100"/>
        <v>-1.852956894143043E-2</v>
      </c>
      <c r="U1064" s="228"/>
      <c r="V1064" s="228"/>
      <c r="W1064" s="228"/>
      <c r="X1064" s="322">
        <v>290.10000600000001</v>
      </c>
      <c r="Y1064" s="228">
        <f t="shared" si="101"/>
        <v>-3.0584694683138958E-3</v>
      </c>
      <c r="Z1064" s="228"/>
      <c r="AA1064" s="202"/>
    </row>
    <row r="1065" spans="2:27" x14ac:dyDescent="0.15">
      <c r="B1065" s="241">
        <v>44210</v>
      </c>
      <c r="C1065" s="244"/>
      <c r="D1065" s="245">
        <v>87.320617999999996</v>
      </c>
      <c r="E1065" s="228">
        <f t="shared" si="96"/>
        <v>-1.1356852315669297E-4</v>
      </c>
      <c r="F1065" s="228"/>
      <c r="G1065" s="245">
        <v>543.06506300000001</v>
      </c>
      <c r="H1065" s="228">
        <f t="shared" si="97"/>
        <v>5.9506658335194862E-2</v>
      </c>
      <c r="J1065" s="227"/>
      <c r="K1065" s="245">
        <v>124.980614</v>
      </c>
      <c r="L1065" s="228">
        <f t="shared" si="98"/>
        <v>6.0555225002287605E-2</v>
      </c>
      <c r="M1065" s="228"/>
      <c r="N1065" s="227"/>
      <c r="O1065" s="322">
        <v>105.800003</v>
      </c>
      <c r="P1065" s="228">
        <f t="shared" si="99"/>
        <v>7.9041303038001942E-2</v>
      </c>
      <c r="Q1065" s="228"/>
      <c r="R1065" s="227"/>
      <c r="S1065" s="322">
        <v>557.78997800000002</v>
      </c>
      <c r="T1065" s="228">
        <f t="shared" si="100"/>
        <v>5.94301576448244E-2</v>
      </c>
      <c r="U1065" s="228"/>
      <c r="V1065" s="228"/>
      <c r="W1065" s="228"/>
      <c r="X1065" s="322">
        <v>303.88000499999998</v>
      </c>
      <c r="Y1065" s="228">
        <f t="shared" si="101"/>
        <v>4.7500857342277936E-2</v>
      </c>
      <c r="Z1065" s="228"/>
      <c r="AA1065" s="202"/>
    </row>
    <row r="1066" spans="2:27" x14ac:dyDescent="0.15">
      <c r="B1066" s="241">
        <v>44211</v>
      </c>
      <c r="C1066" s="244"/>
      <c r="D1066" s="245">
        <v>86.587502000000001</v>
      </c>
      <c r="E1066" s="228">
        <f t="shared" si="96"/>
        <v>-8.3956803878780795E-3</v>
      </c>
      <c r="F1066" s="228"/>
      <c r="G1066" s="245">
        <v>525.964966</v>
      </c>
      <c r="H1066" s="228">
        <f t="shared" si="97"/>
        <v>-3.1488118395124998E-2</v>
      </c>
      <c r="J1066" s="227"/>
      <c r="K1066" s="245">
        <v>123.774788</v>
      </c>
      <c r="L1066" s="228">
        <f t="shared" si="98"/>
        <v>-9.6481043052004667E-3</v>
      </c>
      <c r="M1066" s="228"/>
      <c r="N1066" s="227"/>
      <c r="O1066" s="322">
        <v>103.139999</v>
      </c>
      <c r="P1066" s="228">
        <f t="shared" si="99"/>
        <v>-2.5141814031895637E-2</v>
      </c>
      <c r="Q1066" s="228"/>
      <c r="R1066" s="227"/>
      <c r="S1066" s="322">
        <v>547.53002900000001</v>
      </c>
      <c r="T1066" s="228">
        <f t="shared" si="100"/>
        <v>-1.8393928547780436E-2</v>
      </c>
      <c r="U1066" s="228"/>
      <c r="V1066" s="228"/>
      <c r="W1066" s="228"/>
      <c r="X1066" s="322">
        <v>304.13000499999998</v>
      </c>
      <c r="Y1066" s="228">
        <f t="shared" si="101"/>
        <v>8.2269315481942051E-4</v>
      </c>
      <c r="Z1066" s="228"/>
      <c r="AA1066" s="202"/>
    </row>
    <row r="1067" spans="2:27" x14ac:dyDescent="0.15">
      <c r="B1067" s="241">
        <v>44215</v>
      </c>
      <c r="C1067" s="244"/>
      <c r="D1067" s="245">
        <v>87.320617999999996</v>
      </c>
      <c r="E1067" s="228">
        <f t="shared" si="96"/>
        <v>8.4667646376956895E-3</v>
      </c>
      <c r="F1067" s="228"/>
      <c r="G1067" s="245">
        <v>547.90093999999999</v>
      </c>
      <c r="H1067" s="228">
        <f t="shared" si="97"/>
        <v>4.170615044348791E-2</v>
      </c>
      <c r="J1067" s="227"/>
      <c r="K1067" s="245">
        <v>129.77424600000001</v>
      </c>
      <c r="L1067" s="228">
        <f t="shared" si="98"/>
        <v>4.8470759650988127E-2</v>
      </c>
      <c r="M1067" s="228"/>
      <c r="N1067" s="227"/>
      <c r="O1067" s="322">
        <v>109.220001</v>
      </c>
      <c r="P1067" s="228">
        <f t="shared" si="99"/>
        <v>5.8949021320040762E-2</v>
      </c>
      <c r="Q1067" s="228"/>
      <c r="R1067" s="227"/>
      <c r="S1067" s="322">
        <v>580.02002000000005</v>
      </c>
      <c r="T1067" s="228">
        <f t="shared" si="100"/>
        <v>5.9339194709264076E-2</v>
      </c>
      <c r="U1067" s="228"/>
      <c r="V1067" s="228"/>
      <c r="W1067" s="228"/>
      <c r="X1067" s="322">
        <v>314.07998700000002</v>
      </c>
      <c r="Y1067" s="228">
        <f t="shared" si="101"/>
        <v>3.2716212923483257E-2</v>
      </c>
      <c r="Z1067" s="228"/>
      <c r="AA1067" s="202"/>
    </row>
    <row r="1068" spans="2:27" x14ac:dyDescent="0.15">
      <c r="B1068" s="241">
        <v>44216</v>
      </c>
      <c r="C1068" s="244"/>
      <c r="D1068" s="245">
        <v>88.400497000000001</v>
      </c>
      <c r="E1068" s="228">
        <f t="shared" si="96"/>
        <v>1.2366827270966052E-2</v>
      </c>
      <c r="F1068" s="228"/>
      <c r="G1068" s="245">
        <v>547.78131099999996</v>
      </c>
      <c r="H1068" s="228">
        <f t="shared" si="97"/>
        <v>-2.1834056353331466E-4</v>
      </c>
      <c r="J1068" s="227"/>
      <c r="K1068" s="245">
        <v>129.12193300000001</v>
      </c>
      <c r="L1068" s="228">
        <f t="shared" si="98"/>
        <v>-5.0265212097628797E-3</v>
      </c>
      <c r="M1068" s="228"/>
      <c r="N1068" s="227"/>
      <c r="O1068" s="322">
        <v>107.839996</v>
      </c>
      <c r="P1068" s="228">
        <f t="shared" si="99"/>
        <v>-1.2635094189387464E-2</v>
      </c>
      <c r="Q1068" s="228"/>
      <c r="R1068" s="227"/>
      <c r="S1068" s="322">
        <v>563</v>
      </c>
      <c r="T1068" s="228">
        <f t="shared" si="100"/>
        <v>-2.9343849200239802E-2</v>
      </c>
      <c r="U1068" s="228"/>
      <c r="V1068" s="228"/>
      <c r="W1068" s="228"/>
      <c r="X1068" s="322">
        <v>304.32998700000002</v>
      </c>
      <c r="Y1068" s="228">
        <f t="shared" si="101"/>
        <v>-3.1043047642510202E-2</v>
      </c>
      <c r="Z1068" s="228"/>
      <c r="AA1068" s="202"/>
    </row>
    <row r="1069" spans="2:27" x14ac:dyDescent="0.15">
      <c r="B1069" s="241">
        <v>44217</v>
      </c>
      <c r="C1069" s="244"/>
      <c r="D1069" s="245">
        <v>88.321235999999999</v>
      </c>
      <c r="E1069" s="228">
        <f t="shared" si="96"/>
        <v>-8.9661260614859462E-4</v>
      </c>
      <c r="F1069" s="228"/>
      <c r="G1069" s="245">
        <v>569.07910200000003</v>
      </c>
      <c r="H1069" s="228">
        <f t="shared" si="97"/>
        <v>3.8880097900967137E-2</v>
      </c>
      <c r="J1069" s="227"/>
      <c r="K1069" s="245">
        <v>132.60102800000001</v>
      </c>
      <c r="L1069" s="228">
        <f t="shared" si="98"/>
        <v>2.6944260507624218E-2</v>
      </c>
      <c r="M1069" s="228"/>
      <c r="N1069" s="227"/>
      <c r="O1069" s="322">
        <v>107.970001</v>
      </c>
      <c r="P1069" s="228">
        <f t="shared" si="99"/>
        <v>1.2055360239442425E-3</v>
      </c>
      <c r="Q1069" s="228"/>
      <c r="R1069" s="227"/>
      <c r="S1069" s="322">
        <v>564.19000200000005</v>
      </c>
      <c r="T1069" s="228">
        <f t="shared" si="100"/>
        <v>2.1136802841918989E-3</v>
      </c>
      <c r="U1069" s="228"/>
      <c r="V1069" s="228"/>
      <c r="W1069" s="228"/>
      <c r="X1069" s="322">
        <v>305.20001200000002</v>
      </c>
      <c r="Y1069" s="228">
        <f t="shared" si="101"/>
        <v>2.8588211387792217E-3</v>
      </c>
      <c r="Z1069" s="228"/>
      <c r="AA1069" s="202"/>
    </row>
    <row r="1070" spans="2:27" x14ac:dyDescent="0.15">
      <c r="B1070" s="241">
        <v>44218</v>
      </c>
      <c r="C1070" s="244"/>
      <c r="D1070" s="245">
        <v>88.222160000000002</v>
      </c>
      <c r="E1070" s="228">
        <f t="shared" si="96"/>
        <v>-1.1217687216242833E-3</v>
      </c>
      <c r="F1070" s="228"/>
      <c r="G1070" s="245">
        <v>567.79290800000001</v>
      </c>
      <c r="H1070" s="228">
        <f t="shared" si="97"/>
        <v>-2.2601321951197795E-3</v>
      </c>
      <c r="J1070" s="227"/>
      <c r="K1070" s="245">
        <v>127.639351</v>
      </c>
      <c r="L1070" s="228">
        <f t="shared" si="98"/>
        <v>-3.7418088493250679E-2</v>
      </c>
      <c r="M1070" s="228"/>
      <c r="N1070" s="227"/>
      <c r="O1070" s="322">
        <v>106.33000199999999</v>
      </c>
      <c r="P1070" s="228">
        <f t="shared" si="99"/>
        <v>-1.5189395061689481E-2</v>
      </c>
      <c r="Q1070" s="228"/>
      <c r="R1070" s="227"/>
      <c r="S1070" s="322">
        <v>563.84997599999997</v>
      </c>
      <c r="T1070" s="228">
        <f t="shared" si="100"/>
        <v>-6.0267994610807563E-4</v>
      </c>
      <c r="U1070" s="228"/>
      <c r="V1070" s="228"/>
      <c r="W1070" s="228"/>
      <c r="X1070" s="322">
        <v>305.01001000000002</v>
      </c>
      <c r="Y1070" s="228">
        <f t="shared" si="101"/>
        <v>-6.2254912362191828E-4</v>
      </c>
      <c r="Z1070" s="228"/>
      <c r="AA1070" s="202"/>
    </row>
    <row r="1071" spans="2:27" x14ac:dyDescent="0.15">
      <c r="B1071" s="241">
        <v>44221</v>
      </c>
      <c r="C1071" s="244"/>
      <c r="D1071" s="245">
        <v>88.509467999999998</v>
      </c>
      <c r="E1071" s="228">
        <f t="shared" si="96"/>
        <v>3.2566420953645814E-3</v>
      </c>
      <c r="F1071" s="228"/>
      <c r="G1071" s="245">
        <v>565.95825200000002</v>
      </c>
      <c r="H1071" s="228">
        <f t="shared" si="97"/>
        <v>-3.2312062622662507E-3</v>
      </c>
      <c r="J1071" s="227"/>
      <c r="K1071" s="245">
        <v>129.00332599999999</v>
      </c>
      <c r="L1071" s="228">
        <f t="shared" si="98"/>
        <v>1.0686163705109886E-2</v>
      </c>
      <c r="M1071" s="228"/>
      <c r="N1071" s="227"/>
      <c r="O1071" s="322">
        <v>108.120003</v>
      </c>
      <c r="P1071" s="228">
        <f t="shared" si="99"/>
        <v>1.6834392611033699E-2</v>
      </c>
      <c r="Q1071" s="228"/>
      <c r="R1071" s="227"/>
      <c r="S1071" s="322">
        <v>567.76000999999997</v>
      </c>
      <c r="T1071" s="228">
        <f t="shared" si="100"/>
        <v>6.934528981872301E-3</v>
      </c>
      <c r="U1071" s="228"/>
      <c r="V1071" s="228"/>
      <c r="W1071" s="228"/>
      <c r="X1071" s="322">
        <v>308.89999399999999</v>
      </c>
      <c r="Y1071" s="228">
        <f t="shared" si="101"/>
        <v>1.2753627331771655E-2</v>
      </c>
      <c r="Z1071" s="228"/>
      <c r="AA1071" s="202"/>
    </row>
    <row r="1072" spans="2:27" x14ac:dyDescent="0.15">
      <c r="B1072" s="241">
        <v>44222</v>
      </c>
      <c r="C1072" s="244"/>
      <c r="D1072" s="245">
        <v>88.212256999999994</v>
      </c>
      <c r="E1072" s="228">
        <f t="shared" si="96"/>
        <v>-3.3579571396814556E-3</v>
      </c>
      <c r="F1072" s="228"/>
      <c r="G1072" s="245">
        <v>547.40240500000004</v>
      </c>
      <c r="H1072" s="228">
        <f t="shared" si="97"/>
        <v>-3.2786600309169023E-2</v>
      </c>
      <c r="J1072" s="227"/>
      <c r="K1072" s="245">
        <v>125.178291</v>
      </c>
      <c r="L1072" s="228">
        <f t="shared" si="98"/>
        <v>-2.9650669626920978E-2</v>
      </c>
      <c r="M1072" s="228"/>
      <c r="N1072" s="227"/>
      <c r="O1072" s="322">
        <v>105.529999</v>
      </c>
      <c r="P1072" s="228">
        <f t="shared" si="99"/>
        <v>-2.3954901296108888E-2</v>
      </c>
      <c r="Q1072" s="228"/>
      <c r="R1072" s="227"/>
      <c r="S1072" s="322">
        <v>552.65997300000004</v>
      </c>
      <c r="T1072" s="228">
        <f t="shared" si="100"/>
        <v>-2.6595809380797975E-2</v>
      </c>
      <c r="U1072" s="228"/>
      <c r="V1072" s="228"/>
      <c r="W1072" s="228"/>
      <c r="X1072" s="322">
        <v>303.54998799999998</v>
      </c>
      <c r="Y1072" s="228">
        <f t="shared" si="101"/>
        <v>-1.731954064071628E-2</v>
      </c>
      <c r="Z1072" s="228"/>
      <c r="AA1072" s="202"/>
    </row>
    <row r="1073" spans="2:27" x14ac:dyDescent="0.15">
      <c r="B1073" s="241">
        <v>44223</v>
      </c>
      <c r="C1073" s="244"/>
      <c r="D1073" s="245">
        <v>86.012894000000003</v>
      </c>
      <c r="E1073" s="228">
        <f t="shared" si="96"/>
        <v>-2.4932623592206604E-2</v>
      </c>
      <c r="F1073" s="228"/>
      <c r="G1073" s="245">
        <v>523.10333300000002</v>
      </c>
      <c r="H1073" s="228">
        <f t="shared" si="97"/>
        <v>-4.438977939821076E-2</v>
      </c>
      <c r="J1073" s="227"/>
      <c r="K1073" s="245">
        <v>120.32534</v>
      </c>
      <c r="L1073" s="228">
        <f t="shared" si="98"/>
        <v>-3.8768311671550149E-2</v>
      </c>
      <c r="M1073" s="228"/>
      <c r="N1073" s="227"/>
      <c r="O1073" s="322">
        <v>98.580001999999993</v>
      </c>
      <c r="P1073" s="228">
        <f t="shared" si="99"/>
        <v>-6.5858022039780417E-2</v>
      </c>
      <c r="Q1073" s="228"/>
      <c r="R1073" s="227"/>
      <c r="S1073" s="322">
        <v>515.03997800000002</v>
      </c>
      <c r="T1073" s="228">
        <f t="shared" si="100"/>
        <v>-6.8070779209479682E-2</v>
      </c>
      <c r="U1073" s="228"/>
      <c r="V1073" s="228"/>
      <c r="W1073" s="228"/>
      <c r="X1073" s="322">
        <v>284.44000199999999</v>
      </c>
      <c r="Y1073" s="228">
        <f t="shared" si="101"/>
        <v>-6.2954988487761043E-2</v>
      </c>
      <c r="Z1073" s="228"/>
      <c r="AA1073" s="202"/>
    </row>
    <row r="1074" spans="2:27" x14ac:dyDescent="0.15">
      <c r="B1074" s="241">
        <v>44224</v>
      </c>
      <c r="C1074" s="244"/>
      <c r="D1074" s="245">
        <v>86.795546999999999</v>
      </c>
      <c r="E1074" s="228">
        <f t="shared" si="96"/>
        <v>9.0992520260972931E-3</v>
      </c>
      <c r="F1074" s="228"/>
      <c r="G1074" s="245">
        <v>545.62756300000001</v>
      </c>
      <c r="H1074" s="228">
        <f t="shared" si="97"/>
        <v>4.3058853918638729E-2</v>
      </c>
      <c r="J1074" s="227"/>
      <c r="K1074" s="245">
        <v>124.36782100000001</v>
      </c>
      <c r="L1074" s="228">
        <f t="shared" si="98"/>
        <v>3.3596256615605835E-2</v>
      </c>
      <c r="M1074" s="228"/>
      <c r="N1074" s="227"/>
      <c r="O1074" s="322">
        <v>101.150002</v>
      </c>
      <c r="P1074" s="228">
        <f t="shared" si="99"/>
        <v>2.6070196265567169E-2</v>
      </c>
      <c r="Q1074" s="228"/>
      <c r="R1074" s="227"/>
      <c r="S1074" s="322">
        <v>507.35000600000001</v>
      </c>
      <c r="T1074" s="228">
        <f t="shared" si="100"/>
        <v>-1.4930825428079664E-2</v>
      </c>
      <c r="U1074" s="228"/>
      <c r="V1074" s="228"/>
      <c r="W1074" s="228"/>
      <c r="X1074" s="322">
        <v>291.10000600000001</v>
      </c>
      <c r="Y1074" s="228">
        <f t="shared" si="101"/>
        <v>2.3414442248527401E-2</v>
      </c>
      <c r="Z1074" s="228"/>
      <c r="AA1074" s="202"/>
    </row>
    <row r="1075" spans="2:27" x14ac:dyDescent="0.15">
      <c r="B1075" s="241">
        <v>44225</v>
      </c>
      <c r="C1075" s="244"/>
      <c r="D1075" s="245">
        <v>85.190605000000005</v>
      </c>
      <c r="E1075" s="228">
        <f t="shared" si="96"/>
        <v>-1.8491063833032784E-2</v>
      </c>
      <c r="F1075" s="228"/>
      <c r="G1075" s="245">
        <v>532.60553000000004</v>
      </c>
      <c r="H1075" s="228">
        <f t="shared" si="97"/>
        <v>-2.3866156849557729E-2</v>
      </c>
      <c r="J1075" s="227"/>
      <c r="K1075" s="245">
        <v>120.107895</v>
      </c>
      <c r="L1075" s="228">
        <f t="shared" si="98"/>
        <v>-3.4252638389475454E-2</v>
      </c>
      <c r="M1075" s="228"/>
      <c r="N1075" s="227"/>
      <c r="O1075" s="322">
        <v>96.68</v>
      </c>
      <c r="P1075" s="228">
        <f t="shared" si="99"/>
        <v>-4.4191813263631863E-2</v>
      </c>
      <c r="Q1075" s="228"/>
      <c r="R1075" s="227"/>
      <c r="S1075" s="322">
        <v>483.95001200000002</v>
      </c>
      <c r="T1075" s="228">
        <f t="shared" si="100"/>
        <v>-4.6121994132784172E-2</v>
      </c>
      <c r="U1075" s="228"/>
      <c r="V1075" s="228"/>
      <c r="W1075" s="228"/>
      <c r="X1075" s="322">
        <v>280.07000699999998</v>
      </c>
      <c r="Y1075" s="228">
        <f t="shared" si="101"/>
        <v>-3.7890754973052276E-2</v>
      </c>
      <c r="Z1075" s="228"/>
      <c r="AA1075" s="202"/>
    </row>
    <row r="1076" spans="2:27" x14ac:dyDescent="0.15">
      <c r="B1076" s="241">
        <v>44228</v>
      </c>
      <c r="C1076" s="244"/>
      <c r="D1076" s="245">
        <v>86.656852999999998</v>
      </c>
      <c r="E1076" s="228">
        <f t="shared" si="96"/>
        <v>1.7211381466301301E-2</v>
      </c>
      <c r="F1076" s="228"/>
      <c r="G1076" s="245">
        <v>552.77673300000004</v>
      </c>
      <c r="H1076" s="228">
        <f t="shared" si="97"/>
        <v>3.7872687878400368E-2</v>
      </c>
      <c r="J1076" s="227"/>
      <c r="K1076" s="245">
        <v>125.188171</v>
      </c>
      <c r="L1076" s="228">
        <f t="shared" si="98"/>
        <v>4.2297602501484066E-2</v>
      </c>
      <c r="M1076" s="228"/>
      <c r="N1076" s="227"/>
      <c r="O1076" s="322">
        <v>101.209999</v>
      </c>
      <c r="P1076" s="228">
        <f t="shared" si="99"/>
        <v>4.6855595779892401E-2</v>
      </c>
      <c r="Q1076" s="228"/>
      <c r="R1076" s="227"/>
      <c r="S1076" s="322">
        <v>501.45001200000002</v>
      </c>
      <c r="T1076" s="228">
        <f t="shared" si="100"/>
        <v>3.6160759512492868E-2</v>
      </c>
      <c r="U1076" s="228"/>
      <c r="V1076" s="228"/>
      <c r="W1076" s="228"/>
      <c r="X1076" s="322">
        <v>292.61999500000002</v>
      </c>
      <c r="Y1076" s="228">
        <f t="shared" si="101"/>
        <v>4.4810182048519165E-2</v>
      </c>
      <c r="Z1076" s="228"/>
      <c r="AA1076" s="202"/>
    </row>
    <row r="1077" spans="2:27" x14ac:dyDescent="0.15">
      <c r="B1077" s="241">
        <v>44229</v>
      </c>
      <c r="C1077" s="244"/>
      <c r="D1077" s="245">
        <v>87.855598000000001</v>
      </c>
      <c r="E1077" s="228">
        <f t="shared" si="96"/>
        <v>1.3833239478475035E-2</v>
      </c>
      <c r="F1077" s="228"/>
      <c r="G1077" s="245">
        <v>551.88928199999998</v>
      </c>
      <c r="H1077" s="228">
        <f t="shared" si="97"/>
        <v>-1.6054420293410976E-3</v>
      </c>
      <c r="J1077" s="227"/>
      <c r="K1077" s="245">
        <v>126.947495</v>
      </c>
      <c r="L1077" s="228">
        <f t="shared" si="98"/>
        <v>1.4053436406543662E-2</v>
      </c>
      <c r="M1077" s="228"/>
      <c r="N1077" s="227"/>
      <c r="O1077" s="322">
        <v>103.589996</v>
      </c>
      <c r="P1077" s="228">
        <f t="shared" si="99"/>
        <v>2.3515433489926352E-2</v>
      </c>
      <c r="Q1077" s="228"/>
      <c r="R1077" s="227"/>
      <c r="S1077" s="322">
        <v>516.07000700000003</v>
      </c>
      <c r="T1077" s="228">
        <f t="shared" si="100"/>
        <v>2.9155438528536859E-2</v>
      </c>
      <c r="U1077" s="228"/>
      <c r="V1077" s="228"/>
      <c r="W1077" s="228"/>
      <c r="X1077" s="322">
        <v>298.77999899999998</v>
      </c>
      <c r="Y1077" s="228">
        <f t="shared" si="101"/>
        <v>2.1051206702398906E-2</v>
      </c>
      <c r="Z1077" s="228"/>
      <c r="AA1077" s="202"/>
    </row>
    <row r="1078" spans="2:27" x14ac:dyDescent="0.15">
      <c r="B1078" s="241">
        <v>44230</v>
      </c>
      <c r="C1078" s="244"/>
      <c r="D1078" s="245">
        <v>88.024024999999995</v>
      </c>
      <c r="E1078" s="228">
        <f t="shared" si="96"/>
        <v>1.9170889941468872E-3</v>
      </c>
      <c r="F1078" s="228"/>
      <c r="G1078" s="245">
        <v>541.33007799999996</v>
      </c>
      <c r="H1078" s="228">
        <f t="shared" si="97"/>
        <v>-1.9132830341865636E-2</v>
      </c>
      <c r="J1078" s="227"/>
      <c r="K1078" s="245">
        <v>126.01841</v>
      </c>
      <c r="L1078" s="228">
        <f t="shared" si="98"/>
        <v>-7.3186556379076784E-3</v>
      </c>
      <c r="M1078" s="228"/>
      <c r="N1078" s="227"/>
      <c r="O1078" s="322">
        <v>99.870002999999997</v>
      </c>
      <c r="P1078" s="228">
        <f t="shared" si="99"/>
        <v>-3.5910736013543221E-2</v>
      </c>
      <c r="Q1078" s="228"/>
      <c r="R1078" s="227"/>
      <c r="S1078" s="322">
        <v>504.32998700000002</v>
      </c>
      <c r="T1078" s="228">
        <f t="shared" si="100"/>
        <v>-2.274889034580152E-2</v>
      </c>
      <c r="U1078" s="228"/>
      <c r="V1078" s="228"/>
      <c r="W1078" s="228"/>
      <c r="X1078" s="322">
        <v>286.29998799999998</v>
      </c>
      <c r="Y1078" s="228">
        <f t="shared" si="101"/>
        <v>-4.1769901070252025E-2</v>
      </c>
      <c r="Z1078" s="228"/>
      <c r="AA1078" s="202"/>
    </row>
    <row r="1079" spans="2:27" x14ac:dyDescent="0.15">
      <c r="B1079" s="241">
        <v>44231</v>
      </c>
      <c r="C1079" s="244"/>
      <c r="D1079" s="245">
        <v>89.054351999999994</v>
      </c>
      <c r="E1079" s="228">
        <f t="shared" si="96"/>
        <v>1.1705065747675159E-2</v>
      </c>
      <c r="F1079" s="228"/>
      <c r="G1079" s="245">
        <v>553.823669</v>
      </c>
      <c r="H1079" s="228">
        <f t="shared" si="97"/>
        <v>2.3079432508459341E-2</v>
      </c>
      <c r="J1079" s="227"/>
      <c r="K1079" s="245">
        <v>126.660843</v>
      </c>
      <c r="L1079" s="228">
        <f t="shared" si="98"/>
        <v>5.0979297389961431E-3</v>
      </c>
      <c r="M1079" s="228"/>
      <c r="N1079" s="227"/>
      <c r="O1079" s="322">
        <v>103.239998</v>
      </c>
      <c r="P1079" s="228">
        <f t="shared" si="99"/>
        <v>3.3743815948418465E-2</v>
      </c>
      <c r="Q1079" s="228"/>
      <c r="R1079" s="227"/>
      <c r="S1079" s="322">
        <v>519.53002900000001</v>
      </c>
      <c r="T1079" s="228">
        <f t="shared" si="100"/>
        <v>3.0139080347804104E-2</v>
      </c>
      <c r="U1079" s="228"/>
      <c r="V1079" s="228"/>
      <c r="W1079" s="228"/>
      <c r="X1079" s="322">
        <v>294.23001099999999</v>
      </c>
      <c r="Y1079" s="228">
        <f t="shared" si="101"/>
        <v>2.7698300148025101E-2</v>
      </c>
      <c r="Z1079" s="228"/>
      <c r="AA1079" s="202"/>
    </row>
    <row r="1080" spans="2:27" x14ac:dyDescent="0.15">
      <c r="B1080" s="241">
        <v>44232</v>
      </c>
      <c r="C1080" s="244"/>
      <c r="D1080" s="245">
        <v>89.589332999999996</v>
      </c>
      <c r="E1080" s="228">
        <f t="shared" si="96"/>
        <v>6.007353801193327E-3</v>
      </c>
      <c r="F1080" s="228"/>
      <c r="G1080" s="245">
        <v>551.20129399999996</v>
      </c>
      <c r="H1080" s="228">
        <f t="shared" si="97"/>
        <v>-4.7350359812809995E-3</v>
      </c>
      <c r="J1080" s="227"/>
      <c r="K1080" s="245">
        <v>126.295151</v>
      </c>
      <c r="L1080" s="228">
        <f t="shared" si="98"/>
        <v>-2.8871748469255776E-3</v>
      </c>
      <c r="M1080" s="228"/>
      <c r="N1080" s="227"/>
      <c r="O1080" s="322">
        <v>100.709999</v>
      </c>
      <c r="P1080" s="228">
        <f t="shared" si="99"/>
        <v>-2.4505996212824455E-2</v>
      </c>
      <c r="Q1080" s="228"/>
      <c r="R1080" s="227"/>
      <c r="S1080" s="322">
        <v>509.76001000000002</v>
      </c>
      <c r="T1080" s="228">
        <f t="shared" si="100"/>
        <v>-1.8805494301850967E-2</v>
      </c>
      <c r="U1080" s="228"/>
      <c r="V1080" s="228"/>
      <c r="W1080" s="228"/>
      <c r="X1080" s="322">
        <v>288.02999899999998</v>
      </c>
      <c r="Y1080" s="228">
        <f t="shared" si="101"/>
        <v>-2.107199051153219E-2</v>
      </c>
      <c r="Z1080" s="228"/>
      <c r="AA1080" s="202"/>
    </row>
    <row r="1081" spans="2:27" x14ac:dyDescent="0.15">
      <c r="B1081" s="241">
        <v>44235</v>
      </c>
      <c r="C1081" s="244"/>
      <c r="D1081" s="245">
        <v>90.381905000000003</v>
      </c>
      <c r="E1081" s="228">
        <f t="shared" si="96"/>
        <v>8.8467228570616729E-3</v>
      </c>
      <c r="F1081" s="228"/>
      <c r="G1081" s="245">
        <v>562.35876499999995</v>
      </c>
      <c r="H1081" s="228">
        <f t="shared" si="97"/>
        <v>2.0242098705958389E-2</v>
      </c>
      <c r="J1081" s="227"/>
      <c r="K1081" s="245">
        <v>131.00973500000001</v>
      </c>
      <c r="L1081" s="228">
        <f t="shared" si="98"/>
        <v>3.7329889252834425E-2</v>
      </c>
      <c r="M1081" s="228"/>
      <c r="N1081" s="227"/>
      <c r="O1081" s="322">
        <v>106.19000200000001</v>
      </c>
      <c r="P1081" s="228">
        <f t="shared" si="99"/>
        <v>5.4413693321553991E-2</v>
      </c>
      <c r="Q1081" s="228"/>
      <c r="R1081" s="227"/>
      <c r="S1081" s="322">
        <v>532.78002900000001</v>
      </c>
      <c r="T1081" s="228">
        <f t="shared" si="100"/>
        <v>4.5158542350154152E-2</v>
      </c>
      <c r="U1081" s="228"/>
      <c r="V1081" s="228"/>
      <c r="W1081" s="228"/>
      <c r="X1081" s="322">
        <v>302.26001000000002</v>
      </c>
      <c r="Y1081" s="228">
        <f t="shared" si="101"/>
        <v>4.9404614274223713E-2</v>
      </c>
      <c r="Z1081" s="228"/>
      <c r="AA1081" s="202"/>
    </row>
    <row r="1082" spans="2:27" x14ac:dyDescent="0.15">
      <c r="B1082" s="241">
        <v>44236</v>
      </c>
      <c r="C1082" s="244"/>
      <c r="D1082" s="245">
        <v>90.480964999999998</v>
      </c>
      <c r="E1082" s="228">
        <f t="shared" si="96"/>
        <v>1.0960158452069102E-3</v>
      </c>
      <c r="F1082" s="228"/>
      <c r="G1082" s="245">
        <v>563.85437000000002</v>
      </c>
      <c r="H1082" s="228">
        <f t="shared" si="97"/>
        <v>2.6595210977107264E-3</v>
      </c>
      <c r="J1082" s="227"/>
      <c r="K1082" s="245">
        <v>131.138214</v>
      </c>
      <c r="L1082" s="228">
        <f t="shared" si="98"/>
        <v>9.8068284772878656E-4</v>
      </c>
      <c r="M1082" s="228"/>
      <c r="N1082" s="227"/>
      <c r="O1082" s="322">
        <v>105.379997</v>
      </c>
      <c r="P1082" s="228">
        <f t="shared" si="99"/>
        <v>-7.6278838378777136E-3</v>
      </c>
      <c r="Q1082" s="228"/>
      <c r="R1082" s="227"/>
      <c r="S1082" s="322">
        <v>528.080017</v>
      </c>
      <c r="T1082" s="228">
        <f t="shared" si="100"/>
        <v>-8.8216745076231673E-3</v>
      </c>
      <c r="U1082" s="228"/>
      <c r="V1082" s="228"/>
      <c r="W1082" s="228"/>
      <c r="X1082" s="322">
        <v>298.30999800000001</v>
      </c>
      <c r="Y1082" s="228">
        <f t="shared" si="101"/>
        <v>-1.3068258682317979E-2</v>
      </c>
      <c r="Z1082" s="228"/>
      <c r="AA1082" s="202"/>
    </row>
    <row r="1083" spans="2:27" x14ac:dyDescent="0.15">
      <c r="B1083" s="241">
        <v>44237</v>
      </c>
      <c r="C1083" s="244"/>
      <c r="D1083" s="245">
        <v>90.451256000000001</v>
      </c>
      <c r="E1083" s="228">
        <f t="shared" si="96"/>
        <v>-3.2834530445158272E-4</v>
      </c>
      <c r="F1083" s="228"/>
      <c r="G1083" s="245">
        <v>565.24035600000002</v>
      </c>
      <c r="H1083" s="228">
        <f t="shared" si="97"/>
        <v>2.4580566787129055E-3</v>
      </c>
      <c r="J1083" s="227"/>
      <c r="K1083" s="245">
        <v>132.13647499999999</v>
      </c>
      <c r="L1083" s="228">
        <f t="shared" si="98"/>
        <v>7.61228149713844E-3</v>
      </c>
      <c r="M1083" s="228"/>
      <c r="N1083" s="227"/>
      <c r="O1083" s="322">
        <v>105.879997</v>
      </c>
      <c r="P1083" s="228">
        <f t="shared" si="99"/>
        <v>4.7447334810608588E-3</v>
      </c>
      <c r="Q1083" s="228"/>
      <c r="R1083" s="227"/>
      <c r="S1083" s="322">
        <v>532.5</v>
      </c>
      <c r="T1083" s="228">
        <f t="shared" si="100"/>
        <v>8.3699114863495794E-3</v>
      </c>
      <c r="U1083" s="228"/>
      <c r="V1083" s="228"/>
      <c r="W1083" s="228"/>
      <c r="X1083" s="322">
        <v>297.60998499999999</v>
      </c>
      <c r="Y1083" s="228">
        <f t="shared" si="101"/>
        <v>-2.3465958388696473E-3</v>
      </c>
      <c r="Z1083" s="228"/>
      <c r="AA1083" s="202"/>
    </row>
    <row r="1084" spans="2:27" x14ac:dyDescent="0.15">
      <c r="B1084" s="241">
        <v>44238</v>
      </c>
      <c r="C1084" s="244"/>
      <c r="D1084" s="245">
        <v>90.659294000000003</v>
      </c>
      <c r="E1084" s="228">
        <f t="shared" si="96"/>
        <v>2.3000012293914462E-3</v>
      </c>
      <c r="F1084" s="228"/>
      <c r="G1084" s="245">
        <v>589.78869599999996</v>
      </c>
      <c r="H1084" s="228">
        <f t="shared" si="97"/>
        <v>4.342991391081763E-2</v>
      </c>
      <c r="J1084" s="227"/>
      <c r="K1084" s="245">
        <v>137.542923</v>
      </c>
      <c r="L1084" s="228">
        <f t="shared" si="98"/>
        <v>4.0915636655208365E-2</v>
      </c>
      <c r="M1084" s="228"/>
      <c r="N1084" s="227"/>
      <c r="O1084" s="322">
        <v>113</v>
      </c>
      <c r="P1084" s="228">
        <f t="shared" si="99"/>
        <v>6.7245969037947662E-2</v>
      </c>
      <c r="Q1084" s="228"/>
      <c r="R1084" s="227"/>
      <c r="S1084" s="322">
        <v>572.21002199999998</v>
      </c>
      <c r="T1084" s="228">
        <f t="shared" si="100"/>
        <v>7.4572811267605621E-2</v>
      </c>
      <c r="U1084" s="228"/>
      <c r="V1084" s="228"/>
      <c r="W1084" s="228"/>
      <c r="X1084" s="322">
        <v>324.48001099999999</v>
      </c>
      <c r="Y1084" s="228">
        <f t="shared" si="101"/>
        <v>9.0286036605929043E-2</v>
      </c>
      <c r="Z1084" s="228"/>
      <c r="AA1084" s="202"/>
    </row>
    <row r="1085" spans="2:27" x14ac:dyDescent="0.15">
      <c r="B1085" s="241">
        <v>44239</v>
      </c>
      <c r="C1085" s="244"/>
      <c r="D1085" s="245">
        <v>91.035758999999999</v>
      </c>
      <c r="E1085" s="228">
        <f t="shared" si="96"/>
        <v>4.1525251674692232E-3</v>
      </c>
      <c r="F1085" s="228"/>
      <c r="G1085" s="245">
        <v>596.24981700000001</v>
      </c>
      <c r="H1085" s="228">
        <f t="shared" si="97"/>
        <v>1.0954975983466619E-2</v>
      </c>
      <c r="J1085" s="227"/>
      <c r="K1085" s="245">
        <v>136.45568800000001</v>
      </c>
      <c r="L1085" s="228">
        <f t="shared" si="98"/>
        <v>-7.9046960489562723E-3</v>
      </c>
      <c r="M1085" s="228"/>
      <c r="N1085" s="227"/>
      <c r="O1085" s="322">
        <v>116.699997</v>
      </c>
      <c r="P1085" s="228">
        <f t="shared" si="99"/>
        <v>3.2743336283185709E-2</v>
      </c>
      <c r="Q1085" s="228"/>
      <c r="R1085" s="227"/>
      <c r="S1085" s="322">
        <v>586.15997300000004</v>
      </c>
      <c r="T1085" s="228">
        <f t="shared" si="100"/>
        <v>2.4379074926443867E-2</v>
      </c>
      <c r="U1085" s="228"/>
      <c r="V1085" s="228"/>
      <c r="W1085" s="228"/>
      <c r="X1085" s="322">
        <v>331.80999800000001</v>
      </c>
      <c r="Y1085" s="228">
        <f t="shared" si="101"/>
        <v>2.2589949308156276E-2</v>
      </c>
      <c r="Z1085" s="228"/>
      <c r="AA1085" s="202"/>
    </row>
    <row r="1086" spans="2:27" x14ac:dyDescent="0.15">
      <c r="B1086" s="241">
        <v>44243</v>
      </c>
      <c r="C1086" s="244"/>
      <c r="D1086" s="245">
        <v>90.966408000000001</v>
      </c>
      <c r="E1086" s="228">
        <f t="shared" si="96"/>
        <v>-7.617995473624406E-4</v>
      </c>
      <c r="F1086" s="228"/>
      <c r="G1086" s="245">
        <v>601.38488800000005</v>
      </c>
      <c r="H1086" s="228">
        <f t="shared" si="97"/>
        <v>8.6122810499746905E-3</v>
      </c>
      <c r="J1086" s="227"/>
      <c r="K1086" s="245">
        <v>138.42259200000001</v>
      </c>
      <c r="L1086" s="228">
        <f t="shared" si="98"/>
        <v>1.4414232406347205E-2</v>
      </c>
      <c r="M1086" s="228"/>
      <c r="N1086" s="227"/>
      <c r="O1086" s="322">
        <v>118.349998</v>
      </c>
      <c r="P1086" s="228">
        <f t="shared" si="99"/>
        <v>1.4138826413166106E-2</v>
      </c>
      <c r="Q1086" s="228"/>
      <c r="R1086" s="227"/>
      <c r="S1086" s="322">
        <v>591.78997800000002</v>
      </c>
      <c r="T1086" s="228">
        <f t="shared" si="100"/>
        <v>9.6048950104614672E-3</v>
      </c>
      <c r="U1086" s="228"/>
      <c r="V1086" s="228"/>
      <c r="W1086" s="228"/>
      <c r="X1086" s="322">
        <v>337.17999300000002</v>
      </c>
      <c r="Y1086" s="228">
        <f t="shared" si="101"/>
        <v>1.6183945729085547E-2</v>
      </c>
      <c r="Z1086" s="228"/>
      <c r="AA1086" s="202"/>
    </row>
    <row r="1087" spans="2:27" x14ac:dyDescent="0.15">
      <c r="B1087" s="241">
        <v>44244</v>
      </c>
      <c r="C1087" s="244"/>
      <c r="D1087" s="245">
        <v>90.827713000000003</v>
      </c>
      <c r="E1087" s="228">
        <f t="shared" si="96"/>
        <v>-1.5246837052200757E-3</v>
      </c>
      <c r="F1087" s="228"/>
      <c r="G1087" s="245">
        <v>585.87017800000001</v>
      </c>
      <c r="H1087" s="228">
        <f t="shared" si="97"/>
        <v>-2.5798303731237149E-2</v>
      </c>
      <c r="J1087" s="227"/>
      <c r="K1087" s="245">
        <v>134.686508</v>
      </c>
      <c r="L1087" s="228">
        <f t="shared" si="98"/>
        <v>-2.6990420754438693E-2</v>
      </c>
      <c r="M1087" s="228"/>
      <c r="N1087" s="227"/>
      <c r="O1087" s="322">
        <v>115.709999</v>
      </c>
      <c r="P1087" s="228">
        <f t="shared" si="99"/>
        <v>-2.2306709291199156E-2</v>
      </c>
      <c r="Q1087" s="228"/>
      <c r="R1087" s="227"/>
      <c r="S1087" s="322">
        <v>585.90997300000004</v>
      </c>
      <c r="T1087" s="228">
        <f t="shared" si="100"/>
        <v>-9.9359658300938181E-3</v>
      </c>
      <c r="U1087" s="228"/>
      <c r="V1087" s="228"/>
      <c r="W1087" s="228"/>
      <c r="X1087" s="322">
        <v>330.29998799999998</v>
      </c>
      <c r="Y1087" s="228">
        <f t="shared" si="101"/>
        <v>-2.0404546956616199E-2</v>
      </c>
      <c r="Z1087" s="228"/>
      <c r="AA1087" s="202"/>
    </row>
    <row r="1088" spans="2:27" x14ac:dyDescent="0.15">
      <c r="B1088" s="241">
        <v>44245</v>
      </c>
      <c r="C1088" s="244"/>
      <c r="D1088" s="245">
        <v>90.302643000000003</v>
      </c>
      <c r="E1088" s="228">
        <f t="shared" si="96"/>
        <v>-5.7809448532519792E-3</v>
      </c>
      <c r="F1088" s="228"/>
      <c r="G1088" s="245">
        <v>580.78497300000004</v>
      </c>
      <c r="H1088" s="228">
        <f t="shared" si="97"/>
        <v>-8.6797471367453527E-3</v>
      </c>
      <c r="J1088" s="227"/>
      <c r="K1088" s="245">
        <v>133.06556699999999</v>
      </c>
      <c r="L1088" s="228">
        <f t="shared" si="98"/>
        <v>-1.2034917409841972E-2</v>
      </c>
      <c r="M1088" s="228"/>
      <c r="N1088" s="227"/>
      <c r="O1088" s="322">
        <v>113.43</v>
      </c>
      <c r="P1088" s="228">
        <f t="shared" si="99"/>
        <v>-1.9704425025532935E-2</v>
      </c>
      <c r="Q1088" s="228"/>
      <c r="R1088" s="227"/>
      <c r="S1088" s="322">
        <v>577.77002000000005</v>
      </c>
      <c r="T1088" s="228">
        <f t="shared" si="100"/>
        <v>-1.3892839130765222E-2</v>
      </c>
      <c r="U1088" s="228"/>
      <c r="V1088" s="228"/>
      <c r="W1088" s="228"/>
      <c r="X1088" s="322">
        <v>325.16000400000001</v>
      </c>
      <c r="Y1088" s="228">
        <f t="shared" si="101"/>
        <v>-1.5561562781528093E-2</v>
      </c>
      <c r="Z1088" s="228"/>
      <c r="AA1088" s="202"/>
    </row>
    <row r="1089" spans="2:27" x14ac:dyDescent="0.15">
      <c r="B1089" s="241">
        <v>44246</v>
      </c>
      <c r="C1089" s="244"/>
      <c r="D1089" s="245">
        <v>90.451256000000001</v>
      </c>
      <c r="E1089" s="228">
        <f t="shared" si="96"/>
        <v>1.6457214879082027E-3</v>
      </c>
      <c r="F1089" s="228"/>
      <c r="G1089" s="245">
        <v>592.67028800000003</v>
      </c>
      <c r="H1089" s="228">
        <f t="shared" si="97"/>
        <v>2.0464226094913052E-2</v>
      </c>
      <c r="J1089" s="227"/>
      <c r="K1089" s="245">
        <v>135.07197600000001</v>
      </c>
      <c r="L1089" s="228">
        <f t="shared" si="98"/>
        <v>1.5078348555791488E-2</v>
      </c>
      <c r="M1089" s="228"/>
      <c r="N1089" s="227"/>
      <c r="O1089" s="322">
        <v>119.459999</v>
      </c>
      <c r="P1089" s="228">
        <f t="shared" si="99"/>
        <v>5.3160530723794341E-2</v>
      </c>
      <c r="Q1089" s="228"/>
      <c r="R1089" s="227"/>
      <c r="S1089" s="322">
        <v>598.40997300000004</v>
      </c>
      <c r="T1089" s="228">
        <f t="shared" si="100"/>
        <v>3.5723475233277124E-2</v>
      </c>
      <c r="U1089" s="228"/>
      <c r="V1089" s="228"/>
      <c r="W1089" s="228"/>
      <c r="X1089" s="322">
        <v>330.67001299999998</v>
      </c>
      <c r="Y1089" s="228">
        <f t="shared" si="101"/>
        <v>1.6945531222222421E-2</v>
      </c>
      <c r="Z1089" s="228"/>
      <c r="AA1089" s="202"/>
    </row>
    <row r="1090" spans="2:27" x14ac:dyDescent="0.15">
      <c r="B1090" s="241">
        <v>44249</v>
      </c>
      <c r="C1090" s="244"/>
      <c r="D1090" s="245">
        <v>89.609138000000002</v>
      </c>
      <c r="E1090" s="228">
        <f t="shared" si="96"/>
        <v>-9.3101858088073808E-3</v>
      </c>
      <c r="F1090" s="228"/>
      <c r="G1090" s="245">
        <v>576.81652799999995</v>
      </c>
      <c r="H1090" s="228">
        <f t="shared" si="97"/>
        <v>-2.6749712818402771E-2</v>
      </c>
      <c r="J1090" s="227"/>
      <c r="K1090" s="245">
        <v>132.01788300000001</v>
      </c>
      <c r="L1090" s="228">
        <f t="shared" si="98"/>
        <v>-2.2610856007614699E-2</v>
      </c>
      <c r="M1090" s="228"/>
      <c r="N1090" s="227"/>
      <c r="O1090" s="322">
        <v>115.230003</v>
      </c>
      <c r="P1090" s="228">
        <f t="shared" si="99"/>
        <v>-3.5409308851576338E-2</v>
      </c>
      <c r="Q1090" s="228"/>
      <c r="R1090" s="227"/>
      <c r="S1090" s="322">
        <v>567.79998799999998</v>
      </c>
      <c r="T1090" s="228">
        <f t="shared" si="100"/>
        <v>-5.1152197291337687E-2</v>
      </c>
      <c r="U1090" s="228"/>
      <c r="V1090" s="228"/>
      <c r="W1090" s="228"/>
      <c r="X1090" s="322">
        <v>316.16000400000001</v>
      </c>
      <c r="Y1090" s="228">
        <f t="shared" si="101"/>
        <v>-4.3880631534616854E-2</v>
      </c>
      <c r="Z1090" s="228"/>
      <c r="AA1090" s="202"/>
    </row>
    <row r="1091" spans="2:27" x14ac:dyDescent="0.15">
      <c r="B1091" s="241">
        <v>44250</v>
      </c>
      <c r="C1091" s="244"/>
      <c r="D1091" s="245">
        <v>89.529892000000004</v>
      </c>
      <c r="E1091" s="228">
        <f t="shared" si="96"/>
        <v>-8.843517722488814E-4</v>
      </c>
      <c r="F1091" s="228"/>
      <c r="G1091" s="245">
        <v>574.39361599999995</v>
      </c>
      <c r="H1091" s="228">
        <f t="shared" si="97"/>
        <v>-4.200489899970461E-3</v>
      </c>
      <c r="J1091" s="227"/>
      <c r="K1091" s="245">
        <v>127.59981500000001</v>
      </c>
      <c r="L1091" s="228">
        <f t="shared" si="98"/>
        <v>-3.3465678282388445E-2</v>
      </c>
      <c r="M1091" s="228"/>
      <c r="N1091" s="227"/>
      <c r="O1091" s="322">
        <v>116.139999</v>
      </c>
      <c r="P1091" s="228">
        <f t="shared" si="99"/>
        <v>7.897214061515001E-3</v>
      </c>
      <c r="Q1091" s="228"/>
      <c r="R1091" s="227"/>
      <c r="S1091" s="322">
        <v>562.65002400000003</v>
      </c>
      <c r="T1091" s="228">
        <f t="shared" si="100"/>
        <v>-9.0700318929910484E-3</v>
      </c>
      <c r="U1091" s="228"/>
      <c r="V1091" s="228"/>
      <c r="W1091" s="228"/>
      <c r="X1091" s="322">
        <v>318.77999899999998</v>
      </c>
      <c r="Y1091" s="228">
        <f t="shared" si="101"/>
        <v>8.286927400215971E-3</v>
      </c>
      <c r="Z1091" s="228"/>
      <c r="AA1091" s="202"/>
    </row>
    <row r="1092" spans="2:27" x14ac:dyDescent="0.15">
      <c r="B1092" s="241">
        <v>44251</v>
      </c>
      <c r="C1092" s="244"/>
      <c r="D1092" s="245">
        <v>90.599845999999999</v>
      </c>
      <c r="E1092" s="228">
        <f t="shared" si="96"/>
        <v>1.1950801861795979E-2</v>
      </c>
      <c r="F1092" s="228"/>
      <c r="G1092" s="245">
        <v>593.278503</v>
      </c>
      <c r="H1092" s="228">
        <f t="shared" si="97"/>
        <v>3.2877954200660975E-2</v>
      </c>
      <c r="J1092" s="227"/>
      <c r="K1092" s="245">
        <v>130.76263399999999</v>
      </c>
      <c r="L1092" s="228">
        <f t="shared" si="98"/>
        <v>2.4787018695912488E-2</v>
      </c>
      <c r="M1092" s="228"/>
      <c r="N1092" s="227"/>
      <c r="O1092" s="322">
        <v>122.80999799999999</v>
      </c>
      <c r="P1092" s="228">
        <f t="shared" si="99"/>
        <v>5.7430678985970873E-2</v>
      </c>
      <c r="Q1092" s="228"/>
      <c r="R1092" s="227"/>
      <c r="S1092" s="322">
        <v>596.90002400000003</v>
      </c>
      <c r="T1092" s="228">
        <f t="shared" si="100"/>
        <v>6.0872653584033154E-2</v>
      </c>
      <c r="U1092" s="228"/>
      <c r="V1092" s="228"/>
      <c r="W1092" s="228"/>
      <c r="X1092" s="322">
        <v>328.42999300000002</v>
      </c>
      <c r="Y1092" s="228">
        <f t="shared" si="101"/>
        <v>3.0271641979646491E-2</v>
      </c>
      <c r="Z1092" s="228"/>
      <c r="AA1092" s="202"/>
    </row>
    <row r="1093" spans="2:27" x14ac:dyDescent="0.15">
      <c r="B1093" s="241">
        <v>44252</v>
      </c>
      <c r="C1093" s="244"/>
      <c r="D1093" s="245">
        <v>88.202347000000003</v>
      </c>
      <c r="E1093" s="228">
        <f t="shared" si="96"/>
        <v>-2.6462506349072545E-2</v>
      </c>
      <c r="F1093" s="228"/>
      <c r="G1093" s="245">
        <v>558.14105199999995</v>
      </c>
      <c r="H1093" s="228">
        <f t="shared" si="97"/>
        <v>-5.9225896138697665E-2</v>
      </c>
      <c r="J1093" s="227"/>
      <c r="K1093" s="245">
        <v>124.535843</v>
      </c>
      <c r="L1093" s="228">
        <f t="shared" si="98"/>
        <v>-4.761903924327493E-2</v>
      </c>
      <c r="M1093" s="228"/>
      <c r="N1093" s="227"/>
      <c r="O1093" s="322">
        <v>113.93</v>
      </c>
      <c r="P1093" s="228">
        <f t="shared" si="99"/>
        <v>-7.2306800298131968E-2</v>
      </c>
      <c r="Q1093" s="228"/>
      <c r="R1093" s="227"/>
      <c r="S1093" s="322">
        <v>547.65002400000003</v>
      </c>
      <c r="T1093" s="228">
        <f t="shared" si="100"/>
        <v>-8.2509629786846839E-2</v>
      </c>
      <c r="U1093" s="228"/>
      <c r="V1093" s="228"/>
      <c r="W1093" s="228"/>
      <c r="X1093" s="322">
        <v>304.790009</v>
      </c>
      <c r="Y1093" s="228">
        <f t="shared" si="101"/>
        <v>-7.1978761087145959E-2</v>
      </c>
      <c r="Z1093" s="228"/>
      <c r="AA1093" s="202"/>
    </row>
    <row r="1094" spans="2:27" x14ac:dyDescent="0.15">
      <c r="B1094" s="241">
        <v>44253</v>
      </c>
      <c r="C1094" s="244"/>
      <c r="D1094" s="245">
        <v>87.885323</v>
      </c>
      <c r="E1094" s="228">
        <f t="shared" si="96"/>
        <v>-3.5942807735037663E-3</v>
      </c>
      <c r="F1094" s="228"/>
      <c r="G1094" s="245">
        <v>565.43975799999998</v>
      </c>
      <c r="H1094" s="228">
        <f t="shared" si="97"/>
        <v>1.3076812705043572E-2</v>
      </c>
      <c r="J1094" s="227"/>
      <c r="K1094" s="245">
        <v>124.476547</v>
      </c>
      <c r="L1094" s="228">
        <f t="shared" si="98"/>
        <v>-4.7613601491425239E-4</v>
      </c>
      <c r="M1094" s="228"/>
      <c r="N1094" s="227"/>
      <c r="O1094" s="322">
        <v>118.19000200000001</v>
      </c>
      <c r="P1094" s="228">
        <f t="shared" si="99"/>
        <v>3.7391398226981565E-2</v>
      </c>
      <c r="Q1094" s="228"/>
      <c r="R1094" s="227"/>
      <c r="S1094" s="322">
        <v>567.19000200000005</v>
      </c>
      <c r="T1094" s="228">
        <f t="shared" si="100"/>
        <v>3.5679680715215323E-2</v>
      </c>
      <c r="U1094" s="228"/>
      <c r="V1094" s="228"/>
      <c r="W1094" s="228"/>
      <c r="X1094" s="322">
        <v>311.23001099999999</v>
      </c>
      <c r="Y1094" s="228">
        <f t="shared" si="101"/>
        <v>2.1129308080436449E-2</v>
      </c>
      <c r="Z1094" s="228"/>
      <c r="AA1094" s="202"/>
    </row>
    <row r="1095" spans="2:27" x14ac:dyDescent="0.15">
      <c r="B1095" s="241">
        <v>44256</v>
      </c>
      <c r="C1095" s="244"/>
      <c r="D1095" s="245">
        <v>90.124313000000001</v>
      </c>
      <c r="E1095" s="228">
        <f t="shared" si="96"/>
        <v>2.5476267521938878E-2</v>
      </c>
      <c r="F1095" s="228"/>
      <c r="G1095" s="245">
        <v>581.85186799999997</v>
      </c>
      <c r="H1095" s="228">
        <f t="shared" si="97"/>
        <v>2.9025390888767211E-2</v>
      </c>
      <c r="J1095" s="227"/>
      <c r="K1095" s="245">
        <v>127.629471</v>
      </c>
      <c r="L1095" s="228">
        <f t="shared" si="98"/>
        <v>2.5329462264084057E-2</v>
      </c>
      <c r="M1095" s="228"/>
      <c r="N1095" s="227"/>
      <c r="O1095" s="322">
        <v>122.25</v>
      </c>
      <c r="P1095" s="228">
        <f t="shared" si="99"/>
        <v>3.4351450472096534E-2</v>
      </c>
      <c r="Q1095" s="228"/>
      <c r="R1095" s="227"/>
      <c r="S1095" s="322">
        <v>598.80999799999995</v>
      </c>
      <c r="T1095" s="228">
        <f t="shared" si="100"/>
        <v>5.5748507358209576E-2</v>
      </c>
      <c r="U1095" s="228"/>
      <c r="V1095" s="228"/>
      <c r="W1095" s="228"/>
      <c r="X1095" s="322">
        <v>325.98998999999998</v>
      </c>
      <c r="Y1095" s="228">
        <f t="shared" si="101"/>
        <v>4.742466496908615E-2</v>
      </c>
      <c r="Z1095" s="228"/>
      <c r="AA1095" s="202"/>
    </row>
    <row r="1096" spans="2:27" x14ac:dyDescent="0.15">
      <c r="B1096" s="241">
        <v>44257</v>
      </c>
      <c r="C1096" s="244"/>
      <c r="D1096" s="245">
        <v>89.232680999999999</v>
      </c>
      <c r="E1096" s="228">
        <f t="shared" si="96"/>
        <v>-9.8933569679471312E-3</v>
      </c>
      <c r="F1096" s="228"/>
      <c r="G1096" s="245">
        <v>561.50128199999995</v>
      </c>
      <c r="H1096" s="228">
        <f t="shared" si="97"/>
        <v>-3.4975544669042846E-2</v>
      </c>
      <c r="J1096" s="227"/>
      <c r="K1096" s="245">
        <v>124.535843</v>
      </c>
      <c r="L1096" s="228">
        <f t="shared" si="98"/>
        <v>-2.4239135175918691E-2</v>
      </c>
      <c r="M1096" s="228"/>
      <c r="N1096" s="227"/>
      <c r="O1096" s="322">
        <v>117.5</v>
      </c>
      <c r="P1096" s="228">
        <f t="shared" si="99"/>
        <v>-3.8854805725971331E-2</v>
      </c>
      <c r="Q1096" s="228"/>
      <c r="R1096" s="227"/>
      <c r="S1096" s="322">
        <v>573.35998500000005</v>
      </c>
      <c r="T1096" s="228">
        <f t="shared" si="100"/>
        <v>-4.250098208948061E-2</v>
      </c>
      <c r="U1096" s="228"/>
      <c r="V1096" s="228"/>
      <c r="W1096" s="228"/>
      <c r="X1096" s="322">
        <v>309.82000699999998</v>
      </c>
      <c r="Y1096" s="228">
        <f t="shared" si="101"/>
        <v>-4.960269792333194E-2</v>
      </c>
      <c r="Z1096" s="228"/>
      <c r="AA1096" s="202"/>
    </row>
    <row r="1097" spans="2:27" x14ac:dyDescent="0.15">
      <c r="B1097" s="241">
        <v>44258</v>
      </c>
      <c r="C1097" s="244"/>
      <c r="D1097" s="245">
        <v>87.984390000000005</v>
      </c>
      <c r="E1097" s="228">
        <f t="shared" ref="E1097:E1160" si="102">D1097/D1096-1</f>
        <v>-1.398916838551556E-2</v>
      </c>
      <c r="F1097" s="228"/>
      <c r="G1097" s="245">
        <v>542.01806599999998</v>
      </c>
      <c r="H1097" s="228">
        <f t="shared" ref="H1097:H1160" si="103">G1097/G1096-1</f>
        <v>-3.4698435470357447E-2</v>
      </c>
      <c r="J1097" s="227"/>
      <c r="K1097" s="245">
        <v>121.461975</v>
      </c>
      <c r="L1097" s="228">
        <f t="shared" ref="L1097:L1160" si="104">K1097/K1096-1</f>
        <v>-2.4682596800665646E-2</v>
      </c>
      <c r="M1097" s="228"/>
      <c r="N1097" s="227"/>
      <c r="O1097" s="322">
        <v>115.44000200000001</v>
      </c>
      <c r="P1097" s="228">
        <f t="shared" ref="P1097:P1160" si="105">O1097/O1096-1</f>
        <v>-1.753189787234033E-2</v>
      </c>
      <c r="Q1097" s="228"/>
      <c r="R1097" s="227"/>
      <c r="S1097" s="322">
        <v>551.22997999999995</v>
      </c>
      <c r="T1097" s="228">
        <f t="shared" ref="T1097:T1160" si="106">S1097/S1096-1</f>
        <v>-3.8597051728331055E-2</v>
      </c>
      <c r="U1097" s="228"/>
      <c r="V1097" s="228"/>
      <c r="W1097" s="228"/>
      <c r="X1097" s="322">
        <v>303.80999800000001</v>
      </c>
      <c r="Y1097" s="228">
        <f t="shared" ref="Y1097:Y1160" si="107">X1097/X1096-1</f>
        <v>-1.9398388949103507E-2</v>
      </c>
      <c r="Z1097" s="228"/>
      <c r="AA1097" s="202"/>
    </row>
    <row r="1098" spans="2:27" x14ac:dyDescent="0.15">
      <c r="B1098" s="241">
        <v>44259</v>
      </c>
      <c r="C1098" s="244"/>
      <c r="D1098" s="245">
        <v>86.587502000000001</v>
      </c>
      <c r="E1098" s="228">
        <f t="shared" si="102"/>
        <v>-1.5876543555055633E-2</v>
      </c>
      <c r="F1098" s="228"/>
      <c r="G1098" s="245">
        <v>509.01443499999999</v>
      </c>
      <c r="H1098" s="228">
        <f t="shared" si="103"/>
        <v>-6.0890278517026331E-2</v>
      </c>
      <c r="J1098" s="227"/>
      <c r="K1098" s="245">
        <v>114.246803</v>
      </c>
      <c r="L1098" s="228">
        <f t="shared" si="104"/>
        <v>-5.9402722539296682E-2</v>
      </c>
      <c r="M1098" s="228"/>
      <c r="N1098" s="227"/>
      <c r="O1098" s="322">
        <v>108.239998</v>
      </c>
      <c r="P1098" s="228">
        <f t="shared" si="105"/>
        <v>-6.2370095939534131E-2</v>
      </c>
      <c r="Q1098" s="228"/>
      <c r="R1098" s="227"/>
      <c r="S1098" s="322">
        <v>528.80999799999995</v>
      </c>
      <c r="T1098" s="228">
        <f t="shared" si="106"/>
        <v>-4.0672646288215319E-2</v>
      </c>
      <c r="U1098" s="228"/>
      <c r="V1098" s="228"/>
      <c r="W1098" s="228"/>
      <c r="X1098" s="322">
        <v>287.61999500000002</v>
      </c>
      <c r="Y1098" s="228">
        <f t="shared" si="107"/>
        <v>-5.3289895350975169E-2</v>
      </c>
      <c r="Z1098" s="228"/>
      <c r="AA1098" s="202"/>
    </row>
    <row r="1099" spans="2:27" x14ac:dyDescent="0.15">
      <c r="B1099" s="241">
        <v>44260</v>
      </c>
      <c r="C1099" s="244"/>
      <c r="D1099" s="245">
        <v>88.172623000000002</v>
      </c>
      <c r="E1099" s="228">
        <f t="shared" si="102"/>
        <v>1.8306579626237607E-2</v>
      </c>
      <c r="F1099" s="228"/>
      <c r="G1099" s="245">
        <v>525.50628700000004</v>
      </c>
      <c r="H1099" s="228">
        <f t="shared" si="103"/>
        <v>3.2399576251703088E-2</v>
      </c>
      <c r="J1099" s="227"/>
      <c r="K1099" s="245">
        <v>119.396263</v>
      </c>
      <c r="L1099" s="228">
        <f t="shared" si="104"/>
        <v>4.5073121214604273E-2</v>
      </c>
      <c r="M1099" s="228"/>
      <c r="N1099" s="227"/>
      <c r="O1099" s="322">
        <v>113.449997</v>
      </c>
      <c r="P1099" s="228">
        <f t="shared" si="105"/>
        <v>4.8133768442974345E-2</v>
      </c>
      <c r="Q1099" s="228"/>
      <c r="R1099" s="227"/>
      <c r="S1099" s="322">
        <v>547.70001200000002</v>
      </c>
      <c r="T1099" s="228">
        <f t="shared" si="106"/>
        <v>3.5721741403232921E-2</v>
      </c>
      <c r="U1099" s="228"/>
      <c r="V1099" s="228"/>
      <c r="W1099" s="228"/>
      <c r="X1099" s="322">
        <v>295.86999500000002</v>
      </c>
      <c r="Y1099" s="228">
        <f t="shared" si="107"/>
        <v>2.8683680354003149E-2</v>
      </c>
      <c r="Z1099" s="228"/>
      <c r="AA1099" s="202"/>
    </row>
    <row r="1100" spans="2:27" x14ac:dyDescent="0.15">
      <c r="B1100" s="241">
        <v>44263</v>
      </c>
      <c r="C1100" s="244"/>
      <c r="D1100" s="245">
        <v>87.716910999999996</v>
      </c>
      <c r="E1100" s="228">
        <f t="shared" si="102"/>
        <v>-5.1684069782068631E-3</v>
      </c>
      <c r="F1100" s="228"/>
      <c r="G1100" s="245">
        <v>500.72860700000001</v>
      </c>
      <c r="H1100" s="228">
        <f t="shared" si="103"/>
        <v>-4.7150111450522059E-2</v>
      </c>
      <c r="J1100" s="227"/>
      <c r="K1100" s="245">
        <v>112.606094</v>
      </c>
      <c r="L1100" s="228">
        <f t="shared" si="104"/>
        <v>-5.6870867055529239E-2</v>
      </c>
      <c r="M1100" s="228"/>
      <c r="N1100" s="227"/>
      <c r="O1100" s="322">
        <v>105.68</v>
      </c>
      <c r="P1100" s="228">
        <f t="shared" si="105"/>
        <v>-6.848829621388175E-2</v>
      </c>
      <c r="Q1100" s="228"/>
      <c r="R1100" s="227"/>
      <c r="S1100" s="322">
        <v>502.60998499999999</v>
      </c>
      <c r="T1100" s="228">
        <f t="shared" si="106"/>
        <v>-8.2326138419000161E-2</v>
      </c>
      <c r="U1100" s="228"/>
      <c r="V1100" s="228"/>
      <c r="W1100" s="228"/>
      <c r="X1100" s="322">
        <v>274.040009</v>
      </c>
      <c r="Y1100" s="228">
        <f t="shared" si="107"/>
        <v>-7.3782358363172373E-2</v>
      </c>
      <c r="Z1100" s="228"/>
      <c r="AA1100" s="202"/>
    </row>
    <row r="1101" spans="2:27" x14ac:dyDescent="0.15">
      <c r="B1101" s="241">
        <v>44264</v>
      </c>
      <c r="C1101" s="244"/>
      <c r="D1101" s="245">
        <v>89.123703000000006</v>
      </c>
      <c r="E1101" s="228">
        <f t="shared" si="102"/>
        <v>1.6037865264088236E-2</v>
      </c>
      <c r="F1101" s="228"/>
      <c r="G1101" s="245">
        <v>537.95001200000002</v>
      </c>
      <c r="H1101" s="228">
        <f t="shared" si="103"/>
        <v>7.4334488742321847E-2</v>
      </c>
      <c r="J1101" s="227"/>
      <c r="K1101" s="245">
        <v>115.027626</v>
      </c>
      <c r="L1101" s="228">
        <f t="shared" si="104"/>
        <v>2.1504448951048749E-2</v>
      </c>
      <c r="M1101" s="228"/>
      <c r="N1101" s="227"/>
      <c r="O1101" s="322">
        <v>114.220001</v>
      </c>
      <c r="P1101" s="228">
        <f t="shared" si="105"/>
        <v>8.0810001892505534E-2</v>
      </c>
      <c r="Q1101" s="228"/>
      <c r="R1101" s="227"/>
      <c r="S1101" s="322">
        <v>543.51000999999997</v>
      </c>
      <c r="T1101" s="228">
        <f t="shared" si="106"/>
        <v>8.1375273513517588E-2</v>
      </c>
      <c r="U1101" s="228"/>
      <c r="V1101" s="228"/>
      <c r="W1101" s="228"/>
      <c r="X1101" s="322">
        <v>294.10000600000001</v>
      </c>
      <c r="Y1101" s="228">
        <f t="shared" si="107"/>
        <v>7.3200979204463668E-2</v>
      </c>
      <c r="Z1101" s="228"/>
      <c r="AA1101" s="202"/>
    </row>
    <row r="1102" spans="2:27" x14ac:dyDescent="0.15">
      <c r="B1102" s="241">
        <v>44265</v>
      </c>
      <c r="C1102" s="244"/>
      <c r="D1102" s="245">
        <v>89.668587000000002</v>
      </c>
      <c r="E1102" s="228">
        <f t="shared" si="102"/>
        <v>6.113794441418019E-3</v>
      </c>
      <c r="F1102" s="228"/>
      <c r="G1102" s="245">
        <v>521.80712900000003</v>
      </c>
      <c r="H1102" s="228">
        <f t="shared" si="103"/>
        <v>-3.000814692797138E-2</v>
      </c>
      <c r="J1102" s="227"/>
      <c r="K1102" s="245">
        <v>112.50726299999999</v>
      </c>
      <c r="L1102" s="228">
        <f t="shared" si="104"/>
        <v>-2.1910936421481897E-2</v>
      </c>
      <c r="M1102" s="228"/>
      <c r="N1102" s="227"/>
      <c r="O1102" s="322">
        <v>112.68</v>
      </c>
      <c r="P1102" s="228">
        <f t="shared" si="105"/>
        <v>-1.3482761219727135E-2</v>
      </c>
      <c r="Q1102" s="228"/>
      <c r="R1102" s="227"/>
      <c r="S1102" s="322">
        <v>518.70001200000002</v>
      </c>
      <c r="T1102" s="228">
        <f t="shared" si="106"/>
        <v>-4.5647729652669944E-2</v>
      </c>
      <c r="U1102" s="228"/>
      <c r="V1102" s="228"/>
      <c r="W1102" s="228"/>
      <c r="X1102" s="322">
        <v>283.45001200000002</v>
      </c>
      <c r="Y1102" s="228">
        <f t="shared" si="107"/>
        <v>-3.6212151590367503E-2</v>
      </c>
      <c r="Z1102" s="228"/>
      <c r="AA1102" s="202"/>
    </row>
    <row r="1103" spans="2:27" x14ac:dyDescent="0.15">
      <c r="B1103" s="241">
        <v>44266</v>
      </c>
      <c r="C1103" s="244"/>
      <c r="D1103" s="245">
        <v>90.897057000000004</v>
      </c>
      <c r="E1103" s="228">
        <f t="shared" si="102"/>
        <v>1.3700115515369982E-2</v>
      </c>
      <c r="F1103" s="228"/>
      <c r="G1103" s="245">
        <v>542.81579599999998</v>
      </c>
      <c r="H1103" s="228">
        <f t="shared" si="103"/>
        <v>4.0261364462883753E-2</v>
      </c>
      <c r="J1103" s="227"/>
      <c r="K1103" s="245">
        <v>119.178825</v>
      </c>
      <c r="L1103" s="228">
        <f t="shared" si="104"/>
        <v>5.929894499344468E-2</v>
      </c>
      <c r="M1103" s="228"/>
      <c r="N1103" s="227"/>
      <c r="O1103" s="322">
        <v>117.19000200000001</v>
      </c>
      <c r="P1103" s="228">
        <f t="shared" si="105"/>
        <v>4.0024866879659227E-2</v>
      </c>
      <c r="Q1103" s="228"/>
      <c r="R1103" s="227"/>
      <c r="S1103" s="322">
        <v>535.39001499999995</v>
      </c>
      <c r="T1103" s="228">
        <f t="shared" si="106"/>
        <v>3.2176600373782005E-2</v>
      </c>
      <c r="U1103" s="228"/>
      <c r="V1103" s="228"/>
      <c r="W1103" s="228"/>
      <c r="X1103" s="322">
        <v>296.35998499999999</v>
      </c>
      <c r="Y1103" s="228">
        <f t="shared" si="107"/>
        <v>4.5545854483858728E-2</v>
      </c>
      <c r="Z1103" s="228"/>
      <c r="AA1103" s="202"/>
    </row>
    <row r="1104" spans="2:27" x14ac:dyDescent="0.15">
      <c r="B1104" s="241">
        <v>44267</v>
      </c>
      <c r="C1104" s="244"/>
      <c r="D1104" s="245">
        <v>91.095200000000006</v>
      </c>
      <c r="E1104" s="228">
        <f t="shared" si="102"/>
        <v>2.1798615548136446E-3</v>
      </c>
      <c r="F1104" s="228"/>
      <c r="G1104" s="245">
        <v>536.06549099999995</v>
      </c>
      <c r="H1104" s="228">
        <f t="shared" si="103"/>
        <v>-1.2435719538272272E-2</v>
      </c>
      <c r="J1104" s="227"/>
      <c r="K1104" s="245">
        <v>116.925316</v>
      </c>
      <c r="L1104" s="228">
        <f t="shared" si="104"/>
        <v>-1.8908635825198084E-2</v>
      </c>
      <c r="M1104" s="228"/>
      <c r="N1104" s="227"/>
      <c r="O1104" s="322">
        <v>114.290001</v>
      </c>
      <c r="P1104" s="228">
        <f t="shared" si="105"/>
        <v>-2.4746146859866092E-2</v>
      </c>
      <c r="Q1104" s="228"/>
      <c r="R1104" s="227"/>
      <c r="S1104" s="322">
        <v>524.82000700000003</v>
      </c>
      <c r="T1104" s="228">
        <f t="shared" si="106"/>
        <v>-1.974263192039527E-2</v>
      </c>
      <c r="U1104" s="228"/>
      <c r="V1104" s="228"/>
      <c r="W1104" s="228"/>
      <c r="X1104" s="322">
        <v>294.26998900000001</v>
      </c>
      <c r="Y1104" s="228">
        <f t="shared" si="107"/>
        <v>-7.0522206295832168E-3</v>
      </c>
      <c r="Z1104" s="228"/>
      <c r="AA1104" s="202"/>
    </row>
    <row r="1105" spans="2:27" x14ac:dyDescent="0.15">
      <c r="B1105" s="241">
        <v>44270</v>
      </c>
      <c r="C1105" s="244"/>
      <c r="D1105" s="245">
        <v>91.719345000000004</v>
      </c>
      <c r="E1105" s="228">
        <f t="shared" si="102"/>
        <v>6.8515684690302336E-3</v>
      </c>
      <c r="F1105" s="228"/>
      <c r="G1105" s="245">
        <v>545.59765600000003</v>
      </c>
      <c r="H1105" s="228">
        <f t="shared" si="103"/>
        <v>1.7781717271556419E-2</v>
      </c>
      <c r="J1105" s="227"/>
      <c r="K1105" s="245">
        <v>117.696259</v>
      </c>
      <c r="L1105" s="228">
        <f t="shared" si="104"/>
        <v>6.5934651825101387E-3</v>
      </c>
      <c r="M1105" s="228"/>
      <c r="N1105" s="227"/>
      <c r="O1105" s="322">
        <v>114.879997</v>
      </c>
      <c r="P1105" s="228">
        <f t="shared" si="105"/>
        <v>5.1622713696537481E-3</v>
      </c>
      <c r="Q1105" s="228"/>
      <c r="R1105" s="227"/>
      <c r="S1105" s="322">
        <v>536.75</v>
      </c>
      <c r="T1105" s="228">
        <f t="shared" si="106"/>
        <v>2.2731589575242683E-2</v>
      </c>
      <c r="U1105" s="228"/>
      <c r="V1105" s="228"/>
      <c r="W1105" s="228"/>
      <c r="X1105" s="322">
        <v>298.959991</v>
      </c>
      <c r="Y1105" s="228">
        <f t="shared" si="107"/>
        <v>1.5937751640721975E-2</v>
      </c>
      <c r="Z1105" s="228"/>
      <c r="AA1105" s="202"/>
    </row>
    <row r="1106" spans="2:27" x14ac:dyDescent="0.15">
      <c r="B1106" s="241">
        <v>44271</v>
      </c>
      <c r="C1106" s="244"/>
      <c r="D1106" s="245">
        <v>91.342872999999997</v>
      </c>
      <c r="E1106" s="228">
        <f t="shared" si="102"/>
        <v>-4.1046084661856552E-3</v>
      </c>
      <c r="F1106" s="228"/>
      <c r="G1106" s="245">
        <v>547.78131099999996</v>
      </c>
      <c r="H1106" s="228">
        <f t="shared" si="103"/>
        <v>4.0023174146479601E-3</v>
      </c>
      <c r="J1106" s="227"/>
      <c r="K1106" s="245">
        <v>117.96312</v>
      </c>
      <c r="L1106" s="228">
        <f t="shared" si="104"/>
        <v>2.2673702823470254E-3</v>
      </c>
      <c r="M1106" s="228"/>
      <c r="N1106" s="227"/>
      <c r="O1106" s="322">
        <v>118.5</v>
      </c>
      <c r="P1106" s="228">
        <f t="shared" si="105"/>
        <v>3.1511168998376693E-2</v>
      </c>
      <c r="Q1106" s="228"/>
      <c r="R1106" s="227"/>
      <c r="S1106" s="322">
        <v>547.17999299999997</v>
      </c>
      <c r="T1106" s="228">
        <f t="shared" si="106"/>
        <v>1.9431752212389242E-2</v>
      </c>
      <c r="U1106" s="228"/>
      <c r="V1106" s="228"/>
      <c r="W1106" s="228"/>
      <c r="X1106" s="322">
        <v>301.95001200000002</v>
      </c>
      <c r="Y1106" s="228">
        <f t="shared" si="107"/>
        <v>1.000140851623188E-2</v>
      </c>
      <c r="Z1106" s="228"/>
      <c r="AA1106" s="202"/>
    </row>
    <row r="1107" spans="2:27" x14ac:dyDescent="0.15">
      <c r="B1107" s="241">
        <v>44272</v>
      </c>
      <c r="C1107" s="244"/>
      <c r="D1107" s="245">
        <v>91.719345000000004</v>
      </c>
      <c r="E1107" s="228">
        <f t="shared" si="102"/>
        <v>4.1215257155313711E-3</v>
      </c>
      <c r="F1107" s="228"/>
      <c r="G1107" s="245">
        <v>557.94164999999998</v>
      </c>
      <c r="H1107" s="228">
        <f t="shared" si="103"/>
        <v>1.8548166569340996E-2</v>
      </c>
      <c r="J1107" s="227"/>
      <c r="K1107" s="245">
        <v>117.82223500000001</v>
      </c>
      <c r="L1107" s="228">
        <f t="shared" si="104"/>
        <v>-1.1943139516824575E-3</v>
      </c>
      <c r="M1107" s="228"/>
      <c r="N1107" s="227"/>
      <c r="O1107" s="322">
        <v>119.900002</v>
      </c>
      <c r="P1107" s="228">
        <f t="shared" si="105"/>
        <v>1.1814362869198236E-2</v>
      </c>
      <c r="Q1107" s="228"/>
      <c r="R1107" s="227"/>
      <c r="S1107" s="322">
        <v>553.01000999999997</v>
      </c>
      <c r="T1107" s="228">
        <f t="shared" si="106"/>
        <v>1.0654660394354032E-2</v>
      </c>
      <c r="U1107" s="228"/>
      <c r="V1107" s="228"/>
      <c r="W1107" s="228"/>
      <c r="X1107" s="322">
        <v>305.39001500000001</v>
      </c>
      <c r="Y1107" s="228">
        <f t="shared" si="107"/>
        <v>1.1392624153961028E-2</v>
      </c>
      <c r="Z1107" s="228"/>
      <c r="AA1107" s="202"/>
    </row>
    <row r="1108" spans="2:27" x14ac:dyDescent="0.15">
      <c r="B1108" s="241">
        <v>44273</v>
      </c>
      <c r="C1108" s="244"/>
      <c r="D1108" s="245">
        <v>90.094588999999999</v>
      </c>
      <c r="E1108" s="228">
        <f t="shared" si="102"/>
        <v>-1.7714430908768564E-2</v>
      </c>
      <c r="F1108" s="228"/>
      <c r="G1108" s="245">
        <v>537.62097200000005</v>
      </c>
      <c r="H1108" s="228">
        <f t="shared" si="103"/>
        <v>-3.6420794181613703E-2</v>
      </c>
      <c r="J1108" s="227"/>
      <c r="K1108" s="245">
        <v>113.595871</v>
      </c>
      <c r="L1108" s="228">
        <f t="shared" si="104"/>
        <v>-3.5870682643221019E-2</v>
      </c>
      <c r="M1108" s="228"/>
      <c r="N1108" s="227"/>
      <c r="O1108" s="322">
        <v>114.279999</v>
      </c>
      <c r="P1108" s="228">
        <f t="shared" si="105"/>
        <v>-4.6872417900376662E-2</v>
      </c>
      <c r="Q1108" s="228"/>
      <c r="R1108" s="227"/>
      <c r="S1108" s="322">
        <v>539.169983</v>
      </c>
      <c r="T1108" s="228">
        <f t="shared" si="106"/>
        <v>-2.5026720583231299E-2</v>
      </c>
      <c r="U1108" s="228"/>
      <c r="V1108" s="228"/>
      <c r="W1108" s="228"/>
      <c r="X1108" s="322">
        <v>288.73998999999998</v>
      </c>
      <c r="Y1108" s="228">
        <f t="shared" si="107"/>
        <v>-5.4520528446223238E-2</v>
      </c>
      <c r="Z1108" s="228"/>
      <c r="AA1108" s="202"/>
    </row>
    <row r="1109" spans="2:27" x14ac:dyDescent="0.15">
      <c r="B1109" s="241">
        <v>44274</v>
      </c>
      <c r="C1109" s="244"/>
      <c r="D1109" s="245">
        <v>90.154030000000006</v>
      </c>
      <c r="E1109" s="228">
        <f t="shared" si="102"/>
        <v>6.5976215286367434E-4</v>
      </c>
      <c r="F1109" s="228"/>
      <c r="G1109" s="245">
        <v>545.82696499999997</v>
      </c>
      <c r="H1109" s="228">
        <f t="shared" si="103"/>
        <v>1.5263528447323926E-2</v>
      </c>
      <c r="J1109" s="227"/>
      <c r="K1109" s="245">
        <v>112.732742</v>
      </c>
      <c r="L1109" s="228">
        <f t="shared" si="104"/>
        <v>-7.5982427213397985E-3</v>
      </c>
      <c r="M1109" s="228"/>
      <c r="N1109" s="227"/>
      <c r="O1109" s="322">
        <v>114.860001</v>
      </c>
      <c r="P1109" s="228">
        <f t="shared" si="105"/>
        <v>5.0752713079740275E-3</v>
      </c>
      <c r="Q1109" s="228"/>
      <c r="R1109" s="227"/>
      <c r="S1109" s="322">
        <v>542.30999799999995</v>
      </c>
      <c r="T1109" s="228">
        <f t="shared" si="106"/>
        <v>5.8237941632590662E-3</v>
      </c>
      <c r="U1109" s="228"/>
      <c r="V1109" s="228"/>
      <c r="W1109" s="228"/>
      <c r="X1109" s="322">
        <v>292.88000499999998</v>
      </c>
      <c r="Y1109" s="228">
        <f t="shared" si="107"/>
        <v>1.4338211343707608E-2</v>
      </c>
      <c r="Z1109" s="228"/>
      <c r="AA1109" s="202"/>
    </row>
    <row r="1110" spans="2:27" x14ac:dyDescent="0.15">
      <c r="B1110" s="241">
        <v>44277</v>
      </c>
      <c r="C1110" s="244"/>
      <c r="D1110" s="245">
        <v>90.619667000000007</v>
      </c>
      <c r="E1110" s="228">
        <f t="shared" si="102"/>
        <v>5.1649049964821447E-3</v>
      </c>
      <c r="F1110" s="228"/>
      <c r="G1110" s="245">
        <v>574.31384300000002</v>
      </c>
      <c r="H1110" s="228">
        <f t="shared" si="103"/>
        <v>5.2190309066170837E-2</v>
      </c>
      <c r="J1110" s="227"/>
      <c r="K1110" s="245">
        <v>116.254715</v>
      </c>
      <c r="L1110" s="228">
        <f t="shared" si="104"/>
        <v>3.1241793089713088E-2</v>
      </c>
      <c r="M1110" s="228"/>
      <c r="N1110" s="227"/>
      <c r="O1110" s="322">
        <v>119.33000199999999</v>
      </c>
      <c r="P1110" s="228">
        <f t="shared" si="105"/>
        <v>3.891695073204815E-2</v>
      </c>
      <c r="Q1110" s="228"/>
      <c r="R1110" s="227"/>
      <c r="S1110" s="322">
        <v>560.03002900000001</v>
      </c>
      <c r="T1110" s="228">
        <f t="shared" si="106"/>
        <v>3.2675095545629418E-2</v>
      </c>
      <c r="U1110" s="228"/>
      <c r="V1110" s="228"/>
      <c r="W1110" s="228"/>
      <c r="X1110" s="322">
        <v>305.35998499999999</v>
      </c>
      <c r="Y1110" s="228">
        <f t="shared" si="107"/>
        <v>4.2611239370881737E-2</v>
      </c>
      <c r="Z1110" s="228"/>
      <c r="AA1110" s="202"/>
    </row>
    <row r="1111" spans="2:27" x14ac:dyDescent="0.15">
      <c r="B1111" s="241">
        <v>44278</v>
      </c>
      <c r="C1111" s="244"/>
      <c r="D1111" s="245">
        <v>89.619056999999998</v>
      </c>
      <c r="E1111" s="228">
        <f t="shared" si="102"/>
        <v>-1.1041863572506916E-2</v>
      </c>
      <c r="F1111" s="228"/>
      <c r="G1111" s="245">
        <v>557.243652</v>
      </c>
      <c r="H1111" s="228">
        <f t="shared" si="103"/>
        <v>-2.9722757353073281E-2</v>
      </c>
      <c r="J1111" s="227"/>
      <c r="K1111" s="245">
        <v>113.98279599999999</v>
      </c>
      <c r="L1111" s="228">
        <f t="shared" si="104"/>
        <v>-1.9542596616404007E-2</v>
      </c>
      <c r="M1111" s="228"/>
      <c r="N1111" s="227"/>
      <c r="O1111" s="322">
        <v>116.379997</v>
      </c>
      <c r="P1111" s="228">
        <f t="shared" si="105"/>
        <v>-2.4721402418144467E-2</v>
      </c>
      <c r="Q1111" s="228"/>
      <c r="R1111" s="227"/>
      <c r="S1111" s="322">
        <v>544.40997300000004</v>
      </c>
      <c r="T1111" s="228">
        <f t="shared" si="106"/>
        <v>-2.7891461513039673E-2</v>
      </c>
      <c r="U1111" s="228"/>
      <c r="V1111" s="228"/>
      <c r="W1111" s="228"/>
      <c r="X1111" s="322">
        <v>297.05999800000001</v>
      </c>
      <c r="Y1111" s="228">
        <f t="shared" si="107"/>
        <v>-2.7180990986752862E-2</v>
      </c>
      <c r="Z1111" s="228"/>
      <c r="AA1111" s="202"/>
    </row>
    <row r="1112" spans="2:27" x14ac:dyDescent="0.15">
      <c r="B1112" s="241">
        <v>44279</v>
      </c>
      <c r="C1112" s="244"/>
      <c r="D1112" s="245">
        <v>88.836403000000004</v>
      </c>
      <c r="E1112" s="228">
        <f t="shared" si="102"/>
        <v>-8.7331202335680924E-3</v>
      </c>
      <c r="F1112" s="228"/>
      <c r="G1112" s="245">
        <v>576.89636199999995</v>
      </c>
      <c r="H1112" s="228">
        <f t="shared" si="103"/>
        <v>3.5267714453927956E-2</v>
      </c>
      <c r="J1112" s="227"/>
      <c r="K1112" s="245">
        <v>108.09961699999999</v>
      </c>
      <c r="L1112" s="228">
        <f t="shared" si="104"/>
        <v>-5.1614622613749495E-2</v>
      </c>
      <c r="M1112" s="228"/>
      <c r="N1112" s="227"/>
      <c r="O1112" s="322">
        <v>121.099998</v>
      </c>
      <c r="P1112" s="228">
        <f t="shared" si="105"/>
        <v>4.0556806338463813E-2</v>
      </c>
      <c r="Q1112" s="228"/>
      <c r="R1112" s="227"/>
      <c r="S1112" s="322">
        <v>552.45001200000002</v>
      </c>
      <c r="T1112" s="228">
        <f t="shared" si="106"/>
        <v>1.4768353628231479E-2</v>
      </c>
      <c r="U1112" s="228"/>
      <c r="V1112" s="228"/>
      <c r="W1112" s="228"/>
      <c r="X1112" s="322">
        <v>297.89001500000001</v>
      </c>
      <c r="Y1112" s="228">
        <f t="shared" si="107"/>
        <v>2.7941055867104492E-3</v>
      </c>
      <c r="Z1112" s="228"/>
      <c r="AA1112" s="202"/>
    </row>
    <row r="1113" spans="2:27" x14ac:dyDescent="0.15">
      <c r="B1113" s="241">
        <v>44280</v>
      </c>
      <c r="C1113" s="244"/>
      <c r="D1113" s="245">
        <v>89.478508000000005</v>
      </c>
      <c r="E1113" s="228">
        <f t="shared" si="102"/>
        <v>7.2279491100062376E-3</v>
      </c>
      <c r="F1113" s="228"/>
      <c r="G1113" s="245">
        <v>582.30053699999996</v>
      </c>
      <c r="H1113" s="228">
        <f t="shared" si="103"/>
        <v>9.3676704447653858E-3</v>
      </c>
      <c r="J1113" s="227"/>
      <c r="K1113" s="245">
        <v>109.57785800000001</v>
      </c>
      <c r="L1113" s="228">
        <f t="shared" si="104"/>
        <v>1.3674803306657601E-2</v>
      </c>
      <c r="M1113" s="228"/>
      <c r="N1113" s="227"/>
      <c r="O1113" s="322">
        <v>119.720001</v>
      </c>
      <c r="P1113" s="228">
        <f t="shared" si="105"/>
        <v>-1.1395516290594876E-2</v>
      </c>
      <c r="Q1113" s="228"/>
      <c r="R1113" s="227"/>
      <c r="S1113" s="322">
        <v>548.03002900000001</v>
      </c>
      <c r="T1113" s="228">
        <f t="shared" si="106"/>
        <v>-8.000693101623102E-3</v>
      </c>
      <c r="U1113" s="228"/>
      <c r="V1113" s="228"/>
      <c r="W1113" s="228"/>
      <c r="X1113" s="322">
        <v>299.41000400000001</v>
      </c>
      <c r="Y1113" s="228">
        <f t="shared" si="107"/>
        <v>5.1025174509458093E-3</v>
      </c>
      <c r="Z1113" s="228"/>
      <c r="AA1113" s="202"/>
    </row>
    <row r="1114" spans="2:27" x14ac:dyDescent="0.15">
      <c r="B1114" s="241">
        <v>44281</v>
      </c>
      <c r="C1114" s="244"/>
      <c r="D1114" s="245">
        <v>90.989365000000006</v>
      </c>
      <c r="E1114" s="228">
        <f t="shared" si="102"/>
        <v>1.6885138496050889E-2</v>
      </c>
      <c r="F1114" s="228"/>
      <c r="G1114" s="245">
        <v>623.849243</v>
      </c>
      <c r="H1114" s="228">
        <f t="shared" si="103"/>
        <v>7.1352683640063308E-2</v>
      </c>
      <c r="J1114" s="227"/>
      <c r="K1114" s="245">
        <v>115.63961</v>
      </c>
      <c r="L1114" s="228">
        <f t="shared" si="104"/>
        <v>5.5319132082322753E-2</v>
      </c>
      <c r="M1114" s="228"/>
      <c r="N1114" s="227"/>
      <c r="O1114" s="322">
        <v>128.63999899999999</v>
      </c>
      <c r="P1114" s="228">
        <f t="shared" si="105"/>
        <v>7.4507166100006961E-2</v>
      </c>
      <c r="Q1114" s="228"/>
      <c r="R1114" s="227"/>
      <c r="S1114" s="322">
        <v>584.22997999999995</v>
      </c>
      <c r="T1114" s="228">
        <f t="shared" si="106"/>
        <v>6.6054685116534007E-2</v>
      </c>
      <c r="U1114" s="228"/>
      <c r="V1114" s="228"/>
      <c r="W1114" s="228"/>
      <c r="X1114" s="322">
        <v>319.94000199999999</v>
      </c>
      <c r="Y1114" s="228">
        <f t="shared" si="107"/>
        <v>6.8568176499540057E-2</v>
      </c>
      <c r="Z1114" s="228"/>
      <c r="AA1114" s="202"/>
    </row>
    <row r="1115" spans="2:27" x14ac:dyDescent="0.15">
      <c r="B1115" s="241">
        <v>44284</v>
      </c>
      <c r="C1115" s="244"/>
      <c r="D1115" s="245">
        <v>90.522193999999999</v>
      </c>
      <c r="E1115" s="228">
        <f t="shared" si="102"/>
        <v>-5.1343472943239377E-3</v>
      </c>
      <c r="F1115" s="228"/>
      <c r="G1115" s="245">
        <v>606.23071300000004</v>
      </c>
      <c r="H1115" s="228">
        <f t="shared" si="103"/>
        <v>-2.8241646836461687E-2</v>
      </c>
      <c r="J1115" s="227"/>
      <c r="K1115" s="245">
        <v>113.48674</v>
      </c>
      <c r="L1115" s="228">
        <f t="shared" si="104"/>
        <v>-1.8617063824411084E-2</v>
      </c>
      <c r="M1115" s="228"/>
      <c r="N1115" s="227"/>
      <c r="O1115" s="322">
        <v>125.709999</v>
      </c>
      <c r="P1115" s="228">
        <f t="shared" si="105"/>
        <v>-2.2776741470590278E-2</v>
      </c>
      <c r="Q1115" s="228"/>
      <c r="R1115" s="227"/>
      <c r="S1115" s="322">
        <v>570.28997800000002</v>
      </c>
      <c r="T1115" s="228">
        <f t="shared" si="106"/>
        <v>-2.386047015252446E-2</v>
      </c>
      <c r="U1115" s="228"/>
      <c r="V1115" s="228"/>
      <c r="W1115" s="228"/>
      <c r="X1115" s="322">
        <v>314.30999800000001</v>
      </c>
      <c r="Y1115" s="228">
        <f t="shared" si="107"/>
        <v>-1.7597061839113137E-2</v>
      </c>
      <c r="Z1115" s="228"/>
      <c r="AA1115" s="202"/>
    </row>
    <row r="1116" spans="2:27" x14ac:dyDescent="0.15">
      <c r="B1116" s="241">
        <v>44285</v>
      </c>
      <c r="C1116" s="244"/>
      <c r="D1116" s="245">
        <v>90.552009999999996</v>
      </c>
      <c r="E1116" s="228">
        <f t="shared" si="102"/>
        <v>3.2937778772801352E-4</v>
      </c>
      <c r="F1116" s="228"/>
      <c r="G1116" s="245">
        <v>599.54022199999997</v>
      </c>
      <c r="H1116" s="228">
        <f t="shared" si="103"/>
        <v>-1.1036212545041502E-2</v>
      </c>
      <c r="J1116" s="227"/>
      <c r="K1116" s="245">
        <v>114.161377</v>
      </c>
      <c r="L1116" s="228">
        <f t="shared" si="104"/>
        <v>5.94463282670743E-3</v>
      </c>
      <c r="M1116" s="228"/>
      <c r="N1116" s="227"/>
      <c r="O1116" s="322">
        <v>126.760002</v>
      </c>
      <c r="P1116" s="228">
        <f t="shared" si="105"/>
        <v>8.3525814044433933E-3</v>
      </c>
      <c r="Q1116" s="228"/>
      <c r="R1116" s="227"/>
      <c r="S1116" s="322">
        <v>572.55999799999995</v>
      </c>
      <c r="T1116" s="228">
        <f t="shared" si="106"/>
        <v>3.9804662322155959E-3</v>
      </c>
      <c r="U1116" s="228"/>
      <c r="V1116" s="228"/>
      <c r="W1116" s="228"/>
      <c r="X1116" s="322">
        <v>317.07000699999998</v>
      </c>
      <c r="Y1116" s="228">
        <f t="shared" si="107"/>
        <v>8.7811683292364773E-3</v>
      </c>
      <c r="Z1116" s="228"/>
      <c r="AA1116" s="202"/>
    </row>
    <row r="1117" spans="2:27" x14ac:dyDescent="0.15">
      <c r="B1117" s="241">
        <v>44286</v>
      </c>
      <c r="C1117" s="244"/>
      <c r="D1117" s="245">
        <v>91.049003999999996</v>
      </c>
      <c r="E1117" s="228">
        <f t="shared" si="102"/>
        <v>5.4884921936022568E-3</v>
      </c>
      <c r="F1117" s="228"/>
      <c r="G1117" s="245">
        <v>615.56347700000003</v>
      </c>
      <c r="H1117" s="228">
        <f t="shared" si="103"/>
        <v>2.6725904971893755E-2</v>
      </c>
      <c r="J1117" s="227"/>
      <c r="K1117" s="245">
        <v>117.346024</v>
      </c>
      <c r="L1117" s="228">
        <f t="shared" si="104"/>
        <v>2.7896010749765221E-2</v>
      </c>
      <c r="M1117" s="228"/>
      <c r="N1117" s="227"/>
      <c r="O1117" s="322">
        <v>133.60000600000001</v>
      </c>
      <c r="P1117" s="228">
        <f t="shared" si="105"/>
        <v>5.396027052760699E-2</v>
      </c>
      <c r="Q1117" s="228"/>
      <c r="R1117" s="227"/>
      <c r="S1117" s="322">
        <v>595.23999000000003</v>
      </c>
      <c r="T1117" s="228">
        <f t="shared" si="106"/>
        <v>3.9611555259227327E-2</v>
      </c>
      <c r="U1117" s="228"/>
      <c r="V1117" s="228"/>
      <c r="W1117" s="228"/>
      <c r="X1117" s="322">
        <v>330.39999399999999</v>
      </c>
      <c r="Y1117" s="228">
        <f t="shared" si="107"/>
        <v>4.2041147714107163E-2</v>
      </c>
      <c r="Z1117" s="228"/>
      <c r="AA1117" s="202"/>
    </row>
    <row r="1118" spans="2:27" x14ac:dyDescent="0.15">
      <c r="B1118" s="241">
        <v>44287</v>
      </c>
      <c r="C1118" s="244"/>
      <c r="D1118" s="245">
        <v>92.202026000000004</v>
      </c>
      <c r="E1118" s="228">
        <f t="shared" si="102"/>
        <v>1.2663751928576827E-2</v>
      </c>
      <c r="F1118" s="228"/>
      <c r="G1118" s="245">
        <v>635.24603300000001</v>
      </c>
      <c r="H1118" s="228">
        <f t="shared" si="103"/>
        <v>3.1974860002943251E-2</v>
      </c>
      <c r="J1118" s="227"/>
      <c r="K1118" s="245">
        <v>123.814545</v>
      </c>
      <c r="L1118" s="228">
        <f t="shared" si="104"/>
        <v>5.5123478235615364E-2</v>
      </c>
      <c r="M1118" s="228"/>
      <c r="N1118" s="227"/>
      <c r="O1118" s="322">
        <v>141.520004</v>
      </c>
      <c r="P1118" s="228">
        <f t="shared" si="105"/>
        <v>5.9281419493349308E-2</v>
      </c>
      <c r="Q1118" s="228"/>
      <c r="R1118" s="227"/>
      <c r="S1118" s="322">
        <v>639.29998799999998</v>
      </c>
      <c r="T1118" s="228">
        <f t="shared" si="106"/>
        <v>7.4020561017750008E-2</v>
      </c>
      <c r="U1118" s="228"/>
      <c r="V1118" s="228"/>
      <c r="W1118" s="228"/>
      <c r="X1118" s="322">
        <v>347.290009</v>
      </c>
      <c r="Y1118" s="228">
        <f t="shared" si="107"/>
        <v>5.1119901049392791E-2</v>
      </c>
      <c r="Z1118" s="228"/>
      <c r="AA1118" s="202"/>
    </row>
    <row r="1119" spans="2:27" x14ac:dyDescent="0.15">
      <c r="B1119" s="241">
        <v>44291</v>
      </c>
      <c r="C1119" s="244"/>
      <c r="D1119" s="245">
        <v>93.305351000000002</v>
      </c>
      <c r="E1119" s="228">
        <f t="shared" si="102"/>
        <v>1.1966385641027033E-2</v>
      </c>
      <c r="F1119" s="228"/>
      <c r="G1119" s="245">
        <v>638.62616000000003</v>
      </c>
      <c r="H1119" s="228">
        <f t="shared" si="103"/>
        <v>5.3209730158205737E-3</v>
      </c>
      <c r="J1119" s="227"/>
      <c r="K1119" s="245">
        <v>123.516914</v>
      </c>
      <c r="L1119" s="228">
        <f t="shared" si="104"/>
        <v>-2.4038452025163526E-3</v>
      </c>
      <c r="M1119" s="228"/>
      <c r="N1119" s="227"/>
      <c r="O1119" s="322">
        <v>143.050003</v>
      </c>
      <c r="P1119" s="228">
        <f t="shared" si="105"/>
        <v>1.0811185392561207E-2</v>
      </c>
      <c r="Q1119" s="228"/>
      <c r="R1119" s="227"/>
      <c r="S1119" s="322">
        <v>660.79998799999998</v>
      </c>
      <c r="T1119" s="228">
        <f t="shared" si="106"/>
        <v>3.363053402716476E-2</v>
      </c>
      <c r="U1119" s="228"/>
      <c r="V1119" s="228"/>
      <c r="W1119" s="228"/>
      <c r="X1119" s="322">
        <v>355.07998700000002</v>
      </c>
      <c r="Y1119" s="228">
        <f t="shared" si="107"/>
        <v>2.2430757574716242E-2</v>
      </c>
      <c r="Z1119" s="228"/>
      <c r="AA1119" s="202"/>
    </row>
    <row r="1120" spans="2:27" x14ac:dyDescent="0.15">
      <c r="B1120" s="241">
        <v>44292</v>
      </c>
      <c r="C1120" s="244"/>
      <c r="D1120" s="245">
        <v>93.275527999999994</v>
      </c>
      <c r="E1120" s="228">
        <f t="shared" si="102"/>
        <v>-3.196279707474714E-4</v>
      </c>
      <c r="F1120" s="228"/>
      <c r="G1120" s="245">
        <v>626.17248500000005</v>
      </c>
      <c r="H1120" s="228">
        <f t="shared" si="103"/>
        <v>-1.9500727937609041E-2</v>
      </c>
      <c r="J1120" s="227"/>
      <c r="K1120" s="245">
        <v>121.47318300000001</v>
      </c>
      <c r="L1120" s="228">
        <f t="shared" si="104"/>
        <v>-1.6546163062331587E-2</v>
      </c>
      <c r="M1120" s="228"/>
      <c r="N1120" s="227"/>
      <c r="O1120" s="322">
        <v>139.53999300000001</v>
      </c>
      <c r="P1120" s="228">
        <f t="shared" si="105"/>
        <v>-2.4536944609501288E-2</v>
      </c>
      <c r="Q1120" s="228"/>
      <c r="R1120" s="227"/>
      <c r="S1120" s="322">
        <v>652.47997999999995</v>
      </c>
      <c r="T1120" s="228">
        <f t="shared" si="106"/>
        <v>-1.2590811366661292E-2</v>
      </c>
      <c r="U1120" s="228"/>
      <c r="V1120" s="228"/>
      <c r="W1120" s="228"/>
      <c r="X1120" s="322">
        <v>346.60000600000001</v>
      </c>
      <c r="Y1120" s="228">
        <f t="shared" si="107"/>
        <v>-2.3881889462838202E-2</v>
      </c>
      <c r="Z1120" s="228"/>
      <c r="AA1120" s="202"/>
    </row>
    <row r="1121" spans="2:27" x14ac:dyDescent="0.15">
      <c r="B1121" s="241">
        <v>44293</v>
      </c>
      <c r="C1121" s="244"/>
      <c r="D1121" s="245">
        <v>93.205948000000006</v>
      </c>
      <c r="E1121" s="228">
        <f t="shared" si="102"/>
        <v>-7.4596200624010844E-4</v>
      </c>
      <c r="F1121" s="228"/>
      <c r="G1121" s="245">
        <v>624.73669400000006</v>
      </c>
      <c r="H1121" s="228">
        <f t="shared" si="103"/>
        <v>-2.2929640544649965E-3</v>
      </c>
      <c r="J1121" s="227"/>
      <c r="K1121" s="245">
        <v>118.943314</v>
      </c>
      <c r="L1121" s="228">
        <f t="shared" si="104"/>
        <v>-2.0826563835081191E-2</v>
      </c>
      <c r="M1121" s="228"/>
      <c r="N1121" s="227"/>
      <c r="O1121" s="322">
        <v>139.13999899999999</v>
      </c>
      <c r="P1121" s="228">
        <f t="shared" si="105"/>
        <v>-2.8665187047847152E-3</v>
      </c>
      <c r="Q1121" s="228"/>
      <c r="R1121" s="227"/>
      <c r="S1121" s="322">
        <v>658.78002900000001</v>
      </c>
      <c r="T1121" s="228">
        <f t="shared" si="106"/>
        <v>9.6555437608982775E-3</v>
      </c>
      <c r="U1121" s="228"/>
      <c r="V1121" s="228"/>
      <c r="W1121" s="228"/>
      <c r="X1121" s="322">
        <v>348.040009</v>
      </c>
      <c r="Y1121" s="228">
        <f t="shared" si="107"/>
        <v>4.1546537076515566E-3</v>
      </c>
      <c r="Z1121" s="228"/>
      <c r="AA1121" s="202"/>
    </row>
    <row r="1122" spans="2:27" x14ac:dyDescent="0.15">
      <c r="B1122" s="241">
        <v>44294</v>
      </c>
      <c r="C1122" s="244"/>
      <c r="D1122" s="245">
        <v>93.782463000000007</v>
      </c>
      <c r="E1122" s="228">
        <f t="shared" si="102"/>
        <v>6.1853885119005358E-3</v>
      </c>
      <c r="F1122" s="228"/>
      <c r="G1122" s="245">
        <v>638.01794400000006</v>
      </c>
      <c r="H1122" s="228">
        <f t="shared" si="103"/>
        <v>2.125895617714435E-2</v>
      </c>
      <c r="J1122" s="227"/>
      <c r="K1122" s="245">
        <v>122.45536</v>
      </c>
      <c r="L1122" s="228">
        <f t="shared" si="104"/>
        <v>2.952705689703583E-2</v>
      </c>
      <c r="M1122" s="228"/>
      <c r="N1122" s="227"/>
      <c r="O1122" s="322">
        <v>139.35000600000001</v>
      </c>
      <c r="P1122" s="228">
        <f t="shared" si="105"/>
        <v>1.5093215574912833E-3</v>
      </c>
      <c r="Q1122" s="228"/>
      <c r="R1122" s="227"/>
      <c r="S1122" s="322">
        <v>668</v>
      </c>
      <c r="T1122" s="228">
        <f t="shared" si="106"/>
        <v>1.3995522927426229E-2</v>
      </c>
      <c r="U1122" s="228"/>
      <c r="V1122" s="228"/>
      <c r="W1122" s="228"/>
      <c r="X1122" s="322">
        <v>354.040009</v>
      </c>
      <c r="Y1122" s="228">
        <f t="shared" si="107"/>
        <v>1.7239397324575911E-2</v>
      </c>
      <c r="Z1122" s="228"/>
      <c r="AA1122" s="202"/>
    </row>
    <row r="1123" spans="2:27" x14ac:dyDescent="0.15">
      <c r="B1123" s="241">
        <v>44295</v>
      </c>
      <c r="C1123" s="244"/>
      <c r="D1123" s="245">
        <v>94.398735000000002</v>
      </c>
      <c r="E1123" s="228">
        <f t="shared" si="102"/>
        <v>6.5712925453875748E-3</v>
      </c>
      <c r="F1123" s="228"/>
      <c r="G1123" s="245">
        <v>632.47412099999997</v>
      </c>
      <c r="H1123" s="228">
        <f t="shared" si="103"/>
        <v>-8.689133357666301E-3</v>
      </c>
      <c r="J1123" s="227"/>
      <c r="K1123" s="245">
        <v>121.830338</v>
      </c>
      <c r="L1123" s="228">
        <f t="shared" si="104"/>
        <v>-5.1040803767185006E-3</v>
      </c>
      <c r="M1123" s="228"/>
      <c r="N1123" s="227"/>
      <c r="O1123" s="322">
        <v>138.91000399999999</v>
      </c>
      <c r="P1123" s="228">
        <f t="shared" si="105"/>
        <v>-3.1575312598122185E-3</v>
      </c>
      <c r="Q1123" s="228"/>
      <c r="R1123" s="227"/>
      <c r="S1123" s="322">
        <v>662</v>
      </c>
      <c r="T1123" s="228">
        <f t="shared" si="106"/>
        <v>-8.9820359281437279E-3</v>
      </c>
      <c r="U1123" s="228"/>
      <c r="V1123" s="228"/>
      <c r="W1123" s="228"/>
      <c r="X1123" s="322">
        <v>352.85000600000001</v>
      </c>
      <c r="Y1123" s="228">
        <f t="shared" si="107"/>
        <v>-3.3612105122277081E-3</v>
      </c>
      <c r="Z1123" s="228"/>
      <c r="AA1123" s="202"/>
    </row>
    <row r="1124" spans="2:27" x14ac:dyDescent="0.15">
      <c r="B1124" s="241">
        <v>44298</v>
      </c>
      <c r="C1124" s="244"/>
      <c r="D1124" s="245">
        <v>94.418610000000001</v>
      </c>
      <c r="E1124" s="228">
        <f t="shared" si="102"/>
        <v>2.1054307560364194E-4</v>
      </c>
      <c r="F1124" s="228"/>
      <c r="G1124" s="245">
        <v>628.59545900000001</v>
      </c>
      <c r="H1124" s="228">
        <f t="shared" si="103"/>
        <v>-6.132522851476474E-3</v>
      </c>
      <c r="J1124" s="227"/>
      <c r="K1124" s="245">
        <v>119.94534299999999</v>
      </c>
      <c r="L1124" s="228">
        <f t="shared" si="104"/>
        <v>-1.5472295578790929E-2</v>
      </c>
      <c r="M1124" s="228"/>
      <c r="N1124" s="227"/>
      <c r="O1124" s="322">
        <v>135</v>
      </c>
      <c r="P1124" s="228">
        <f t="shared" si="105"/>
        <v>-2.8147749531415966E-2</v>
      </c>
      <c r="Q1124" s="228"/>
      <c r="R1124" s="227"/>
      <c r="S1124" s="322">
        <v>650.27002000000005</v>
      </c>
      <c r="T1124" s="228">
        <f t="shared" si="106"/>
        <v>-1.7719003021147928E-2</v>
      </c>
      <c r="U1124" s="228"/>
      <c r="V1124" s="228"/>
      <c r="W1124" s="228"/>
      <c r="X1124" s="322">
        <v>345.10000600000001</v>
      </c>
      <c r="Y1124" s="228">
        <f t="shared" si="107"/>
        <v>-2.1964006995085605E-2</v>
      </c>
      <c r="Z1124" s="228"/>
      <c r="AA1124" s="202"/>
    </row>
    <row r="1125" spans="2:27" x14ac:dyDescent="0.15">
      <c r="B1125" s="241">
        <v>44299</v>
      </c>
      <c r="C1125" s="244"/>
      <c r="D1125" s="245">
        <v>94.647232000000002</v>
      </c>
      <c r="E1125" s="228">
        <f t="shared" si="102"/>
        <v>2.4213658726812692E-3</v>
      </c>
      <c r="F1125" s="228"/>
      <c r="G1125" s="245">
        <v>627.28924600000005</v>
      </c>
      <c r="H1125" s="228">
        <f t="shared" si="103"/>
        <v>-2.0779866944600212E-3</v>
      </c>
      <c r="J1125" s="227"/>
      <c r="K1125" s="245">
        <v>120.312408</v>
      </c>
      <c r="L1125" s="228">
        <f t="shared" si="104"/>
        <v>3.0602688759664431E-3</v>
      </c>
      <c r="M1125" s="228"/>
      <c r="N1125" s="227"/>
      <c r="O1125" s="322">
        <v>135.10000600000001</v>
      </c>
      <c r="P1125" s="228">
        <f t="shared" si="105"/>
        <v>7.4078518518527758E-4</v>
      </c>
      <c r="Q1125" s="228"/>
      <c r="R1125" s="227"/>
      <c r="S1125" s="322">
        <v>644.98999000000003</v>
      </c>
      <c r="T1125" s="228">
        <f t="shared" si="106"/>
        <v>-8.1197500078505902E-3</v>
      </c>
      <c r="U1125" s="228"/>
      <c r="V1125" s="228"/>
      <c r="W1125" s="228"/>
      <c r="X1125" s="322">
        <v>344.13000499999998</v>
      </c>
      <c r="Y1125" s="228">
        <f t="shared" si="107"/>
        <v>-2.810782333049322E-3</v>
      </c>
      <c r="Z1125" s="228"/>
      <c r="AA1125" s="202"/>
    </row>
    <row r="1126" spans="2:27" x14ac:dyDescent="0.15">
      <c r="B1126" s="241">
        <v>44300</v>
      </c>
      <c r="C1126" s="244"/>
      <c r="D1126" s="245">
        <v>94.498131000000001</v>
      </c>
      <c r="E1126" s="228">
        <f t="shared" si="102"/>
        <v>-1.5753339727885285E-3</v>
      </c>
      <c r="F1126" s="228"/>
      <c r="G1126" s="245">
        <v>629.15380900000002</v>
      </c>
      <c r="H1126" s="228">
        <f t="shared" si="103"/>
        <v>2.9724134629911525E-3</v>
      </c>
      <c r="J1126" s="227"/>
      <c r="K1126" s="245">
        <v>119.885811</v>
      </c>
      <c r="L1126" s="228">
        <f t="shared" si="104"/>
        <v>-3.5457440100442605E-3</v>
      </c>
      <c r="M1126" s="228"/>
      <c r="N1126" s="227"/>
      <c r="O1126" s="322">
        <v>134.13999899999999</v>
      </c>
      <c r="P1126" s="228">
        <f t="shared" si="105"/>
        <v>-7.1058990182429893E-3</v>
      </c>
      <c r="Q1126" s="228"/>
      <c r="R1126" s="227"/>
      <c r="S1126" s="322">
        <v>640.42999299999997</v>
      </c>
      <c r="T1126" s="228">
        <f t="shared" si="106"/>
        <v>-7.0698725107347649E-3</v>
      </c>
      <c r="U1126" s="228"/>
      <c r="V1126" s="228"/>
      <c r="W1126" s="228"/>
      <c r="X1126" s="322">
        <v>336.5</v>
      </c>
      <c r="Y1126" s="228">
        <f t="shared" si="107"/>
        <v>-2.2171867867203265E-2</v>
      </c>
      <c r="Z1126" s="228"/>
      <c r="AA1126" s="202"/>
    </row>
    <row r="1127" spans="2:27" x14ac:dyDescent="0.15">
      <c r="B1127" s="241">
        <v>44301</v>
      </c>
      <c r="C1127" s="244"/>
      <c r="D1127" s="245">
        <v>95.422539</v>
      </c>
      <c r="E1127" s="228">
        <f t="shared" si="102"/>
        <v>9.7822887100273981E-3</v>
      </c>
      <c r="F1127" s="228"/>
      <c r="G1127" s="245">
        <v>640.22155799999996</v>
      </c>
      <c r="H1127" s="228">
        <f t="shared" si="103"/>
        <v>1.7591483738438107E-2</v>
      </c>
      <c r="J1127" s="227"/>
      <c r="K1127" s="245">
        <v>117.415474</v>
      </c>
      <c r="L1127" s="228">
        <f t="shared" si="104"/>
        <v>-2.0605749582825905E-2</v>
      </c>
      <c r="M1127" s="228"/>
      <c r="N1127" s="227"/>
      <c r="O1127" s="322">
        <v>134.41000399999999</v>
      </c>
      <c r="P1127" s="228">
        <f t="shared" si="105"/>
        <v>2.0128597138278082E-3</v>
      </c>
      <c r="Q1127" s="228"/>
      <c r="R1127" s="227"/>
      <c r="S1127" s="322">
        <v>649.5</v>
      </c>
      <c r="T1127" s="228">
        <f t="shared" si="106"/>
        <v>1.4162370749553732E-2</v>
      </c>
      <c r="U1127" s="228"/>
      <c r="V1127" s="228"/>
      <c r="W1127" s="228"/>
      <c r="X1127" s="322">
        <v>338.540009</v>
      </c>
      <c r="Y1127" s="228">
        <f t="shared" si="107"/>
        <v>6.0624338781574139E-3</v>
      </c>
      <c r="Z1127" s="228"/>
      <c r="AA1127" s="202"/>
    </row>
    <row r="1128" spans="2:27" x14ac:dyDescent="0.15">
      <c r="B1128" s="241">
        <v>44302</v>
      </c>
      <c r="C1128" s="244"/>
      <c r="D1128" s="245">
        <v>95.661095000000003</v>
      </c>
      <c r="E1128" s="228">
        <f t="shared" si="102"/>
        <v>2.4999963583027807E-3</v>
      </c>
      <c r="F1128" s="228"/>
      <c r="G1128" s="245">
        <v>643.81103499999995</v>
      </c>
      <c r="H1128" s="228">
        <f t="shared" si="103"/>
        <v>5.60661688933628E-3</v>
      </c>
      <c r="J1128" s="227"/>
      <c r="K1128" s="245">
        <v>117.90160400000001</v>
      </c>
      <c r="L1128" s="228">
        <f t="shared" si="104"/>
        <v>4.1402549718447812E-3</v>
      </c>
      <c r="M1128" s="228"/>
      <c r="N1128" s="227"/>
      <c r="O1128" s="322">
        <v>133.729996</v>
      </c>
      <c r="P1128" s="228">
        <f t="shared" si="105"/>
        <v>-5.0592067536876506E-3</v>
      </c>
      <c r="Q1128" s="228"/>
      <c r="R1128" s="227"/>
      <c r="S1128" s="322">
        <v>643.71002199999998</v>
      </c>
      <c r="T1128" s="228">
        <f t="shared" si="106"/>
        <v>-8.914515781370369E-3</v>
      </c>
      <c r="U1128" s="228"/>
      <c r="V1128" s="228"/>
      <c r="W1128" s="228"/>
      <c r="X1128" s="322">
        <v>333</v>
      </c>
      <c r="Y1128" s="228">
        <f t="shared" si="107"/>
        <v>-1.636441440515235E-2</v>
      </c>
      <c r="Z1128" s="228"/>
      <c r="AA1128" s="202"/>
    </row>
    <row r="1129" spans="2:27" x14ac:dyDescent="0.15">
      <c r="B1129" s="241">
        <v>44305</v>
      </c>
      <c r="C1129" s="244"/>
      <c r="D1129" s="245">
        <v>95.124336</v>
      </c>
      <c r="E1129" s="228">
        <f t="shared" si="102"/>
        <v>-5.6110480441395882E-3</v>
      </c>
      <c r="F1129" s="228"/>
      <c r="G1129" s="245">
        <v>628.27636700000005</v>
      </c>
      <c r="H1129" s="228">
        <f t="shared" si="103"/>
        <v>-2.4129235374165225E-2</v>
      </c>
      <c r="J1129" s="227"/>
      <c r="K1129" s="245">
        <v>114.48877</v>
      </c>
      <c r="L1129" s="228">
        <f t="shared" si="104"/>
        <v>-2.8946459456141049E-2</v>
      </c>
      <c r="M1129" s="228"/>
      <c r="N1129" s="227"/>
      <c r="O1129" s="322">
        <v>130.88999899999999</v>
      </c>
      <c r="P1129" s="228">
        <f t="shared" si="105"/>
        <v>-2.1236798661087297E-2</v>
      </c>
      <c r="Q1129" s="228"/>
      <c r="R1129" s="227"/>
      <c r="S1129" s="322">
        <v>621.72997999999995</v>
      </c>
      <c r="T1129" s="228">
        <f t="shared" si="106"/>
        <v>-3.4145875081621813E-2</v>
      </c>
      <c r="U1129" s="228"/>
      <c r="V1129" s="228"/>
      <c r="W1129" s="228"/>
      <c r="X1129" s="322">
        <v>324.39001500000001</v>
      </c>
      <c r="Y1129" s="228">
        <f t="shared" si="107"/>
        <v>-2.5855810810810786E-2</v>
      </c>
      <c r="Z1129" s="228"/>
      <c r="AA1129" s="202"/>
    </row>
    <row r="1130" spans="2:27" x14ac:dyDescent="0.15">
      <c r="B1130" s="241">
        <v>44306</v>
      </c>
      <c r="C1130" s="244"/>
      <c r="D1130" s="245">
        <v>94.229766999999995</v>
      </c>
      <c r="E1130" s="228">
        <f t="shared" si="102"/>
        <v>-9.4042075626157295E-3</v>
      </c>
      <c r="F1130" s="228"/>
      <c r="G1130" s="245">
        <v>615.14471400000002</v>
      </c>
      <c r="H1130" s="228">
        <f t="shared" si="103"/>
        <v>-2.0901077439381077E-2</v>
      </c>
      <c r="J1130" s="227"/>
      <c r="K1130" s="245">
        <v>114.04232</v>
      </c>
      <c r="L1130" s="228">
        <f t="shared" si="104"/>
        <v>-3.8995090959575984E-3</v>
      </c>
      <c r="M1130" s="228"/>
      <c r="N1130" s="227"/>
      <c r="O1130" s="322">
        <v>128.58999600000001</v>
      </c>
      <c r="P1130" s="228">
        <f t="shared" si="105"/>
        <v>-1.7572030083062185E-2</v>
      </c>
      <c r="Q1130" s="228"/>
      <c r="R1130" s="227"/>
      <c r="S1130" s="322">
        <v>613.03002900000001</v>
      </c>
      <c r="T1130" s="228">
        <f t="shared" si="106"/>
        <v>-1.3993134125524942E-2</v>
      </c>
      <c r="U1130" s="228"/>
      <c r="V1130" s="228"/>
      <c r="W1130" s="228"/>
      <c r="X1130" s="322">
        <v>318.92001299999998</v>
      </c>
      <c r="Y1130" s="228">
        <f t="shared" si="107"/>
        <v>-1.6862424079236882E-2</v>
      </c>
      <c r="Z1130" s="228"/>
      <c r="AA1130" s="202"/>
    </row>
    <row r="1131" spans="2:27" x14ac:dyDescent="0.15">
      <c r="B1131" s="241">
        <v>44307</v>
      </c>
      <c r="C1131" s="244"/>
      <c r="D1131" s="245">
        <v>95.323143000000002</v>
      </c>
      <c r="E1131" s="228">
        <f t="shared" si="102"/>
        <v>1.1603297289273895E-2</v>
      </c>
      <c r="F1131" s="228"/>
      <c r="G1131" s="245">
        <v>653.58252000000005</v>
      </c>
      <c r="H1131" s="228">
        <f t="shared" si="103"/>
        <v>6.2485794196388111E-2</v>
      </c>
      <c r="J1131" s="227"/>
      <c r="K1131" s="245">
        <v>116.472977</v>
      </c>
      <c r="L1131" s="228">
        <f t="shared" si="104"/>
        <v>2.1313640409981183E-2</v>
      </c>
      <c r="M1131" s="228"/>
      <c r="N1131" s="227"/>
      <c r="O1131" s="322">
        <v>135.050003</v>
      </c>
      <c r="P1131" s="228">
        <f t="shared" si="105"/>
        <v>5.023724396103102E-2</v>
      </c>
      <c r="Q1131" s="228"/>
      <c r="R1131" s="227"/>
      <c r="S1131" s="322">
        <v>641.25</v>
      </c>
      <c r="T1131" s="228">
        <f t="shared" si="106"/>
        <v>4.6033586716842434E-2</v>
      </c>
      <c r="U1131" s="228"/>
      <c r="V1131" s="228"/>
      <c r="W1131" s="228"/>
      <c r="X1131" s="322">
        <v>331.790009</v>
      </c>
      <c r="Y1131" s="228">
        <f t="shared" si="107"/>
        <v>4.03549337620277E-2</v>
      </c>
      <c r="Z1131" s="228"/>
      <c r="AA1131" s="202"/>
    </row>
    <row r="1132" spans="2:27" x14ac:dyDescent="0.15">
      <c r="B1132" s="241">
        <v>44308</v>
      </c>
      <c r="C1132" s="244"/>
      <c r="D1132" s="245">
        <v>94.508071999999999</v>
      </c>
      <c r="E1132" s="228">
        <f t="shared" si="102"/>
        <v>-8.5506097926293378E-3</v>
      </c>
      <c r="F1132" s="228"/>
      <c r="G1132" s="245">
        <v>645.20696999999996</v>
      </c>
      <c r="H1132" s="228">
        <f t="shared" si="103"/>
        <v>-1.2814831706331575E-2</v>
      </c>
      <c r="J1132" s="227"/>
      <c r="K1132" s="245">
        <v>114.40939299999999</v>
      </c>
      <c r="L1132" s="228">
        <f t="shared" si="104"/>
        <v>-1.7717277029847045E-2</v>
      </c>
      <c r="M1132" s="228"/>
      <c r="N1132" s="227"/>
      <c r="O1132" s="322">
        <v>131.75</v>
      </c>
      <c r="P1132" s="228">
        <f t="shared" si="105"/>
        <v>-2.4435415969594643E-2</v>
      </c>
      <c r="Q1132" s="228"/>
      <c r="R1132" s="227"/>
      <c r="S1132" s="322">
        <v>614.53997800000002</v>
      </c>
      <c r="T1132" s="228">
        <f t="shared" si="106"/>
        <v>-4.1653055750487278E-2</v>
      </c>
      <c r="U1132" s="228"/>
      <c r="V1132" s="228"/>
      <c r="W1132" s="228"/>
      <c r="X1132" s="322">
        <v>325.07998700000002</v>
      </c>
      <c r="Y1132" s="228">
        <f t="shared" si="107"/>
        <v>-2.0223701190471899E-2</v>
      </c>
      <c r="Z1132" s="228"/>
      <c r="AA1132" s="202"/>
    </row>
    <row r="1133" spans="2:27" x14ac:dyDescent="0.15">
      <c r="B1133" s="241">
        <v>44309</v>
      </c>
      <c r="C1133" s="244"/>
      <c r="D1133" s="245">
        <v>95.710792999999995</v>
      </c>
      <c r="E1133" s="228">
        <f t="shared" si="102"/>
        <v>1.2726119309681705E-2</v>
      </c>
      <c r="F1133" s="228"/>
      <c r="G1133" s="245">
        <v>668.95764199999996</v>
      </c>
      <c r="H1133" s="228">
        <f t="shared" si="103"/>
        <v>3.6810935256945454E-2</v>
      </c>
      <c r="J1133" s="227"/>
      <c r="K1133" s="245">
        <v>117.70317799999999</v>
      </c>
      <c r="L1133" s="228">
        <f t="shared" si="104"/>
        <v>2.8789463116896341E-2</v>
      </c>
      <c r="M1133" s="228"/>
      <c r="N1133" s="227"/>
      <c r="O1133" s="322">
        <v>134.86000100000001</v>
      </c>
      <c r="P1133" s="228">
        <f t="shared" si="105"/>
        <v>2.3605320683111941E-2</v>
      </c>
      <c r="Q1133" s="228"/>
      <c r="R1133" s="227"/>
      <c r="S1133" s="322">
        <v>627.48999000000003</v>
      </c>
      <c r="T1133" s="228">
        <f t="shared" si="106"/>
        <v>2.107269252383781E-2</v>
      </c>
      <c r="U1133" s="228"/>
      <c r="V1133" s="228"/>
      <c r="W1133" s="228"/>
      <c r="X1133" s="322">
        <v>332.07000699999998</v>
      </c>
      <c r="Y1133" s="228">
        <f t="shared" si="107"/>
        <v>2.1502461792580085E-2</v>
      </c>
      <c r="Z1133" s="228"/>
      <c r="AA1133" s="202"/>
    </row>
    <row r="1134" spans="2:27" x14ac:dyDescent="0.15">
      <c r="B1134" s="241">
        <v>44312</v>
      </c>
      <c r="C1134" s="244"/>
      <c r="D1134" s="245">
        <v>96.028869999999998</v>
      </c>
      <c r="E1134" s="228">
        <f t="shared" si="102"/>
        <v>3.3233138085064784E-3</v>
      </c>
      <c r="F1134" s="228"/>
      <c r="G1134" s="245">
        <v>668.489014</v>
      </c>
      <c r="H1134" s="228">
        <f t="shared" si="103"/>
        <v>-7.0053463863406495E-4</v>
      </c>
      <c r="J1134" s="227"/>
      <c r="K1134" s="245">
        <v>120.56044</v>
      </c>
      <c r="L1134" s="228">
        <f t="shared" si="104"/>
        <v>2.4275147439094757E-2</v>
      </c>
      <c r="M1134" s="228"/>
      <c r="N1134" s="227"/>
      <c r="O1134" s="322">
        <v>137.300003</v>
      </c>
      <c r="P1134" s="228">
        <f t="shared" si="105"/>
        <v>1.8092851712198987E-2</v>
      </c>
      <c r="Q1134" s="228"/>
      <c r="R1134" s="227"/>
      <c r="S1134" s="322">
        <v>643.169983</v>
      </c>
      <c r="T1134" s="228">
        <f t="shared" si="106"/>
        <v>2.4988435273684662E-2</v>
      </c>
      <c r="U1134" s="228"/>
      <c r="V1134" s="228"/>
      <c r="W1134" s="228"/>
      <c r="X1134" s="322">
        <v>335.80999800000001</v>
      </c>
      <c r="Y1134" s="228">
        <f t="shared" si="107"/>
        <v>1.1262658238207157E-2</v>
      </c>
      <c r="Z1134" s="228"/>
      <c r="AA1134" s="202"/>
    </row>
    <row r="1135" spans="2:27" x14ac:dyDescent="0.15">
      <c r="B1135" s="241">
        <v>44313</v>
      </c>
      <c r="C1135" s="244"/>
      <c r="D1135" s="245">
        <v>96.048751999999993</v>
      </c>
      <c r="E1135" s="228">
        <f t="shared" si="102"/>
        <v>2.0704190312770265E-4</v>
      </c>
      <c r="F1135" s="228"/>
      <c r="G1135" s="245">
        <v>670.85211200000003</v>
      </c>
      <c r="H1135" s="228">
        <f t="shared" si="103"/>
        <v>3.5349840468732463E-3</v>
      </c>
      <c r="J1135" s="227"/>
      <c r="K1135" s="245">
        <v>120.312408</v>
      </c>
      <c r="L1135" s="228">
        <f t="shared" si="104"/>
        <v>-2.0573249400881455E-3</v>
      </c>
      <c r="M1135" s="228"/>
      <c r="N1135" s="227"/>
      <c r="O1135" s="322">
        <v>136.779999</v>
      </c>
      <c r="P1135" s="228">
        <f t="shared" si="105"/>
        <v>-3.7873560716528143E-3</v>
      </c>
      <c r="Q1135" s="228"/>
      <c r="R1135" s="227"/>
      <c r="S1135" s="322">
        <v>644.88000499999998</v>
      </c>
      <c r="T1135" s="228">
        <f t="shared" si="106"/>
        <v>2.6587403722166947E-3</v>
      </c>
      <c r="U1135" s="228"/>
      <c r="V1135" s="228"/>
      <c r="W1135" s="228"/>
      <c r="X1135" s="322">
        <v>330.48998999999998</v>
      </c>
      <c r="Y1135" s="228">
        <f t="shared" si="107"/>
        <v>-1.5842315689481135E-2</v>
      </c>
      <c r="Z1135" s="228"/>
      <c r="AA1135" s="202"/>
    </row>
    <row r="1136" spans="2:27" x14ac:dyDescent="0.15">
      <c r="B1136" s="241">
        <v>44314</v>
      </c>
      <c r="C1136" s="244"/>
      <c r="D1136" s="245">
        <v>95.999054000000001</v>
      </c>
      <c r="E1136" s="228">
        <f t="shared" si="102"/>
        <v>-5.1742473447224935E-4</v>
      </c>
      <c r="F1136" s="228"/>
      <c r="G1136" s="245">
        <v>663.40386999999998</v>
      </c>
      <c r="H1136" s="228">
        <f t="shared" si="103"/>
        <v>-1.1102658643787677E-2</v>
      </c>
      <c r="J1136" s="227"/>
      <c r="K1136" s="245">
        <v>118.71513400000001</v>
      </c>
      <c r="L1136" s="228">
        <f t="shared" si="104"/>
        <v>-1.3276053788234377E-2</v>
      </c>
      <c r="M1136" s="228"/>
      <c r="N1136" s="227"/>
      <c r="O1136" s="322">
        <v>135.69000199999999</v>
      </c>
      <c r="P1136" s="228">
        <f t="shared" si="105"/>
        <v>-7.9689794412121095E-3</v>
      </c>
      <c r="Q1136" s="228"/>
      <c r="R1136" s="227"/>
      <c r="S1136" s="322">
        <v>638.04998799999998</v>
      </c>
      <c r="T1136" s="228">
        <f t="shared" si="106"/>
        <v>-1.0591144006705577E-2</v>
      </c>
      <c r="U1136" s="228"/>
      <c r="V1136" s="228"/>
      <c r="W1136" s="228"/>
      <c r="X1136" s="322">
        <v>324.83999599999999</v>
      </c>
      <c r="Y1136" s="228">
        <f t="shared" si="107"/>
        <v>-1.7095809770214188E-2</v>
      </c>
      <c r="Z1136" s="228"/>
      <c r="AA1136" s="202"/>
    </row>
    <row r="1137" spans="2:27" x14ac:dyDescent="0.15">
      <c r="B1137" s="241">
        <v>44315</v>
      </c>
      <c r="C1137" s="244"/>
      <c r="D1137" s="245">
        <v>96.436401000000004</v>
      </c>
      <c r="E1137" s="228">
        <f t="shared" si="102"/>
        <v>4.5557428097156016E-3</v>
      </c>
      <c r="F1137" s="228"/>
      <c r="G1137" s="245">
        <v>660.55212400000005</v>
      </c>
      <c r="H1137" s="228">
        <f t="shared" si="103"/>
        <v>-4.2986574678859357E-3</v>
      </c>
      <c r="J1137" s="227"/>
      <c r="K1137" s="245">
        <v>118.159554</v>
      </c>
      <c r="L1137" s="228">
        <f t="shared" si="104"/>
        <v>-4.6799424915782151E-3</v>
      </c>
      <c r="M1137" s="228"/>
      <c r="N1137" s="227"/>
      <c r="O1137" s="322">
        <v>135.38999899999999</v>
      </c>
      <c r="P1137" s="228">
        <f t="shared" si="105"/>
        <v>-2.2109440310864592E-3</v>
      </c>
      <c r="Q1137" s="228"/>
      <c r="R1137" s="227"/>
      <c r="S1137" s="322">
        <v>640.96997099999999</v>
      </c>
      <c r="T1137" s="228">
        <f t="shared" si="106"/>
        <v>4.5764172947528881E-3</v>
      </c>
      <c r="U1137" s="228"/>
      <c r="V1137" s="228"/>
      <c r="W1137" s="228"/>
      <c r="X1137" s="322">
        <v>326.35998499999999</v>
      </c>
      <c r="Y1137" s="228">
        <f t="shared" si="107"/>
        <v>4.6791928910132619E-3</v>
      </c>
      <c r="Z1137" s="228"/>
      <c r="AA1137" s="202"/>
    </row>
    <row r="1138" spans="2:27" x14ac:dyDescent="0.15">
      <c r="B1138" s="241">
        <v>44316</v>
      </c>
      <c r="C1138" s="244"/>
      <c r="D1138" s="245">
        <v>95.710792999999995</v>
      </c>
      <c r="E1138" s="228">
        <f t="shared" si="102"/>
        <v>-7.5242127710677398E-3</v>
      </c>
      <c r="F1138" s="228"/>
      <c r="G1138" s="245">
        <v>646.21398899999997</v>
      </c>
      <c r="H1138" s="228">
        <f t="shared" si="103"/>
        <v>-2.1706288541129659E-2</v>
      </c>
      <c r="J1138" s="227"/>
      <c r="K1138" s="245">
        <v>115.818184</v>
      </c>
      <c r="L1138" s="228">
        <f t="shared" si="104"/>
        <v>-1.9815325301583253E-2</v>
      </c>
      <c r="M1138" s="228"/>
      <c r="N1138" s="227"/>
      <c r="O1138" s="322">
        <v>132.71000699999999</v>
      </c>
      <c r="P1138" s="228">
        <f t="shared" si="105"/>
        <v>-1.9794608315197637E-2</v>
      </c>
      <c r="Q1138" s="228"/>
      <c r="R1138" s="227"/>
      <c r="S1138" s="322">
        <v>620.45001200000002</v>
      </c>
      <c r="T1138" s="228">
        <f t="shared" si="106"/>
        <v>-3.201391629624406E-2</v>
      </c>
      <c r="U1138" s="228"/>
      <c r="V1138" s="228"/>
      <c r="W1138" s="228"/>
      <c r="X1138" s="322">
        <v>315.35000600000001</v>
      </c>
      <c r="Y1138" s="228">
        <f t="shared" si="107"/>
        <v>-3.3735689134806068E-2</v>
      </c>
      <c r="Z1138" s="228"/>
      <c r="AA1138" s="202"/>
    </row>
    <row r="1139" spans="2:27" x14ac:dyDescent="0.15">
      <c r="B1139" s="241">
        <v>44319</v>
      </c>
      <c r="C1139" s="244"/>
      <c r="D1139" s="245">
        <v>95.820137000000003</v>
      </c>
      <c r="E1139" s="228">
        <f t="shared" si="102"/>
        <v>1.1424416888909938E-3</v>
      </c>
      <c r="F1139" s="228"/>
      <c r="G1139" s="245">
        <v>654.42999299999997</v>
      </c>
      <c r="H1139" s="228">
        <f t="shared" si="103"/>
        <v>1.2714060883630918E-2</v>
      </c>
      <c r="J1139" s="227"/>
      <c r="K1139" s="245">
        <v>115.024506</v>
      </c>
      <c r="L1139" s="228">
        <f t="shared" si="104"/>
        <v>-6.8527926495549618E-3</v>
      </c>
      <c r="M1139" s="228"/>
      <c r="N1139" s="227"/>
      <c r="O1139" s="322">
        <v>132.85000600000001</v>
      </c>
      <c r="P1139" s="228">
        <f t="shared" si="105"/>
        <v>1.0549242153232719E-3</v>
      </c>
      <c r="Q1139" s="228"/>
      <c r="R1139" s="227"/>
      <c r="S1139" s="322">
        <v>617.23999000000003</v>
      </c>
      <c r="T1139" s="228">
        <f t="shared" si="106"/>
        <v>-5.1736996340004948E-3</v>
      </c>
      <c r="U1139" s="228"/>
      <c r="V1139" s="228"/>
      <c r="W1139" s="228"/>
      <c r="X1139" s="322">
        <v>311.23001099999999</v>
      </c>
      <c r="Y1139" s="228">
        <f t="shared" si="107"/>
        <v>-1.3064832476965327E-2</v>
      </c>
      <c r="Z1139" s="228"/>
      <c r="AA1139" s="202"/>
    </row>
    <row r="1140" spans="2:27" x14ac:dyDescent="0.15">
      <c r="B1140" s="241">
        <v>44320</v>
      </c>
      <c r="C1140" s="244"/>
      <c r="D1140" s="245">
        <v>95.084586999999999</v>
      </c>
      <c r="E1140" s="228">
        <f t="shared" si="102"/>
        <v>-7.6763613894645921E-3</v>
      </c>
      <c r="F1140" s="228"/>
      <c r="G1140" s="245">
        <v>629</v>
      </c>
      <c r="H1140" s="228">
        <f t="shared" si="103"/>
        <v>-3.8858232770514145E-2</v>
      </c>
      <c r="J1140" s="227"/>
      <c r="K1140" s="245">
        <v>114.44908100000001</v>
      </c>
      <c r="L1140" s="228">
        <f t="shared" si="104"/>
        <v>-5.0026296135537995E-3</v>
      </c>
      <c r="M1140" s="228"/>
      <c r="N1140" s="227"/>
      <c r="O1140" s="322">
        <v>128.720001</v>
      </c>
      <c r="P1140" s="228">
        <f t="shared" si="105"/>
        <v>-3.1087729119109064E-2</v>
      </c>
      <c r="Q1140" s="228"/>
      <c r="R1140" s="227"/>
      <c r="S1140" s="322">
        <v>606.28997800000002</v>
      </c>
      <c r="T1140" s="228">
        <f t="shared" si="106"/>
        <v>-1.774028283553053E-2</v>
      </c>
      <c r="U1140" s="228"/>
      <c r="V1140" s="228"/>
      <c r="W1140" s="228"/>
      <c r="X1140" s="322">
        <v>307.94000199999999</v>
      </c>
      <c r="Y1140" s="228">
        <f t="shared" si="107"/>
        <v>-1.0570988926900116E-2</v>
      </c>
      <c r="Z1140" s="228"/>
      <c r="AA1140" s="202"/>
    </row>
    <row r="1141" spans="2:27" x14ac:dyDescent="0.15">
      <c r="B1141" s="241">
        <v>44321</v>
      </c>
      <c r="C1141" s="244"/>
      <c r="D1141" s="245">
        <v>94.995125000000002</v>
      </c>
      <c r="E1141" s="228">
        <f t="shared" si="102"/>
        <v>-9.4086752461786105E-4</v>
      </c>
      <c r="F1141" s="228"/>
      <c r="G1141" s="245">
        <v>641.88000499999998</v>
      </c>
      <c r="H1141" s="228">
        <f t="shared" si="103"/>
        <v>2.0476955484896697E-2</v>
      </c>
      <c r="J1141" s="227"/>
      <c r="K1141" s="245">
        <v>114.468918</v>
      </c>
      <c r="L1141" s="228">
        <f t="shared" si="104"/>
        <v>1.7332598765040785E-4</v>
      </c>
      <c r="M1141" s="228"/>
      <c r="N1141" s="227"/>
      <c r="O1141" s="322">
        <v>130.28999300000001</v>
      </c>
      <c r="P1141" s="228">
        <f t="shared" si="105"/>
        <v>1.2196954535449445E-2</v>
      </c>
      <c r="Q1141" s="228"/>
      <c r="R1141" s="227"/>
      <c r="S1141" s="322">
        <v>611</v>
      </c>
      <c r="T1141" s="228">
        <f t="shared" si="106"/>
        <v>7.7685961683502391E-3</v>
      </c>
      <c r="U1141" s="228"/>
      <c r="V1141" s="228"/>
      <c r="W1141" s="228"/>
      <c r="X1141" s="322">
        <v>311.92001299999998</v>
      </c>
      <c r="Y1141" s="228">
        <f t="shared" si="107"/>
        <v>1.2924631337762893E-2</v>
      </c>
      <c r="Z1141" s="228"/>
      <c r="AA1141" s="202"/>
    </row>
    <row r="1142" spans="2:27" x14ac:dyDescent="0.15">
      <c r="B1142" s="241">
        <v>44322</v>
      </c>
      <c r="C1142" s="244"/>
      <c r="D1142" s="245">
        <v>95.591515000000001</v>
      </c>
      <c r="E1142" s="228">
        <f t="shared" si="102"/>
        <v>6.2781116399395209E-3</v>
      </c>
      <c r="F1142" s="228"/>
      <c r="G1142" s="245">
        <v>644.34002699999996</v>
      </c>
      <c r="H1142" s="228">
        <f t="shared" si="103"/>
        <v>3.8325262990548392E-3</v>
      </c>
      <c r="J1142" s="227"/>
      <c r="K1142" s="245">
        <v>116.076134</v>
      </c>
      <c r="L1142" s="228">
        <f t="shared" si="104"/>
        <v>1.4040632409926257E-2</v>
      </c>
      <c r="M1142" s="228"/>
      <c r="N1142" s="227"/>
      <c r="O1142" s="322">
        <v>131.729996</v>
      </c>
      <c r="P1142" s="228">
        <f t="shared" si="105"/>
        <v>1.1052291636856504E-2</v>
      </c>
      <c r="Q1142" s="228"/>
      <c r="R1142" s="227"/>
      <c r="S1142" s="322">
        <v>617.44000200000005</v>
      </c>
      <c r="T1142" s="228">
        <f t="shared" si="106"/>
        <v>1.0540101472995111E-2</v>
      </c>
      <c r="U1142" s="228"/>
      <c r="V1142" s="228"/>
      <c r="W1142" s="228"/>
      <c r="X1142" s="322">
        <v>315.89001500000001</v>
      </c>
      <c r="Y1142" s="228">
        <f t="shared" si="107"/>
        <v>1.2727628348746078E-2</v>
      </c>
      <c r="Z1142" s="228"/>
      <c r="AA1142" s="202"/>
    </row>
    <row r="1143" spans="2:27" x14ac:dyDescent="0.15">
      <c r="B1143" s="241">
        <v>44323</v>
      </c>
      <c r="C1143" s="244"/>
      <c r="D1143" s="245">
        <v>96.386702999999997</v>
      </c>
      <c r="E1143" s="228">
        <f t="shared" si="102"/>
        <v>8.3186044284369043E-3</v>
      </c>
      <c r="F1143" s="228"/>
      <c r="G1143" s="245">
        <v>658.57000700000003</v>
      </c>
      <c r="H1143" s="228">
        <f t="shared" si="103"/>
        <v>2.2084581748325949E-2</v>
      </c>
      <c r="J1143" s="227"/>
      <c r="K1143" s="245">
        <v>115.907478</v>
      </c>
      <c r="L1143" s="228">
        <f t="shared" si="104"/>
        <v>-1.4529774053294586E-3</v>
      </c>
      <c r="M1143" s="228"/>
      <c r="N1143" s="227"/>
      <c r="O1143" s="322">
        <v>132.949997</v>
      </c>
      <c r="P1143" s="228">
        <f t="shared" si="105"/>
        <v>9.2613758221020692E-3</v>
      </c>
      <c r="Q1143" s="228"/>
      <c r="R1143" s="227"/>
      <c r="S1143" s="322">
        <v>630.53997800000002</v>
      </c>
      <c r="T1143" s="228">
        <f t="shared" si="106"/>
        <v>2.1216597495411271E-2</v>
      </c>
      <c r="U1143" s="228"/>
      <c r="V1143" s="228"/>
      <c r="W1143" s="228"/>
      <c r="X1143" s="322">
        <v>319.70001200000002</v>
      </c>
      <c r="Y1143" s="228">
        <f t="shared" si="107"/>
        <v>1.2061150460865422E-2</v>
      </c>
      <c r="Z1143" s="228"/>
      <c r="AA1143" s="202"/>
    </row>
    <row r="1144" spans="2:27" x14ac:dyDescent="0.15">
      <c r="B1144" s="241">
        <v>44326</v>
      </c>
      <c r="C1144" s="244"/>
      <c r="D1144" s="245">
        <v>95.223747000000003</v>
      </c>
      <c r="E1144" s="228">
        <f t="shared" si="102"/>
        <v>-1.2065523187363203E-2</v>
      </c>
      <c r="F1144" s="228"/>
      <c r="G1144" s="245">
        <v>627.26000999999997</v>
      </c>
      <c r="H1144" s="228">
        <f t="shared" si="103"/>
        <v>-4.7542397417439708E-2</v>
      </c>
      <c r="J1144" s="227"/>
      <c r="K1144" s="245">
        <v>111.423164</v>
      </c>
      <c r="L1144" s="228">
        <f t="shared" si="104"/>
        <v>-3.8688737580848787E-2</v>
      </c>
      <c r="M1144" s="228"/>
      <c r="N1144" s="227"/>
      <c r="O1144" s="322">
        <v>124.69000200000001</v>
      </c>
      <c r="P1144" s="228">
        <f t="shared" si="105"/>
        <v>-6.212858357567308E-2</v>
      </c>
      <c r="Q1144" s="228"/>
      <c r="R1144" s="227"/>
      <c r="S1144" s="322">
        <v>586.45001200000002</v>
      </c>
      <c r="T1144" s="228">
        <f t="shared" si="106"/>
        <v>-6.9924140480113972E-2</v>
      </c>
      <c r="U1144" s="228"/>
      <c r="V1144" s="228"/>
      <c r="W1144" s="228"/>
      <c r="X1144" s="322">
        <v>299.89999399999999</v>
      </c>
      <c r="Y1144" s="228">
        <f t="shared" si="107"/>
        <v>-6.1933116223968132E-2</v>
      </c>
      <c r="Z1144" s="228"/>
      <c r="AA1144" s="202"/>
    </row>
    <row r="1145" spans="2:27" x14ac:dyDescent="0.15">
      <c r="B1145" s="241">
        <v>44327</v>
      </c>
      <c r="C1145" s="244"/>
      <c r="D1145" s="245">
        <v>94.468315000000004</v>
      </c>
      <c r="E1145" s="228">
        <f t="shared" si="102"/>
        <v>-7.9332311928451693E-3</v>
      </c>
      <c r="F1145" s="228"/>
      <c r="G1145" s="245">
        <v>630.65997300000004</v>
      </c>
      <c r="H1145" s="228">
        <f t="shared" si="103"/>
        <v>5.4203407610826648E-3</v>
      </c>
      <c r="J1145" s="227"/>
      <c r="K1145" s="245">
        <v>111.9589</v>
      </c>
      <c r="L1145" s="228">
        <f t="shared" si="104"/>
        <v>4.8081205089454127E-3</v>
      </c>
      <c r="M1145" s="228"/>
      <c r="N1145" s="227"/>
      <c r="O1145" s="322">
        <v>123.550003</v>
      </c>
      <c r="P1145" s="228">
        <f t="shared" si="105"/>
        <v>-9.1426656645654525E-3</v>
      </c>
      <c r="Q1145" s="228"/>
      <c r="R1145" s="227"/>
      <c r="S1145" s="322">
        <v>592.42999299999997</v>
      </c>
      <c r="T1145" s="228">
        <f t="shared" si="106"/>
        <v>1.0196915129400574E-2</v>
      </c>
      <c r="U1145" s="228"/>
      <c r="V1145" s="228"/>
      <c r="W1145" s="228"/>
      <c r="X1145" s="322">
        <v>300.27999899999998</v>
      </c>
      <c r="Y1145" s="228">
        <f t="shared" si="107"/>
        <v>1.2671057272510833E-3</v>
      </c>
      <c r="Z1145" s="228"/>
      <c r="AA1145" s="202"/>
    </row>
    <row r="1146" spans="2:27" x14ac:dyDescent="0.15">
      <c r="B1146" s="241">
        <v>44328</v>
      </c>
      <c r="C1146" s="244"/>
      <c r="D1146" s="245">
        <v>92.371002000000004</v>
      </c>
      <c r="E1146" s="228">
        <f t="shared" si="102"/>
        <v>-2.2201232233262536E-2</v>
      </c>
      <c r="F1146" s="228"/>
      <c r="G1146" s="245">
        <v>601.88000499999998</v>
      </c>
      <c r="H1146" s="228">
        <f t="shared" si="103"/>
        <v>-4.5634683081432925E-2</v>
      </c>
      <c r="J1146" s="227"/>
      <c r="K1146" s="245">
        <v>107.35554500000001</v>
      </c>
      <c r="L1146" s="228">
        <f t="shared" si="104"/>
        <v>-4.1116472205425358E-2</v>
      </c>
      <c r="M1146" s="228"/>
      <c r="N1146" s="227"/>
      <c r="O1146" s="322">
        <v>114.879997</v>
      </c>
      <c r="P1146" s="228">
        <f t="shared" si="105"/>
        <v>-7.0174065475336334E-2</v>
      </c>
      <c r="Q1146" s="228"/>
      <c r="R1146" s="227"/>
      <c r="S1146" s="322">
        <v>557.669983</v>
      </c>
      <c r="T1146" s="228">
        <f t="shared" si="106"/>
        <v>-5.8673616141510898E-2</v>
      </c>
      <c r="U1146" s="228"/>
      <c r="V1146" s="228"/>
      <c r="W1146" s="228"/>
      <c r="X1146" s="322">
        <v>286.73998999999998</v>
      </c>
      <c r="Y1146" s="228">
        <f t="shared" si="107"/>
        <v>-4.5091278290566361E-2</v>
      </c>
      <c r="Z1146" s="228"/>
      <c r="AA1146" s="202"/>
    </row>
    <row r="1147" spans="2:27" x14ac:dyDescent="0.15">
      <c r="B1147" s="241">
        <v>44329</v>
      </c>
      <c r="C1147" s="244"/>
      <c r="D1147" s="245">
        <v>93.404754999999994</v>
      </c>
      <c r="E1147" s="228">
        <f t="shared" si="102"/>
        <v>1.1191315213837205E-2</v>
      </c>
      <c r="F1147" s="228"/>
      <c r="G1147" s="245">
        <v>623.09002699999996</v>
      </c>
      <c r="H1147" s="228">
        <f t="shared" si="103"/>
        <v>3.5239618900448466E-2</v>
      </c>
      <c r="J1147" s="227"/>
      <c r="K1147" s="245">
        <v>107.89128100000001</v>
      </c>
      <c r="L1147" s="228">
        <f t="shared" si="104"/>
        <v>4.9902964956305418E-3</v>
      </c>
      <c r="M1147" s="228"/>
      <c r="N1147" s="227"/>
      <c r="O1147" s="322">
        <v>119.91999800000001</v>
      </c>
      <c r="P1147" s="228">
        <f t="shared" si="105"/>
        <v>4.3871876145679334E-2</v>
      </c>
      <c r="Q1147" s="228"/>
      <c r="R1147" s="227"/>
      <c r="S1147" s="322">
        <v>584.72997999999995</v>
      </c>
      <c r="T1147" s="228">
        <f t="shared" si="106"/>
        <v>4.8523316342812706E-2</v>
      </c>
      <c r="U1147" s="228"/>
      <c r="V1147" s="228"/>
      <c r="W1147" s="228"/>
      <c r="X1147" s="322">
        <v>296.76001000000002</v>
      </c>
      <c r="Y1147" s="228">
        <f t="shared" si="107"/>
        <v>3.4944620037128615E-2</v>
      </c>
      <c r="Z1147" s="228"/>
      <c r="AA1147" s="202"/>
    </row>
    <row r="1148" spans="2:27" x14ac:dyDescent="0.15">
      <c r="B1148" s="241">
        <v>44330</v>
      </c>
      <c r="C1148" s="244"/>
      <c r="D1148" s="245">
        <v>95.005065999999999</v>
      </c>
      <c r="E1148" s="228">
        <f t="shared" si="102"/>
        <v>1.7133078503337451E-2</v>
      </c>
      <c r="F1148" s="228"/>
      <c r="G1148" s="245">
        <v>647.76000999999997</v>
      </c>
      <c r="H1148" s="228">
        <f t="shared" si="103"/>
        <v>3.9592967197338957E-2</v>
      </c>
      <c r="J1148" s="227"/>
      <c r="K1148" s="245">
        <v>111.571983</v>
      </c>
      <c r="L1148" s="228">
        <f t="shared" si="104"/>
        <v>3.4114916107076398E-2</v>
      </c>
      <c r="M1148" s="228"/>
      <c r="N1148" s="227"/>
      <c r="O1148" s="322">
        <v>124.83000199999999</v>
      </c>
      <c r="P1148" s="228">
        <f t="shared" si="105"/>
        <v>4.0943996680186556E-2</v>
      </c>
      <c r="Q1148" s="228"/>
      <c r="R1148" s="227"/>
      <c r="S1148" s="322">
        <v>602.98999000000003</v>
      </c>
      <c r="T1148" s="228">
        <f t="shared" si="106"/>
        <v>3.1228106347480411E-2</v>
      </c>
      <c r="U1148" s="228"/>
      <c r="V1148" s="228"/>
      <c r="W1148" s="228"/>
      <c r="X1148" s="322">
        <v>305.75</v>
      </c>
      <c r="Y1148" s="228">
        <f t="shared" si="107"/>
        <v>3.0293805422098474E-2</v>
      </c>
      <c r="Z1148" s="228"/>
      <c r="AA1148" s="202"/>
    </row>
    <row r="1149" spans="2:27" x14ac:dyDescent="0.15">
      <c r="B1149" s="241">
        <v>44333</v>
      </c>
      <c r="C1149" s="244"/>
      <c r="D1149" s="245">
        <v>94.726753000000002</v>
      </c>
      <c r="E1149" s="228">
        <f t="shared" si="102"/>
        <v>-2.9294543093101311E-3</v>
      </c>
      <c r="F1149" s="228"/>
      <c r="G1149" s="245">
        <v>635.34997599999997</v>
      </c>
      <c r="H1149" s="228">
        <f t="shared" si="103"/>
        <v>-1.9158382438582477E-2</v>
      </c>
      <c r="J1149" s="227"/>
      <c r="K1149" s="245">
        <v>108.932991</v>
      </c>
      <c r="L1149" s="228">
        <f t="shared" si="104"/>
        <v>-2.3652819722671747E-2</v>
      </c>
      <c r="M1149" s="228"/>
      <c r="N1149" s="227"/>
      <c r="O1149" s="322">
        <v>123.57</v>
      </c>
      <c r="P1149" s="228">
        <f t="shared" si="105"/>
        <v>-1.009374332942814E-2</v>
      </c>
      <c r="Q1149" s="228"/>
      <c r="R1149" s="227"/>
      <c r="S1149" s="322">
        <v>592.07000700000003</v>
      </c>
      <c r="T1149" s="228">
        <f t="shared" si="106"/>
        <v>-1.8109725171391311E-2</v>
      </c>
      <c r="U1149" s="228"/>
      <c r="V1149" s="228"/>
      <c r="W1149" s="228"/>
      <c r="X1149" s="322">
        <v>297.72000100000002</v>
      </c>
      <c r="Y1149" s="228">
        <f t="shared" si="107"/>
        <v>-2.6263283728536257E-2</v>
      </c>
      <c r="Z1149" s="228"/>
      <c r="AA1149" s="202"/>
    </row>
    <row r="1150" spans="2:27" x14ac:dyDescent="0.15">
      <c r="B1150" s="241">
        <v>44334</v>
      </c>
      <c r="C1150" s="244"/>
      <c r="D1150" s="245">
        <v>94.060783000000001</v>
      </c>
      <c r="E1150" s="228">
        <f t="shared" si="102"/>
        <v>-7.030432047005819E-3</v>
      </c>
      <c r="F1150" s="228"/>
      <c r="G1150" s="245">
        <v>632.19000200000005</v>
      </c>
      <c r="H1150" s="228">
        <f t="shared" si="103"/>
        <v>-4.9735958438124062E-3</v>
      </c>
      <c r="J1150" s="227"/>
      <c r="K1150" s="245">
        <v>109.96476699999999</v>
      </c>
      <c r="L1150" s="228">
        <f t="shared" si="104"/>
        <v>9.4716576725593082E-3</v>
      </c>
      <c r="M1150" s="228"/>
      <c r="N1150" s="227"/>
      <c r="O1150" s="322">
        <v>121.80999799999999</v>
      </c>
      <c r="P1150" s="228">
        <f t="shared" si="105"/>
        <v>-1.424295540988918E-2</v>
      </c>
      <c r="Q1150" s="228"/>
      <c r="R1150" s="227"/>
      <c r="S1150" s="322">
        <v>584.830017</v>
      </c>
      <c r="T1150" s="228">
        <f t="shared" si="106"/>
        <v>-1.2228266783323227E-2</v>
      </c>
      <c r="U1150" s="228"/>
      <c r="V1150" s="228"/>
      <c r="W1150" s="228"/>
      <c r="X1150" s="322">
        <v>293.92001299999998</v>
      </c>
      <c r="Y1150" s="228">
        <f t="shared" si="107"/>
        <v>-1.2763630213745825E-2</v>
      </c>
      <c r="Z1150" s="228"/>
      <c r="AA1150" s="202"/>
    </row>
    <row r="1151" spans="2:27" x14ac:dyDescent="0.15">
      <c r="B1151" s="241">
        <v>44335</v>
      </c>
      <c r="C1151" s="244"/>
      <c r="D1151" s="245">
        <v>93.782463000000007</v>
      </c>
      <c r="E1151" s="228">
        <f t="shared" si="102"/>
        <v>-2.958937732848721E-3</v>
      </c>
      <c r="F1151" s="228"/>
      <c r="G1151" s="245">
        <v>630.78002900000001</v>
      </c>
      <c r="H1151" s="228">
        <f t="shared" si="103"/>
        <v>-2.2302994282406008E-3</v>
      </c>
      <c r="J1151" s="227"/>
      <c r="K1151" s="245">
        <v>111.51245900000001</v>
      </c>
      <c r="L1151" s="228">
        <f t="shared" si="104"/>
        <v>1.407443531435848E-2</v>
      </c>
      <c r="M1151" s="228"/>
      <c r="N1151" s="227"/>
      <c r="O1151" s="322">
        <v>124.800003</v>
      </c>
      <c r="P1151" s="228">
        <f t="shared" si="105"/>
        <v>2.4546466210433771E-2</v>
      </c>
      <c r="Q1151" s="228"/>
      <c r="R1151" s="227"/>
      <c r="S1151" s="322">
        <v>602.20001200000002</v>
      </c>
      <c r="T1151" s="228">
        <f t="shared" si="106"/>
        <v>2.9700929321485159E-2</v>
      </c>
      <c r="U1151" s="228"/>
      <c r="V1151" s="228"/>
      <c r="W1151" s="228"/>
      <c r="X1151" s="322">
        <v>303.94000199999999</v>
      </c>
      <c r="Y1151" s="228">
        <f t="shared" si="107"/>
        <v>3.4090870157929665E-2</v>
      </c>
      <c r="Z1151" s="228"/>
      <c r="AA1151" s="202"/>
    </row>
    <row r="1152" spans="2:27" x14ac:dyDescent="0.15">
      <c r="B1152" s="241">
        <v>44336</v>
      </c>
      <c r="C1152" s="244"/>
      <c r="D1152" s="245">
        <v>94.786384999999996</v>
      </c>
      <c r="E1152" s="228">
        <f t="shared" si="102"/>
        <v>1.070479456271034E-2</v>
      </c>
      <c r="F1152" s="228"/>
      <c r="G1152" s="245">
        <v>648.77002000000005</v>
      </c>
      <c r="H1152" s="228">
        <f t="shared" si="103"/>
        <v>2.852022919704722E-2</v>
      </c>
      <c r="J1152" s="227"/>
      <c r="K1152" s="245">
        <v>112.38550600000001</v>
      </c>
      <c r="L1152" s="228">
        <f t="shared" si="104"/>
        <v>7.8291431094708042E-3</v>
      </c>
      <c r="M1152" s="228"/>
      <c r="N1152" s="227"/>
      <c r="O1152" s="322">
        <v>130.30999800000001</v>
      </c>
      <c r="P1152" s="228">
        <f t="shared" si="105"/>
        <v>4.4150599900226073E-2</v>
      </c>
      <c r="Q1152" s="228"/>
      <c r="R1152" s="227"/>
      <c r="S1152" s="322">
        <v>626.71997099999999</v>
      </c>
      <c r="T1152" s="228">
        <f t="shared" si="106"/>
        <v>4.0717300749572249E-2</v>
      </c>
      <c r="U1152" s="228"/>
      <c r="V1152" s="228"/>
      <c r="W1152" s="228"/>
      <c r="X1152" s="322">
        <v>313.35998499999999</v>
      </c>
      <c r="Y1152" s="228">
        <f t="shared" si="107"/>
        <v>3.0992903000638838E-2</v>
      </c>
      <c r="Z1152" s="228"/>
      <c r="AA1152" s="202"/>
    </row>
    <row r="1153" spans="2:27" x14ac:dyDescent="0.15">
      <c r="B1153" s="241">
        <v>44337</v>
      </c>
      <c r="C1153" s="244"/>
      <c r="D1153" s="245">
        <v>94.746628000000001</v>
      </c>
      <c r="E1153" s="228">
        <f t="shared" si="102"/>
        <v>-4.1943787601983473E-4</v>
      </c>
      <c r="F1153" s="228"/>
      <c r="G1153" s="245">
        <v>639.21997099999999</v>
      </c>
      <c r="H1153" s="228">
        <f t="shared" si="103"/>
        <v>-1.4720237843296236E-2</v>
      </c>
      <c r="J1153" s="227"/>
      <c r="K1153" s="245">
        <v>110.966797</v>
      </c>
      <c r="L1153" s="228">
        <f t="shared" si="104"/>
        <v>-1.2623594006864303E-2</v>
      </c>
      <c r="M1153" s="228"/>
      <c r="N1153" s="227"/>
      <c r="O1153" s="322">
        <v>128.66000399999999</v>
      </c>
      <c r="P1153" s="228">
        <f t="shared" si="105"/>
        <v>-1.2662067572129176E-2</v>
      </c>
      <c r="Q1153" s="228"/>
      <c r="R1153" s="227"/>
      <c r="S1153" s="322">
        <v>614.09997599999997</v>
      </c>
      <c r="T1153" s="228">
        <f t="shared" si="106"/>
        <v>-2.013657707422889E-2</v>
      </c>
      <c r="U1153" s="228"/>
      <c r="V1153" s="228"/>
      <c r="W1153" s="228"/>
      <c r="X1153" s="322">
        <v>310.14001500000001</v>
      </c>
      <c r="Y1153" s="228">
        <f t="shared" si="107"/>
        <v>-1.0275625970559088E-2</v>
      </c>
      <c r="Z1153" s="228"/>
      <c r="AA1153" s="202"/>
    </row>
    <row r="1154" spans="2:27" x14ac:dyDescent="0.15">
      <c r="B1154" s="241">
        <v>44340</v>
      </c>
      <c r="C1154" s="244"/>
      <c r="D1154" s="245">
        <v>95.641220000000004</v>
      </c>
      <c r="E1154" s="228">
        <f t="shared" si="102"/>
        <v>9.4419402450924839E-3</v>
      </c>
      <c r="F1154" s="228"/>
      <c r="G1154" s="245">
        <v>658.95001200000002</v>
      </c>
      <c r="H1154" s="228">
        <f t="shared" si="103"/>
        <v>3.0865808164807884E-2</v>
      </c>
      <c r="J1154" s="227"/>
      <c r="K1154" s="245">
        <v>112.732742</v>
      </c>
      <c r="L1154" s="228">
        <f t="shared" si="104"/>
        <v>1.5914174759860789E-2</v>
      </c>
      <c r="M1154" s="228"/>
      <c r="N1154" s="227"/>
      <c r="O1154" s="322">
        <v>134.58000200000001</v>
      </c>
      <c r="P1154" s="228">
        <f t="shared" si="105"/>
        <v>4.601272979907578E-2</v>
      </c>
      <c r="Q1154" s="228"/>
      <c r="R1154" s="227"/>
      <c r="S1154" s="322">
        <v>634.64001499999995</v>
      </c>
      <c r="T1154" s="228">
        <f t="shared" si="106"/>
        <v>3.3447386097927412E-2</v>
      </c>
      <c r="U1154" s="228"/>
      <c r="V1154" s="228"/>
      <c r="W1154" s="228"/>
      <c r="X1154" s="322">
        <v>317.54998799999998</v>
      </c>
      <c r="Y1154" s="228">
        <f t="shared" si="107"/>
        <v>2.3892347461194285E-2</v>
      </c>
      <c r="Z1154" s="228"/>
      <c r="AA1154" s="202"/>
    </row>
    <row r="1155" spans="2:27" x14ac:dyDescent="0.15">
      <c r="B1155" s="241">
        <v>44341</v>
      </c>
      <c r="C1155" s="244"/>
      <c r="D1155" s="245">
        <v>95.352965999999995</v>
      </c>
      <c r="E1155" s="228">
        <f t="shared" si="102"/>
        <v>-3.0139096929128195E-3</v>
      </c>
      <c r="F1155" s="228"/>
      <c r="G1155" s="245">
        <v>672.28997800000002</v>
      </c>
      <c r="H1155" s="228">
        <f t="shared" si="103"/>
        <v>2.0244276131828887E-2</v>
      </c>
      <c r="J1155" s="227"/>
      <c r="K1155" s="245">
        <v>113.37760900000001</v>
      </c>
      <c r="L1155" s="228">
        <f t="shared" si="104"/>
        <v>5.7203168179835728E-3</v>
      </c>
      <c r="M1155" s="228"/>
      <c r="N1155" s="227"/>
      <c r="O1155" s="322">
        <v>137.5</v>
      </c>
      <c r="P1155" s="228">
        <f t="shared" si="105"/>
        <v>2.169711663401519E-2</v>
      </c>
      <c r="Q1155" s="228"/>
      <c r="R1155" s="227"/>
      <c r="S1155" s="322">
        <v>640.36999500000002</v>
      </c>
      <c r="T1155" s="228">
        <f t="shared" si="106"/>
        <v>9.0287089760643369E-3</v>
      </c>
      <c r="U1155" s="228"/>
      <c r="V1155" s="228"/>
      <c r="W1155" s="228"/>
      <c r="X1155" s="322">
        <v>317.92001299999998</v>
      </c>
      <c r="Y1155" s="228">
        <f t="shared" si="107"/>
        <v>1.1652496110312605E-3</v>
      </c>
      <c r="Z1155" s="228"/>
      <c r="AA1155" s="202"/>
    </row>
    <row r="1156" spans="2:27" x14ac:dyDescent="0.15">
      <c r="B1156" s="241">
        <v>44342</v>
      </c>
      <c r="C1156" s="244"/>
      <c r="D1156" s="245">
        <v>95.750557000000001</v>
      </c>
      <c r="E1156" s="228">
        <f t="shared" si="102"/>
        <v>4.1696762741496585E-3</v>
      </c>
      <c r="F1156" s="228"/>
      <c r="G1156" s="245">
        <v>665.77002000000005</v>
      </c>
      <c r="H1156" s="228">
        <f t="shared" si="103"/>
        <v>-9.6981335634308552E-3</v>
      </c>
      <c r="J1156" s="227"/>
      <c r="K1156" s="245">
        <v>115.08403</v>
      </c>
      <c r="L1156" s="228">
        <f t="shared" si="104"/>
        <v>1.5050776031094282E-2</v>
      </c>
      <c r="M1156" s="228"/>
      <c r="N1156" s="227"/>
      <c r="O1156" s="322">
        <v>136.89999399999999</v>
      </c>
      <c r="P1156" s="228">
        <f t="shared" si="105"/>
        <v>-4.3636800000000919E-3</v>
      </c>
      <c r="Q1156" s="228"/>
      <c r="R1156" s="227"/>
      <c r="S1156" s="322">
        <v>638.03997800000002</v>
      </c>
      <c r="T1156" s="228">
        <f t="shared" si="106"/>
        <v>-3.6385480553317029E-3</v>
      </c>
      <c r="U1156" s="228"/>
      <c r="V1156" s="228"/>
      <c r="W1156" s="228"/>
      <c r="X1156" s="322">
        <v>317.39001500000001</v>
      </c>
      <c r="Y1156" s="228">
        <f t="shared" si="107"/>
        <v>-1.6670797003269788E-3</v>
      </c>
      <c r="Z1156" s="228"/>
      <c r="AA1156" s="202"/>
    </row>
    <row r="1157" spans="2:27" x14ac:dyDescent="0.15">
      <c r="B1157" s="241">
        <v>44343</v>
      </c>
      <c r="C1157" s="244"/>
      <c r="D1157" s="245">
        <v>95.959289999999996</v>
      </c>
      <c r="E1157" s="228">
        <f t="shared" si="102"/>
        <v>2.1799664309001265E-3</v>
      </c>
      <c r="F1157" s="228"/>
      <c r="G1157" s="245">
        <v>665.09002699999996</v>
      </c>
      <c r="H1157" s="228">
        <f t="shared" si="103"/>
        <v>-1.0213632028670538E-3</v>
      </c>
      <c r="J1157" s="227"/>
      <c r="K1157" s="245">
        <v>114.85584299999999</v>
      </c>
      <c r="L1157" s="228">
        <f t="shared" si="104"/>
        <v>-1.9827859695216166E-3</v>
      </c>
      <c r="M1157" s="228"/>
      <c r="N1157" s="227"/>
      <c r="O1157" s="322">
        <v>137.820007</v>
      </c>
      <c r="P1157" s="228">
        <f t="shared" si="105"/>
        <v>6.7203290016215611E-3</v>
      </c>
      <c r="Q1157" s="228"/>
      <c r="R1157" s="227"/>
      <c r="S1157" s="322">
        <v>645.70001200000002</v>
      </c>
      <c r="T1157" s="228">
        <f t="shared" si="106"/>
        <v>1.2005570597646731E-2</v>
      </c>
      <c r="U1157" s="228"/>
      <c r="V1157" s="228"/>
      <c r="W1157" s="228"/>
      <c r="X1157" s="322">
        <v>316.540009</v>
      </c>
      <c r="Y1157" s="228">
        <f t="shared" si="107"/>
        <v>-2.6781119752617988E-3</v>
      </c>
      <c r="Z1157" s="228"/>
      <c r="AA1157" s="202"/>
    </row>
    <row r="1158" spans="2:27" x14ac:dyDescent="0.15">
      <c r="B1158" s="241">
        <v>44344</v>
      </c>
      <c r="C1158" s="244"/>
      <c r="D1158" s="245">
        <v>96.138205999999997</v>
      </c>
      <c r="E1158" s="228">
        <f t="shared" si="102"/>
        <v>1.8644989974394566E-3</v>
      </c>
      <c r="F1158" s="228"/>
      <c r="G1158" s="245">
        <v>675.46997099999999</v>
      </c>
      <c r="H1158" s="228">
        <f t="shared" si="103"/>
        <v>1.5606825510255273E-2</v>
      </c>
      <c r="J1158" s="227"/>
      <c r="K1158" s="245">
        <v>116.433296</v>
      </c>
      <c r="L1158" s="228">
        <f t="shared" si="104"/>
        <v>1.3734198964522992E-2</v>
      </c>
      <c r="M1158" s="228"/>
      <c r="N1158" s="227"/>
      <c r="O1158" s="322">
        <v>138.13000500000001</v>
      </c>
      <c r="P1158" s="228">
        <f t="shared" si="105"/>
        <v>2.2492960691840036E-3</v>
      </c>
      <c r="Q1158" s="228"/>
      <c r="R1158" s="227"/>
      <c r="S1158" s="322">
        <v>649.84997599999997</v>
      </c>
      <c r="T1158" s="228">
        <f t="shared" si="106"/>
        <v>6.4270774707682055E-3</v>
      </c>
      <c r="U1158" s="228"/>
      <c r="V1158" s="228"/>
      <c r="W1158" s="228"/>
      <c r="X1158" s="322">
        <v>316.89001500000001</v>
      </c>
      <c r="Y1158" s="228">
        <f t="shared" si="107"/>
        <v>1.1057243635828051E-3</v>
      </c>
      <c r="Z1158" s="228"/>
      <c r="AA1158" s="202"/>
    </row>
    <row r="1159" spans="2:27" x14ac:dyDescent="0.15">
      <c r="B1159" s="241">
        <v>44348</v>
      </c>
      <c r="C1159" s="244"/>
      <c r="D1159" s="245">
        <v>96.177963000000005</v>
      </c>
      <c r="E1159" s="228">
        <f t="shared" si="102"/>
        <v>4.1354006543459221E-4</v>
      </c>
      <c r="F1159" s="228"/>
      <c r="G1159" s="245">
        <v>671.79998799999998</v>
      </c>
      <c r="H1159" s="228">
        <f t="shared" si="103"/>
        <v>-5.4332289480859552E-3</v>
      </c>
      <c r="J1159" s="227"/>
      <c r="K1159" s="245">
        <v>117.57421100000001</v>
      </c>
      <c r="L1159" s="228">
        <f t="shared" si="104"/>
        <v>9.7988723088282548E-3</v>
      </c>
      <c r="M1159" s="228"/>
      <c r="N1159" s="227"/>
      <c r="O1159" s="322">
        <v>138.21000699999999</v>
      </c>
      <c r="P1159" s="228">
        <f t="shared" si="105"/>
        <v>5.7917901327786403E-4</v>
      </c>
      <c r="Q1159" s="228"/>
      <c r="R1159" s="227"/>
      <c r="S1159" s="322">
        <v>649.03997800000002</v>
      </c>
      <c r="T1159" s="228">
        <f t="shared" si="106"/>
        <v>-1.2464384548964702E-3</v>
      </c>
      <c r="U1159" s="228"/>
      <c r="V1159" s="228"/>
      <c r="W1159" s="228"/>
      <c r="X1159" s="322">
        <v>315.73001099999999</v>
      </c>
      <c r="Y1159" s="228">
        <f t="shared" si="107"/>
        <v>-3.6605886745911809E-3</v>
      </c>
      <c r="Z1159" s="228"/>
      <c r="AA1159" s="202"/>
    </row>
    <row r="1160" spans="2:27" x14ac:dyDescent="0.15">
      <c r="B1160" s="241">
        <v>44349</v>
      </c>
      <c r="C1160" s="244"/>
      <c r="D1160" s="245">
        <v>96.287315000000007</v>
      </c>
      <c r="E1160" s="228">
        <f t="shared" si="102"/>
        <v>1.136975629230097E-3</v>
      </c>
      <c r="F1160" s="228"/>
      <c r="G1160" s="245">
        <v>674.09002699999996</v>
      </c>
      <c r="H1160" s="228">
        <f t="shared" si="103"/>
        <v>3.4088107188237071E-3</v>
      </c>
      <c r="J1160" s="227"/>
      <c r="K1160" s="245">
        <v>118.010735</v>
      </c>
      <c r="L1160" s="228">
        <f t="shared" si="104"/>
        <v>3.7127529607661192E-3</v>
      </c>
      <c r="M1160" s="228"/>
      <c r="N1160" s="227"/>
      <c r="O1160" s="322">
        <v>139.009995</v>
      </c>
      <c r="P1160" s="228">
        <f t="shared" si="105"/>
        <v>5.7882060594933726E-3</v>
      </c>
      <c r="Q1160" s="228"/>
      <c r="R1160" s="227"/>
      <c r="S1160" s="322">
        <v>648.98999000000003</v>
      </c>
      <c r="T1160" s="228">
        <f t="shared" si="106"/>
        <v>-7.7018368196735132E-5</v>
      </c>
      <c r="U1160" s="228"/>
      <c r="V1160" s="228"/>
      <c r="W1160" s="228"/>
      <c r="X1160" s="322">
        <v>315.58999599999999</v>
      </c>
      <c r="Y1160" s="228">
        <f t="shared" si="107"/>
        <v>-4.4346433700281906E-4</v>
      </c>
      <c r="Z1160" s="228"/>
      <c r="AA1160" s="202"/>
    </row>
    <row r="1161" spans="2:27" x14ac:dyDescent="0.15">
      <c r="B1161" s="241">
        <v>44350</v>
      </c>
      <c r="C1161" s="244"/>
      <c r="D1161" s="245">
        <v>95.830070000000006</v>
      </c>
      <c r="E1161" s="228">
        <f t="shared" ref="E1161:E1224" si="108">D1161/D1160-1</f>
        <v>-4.7487563652595099E-3</v>
      </c>
      <c r="F1161" s="228"/>
      <c r="G1161" s="245">
        <v>665.89001499999995</v>
      </c>
      <c r="H1161" s="228">
        <f t="shared" ref="H1161:H1224" si="109">G1161/G1160-1</f>
        <v>-1.2164565075222566E-2</v>
      </c>
      <c r="J1161" s="227"/>
      <c r="K1161" s="245">
        <v>115.897552</v>
      </c>
      <c r="L1161" s="228">
        <f t="shared" ref="L1161:L1224" si="110">K1161/K1160-1</f>
        <v>-1.7906701453897278E-2</v>
      </c>
      <c r="M1161" s="228"/>
      <c r="N1161" s="227"/>
      <c r="O1161" s="322">
        <v>136.38000500000001</v>
      </c>
      <c r="P1161" s="228">
        <f t="shared" ref="P1161:P1224" si="111">O1161/O1160-1</f>
        <v>-1.8919430937322068E-2</v>
      </c>
      <c r="Q1161" s="228"/>
      <c r="R1161" s="227"/>
      <c r="S1161" s="322">
        <v>635.78002900000001</v>
      </c>
      <c r="T1161" s="228">
        <f t="shared" ref="T1161:T1224" si="112">S1161/S1160-1</f>
        <v>-2.0354645223418677E-2</v>
      </c>
      <c r="U1161" s="228"/>
      <c r="V1161" s="228"/>
      <c r="W1161" s="228"/>
      <c r="X1161" s="322">
        <v>308.77999899999998</v>
      </c>
      <c r="Y1161" s="228">
        <f t="shared" ref="Y1161:Y1224" si="113">X1161/X1160-1</f>
        <v>-2.1578621269097598E-2</v>
      </c>
      <c r="Z1161" s="228"/>
      <c r="AA1161" s="202"/>
    </row>
    <row r="1162" spans="2:27" x14ac:dyDescent="0.15">
      <c r="B1162" s="241">
        <v>44351</v>
      </c>
      <c r="C1162" s="244"/>
      <c r="D1162" s="245">
        <v>96.674965</v>
      </c>
      <c r="E1162" s="228">
        <f t="shared" si="108"/>
        <v>8.8165958764299113E-3</v>
      </c>
      <c r="F1162" s="228"/>
      <c r="G1162" s="245">
        <v>683.29998799999998</v>
      </c>
      <c r="H1162" s="228">
        <f t="shared" si="109"/>
        <v>2.6145418324075687E-2</v>
      </c>
      <c r="J1162" s="227"/>
      <c r="K1162" s="245">
        <v>118.566315</v>
      </c>
      <c r="L1162" s="228">
        <f t="shared" si="110"/>
        <v>2.3026914321710557E-2</v>
      </c>
      <c r="M1162" s="228"/>
      <c r="N1162" s="227"/>
      <c r="O1162" s="322">
        <v>139.85000600000001</v>
      </c>
      <c r="P1162" s="228">
        <f t="shared" si="111"/>
        <v>2.5443619832687281E-2</v>
      </c>
      <c r="Q1162" s="228"/>
      <c r="R1162" s="227"/>
      <c r="S1162" s="322">
        <v>655.30999799999995</v>
      </c>
      <c r="T1162" s="228">
        <f t="shared" si="112"/>
        <v>3.0718122792749547E-2</v>
      </c>
      <c r="U1162" s="228"/>
      <c r="V1162" s="228"/>
      <c r="W1162" s="228"/>
      <c r="X1162" s="322">
        <v>316.98998999999998</v>
      </c>
      <c r="Y1162" s="228">
        <f t="shared" si="113"/>
        <v>2.6588480557641292E-2</v>
      </c>
      <c r="Z1162" s="228"/>
      <c r="AA1162" s="202"/>
    </row>
    <row r="1163" spans="2:27" x14ac:dyDescent="0.15">
      <c r="B1163" s="241">
        <v>44354</v>
      </c>
      <c r="C1163" s="244"/>
      <c r="D1163" s="245">
        <v>96.784301999999997</v>
      </c>
      <c r="E1163" s="228">
        <f t="shared" si="108"/>
        <v>1.1309753254111765E-3</v>
      </c>
      <c r="F1163" s="228"/>
      <c r="G1163" s="245">
        <v>681.97997999999995</v>
      </c>
      <c r="H1163" s="228">
        <f t="shared" si="109"/>
        <v>-1.9318132931096521E-3</v>
      </c>
      <c r="J1163" s="227"/>
      <c r="K1163" s="245">
        <v>117.286507</v>
      </c>
      <c r="L1163" s="228">
        <f t="shared" si="110"/>
        <v>-1.0794026954451641E-2</v>
      </c>
      <c r="M1163" s="228"/>
      <c r="N1163" s="227"/>
      <c r="O1163" s="322">
        <v>138.970001</v>
      </c>
      <c r="P1163" s="228">
        <f t="shared" si="111"/>
        <v>-6.2924916856994528E-3</v>
      </c>
      <c r="Q1163" s="228"/>
      <c r="R1163" s="227"/>
      <c r="S1163" s="322">
        <v>649.580017</v>
      </c>
      <c r="T1163" s="228">
        <f t="shared" si="112"/>
        <v>-8.7439242762781255E-3</v>
      </c>
      <c r="U1163" s="228"/>
      <c r="V1163" s="228"/>
      <c r="W1163" s="228"/>
      <c r="X1163" s="322">
        <v>318.54998799999998</v>
      </c>
      <c r="Y1163" s="228">
        <f t="shared" si="113"/>
        <v>4.9212847383603986E-3</v>
      </c>
      <c r="Z1163" s="228"/>
      <c r="AA1163" s="202"/>
    </row>
    <row r="1164" spans="2:27" x14ac:dyDescent="0.15">
      <c r="B1164" s="241">
        <v>44355</v>
      </c>
      <c r="C1164" s="244"/>
      <c r="D1164" s="245">
        <v>96.883697999999995</v>
      </c>
      <c r="E1164" s="228">
        <f t="shared" si="108"/>
        <v>1.026984727337199E-3</v>
      </c>
      <c r="F1164" s="228"/>
      <c r="G1164" s="245">
        <v>680.72997999999995</v>
      </c>
      <c r="H1164" s="228">
        <f t="shared" si="109"/>
        <v>-1.8328983792162967E-3</v>
      </c>
      <c r="J1164" s="227"/>
      <c r="K1164" s="245">
        <v>115.004662</v>
      </c>
      <c r="L1164" s="228">
        <f t="shared" si="110"/>
        <v>-1.9455306994520694E-2</v>
      </c>
      <c r="M1164" s="228"/>
      <c r="N1164" s="227"/>
      <c r="O1164" s="322">
        <v>135.86000100000001</v>
      </c>
      <c r="P1164" s="228">
        <f t="shared" si="111"/>
        <v>-2.2378930543434206E-2</v>
      </c>
      <c r="Q1164" s="228"/>
      <c r="R1164" s="227"/>
      <c r="S1164" s="322">
        <v>637.54998799999998</v>
      </c>
      <c r="T1164" s="228">
        <f t="shared" si="112"/>
        <v>-1.8519703016048883E-2</v>
      </c>
      <c r="U1164" s="228"/>
      <c r="V1164" s="228"/>
      <c r="W1164" s="228"/>
      <c r="X1164" s="322">
        <v>313.79998799999998</v>
      </c>
      <c r="Y1164" s="228">
        <f t="shared" si="113"/>
        <v>-1.4911317466444252E-2</v>
      </c>
      <c r="Z1164" s="228"/>
      <c r="AA1164" s="202"/>
    </row>
    <row r="1165" spans="2:27" x14ac:dyDescent="0.15">
      <c r="B1165" s="241">
        <v>44356</v>
      </c>
      <c r="C1165" s="244"/>
      <c r="D1165" s="245">
        <v>96.655074999999997</v>
      </c>
      <c r="E1165" s="228">
        <f t="shared" si="108"/>
        <v>-2.3597674812123604E-3</v>
      </c>
      <c r="F1165" s="228"/>
      <c r="G1165" s="245">
        <v>682.59002699999996</v>
      </c>
      <c r="H1165" s="228">
        <f t="shared" si="109"/>
        <v>2.7324299717195188E-3</v>
      </c>
      <c r="J1165" s="227"/>
      <c r="K1165" s="245">
        <v>116.205101</v>
      </c>
      <c r="L1165" s="228">
        <f t="shared" si="110"/>
        <v>1.0438176845387392E-2</v>
      </c>
      <c r="M1165" s="228"/>
      <c r="N1165" s="227"/>
      <c r="O1165" s="322">
        <v>134.64999399999999</v>
      </c>
      <c r="P1165" s="228">
        <f t="shared" si="111"/>
        <v>-8.9062784564533093E-3</v>
      </c>
      <c r="Q1165" s="228"/>
      <c r="R1165" s="227"/>
      <c r="S1165" s="322">
        <v>634.09002699999996</v>
      </c>
      <c r="T1165" s="228">
        <f t="shared" si="112"/>
        <v>-5.4269642618204328E-3</v>
      </c>
      <c r="U1165" s="228"/>
      <c r="V1165" s="228"/>
      <c r="W1165" s="228"/>
      <c r="X1165" s="322">
        <v>314.16000400000001</v>
      </c>
      <c r="Y1165" s="228">
        <f t="shared" si="113"/>
        <v>1.1472785652242301E-3</v>
      </c>
      <c r="Z1165" s="228"/>
      <c r="AA1165" s="202"/>
    </row>
    <row r="1166" spans="2:27" x14ac:dyDescent="0.15">
      <c r="B1166" s="241">
        <v>44357</v>
      </c>
      <c r="C1166" s="244"/>
      <c r="D1166" s="245">
        <v>97.099472000000006</v>
      </c>
      <c r="E1166" s="228">
        <f t="shared" si="108"/>
        <v>4.5977616798704712E-3</v>
      </c>
      <c r="F1166" s="228"/>
      <c r="G1166" s="245">
        <v>699.94000200000005</v>
      </c>
      <c r="H1166" s="228">
        <f t="shared" si="109"/>
        <v>2.5417855980483184E-2</v>
      </c>
      <c r="J1166" s="227"/>
      <c r="K1166" s="245">
        <v>117.306343</v>
      </c>
      <c r="L1166" s="228">
        <f t="shared" si="110"/>
        <v>9.4767096325658606E-3</v>
      </c>
      <c r="M1166" s="228"/>
      <c r="N1166" s="227"/>
      <c r="O1166" s="322">
        <v>137.16000399999999</v>
      </c>
      <c r="P1166" s="228">
        <f t="shared" si="111"/>
        <v>1.8640996003312038E-2</v>
      </c>
      <c r="Q1166" s="228"/>
      <c r="R1166" s="227"/>
      <c r="S1166" s="322">
        <v>640.77002000000005</v>
      </c>
      <c r="T1166" s="228">
        <f t="shared" si="112"/>
        <v>1.0534770640699742E-2</v>
      </c>
      <c r="U1166" s="228"/>
      <c r="V1166" s="228"/>
      <c r="W1166" s="228"/>
      <c r="X1166" s="322">
        <v>319.30999800000001</v>
      </c>
      <c r="Y1166" s="228">
        <f t="shared" si="113"/>
        <v>1.6392901497416457E-2</v>
      </c>
      <c r="Z1166" s="228"/>
      <c r="AA1166" s="202"/>
    </row>
    <row r="1167" spans="2:27" x14ac:dyDescent="0.15">
      <c r="B1167" s="241">
        <v>44358</v>
      </c>
      <c r="C1167" s="244"/>
      <c r="D1167" s="245">
        <v>97.398398999999998</v>
      </c>
      <c r="E1167" s="228">
        <f t="shared" si="108"/>
        <v>3.0785646290640845E-3</v>
      </c>
      <c r="F1167" s="228"/>
      <c r="G1167" s="245">
        <v>697.03002900000001</v>
      </c>
      <c r="H1167" s="228">
        <f t="shared" si="109"/>
        <v>-4.157460627603915E-3</v>
      </c>
      <c r="J1167" s="227"/>
      <c r="K1167" s="245">
        <v>117.31626900000001</v>
      </c>
      <c r="L1167" s="228">
        <f t="shared" si="110"/>
        <v>8.4616055246122812E-5</v>
      </c>
      <c r="M1167" s="228"/>
      <c r="N1167" s="227"/>
      <c r="O1167" s="322">
        <v>136.820007</v>
      </c>
      <c r="P1167" s="228">
        <f t="shared" si="111"/>
        <v>-2.4788348650091052E-3</v>
      </c>
      <c r="Q1167" s="228"/>
      <c r="R1167" s="227"/>
      <c r="S1167" s="322">
        <v>642.10998500000005</v>
      </c>
      <c r="T1167" s="228">
        <f t="shared" si="112"/>
        <v>2.0911792970588206E-3</v>
      </c>
      <c r="U1167" s="228"/>
      <c r="V1167" s="228"/>
      <c r="W1167" s="228"/>
      <c r="X1167" s="322">
        <v>320.10998499999999</v>
      </c>
      <c r="Y1167" s="228">
        <f t="shared" si="113"/>
        <v>2.5053615765580073E-3</v>
      </c>
      <c r="Z1167" s="228"/>
      <c r="AA1167" s="202"/>
    </row>
    <row r="1168" spans="2:27" x14ac:dyDescent="0.15">
      <c r="B1168" s="241">
        <v>44361</v>
      </c>
      <c r="C1168" s="244"/>
      <c r="D1168" s="245">
        <v>97.517966999999999</v>
      </c>
      <c r="E1168" s="228">
        <f t="shared" si="108"/>
        <v>1.2276177147430012E-3</v>
      </c>
      <c r="F1168" s="228"/>
      <c r="G1168" s="245">
        <v>709.330017</v>
      </c>
      <c r="H1168" s="228">
        <f t="shared" si="109"/>
        <v>1.7646281348375092E-2</v>
      </c>
      <c r="J1168" s="227"/>
      <c r="K1168" s="245">
        <v>120.034622</v>
      </c>
      <c r="L1168" s="228">
        <f t="shared" si="110"/>
        <v>2.3171151138466461E-2</v>
      </c>
      <c r="M1168" s="228"/>
      <c r="N1168" s="227"/>
      <c r="O1168" s="322">
        <v>139.029999</v>
      </c>
      <c r="P1168" s="228">
        <f t="shared" si="111"/>
        <v>1.6152549970268604E-2</v>
      </c>
      <c r="Q1168" s="228"/>
      <c r="R1168" s="227"/>
      <c r="S1168" s="322">
        <v>650.23999000000003</v>
      </c>
      <c r="T1168" s="228">
        <f t="shared" si="112"/>
        <v>1.2661390088802182E-2</v>
      </c>
      <c r="U1168" s="228"/>
      <c r="V1168" s="228"/>
      <c r="W1168" s="228"/>
      <c r="X1168" s="322">
        <v>325.209991</v>
      </c>
      <c r="Y1168" s="228">
        <f t="shared" si="113"/>
        <v>1.5932042857082385E-2</v>
      </c>
      <c r="Z1168" s="228"/>
      <c r="AA1168" s="202"/>
    </row>
    <row r="1169" spans="2:27" x14ac:dyDescent="0.15">
      <c r="B1169" s="241">
        <v>44362</v>
      </c>
      <c r="C1169" s="244"/>
      <c r="D1169" s="245">
        <v>97.238968</v>
      </c>
      <c r="E1169" s="228">
        <f t="shared" si="108"/>
        <v>-2.861000988669038E-3</v>
      </c>
      <c r="F1169" s="228"/>
      <c r="G1169" s="245">
        <v>701.78002900000001</v>
      </c>
      <c r="H1169" s="228">
        <f t="shared" si="109"/>
        <v>-1.0643829838093533E-2</v>
      </c>
      <c r="J1169" s="227"/>
      <c r="K1169" s="245">
        <v>118.506783</v>
      </c>
      <c r="L1169" s="228">
        <f t="shared" si="110"/>
        <v>-1.2728319334399996E-2</v>
      </c>
      <c r="M1169" s="228"/>
      <c r="N1169" s="227"/>
      <c r="O1169" s="322">
        <v>138.63999899999999</v>
      </c>
      <c r="P1169" s="228">
        <f t="shared" si="111"/>
        <v>-2.8051499878095632E-3</v>
      </c>
      <c r="Q1169" s="228"/>
      <c r="R1169" s="227"/>
      <c r="S1169" s="322">
        <v>643.47997999999995</v>
      </c>
      <c r="T1169" s="228">
        <f t="shared" si="112"/>
        <v>-1.0396176956142145E-2</v>
      </c>
      <c r="U1169" s="228"/>
      <c r="V1169" s="228"/>
      <c r="W1169" s="228"/>
      <c r="X1169" s="322">
        <v>320.58999599999999</v>
      </c>
      <c r="Y1169" s="228">
        <f t="shared" si="113"/>
        <v>-1.4206190239708927E-2</v>
      </c>
      <c r="Z1169" s="228"/>
      <c r="AA1169" s="202"/>
    </row>
    <row r="1170" spans="2:27" x14ac:dyDescent="0.15">
      <c r="B1170" s="241">
        <v>44363</v>
      </c>
      <c r="C1170" s="244"/>
      <c r="D1170" s="245">
        <v>96.810524000000001</v>
      </c>
      <c r="E1170" s="228">
        <f t="shared" si="108"/>
        <v>-4.4060936557862584E-3</v>
      </c>
      <c r="F1170" s="228"/>
      <c r="G1170" s="245">
        <v>699.04998799999998</v>
      </c>
      <c r="H1170" s="228">
        <f t="shared" si="109"/>
        <v>-3.8901662731699593E-3</v>
      </c>
      <c r="J1170" s="227"/>
      <c r="K1170" s="245">
        <v>117.088081</v>
      </c>
      <c r="L1170" s="228">
        <f t="shared" si="110"/>
        <v>-1.1971483522592918E-2</v>
      </c>
      <c r="M1170" s="228"/>
      <c r="N1170" s="227"/>
      <c r="O1170" s="322">
        <v>136.979996</v>
      </c>
      <c r="P1170" s="228">
        <f t="shared" si="111"/>
        <v>-1.1973478159070017E-2</v>
      </c>
      <c r="Q1170" s="228"/>
      <c r="R1170" s="227"/>
      <c r="S1170" s="322">
        <v>638.73999000000003</v>
      </c>
      <c r="T1170" s="228">
        <f t="shared" si="112"/>
        <v>-7.3661809960271496E-3</v>
      </c>
      <c r="U1170" s="228"/>
      <c r="V1170" s="228"/>
      <c r="W1170" s="228"/>
      <c r="X1170" s="322">
        <v>315.89999399999999</v>
      </c>
      <c r="Y1170" s="228">
        <f t="shared" si="113"/>
        <v>-1.4629283691060646E-2</v>
      </c>
      <c r="Z1170" s="228"/>
      <c r="AA1170" s="202"/>
    </row>
    <row r="1171" spans="2:27" x14ac:dyDescent="0.15">
      <c r="B1171" s="241">
        <v>44364</v>
      </c>
      <c r="C1171" s="244"/>
      <c r="D1171" s="245">
        <v>96.730812</v>
      </c>
      <c r="E1171" s="228">
        <f t="shared" si="108"/>
        <v>-8.233815571538905E-4</v>
      </c>
      <c r="F1171" s="228"/>
      <c r="G1171" s="245">
        <v>698.830017</v>
      </c>
      <c r="H1171" s="228">
        <f t="shared" si="109"/>
        <v>-3.1467134507690009E-4</v>
      </c>
      <c r="J1171" s="227"/>
      <c r="K1171" s="245">
        <v>118.63273599999999</v>
      </c>
      <c r="L1171" s="228">
        <f t="shared" si="110"/>
        <v>1.3192247979535887E-2</v>
      </c>
      <c r="M1171" s="228"/>
      <c r="N1171" s="227"/>
      <c r="O1171" s="322">
        <v>137.320007</v>
      </c>
      <c r="P1171" s="228">
        <f t="shared" si="111"/>
        <v>2.482194553429462E-3</v>
      </c>
      <c r="Q1171" s="228"/>
      <c r="R1171" s="227"/>
      <c r="S1171" s="322">
        <v>639.78002900000001</v>
      </c>
      <c r="T1171" s="228">
        <f t="shared" si="112"/>
        <v>1.6282666128355494E-3</v>
      </c>
      <c r="U1171" s="228"/>
      <c r="V1171" s="228"/>
      <c r="W1171" s="228"/>
      <c r="X1171" s="322">
        <v>318.42001299999998</v>
      </c>
      <c r="Y1171" s="228">
        <f t="shared" si="113"/>
        <v>7.9772682743386447E-3</v>
      </c>
      <c r="Z1171" s="228"/>
      <c r="AA1171" s="202"/>
    </row>
    <row r="1172" spans="2:27" x14ac:dyDescent="0.15">
      <c r="B1172" s="241">
        <v>44365</v>
      </c>
      <c r="C1172" s="244"/>
      <c r="D1172" s="245">
        <v>95.455414000000005</v>
      </c>
      <c r="E1172" s="228">
        <f t="shared" si="108"/>
        <v>-1.3185023196124912E-2</v>
      </c>
      <c r="F1172" s="228"/>
      <c r="G1172" s="245">
        <v>671.07000700000003</v>
      </c>
      <c r="H1172" s="228">
        <f t="shared" si="109"/>
        <v>-3.9723551256671263E-2</v>
      </c>
      <c r="J1172" s="227"/>
      <c r="K1172" s="245">
        <v>115.31635300000001</v>
      </c>
      <c r="L1172" s="228">
        <f t="shared" si="110"/>
        <v>-2.7955041009928183E-2</v>
      </c>
      <c r="M1172" s="228"/>
      <c r="N1172" s="227"/>
      <c r="O1172" s="322">
        <v>131.229996</v>
      </c>
      <c r="P1172" s="228">
        <f t="shared" si="111"/>
        <v>-4.4349043763156848E-2</v>
      </c>
      <c r="Q1172" s="228"/>
      <c r="R1172" s="227"/>
      <c r="S1172" s="322">
        <v>612.65997300000004</v>
      </c>
      <c r="T1172" s="228">
        <f t="shared" si="112"/>
        <v>-4.2389657023820582E-2</v>
      </c>
      <c r="U1172" s="228"/>
      <c r="V1172" s="228"/>
      <c r="W1172" s="228"/>
      <c r="X1172" s="322">
        <v>304.48001099999999</v>
      </c>
      <c r="Y1172" s="228">
        <f t="shared" si="113"/>
        <v>-4.3778661613207093E-2</v>
      </c>
      <c r="Z1172" s="228"/>
      <c r="AA1172" s="202"/>
    </row>
    <row r="1173" spans="2:27" x14ac:dyDescent="0.15">
      <c r="B1173" s="241">
        <v>44368</v>
      </c>
      <c r="C1173" s="244"/>
      <c r="D1173" s="245">
        <v>96.820480000000003</v>
      </c>
      <c r="E1173" s="228">
        <f t="shared" si="108"/>
        <v>1.4300561307083015E-2</v>
      </c>
      <c r="F1173" s="228"/>
      <c r="G1173" s="245">
        <v>680.65002400000003</v>
      </c>
      <c r="H1173" s="228">
        <f t="shared" si="109"/>
        <v>1.4275734126201201E-2</v>
      </c>
      <c r="J1173" s="227"/>
      <c r="K1173" s="245">
        <v>113.673103</v>
      </c>
      <c r="L1173" s="228">
        <f t="shared" si="110"/>
        <v>-1.4249930363302465E-2</v>
      </c>
      <c r="M1173" s="228"/>
      <c r="N1173" s="227"/>
      <c r="O1173" s="322">
        <v>133.050003</v>
      </c>
      <c r="P1173" s="228">
        <f t="shared" si="111"/>
        <v>1.3868833768767352E-2</v>
      </c>
      <c r="Q1173" s="228"/>
      <c r="R1173" s="227"/>
      <c r="S1173" s="322">
        <v>618.61999500000002</v>
      </c>
      <c r="T1173" s="228">
        <f t="shared" si="112"/>
        <v>9.7281073722110811E-3</v>
      </c>
      <c r="U1173" s="228"/>
      <c r="V1173" s="228"/>
      <c r="W1173" s="228"/>
      <c r="X1173" s="322">
        <v>308.80999800000001</v>
      </c>
      <c r="Y1173" s="228">
        <f t="shared" si="113"/>
        <v>1.4220923684872044E-2</v>
      </c>
      <c r="Z1173" s="228"/>
      <c r="AA1173" s="202"/>
    </row>
    <row r="1174" spans="2:27" x14ac:dyDescent="0.15">
      <c r="B1174" s="241">
        <v>44369</v>
      </c>
      <c r="C1174" s="244"/>
      <c r="D1174" s="245">
        <v>97.298759000000004</v>
      </c>
      <c r="E1174" s="228">
        <f t="shared" si="108"/>
        <v>4.9398536342724064E-3</v>
      </c>
      <c r="F1174" s="228"/>
      <c r="G1174" s="245">
        <v>685.80999799999995</v>
      </c>
      <c r="H1174" s="228">
        <f t="shared" si="109"/>
        <v>7.5809502946553309E-3</v>
      </c>
      <c r="J1174" s="227"/>
      <c r="K1174" s="245">
        <v>113.86232800000001</v>
      </c>
      <c r="L1174" s="228">
        <f t="shared" si="110"/>
        <v>1.6646418106489591E-3</v>
      </c>
      <c r="M1174" s="228"/>
      <c r="N1174" s="227"/>
      <c r="O1174" s="322">
        <v>133.44000199999999</v>
      </c>
      <c r="P1174" s="228">
        <f t="shared" si="111"/>
        <v>2.9312212792658165E-3</v>
      </c>
      <c r="Q1174" s="228"/>
      <c r="R1174" s="227"/>
      <c r="S1174" s="322">
        <v>621.78997800000002</v>
      </c>
      <c r="T1174" s="228">
        <f t="shared" si="112"/>
        <v>5.1242815066137037E-3</v>
      </c>
      <c r="U1174" s="228"/>
      <c r="V1174" s="228"/>
      <c r="W1174" s="228"/>
      <c r="X1174" s="322">
        <v>308.61999500000002</v>
      </c>
      <c r="Y1174" s="228">
        <f t="shared" si="113"/>
        <v>-6.1527476840306239E-4</v>
      </c>
      <c r="Z1174" s="228"/>
      <c r="AA1174" s="202"/>
    </row>
    <row r="1175" spans="2:27" x14ac:dyDescent="0.15">
      <c r="B1175" s="241">
        <v>44370</v>
      </c>
      <c r="C1175" s="244"/>
      <c r="D1175" s="245">
        <v>97.308723000000001</v>
      </c>
      <c r="E1175" s="228">
        <f t="shared" si="108"/>
        <v>1.0240623932311621E-4</v>
      </c>
      <c r="F1175" s="228"/>
      <c r="G1175" s="245">
        <v>681.65002400000003</v>
      </c>
      <c r="H1175" s="228">
        <f t="shared" si="109"/>
        <v>-6.0657820856089284E-3</v>
      </c>
      <c r="J1175" s="227"/>
      <c r="K1175" s="245">
        <v>115.575294</v>
      </c>
      <c r="L1175" s="228">
        <f t="shared" si="110"/>
        <v>1.5044185641452934E-2</v>
      </c>
      <c r="M1175" s="228"/>
      <c r="N1175" s="227"/>
      <c r="O1175" s="322">
        <v>135.5</v>
      </c>
      <c r="P1175" s="228">
        <f t="shared" si="111"/>
        <v>1.5437634660707023E-2</v>
      </c>
      <c r="Q1175" s="228"/>
      <c r="R1175" s="227"/>
      <c r="S1175" s="322">
        <v>624.21997099999999</v>
      </c>
      <c r="T1175" s="228">
        <f t="shared" si="112"/>
        <v>3.9080607375114873E-3</v>
      </c>
      <c r="U1175" s="228"/>
      <c r="V1175" s="228"/>
      <c r="W1175" s="228"/>
      <c r="X1175" s="322">
        <v>310.85998499999999</v>
      </c>
      <c r="Y1175" s="228">
        <f t="shared" si="113"/>
        <v>7.2580844931968702E-3</v>
      </c>
      <c r="Z1175" s="228"/>
      <c r="AA1175" s="202"/>
    </row>
    <row r="1176" spans="2:27" x14ac:dyDescent="0.15">
      <c r="B1176" s="241">
        <v>44371</v>
      </c>
      <c r="C1176" s="244"/>
      <c r="D1176" s="245">
        <v>97.916527000000002</v>
      </c>
      <c r="E1176" s="228">
        <f t="shared" si="108"/>
        <v>6.2461409549070535E-3</v>
      </c>
      <c r="F1176" s="228"/>
      <c r="G1176" s="245">
        <v>695</v>
      </c>
      <c r="H1176" s="228">
        <f t="shared" si="109"/>
        <v>1.9584795026721835E-2</v>
      </c>
      <c r="J1176" s="227"/>
      <c r="K1176" s="245">
        <v>116.76042200000001</v>
      </c>
      <c r="L1176" s="228">
        <f t="shared" si="110"/>
        <v>1.0254163835395458E-2</v>
      </c>
      <c r="M1176" s="228"/>
      <c r="N1176" s="227"/>
      <c r="O1176" s="322">
        <v>138.259995</v>
      </c>
      <c r="P1176" s="228">
        <f t="shared" si="111"/>
        <v>2.0368966789667819E-2</v>
      </c>
      <c r="Q1176" s="228"/>
      <c r="R1176" s="227"/>
      <c r="S1176" s="322">
        <v>635.02002000000005</v>
      </c>
      <c r="T1176" s="228">
        <f t="shared" si="112"/>
        <v>1.7301671689065712E-2</v>
      </c>
      <c r="U1176" s="228"/>
      <c r="V1176" s="228"/>
      <c r="W1176" s="228"/>
      <c r="X1176" s="322">
        <v>315.89001500000001</v>
      </c>
      <c r="Y1176" s="228">
        <f t="shared" si="113"/>
        <v>1.6181014742055133E-2</v>
      </c>
      <c r="Z1176" s="228"/>
      <c r="AA1176" s="202"/>
    </row>
    <row r="1177" spans="2:27" x14ac:dyDescent="0.15">
      <c r="B1177" s="241">
        <v>44372</v>
      </c>
      <c r="C1177" s="244"/>
      <c r="D1177" s="245">
        <v>98.305130000000005</v>
      </c>
      <c r="E1177" s="228">
        <f t="shared" si="108"/>
        <v>3.9687171502722496E-3</v>
      </c>
      <c r="F1177" s="228"/>
      <c r="G1177" s="245">
        <v>686.21002199999998</v>
      </c>
      <c r="H1177" s="228">
        <f t="shared" si="109"/>
        <v>-1.2647450359712265E-2</v>
      </c>
      <c r="J1177" s="227"/>
      <c r="K1177" s="245">
        <v>116.05332900000001</v>
      </c>
      <c r="L1177" s="228">
        <f t="shared" si="110"/>
        <v>-6.0559304932967795E-3</v>
      </c>
      <c r="M1177" s="228"/>
      <c r="N1177" s="227"/>
      <c r="O1177" s="322">
        <v>136.19000199999999</v>
      </c>
      <c r="P1177" s="228">
        <f t="shared" si="111"/>
        <v>-1.4971742187608328E-2</v>
      </c>
      <c r="Q1177" s="228"/>
      <c r="R1177" s="227"/>
      <c r="S1177" s="322">
        <v>630.44000200000005</v>
      </c>
      <c r="T1177" s="228">
        <f t="shared" si="112"/>
        <v>-7.2123993823061117E-3</v>
      </c>
      <c r="U1177" s="228"/>
      <c r="V1177" s="228"/>
      <c r="W1177" s="228"/>
      <c r="X1177" s="322">
        <v>316.26001000000002</v>
      </c>
      <c r="Y1177" s="228">
        <f t="shared" si="113"/>
        <v>1.171277920892777E-3</v>
      </c>
      <c r="Z1177" s="228"/>
      <c r="AA1177" s="202"/>
    </row>
    <row r="1178" spans="2:27" x14ac:dyDescent="0.15">
      <c r="B1178" s="241">
        <v>44375</v>
      </c>
      <c r="C1178" s="244"/>
      <c r="D1178" s="245">
        <v>98.444626</v>
      </c>
      <c r="E1178" s="228">
        <f t="shared" si="108"/>
        <v>1.4190103812485866E-3</v>
      </c>
      <c r="F1178" s="228"/>
      <c r="G1178" s="245">
        <v>704.10998500000005</v>
      </c>
      <c r="H1178" s="228">
        <f t="shared" si="109"/>
        <v>2.6085254406267078E-2</v>
      </c>
      <c r="J1178" s="227"/>
      <c r="K1178" s="245">
        <v>119.120728</v>
      </c>
      <c r="L1178" s="228">
        <f t="shared" si="110"/>
        <v>2.6430943656945871E-2</v>
      </c>
      <c r="M1178" s="228"/>
      <c r="N1178" s="227"/>
      <c r="O1178" s="322">
        <v>140.990005</v>
      </c>
      <c r="P1178" s="228">
        <f t="shared" si="111"/>
        <v>3.5244899989060885E-2</v>
      </c>
      <c r="Q1178" s="228"/>
      <c r="R1178" s="227"/>
      <c r="S1178" s="322">
        <v>646.96002199999998</v>
      </c>
      <c r="T1178" s="228">
        <f t="shared" si="112"/>
        <v>2.6203952711744138E-2</v>
      </c>
      <c r="U1178" s="228"/>
      <c r="V1178" s="228"/>
      <c r="W1178" s="228"/>
      <c r="X1178" s="322">
        <v>322.26001000000002</v>
      </c>
      <c r="Y1178" s="228">
        <f t="shared" si="113"/>
        <v>1.897173151926479E-2</v>
      </c>
      <c r="Z1178" s="228"/>
      <c r="AA1178" s="202"/>
    </row>
    <row r="1179" spans="2:27" x14ac:dyDescent="0.15">
      <c r="B1179" s="241">
        <v>44376</v>
      </c>
      <c r="C1179" s="244"/>
      <c r="D1179" s="245">
        <v>98.504401999999999</v>
      </c>
      <c r="E1179" s="228">
        <f t="shared" si="108"/>
        <v>6.0720429777449958E-4</v>
      </c>
      <c r="F1179" s="228"/>
      <c r="G1179" s="245">
        <v>703.67999299999997</v>
      </c>
      <c r="H1179" s="228">
        <f t="shared" si="109"/>
        <v>-6.1068868381419783E-4</v>
      </c>
      <c r="J1179" s="227"/>
      <c r="K1179" s="245">
        <v>119.738197</v>
      </c>
      <c r="L1179" s="228">
        <f t="shared" si="110"/>
        <v>5.1835562992865736E-3</v>
      </c>
      <c r="M1179" s="228"/>
      <c r="N1179" s="227"/>
      <c r="O1179" s="322">
        <v>141.91999799999999</v>
      </c>
      <c r="P1179" s="228">
        <f t="shared" si="111"/>
        <v>6.5961626145059071E-3</v>
      </c>
      <c r="Q1179" s="228"/>
      <c r="R1179" s="227"/>
      <c r="S1179" s="322">
        <v>651.78997800000002</v>
      </c>
      <c r="T1179" s="228">
        <f t="shared" si="112"/>
        <v>7.4656174040999002E-3</v>
      </c>
      <c r="U1179" s="228"/>
      <c r="V1179" s="228"/>
      <c r="W1179" s="228"/>
      <c r="X1179" s="322">
        <v>325.20001200000002</v>
      </c>
      <c r="Y1179" s="228">
        <f t="shared" si="113"/>
        <v>9.1230742529921915E-3</v>
      </c>
      <c r="Z1179" s="228"/>
      <c r="AA1179" s="202"/>
    </row>
    <row r="1180" spans="2:27" x14ac:dyDescent="0.15">
      <c r="B1180" s="241">
        <v>44377</v>
      </c>
      <c r="C1180" s="244"/>
      <c r="D1180" s="245">
        <v>98.404769999999999</v>
      </c>
      <c r="E1180" s="228">
        <f t="shared" si="108"/>
        <v>-1.0114471838527095E-3</v>
      </c>
      <c r="F1180" s="228"/>
      <c r="G1180" s="245">
        <v>690.84002699999996</v>
      </c>
      <c r="H1180" s="228">
        <f t="shared" si="109"/>
        <v>-1.8246882287017097E-2</v>
      </c>
      <c r="J1180" s="227"/>
      <c r="K1180" s="245">
        <v>119.66848</v>
      </c>
      <c r="L1180" s="228">
        <f t="shared" si="110"/>
        <v>-5.8224527967465356E-4</v>
      </c>
      <c r="M1180" s="228"/>
      <c r="N1180" s="227"/>
      <c r="O1180" s="322">
        <v>142.39999399999999</v>
      </c>
      <c r="P1180" s="228">
        <f t="shared" si="111"/>
        <v>3.3821590104587962E-3</v>
      </c>
      <c r="Q1180" s="228"/>
      <c r="R1180" s="227"/>
      <c r="S1180" s="322">
        <v>650.70001200000002</v>
      </c>
      <c r="T1180" s="228">
        <f t="shared" si="112"/>
        <v>-1.6722656634650113E-3</v>
      </c>
      <c r="U1180" s="228"/>
      <c r="V1180" s="228"/>
      <c r="W1180" s="228"/>
      <c r="X1180" s="322">
        <v>324.209991</v>
      </c>
      <c r="Y1180" s="228">
        <f t="shared" si="113"/>
        <v>-3.044344906112828E-3</v>
      </c>
      <c r="Z1180" s="228"/>
      <c r="AA1180" s="202"/>
    </row>
    <row r="1181" spans="2:27" x14ac:dyDescent="0.15">
      <c r="B1181" s="241">
        <v>44378</v>
      </c>
      <c r="C1181" s="244"/>
      <c r="D1181" s="245">
        <v>99.022530000000003</v>
      </c>
      <c r="E1181" s="228">
        <f t="shared" si="108"/>
        <v>6.2777444629971146E-3</v>
      </c>
      <c r="F1181" s="228"/>
      <c r="G1181" s="245">
        <v>679.30999799999995</v>
      </c>
      <c r="H1181" s="228">
        <f t="shared" si="109"/>
        <v>-1.6689868203018876E-2</v>
      </c>
      <c r="J1181" s="227"/>
      <c r="K1181" s="245">
        <v>117.935593</v>
      </c>
      <c r="L1181" s="228">
        <f t="shared" si="110"/>
        <v>-1.4480730431271516E-2</v>
      </c>
      <c r="M1181" s="228"/>
      <c r="N1181" s="227"/>
      <c r="O1181" s="322">
        <v>137.949997</v>
      </c>
      <c r="P1181" s="228">
        <f t="shared" si="111"/>
        <v>-3.1249980249296927E-2</v>
      </c>
      <c r="Q1181" s="228"/>
      <c r="R1181" s="227"/>
      <c r="S1181" s="322">
        <v>633.07000700000003</v>
      </c>
      <c r="T1181" s="228">
        <f t="shared" si="112"/>
        <v>-2.7093906062506723E-2</v>
      </c>
      <c r="U1181" s="228"/>
      <c r="V1181" s="228"/>
      <c r="W1181" s="228"/>
      <c r="X1181" s="322">
        <v>311.73998999999998</v>
      </c>
      <c r="Y1181" s="228">
        <f t="shared" si="113"/>
        <v>-3.846272892928837E-2</v>
      </c>
      <c r="Z1181" s="228"/>
      <c r="AA1181" s="202"/>
    </row>
    <row r="1182" spans="2:27" x14ac:dyDescent="0.15">
      <c r="B1182" s="241">
        <v>44379</v>
      </c>
      <c r="C1182" s="244"/>
      <c r="D1182" s="245">
        <v>99.540665000000004</v>
      </c>
      <c r="E1182" s="228">
        <f t="shared" si="108"/>
        <v>5.232496079427662E-3</v>
      </c>
      <c r="F1182" s="228"/>
      <c r="G1182" s="245">
        <v>687.53997800000002</v>
      </c>
      <c r="H1182" s="228">
        <f t="shared" si="109"/>
        <v>1.2115205170291077E-2</v>
      </c>
      <c r="J1182" s="227"/>
      <c r="K1182" s="245">
        <v>118.423599</v>
      </c>
      <c r="L1182" s="228">
        <f t="shared" si="110"/>
        <v>4.1379026262240437E-3</v>
      </c>
      <c r="M1182" s="228"/>
      <c r="N1182" s="227"/>
      <c r="O1182" s="322">
        <v>138.16000399999999</v>
      </c>
      <c r="P1182" s="228">
        <f t="shared" si="111"/>
        <v>1.5223414611600372E-3</v>
      </c>
      <c r="Q1182" s="228"/>
      <c r="R1182" s="227"/>
      <c r="S1182" s="322">
        <v>631.44000200000005</v>
      </c>
      <c r="T1182" s="228">
        <f t="shared" si="112"/>
        <v>-2.5747626360065334E-3</v>
      </c>
      <c r="U1182" s="228"/>
      <c r="V1182" s="228"/>
      <c r="W1182" s="228"/>
      <c r="X1182" s="322">
        <v>311.82000699999998</v>
      </c>
      <c r="Y1182" s="228">
        <f t="shared" si="113"/>
        <v>2.5667865069212148E-4</v>
      </c>
      <c r="Z1182" s="228"/>
      <c r="AA1182" s="202"/>
    </row>
    <row r="1183" spans="2:27" x14ac:dyDescent="0.15">
      <c r="B1183" s="241">
        <v>44383</v>
      </c>
      <c r="C1183" s="244"/>
      <c r="D1183" s="245">
        <v>99.271629000000004</v>
      </c>
      <c r="E1183" s="228">
        <f t="shared" si="108"/>
        <v>-2.7027747905843391E-3</v>
      </c>
      <c r="F1183" s="228"/>
      <c r="G1183" s="245">
        <v>685.86999500000002</v>
      </c>
      <c r="H1183" s="228">
        <f t="shared" si="109"/>
        <v>-2.4289249402745794E-3</v>
      </c>
      <c r="J1183" s="227"/>
      <c r="K1183" s="245">
        <v>119.55892900000001</v>
      </c>
      <c r="L1183" s="228">
        <f t="shared" si="110"/>
        <v>9.5870249645091388E-3</v>
      </c>
      <c r="M1183" s="228"/>
      <c r="N1183" s="227"/>
      <c r="O1183" s="322">
        <v>136.779999</v>
      </c>
      <c r="P1183" s="228">
        <f t="shared" si="111"/>
        <v>-9.9884551248274889E-3</v>
      </c>
      <c r="Q1183" s="228"/>
      <c r="R1183" s="227"/>
      <c r="S1183" s="322">
        <v>621.90002400000003</v>
      </c>
      <c r="T1183" s="228">
        <f t="shared" si="112"/>
        <v>-1.5108288942391135E-2</v>
      </c>
      <c r="U1183" s="228"/>
      <c r="V1183" s="228"/>
      <c r="W1183" s="228"/>
      <c r="X1183" s="322">
        <v>311.25</v>
      </c>
      <c r="Y1183" s="228">
        <f t="shared" si="113"/>
        <v>-1.8280000872425983E-3</v>
      </c>
      <c r="Z1183" s="228"/>
      <c r="AA1183" s="202"/>
    </row>
    <row r="1184" spans="2:27" x14ac:dyDescent="0.15">
      <c r="B1184" s="241">
        <v>44384</v>
      </c>
      <c r="C1184" s="244"/>
      <c r="D1184" s="245">
        <v>99.490844999999993</v>
      </c>
      <c r="E1184" s="228">
        <f t="shared" si="108"/>
        <v>2.2082442104378597E-3</v>
      </c>
      <c r="F1184" s="228"/>
      <c r="G1184" s="245">
        <v>690.17999299999997</v>
      </c>
      <c r="H1184" s="228">
        <f t="shared" si="109"/>
        <v>6.2839868071498106E-3</v>
      </c>
      <c r="J1184" s="227"/>
      <c r="K1184" s="245">
        <v>117.766296</v>
      </c>
      <c r="L1184" s="228">
        <f t="shared" si="110"/>
        <v>-1.4993719122392002E-2</v>
      </c>
      <c r="M1184" s="228"/>
      <c r="N1184" s="227"/>
      <c r="O1184" s="322">
        <v>134.86999499999999</v>
      </c>
      <c r="P1184" s="228">
        <f t="shared" si="111"/>
        <v>-1.3964059175055388E-2</v>
      </c>
      <c r="Q1184" s="228"/>
      <c r="R1184" s="227"/>
      <c r="S1184" s="322">
        <v>613.59002699999996</v>
      </c>
      <c r="T1184" s="228">
        <f t="shared" si="112"/>
        <v>-1.3362271553795657E-2</v>
      </c>
      <c r="U1184" s="228"/>
      <c r="V1184" s="228"/>
      <c r="W1184" s="228"/>
      <c r="X1184" s="322">
        <v>307.05999800000001</v>
      </c>
      <c r="Y1184" s="228">
        <f t="shared" si="113"/>
        <v>-1.3461853815260993E-2</v>
      </c>
      <c r="Z1184" s="228"/>
      <c r="AA1184" s="202"/>
    </row>
    <row r="1185" spans="2:27" x14ac:dyDescent="0.15">
      <c r="B1185" s="241">
        <v>44385</v>
      </c>
      <c r="C1185" s="244"/>
      <c r="D1185" s="245">
        <v>98.604042000000007</v>
      </c>
      <c r="E1185" s="228">
        <f t="shared" si="108"/>
        <v>-8.9134130884102047E-3</v>
      </c>
      <c r="F1185" s="228"/>
      <c r="G1185" s="245">
        <v>673.69000200000005</v>
      </c>
      <c r="H1185" s="228">
        <f t="shared" si="109"/>
        <v>-2.3892305148288884E-2</v>
      </c>
      <c r="J1185" s="227"/>
      <c r="K1185" s="245">
        <v>117.38784800000001</v>
      </c>
      <c r="L1185" s="228">
        <f t="shared" si="110"/>
        <v>-3.2135510146298341E-3</v>
      </c>
      <c r="M1185" s="228"/>
      <c r="N1185" s="227"/>
      <c r="O1185" s="322">
        <v>132.529999</v>
      </c>
      <c r="P1185" s="228">
        <f t="shared" si="111"/>
        <v>-1.7350011765033369E-2</v>
      </c>
      <c r="Q1185" s="228"/>
      <c r="R1185" s="227"/>
      <c r="S1185" s="322">
        <v>606.03002900000001</v>
      </c>
      <c r="T1185" s="228">
        <f t="shared" si="112"/>
        <v>-1.2320927113112834E-2</v>
      </c>
      <c r="U1185" s="228"/>
      <c r="V1185" s="228"/>
      <c r="W1185" s="228"/>
      <c r="X1185" s="322">
        <v>303.08999599999999</v>
      </c>
      <c r="Y1185" s="228">
        <f t="shared" si="113"/>
        <v>-1.2929075834879789E-2</v>
      </c>
      <c r="Z1185" s="228"/>
      <c r="AA1185" s="202"/>
    </row>
    <row r="1186" spans="2:27" x14ac:dyDescent="0.15">
      <c r="B1186" s="241">
        <v>44386</v>
      </c>
      <c r="C1186" s="244"/>
      <c r="D1186" s="245">
        <v>99.789764000000005</v>
      </c>
      <c r="E1186" s="228">
        <f t="shared" si="108"/>
        <v>1.202508513799061E-2</v>
      </c>
      <c r="F1186" s="228"/>
      <c r="G1186" s="245">
        <v>691.35998500000005</v>
      </c>
      <c r="H1186" s="228">
        <f t="shared" si="109"/>
        <v>2.6228655535250223E-2</v>
      </c>
      <c r="J1186" s="227"/>
      <c r="K1186" s="245">
        <v>120.066841</v>
      </c>
      <c r="L1186" s="228">
        <f t="shared" si="110"/>
        <v>2.2821723420638929E-2</v>
      </c>
      <c r="M1186" s="228"/>
      <c r="N1186" s="227"/>
      <c r="O1186" s="322">
        <v>134.89999399999999</v>
      </c>
      <c r="P1186" s="228">
        <f t="shared" si="111"/>
        <v>1.788270593739294E-2</v>
      </c>
      <c r="Q1186" s="228"/>
      <c r="R1186" s="227"/>
      <c r="S1186" s="322">
        <v>612.84997599999997</v>
      </c>
      <c r="T1186" s="228">
        <f t="shared" si="112"/>
        <v>1.1253480312276576E-2</v>
      </c>
      <c r="U1186" s="228"/>
      <c r="V1186" s="228"/>
      <c r="W1186" s="228"/>
      <c r="X1186" s="322">
        <v>308.76001000000002</v>
      </c>
      <c r="Y1186" s="228">
        <f t="shared" si="113"/>
        <v>1.8707361096801156E-2</v>
      </c>
      <c r="Z1186" s="228"/>
      <c r="AA1186" s="202"/>
    </row>
    <row r="1187" spans="2:27" x14ac:dyDescent="0.15">
      <c r="B1187" s="241">
        <v>44389</v>
      </c>
      <c r="C1187" s="244"/>
      <c r="D1187" s="245">
        <v>100.088684</v>
      </c>
      <c r="E1187" s="228">
        <f t="shared" si="108"/>
        <v>2.9954976143644618E-3</v>
      </c>
      <c r="F1187" s="228"/>
      <c r="G1187" s="245">
        <v>707.80999799999995</v>
      </c>
      <c r="H1187" s="228">
        <f t="shared" si="109"/>
        <v>2.3793701337805784E-2</v>
      </c>
      <c r="J1187" s="227"/>
      <c r="K1187" s="245">
        <v>122.128372</v>
      </c>
      <c r="L1187" s="228">
        <f t="shared" si="110"/>
        <v>1.7169861244204832E-2</v>
      </c>
      <c r="M1187" s="228"/>
      <c r="N1187" s="227"/>
      <c r="O1187" s="322">
        <v>136.800003</v>
      </c>
      <c r="P1187" s="228">
        <f t="shared" si="111"/>
        <v>1.4084574384784609E-2</v>
      </c>
      <c r="Q1187" s="228"/>
      <c r="R1187" s="227"/>
      <c r="S1187" s="322">
        <v>625.419983</v>
      </c>
      <c r="T1187" s="228">
        <f t="shared" si="112"/>
        <v>2.0510740788541648E-2</v>
      </c>
      <c r="U1187" s="228"/>
      <c r="V1187" s="228"/>
      <c r="W1187" s="228"/>
      <c r="X1187" s="322">
        <v>314.01998900000001</v>
      </c>
      <c r="Y1187" s="228">
        <f t="shared" si="113"/>
        <v>1.7035816911652457E-2</v>
      </c>
      <c r="Z1187" s="228"/>
      <c r="AA1187" s="202"/>
    </row>
    <row r="1188" spans="2:27" x14ac:dyDescent="0.15">
      <c r="B1188" s="241">
        <v>44390</v>
      </c>
      <c r="C1188" s="244"/>
      <c r="D1188" s="245">
        <v>99.520729000000003</v>
      </c>
      <c r="E1188" s="228">
        <f t="shared" si="108"/>
        <v>-5.6745176108020656E-3</v>
      </c>
      <c r="F1188" s="228"/>
      <c r="G1188" s="245">
        <v>706.419983</v>
      </c>
      <c r="H1188" s="228">
        <f t="shared" si="109"/>
        <v>-1.9638250433415827E-3</v>
      </c>
      <c r="J1188" s="227"/>
      <c r="K1188" s="245">
        <v>123.393181</v>
      </c>
      <c r="L1188" s="228">
        <f t="shared" si="110"/>
        <v>1.0356389586524628E-2</v>
      </c>
      <c r="M1188" s="228"/>
      <c r="N1188" s="227"/>
      <c r="O1188" s="322">
        <v>136.28999300000001</v>
      </c>
      <c r="P1188" s="228">
        <f t="shared" si="111"/>
        <v>-3.7281431930962228E-3</v>
      </c>
      <c r="Q1188" s="228"/>
      <c r="R1188" s="227"/>
      <c r="S1188" s="322">
        <v>624.669983</v>
      </c>
      <c r="T1188" s="228">
        <f t="shared" si="112"/>
        <v>-1.1991941741330558E-3</v>
      </c>
      <c r="U1188" s="228"/>
      <c r="V1188" s="228"/>
      <c r="W1188" s="228"/>
      <c r="X1188" s="322">
        <v>311.60998499999999</v>
      </c>
      <c r="Y1188" s="228">
        <f t="shared" si="113"/>
        <v>-7.6746834100424044E-3</v>
      </c>
      <c r="Z1188" s="228"/>
      <c r="AA1188" s="202"/>
    </row>
    <row r="1189" spans="2:27" x14ac:dyDescent="0.15">
      <c r="B1189" s="241">
        <v>44391</v>
      </c>
      <c r="C1189" s="244"/>
      <c r="D1189" s="245">
        <v>99.441024999999996</v>
      </c>
      <c r="E1189" s="228">
        <f t="shared" si="108"/>
        <v>-8.008783778101769E-4</v>
      </c>
      <c r="F1189" s="228"/>
      <c r="G1189" s="245">
        <v>716.51000999999997</v>
      </c>
      <c r="H1189" s="228">
        <f t="shared" si="109"/>
        <v>1.4283326127256357E-2</v>
      </c>
      <c r="J1189" s="227"/>
      <c r="K1189" s="245">
        <v>123.88118</v>
      </c>
      <c r="L1189" s="228">
        <f t="shared" si="110"/>
        <v>3.9548295622591212E-3</v>
      </c>
      <c r="M1189" s="228"/>
      <c r="N1189" s="227"/>
      <c r="O1189" s="322">
        <v>135.64999399999999</v>
      </c>
      <c r="P1189" s="228">
        <f t="shared" si="111"/>
        <v>-4.695862006537932E-3</v>
      </c>
      <c r="Q1189" s="228"/>
      <c r="R1189" s="227"/>
      <c r="S1189" s="322">
        <v>617.88000499999998</v>
      </c>
      <c r="T1189" s="228">
        <f t="shared" si="112"/>
        <v>-1.0869704299526162E-2</v>
      </c>
      <c r="U1189" s="228"/>
      <c r="V1189" s="228"/>
      <c r="W1189" s="228"/>
      <c r="X1189" s="322">
        <v>309.11999500000002</v>
      </c>
      <c r="Y1189" s="228">
        <f t="shared" si="113"/>
        <v>-7.9907259711204937E-3</v>
      </c>
      <c r="Z1189" s="228"/>
      <c r="AA1189" s="202"/>
    </row>
    <row r="1190" spans="2:27" x14ac:dyDescent="0.15">
      <c r="B1190" s="241">
        <v>44392</v>
      </c>
      <c r="C1190" s="244"/>
      <c r="D1190" s="245">
        <v>99.102242000000004</v>
      </c>
      <c r="E1190" s="228">
        <f t="shared" si="108"/>
        <v>-3.4068735715464538E-3</v>
      </c>
      <c r="F1190" s="228"/>
      <c r="G1190" s="245">
        <v>703.94000200000005</v>
      </c>
      <c r="H1190" s="228">
        <f t="shared" si="109"/>
        <v>-1.7543380866374636E-2</v>
      </c>
      <c r="J1190" s="227"/>
      <c r="K1190" s="245">
        <v>117.04924</v>
      </c>
      <c r="L1190" s="228">
        <f t="shared" si="110"/>
        <v>-5.5149135647561631E-2</v>
      </c>
      <c r="M1190" s="228"/>
      <c r="N1190" s="227"/>
      <c r="O1190" s="322">
        <v>133.199997</v>
      </c>
      <c r="P1190" s="228">
        <f t="shared" si="111"/>
        <v>-1.8061165561127801E-2</v>
      </c>
      <c r="Q1190" s="228"/>
      <c r="R1190" s="227"/>
      <c r="S1190" s="322">
        <v>610.73999000000003</v>
      </c>
      <c r="T1190" s="228">
        <f t="shared" si="112"/>
        <v>-1.1555666055256042E-2</v>
      </c>
      <c r="U1190" s="228"/>
      <c r="V1190" s="228"/>
      <c r="W1190" s="228"/>
      <c r="X1190" s="322">
        <v>303.75</v>
      </c>
      <c r="Y1190" s="228">
        <f t="shared" si="113"/>
        <v>-1.7371878515978989E-2</v>
      </c>
      <c r="Z1190" s="228"/>
      <c r="AA1190" s="202"/>
    </row>
    <row r="1191" spans="2:27" x14ac:dyDescent="0.15">
      <c r="B1191" s="241">
        <v>44393</v>
      </c>
      <c r="C1191" s="244"/>
      <c r="D1191" s="245">
        <v>98.285194000000004</v>
      </c>
      <c r="E1191" s="228">
        <f t="shared" si="108"/>
        <v>-8.2444956189789975E-3</v>
      </c>
      <c r="F1191" s="228"/>
      <c r="G1191" s="245">
        <v>687.419983</v>
      </c>
      <c r="H1191" s="228">
        <f t="shared" si="109"/>
        <v>-2.3467936121067345E-2</v>
      </c>
      <c r="J1191" s="227"/>
      <c r="K1191" s="245">
        <v>115.26655599999999</v>
      </c>
      <c r="L1191" s="228">
        <f t="shared" si="110"/>
        <v>-1.5230205680959563E-2</v>
      </c>
      <c r="M1191" s="228"/>
      <c r="N1191" s="227"/>
      <c r="O1191" s="322">
        <v>128.179993</v>
      </c>
      <c r="P1191" s="228">
        <f t="shared" si="111"/>
        <v>-3.7687718566540185E-2</v>
      </c>
      <c r="Q1191" s="228"/>
      <c r="R1191" s="227"/>
      <c r="S1191" s="322">
        <v>588.47997999999995</v>
      </c>
      <c r="T1191" s="228">
        <f t="shared" si="112"/>
        <v>-3.6447605142083561E-2</v>
      </c>
      <c r="U1191" s="228"/>
      <c r="V1191" s="228"/>
      <c r="W1191" s="228"/>
      <c r="X1191" s="322">
        <v>293.22000100000002</v>
      </c>
      <c r="Y1191" s="228">
        <f t="shared" si="113"/>
        <v>-3.466666337448554E-2</v>
      </c>
      <c r="Z1191" s="228"/>
      <c r="AA1191" s="202"/>
    </row>
    <row r="1192" spans="2:27" x14ac:dyDescent="0.15">
      <c r="B1192" s="241">
        <v>44396</v>
      </c>
      <c r="C1192" s="244"/>
      <c r="D1192" s="245">
        <v>96.979911999999999</v>
      </c>
      <c r="E1192" s="228">
        <f t="shared" si="108"/>
        <v>-1.3280555767128166E-2</v>
      </c>
      <c r="F1192" s="228"/>
      <c r="G1192" s="245">
        <v>684</v>
      </c>
      <c r="H1192" s="228">
        <f t="shared" si="109"/>
        <v>-4.9750997709939737E-3</v>
      </c>
      <c r="J1192" s="227"/>
      <c r="K1192" s="245">
        <v>114.878151</v>
      </c>
      <c r="L1192" s="228">
        <f t="shared" si="110"/>
        <v>-3.3696244034565614E-3</v>
      </c>
      <c r="M1192" s="228"/>
      <c r="N1192" s="227"/>
      <c r="O1192" s="322">
        <v>128.61999499999999</v>
      </c>
      <c r="P1192" s="228">
        <f t="shared" si="111"/>
        <v>3.4326885943891661E-3</v>
      </c>
      <c r="Q1192" s="228"/>
      <c r="R1192" s="227"/>
      <c r="S1192" s="322">
        <v>591.52002000000005</v>
      </c>
      <c r="T1192" s="228">
        <f t="shared" si="112"/>
        <v>5.1659191532735793E-3</v>
      </c>
      <c r="U1192" s="228"/>
      <c r="V1192" s="228"/>
      <c r="W1192" s="228"/>
      <c r="X1192" s="322">
        <v>294.32998700000002</v>
      </c>
      <c r="Y1192" s="228">
        <f t="shared" si="113"/>
        <v>3.7855057506803735E-3</v>
      </c>
      <c r="Z1192" s="228"/>
      <c r="AA1192" s="202"/>
    </row>
    <row r="1193" spans="2:27" x14ac:dyDescent="0.15">
      <c r="B1193" s="241">
        <v>44397</v>
      </c>
      <c r="C1193" s="244"/>
      <c r="D1193" s="245">
        <v>98.504401999999999</v>
      </c>
      <c r="E1193" s="228">
        <f t="shared" si="108"/>
        <v>1.5719647178067175E-2</v>
      </c>
      <c r="F1193" s="228"/>
      <c r="G1193" s="245">
        <v>684.04998799999998</v>
      </c>
      <c r="H1193" s="228">
        <f t="shared" si="109"/>
        <v>7.3081871345026528E-5</v>
      </c>
      <c r="J1193" s="227"/>
      <c r="K1193" s="245">
        <v>115.92385899999999</v>
      </c>
      <c r="L1193" s="228">
        <f t="shared" si="110"/>
        <v>9.102757930008698E-3</v>
      </c>
      <c r="M1193" s="228"/>
      <c r="N1193" s="227"/>
      <c r="O1193" s="322">
        <v>131.970001</v>
      </c>
      <c r="P1193" s="228">
        <f t="shared" si="111"/>
        <v>2.6045763724372728E-2</v>
      </c>
      <c r="Q1193" s="228"/>
      <c r="R1193" s="227"/>
      <c r="S1193" s="322">
        <v>607.09002699999996</v>
      </c>
      <c r="T1193" s="228">
        <f t="shared" si="112"/>
        <v>2.6322028796252672E-2</v>
      </c>
      <c r="U1193" s="228"/>
      <c r="V1193" s="228"/>
      <c r="W1193" s="228"/>
      <c r="X1193" s="322">
        <v>302.76998900000001</v>
      </c>
      <c r="Y1193" s="228">
        <f t="shared" si="113"/>
        <v>2.867530449760114E-2</v>
      </c>
      <c r="Z1193" s="228"/>
      <c r="AA1193" s="202"/>
    </row>
    <row r="1194" spans="2:27" x14ac:dyDescent="0.15">
      <c r="B1194" s="241">
        <v>44398</v>
      </c>
      <c r="C1194" s="244"/>
      <c r="D1194" s="245">
        <v>99.460953000000003</v>
      </c>
      <c r="E1194" s="228">
        <f t="shared" si="108"/>
        <v>9.7107436883887566E-3</v>
      </c>
      <c r="F1194" s="228"/>
      <c r="G1194" s="245">
        <v>721</v>
      </c>
      <c r="H1194" s="228">
        <f t="shared" si="109"/>
        <v>5.4016537750454674E-2</v>
      </c>
      <c r="J1194" s="227"/>
      <c r="K1194" s="245">
        <v>117.38784800000001</v>
      </c>
      <c r="L1194" s="228">
        <f t="shared" si="110"/>
        <v>1.2628884274806795E-2</v>
      </c>
      <c r="M1194" s="228"/>
      <c r="N1194" s="227"/>
      <c r="O1194" s="322">
        <v>138</v>
      </c>
      <c r="P1194" s="228">
        <f t="shared" si="111"/>
        <v>4.5692194849646262E-2</v>
      </c>
      <c r="Q1194" s="228"/>
      <c r="R1194" s="227"/>
      <c r="S1194" s="322">
        <v>637.25</v>
      </c>
      <c r="T1194" s="228">
        <f t="shared" si="112"/>
        <v>4.9679572482912882E-2</v>
      </c>
      <c r="U1194" s="228"/>
      <c r="V1194" s="228"/>
      <c r="W1194" s="228"/>
      <c r="X1194" s="322">
        <v>316.88000499999998</v>
      </c>
      <c r="Y1194" s="228">
        <f t="shared" si="113"/>
        <v>4.6603086543032468E-2</v>
      </c>
      <c r="Z1194" s="228"/>
      <c r="AA1194" s="202"/>
    </row>
    <row r="1195" spans="2:27" x14ac:dyDescent="0.15">
      <c r="B1195" s="241">
        <v>44399</v>
      </c>
      <c r="C1195" s="244"/>
      <c r="D1195" s="245">
        <v>99.480873000000003</v>
      </c>
      <c r="E1195" s="228">
        <f t="shared" si="108"/>
        <v>2.0027960118174093E-4</v>
      </c>
      <c r="F1195" s="228"/>
      <c r="G1195" s="245">
        <v>729.919983</v>
      </c>
      <c r="H1195" s="228">
        <f t="shared" si="109"/>
        <v>1.2371682385575511E-2</v>
      </c>
      <c r="J1195" s="227"/>
      <c r="K1195" s="245">
        <v>116.083206</v>
      </c>
      <c r="L1195" s="228">
        <f t="shared" si="110"/>
        <v>-1.1113944264486419E-2</v>
      </c>
      <c r="M1195" s="228"/>
      <c r="N1195" s="227"/>
      <c r="O1195" s="322">
        <v>137.179993</v>
      </c>
      <c r="P1195" s="228">
        <f t="shared" si="111"/>
        <v>-5.9420797101449319E-3</v>
      </c>
      <c r="Q1195" s="228"/>
      <c r="R1195" s="227"/>
      <c r="S1195" s="322">
        <v>635.92999299999997</v>
      </c>
      <c r="T1195" s="228">
        <f t="shared" si="112"/>
        <v>-2.0714115339349748E-3</v>
      </c>
      <c r="U1195" s="228"/>
      <c r="V1195" s="228"/>
      <c r="W1195" s="228"/>
      <c r="X1195" s="322">
        <v>314.35998499999999</v>
      </c>
      <c r="Y1195" s="228">
        <f t="shared" si="113"/>
        <v>-7.9526002279631802E-3</v>
      </c>
      <c r="Z1195" s="228"/>
      <c r="AA1195" s="202"/>
    </row>
    <row r="1196" spans="2:27" x14ac:dyDescent="0.15">
      <c r="B1196" s="241">
        <v>44400</v>
      </c>
      <c r="C1196" s="244"/>
      <c r="D1196" s="245">
        <v>100.47727999999999</v>
      </c>
      <c r="E1196" s="228">
        <f t="shared" si="108"/>
        <v>1.0016066103480936E-2</v>
      </c>
      <c r="F1196" s="228"/>
      <c r="G1196" s="245">
        <v>748.14001499999995</v>
      </c>
      <c r="H1196" s="228">
        <f t="shared" si="109"/>
        <v>2.4961684053524502E-2</v>
      </c>
      <c r="J1196" s="227"/>
      <c r="K1196" s="245">
        <v>116.312263</v>
      </c>
      <c r="L1196" s="228">
        <f t="shared" si="110"/>
        <v>1.9732139375956415E-3</v>
      </c>
      <c r="M1196" s="228"/>
      <c r="N1196" s="227"/>
      <c r="O1196" s="322">
        <v>138.429993</v>
      </c>
      <c r="P1196" s="228">
        <f t="shared" si="111"/>
        <v>9.1121159336988722E-3</v>
      </c>
      <c r="Q1196" s="228"/>
      <c r="R1196" s="227"/>
      <c r="S1196" s="322">
        <v>640.27002000000005</v>
      </c>
      <c r="T1196" s="228">
        <f t="shared" si="112"/>
        <v>6.824693044474861E-3</v>
      </c>
      <c r="U1196" s="228"/>
      <c r="V1196" s="228"/>
      <c r="W1196" s="228"/>
      <c r="X1196" s="322">
        <v>320.76001000000002</v>
      </c>
      <c r="Y1196" s="228">
        <f t="shared" si="113"/>
        <v>2.0358904776000664E-2</v>
      </c>
      <c r="Z1196" s="228"/>
      <c r="AA1196" s="202"/>
    </row>
    <row r="1197" spans="2:27" x14ac:dyDescent="0.15">
      <c r="B1197" s="241">
        <v>44403</v>
      </c>
      <c r="C1197" s="244"/>
      <c r="D1197" s="245">
        <v>100.67656700000001</v>
      </c>
      <c r="E1197" s="228">
        <f t="shared" si="108"/>
        <v>1.9834036112442721E-3</v>
      </c>
      <c r="F1197" s="228"/>
      <c r="G1197" s="245">
        <v>754.09002699999996</v>
      </c>
      <c r="H1197" s="228">
        <f t="shared" si="109"/>
        <v>7.9530727948029512E-3</v>
      </c>
      <c r="J1197" s="227"/>
      <c r="K1197" s="245">
        <v>115.17693300000001</v>
      </c>
      <c r="L1197" s="228">
        <f t="shared" si="110"/>
        <v>-9.7610515926424002E-3</v>
      </c>
      <c r="M1197" s="228"/>
      <c r="N1197" s="227"/>
      <c r="O1197" s="322">
        <v>138.479996</v>
      </c>
      <c r="P1197" s="228">
        <f t="shared" si="111"/>
        <v>3.6121507280584275E-4</v>
      </c>
      <c r="Q1197" s="228"/>
      <c r="R1197" s="227"/>
      <c r="S1197" s="322">
        <v>640.39001499999995</v>
      </c>
      <c r="T1197" s="228">
        <f t="shared" si="112"/>
        <v>1.8741311673453609E-4</v>
      </c>
      <c r="U1197" s="228"/>
      <c r="V1197" s="228"/>
      <c r="W1197" s="228"/>
      <c r="X1197" s="322">
        <v>318.63000499999998</v>
      </c>
      <c r="Y1197" s="228">
        <f t="shared" si="113"/>
        <v>-6.6404942436559811E-3</v>
      </c>
      <c r="Z1197" s="228"/>
      <c r="AA1197" s="202"/>
    </row>
    <row r="1198" spans="2:27" x14ac:dyDescent="0.15">
      <c r="B1198" s="241">
        <v>44404</v>
      </c>
      <c r="C1198" s="244"/>
      <c r="D1198" s="245">
        <v>100.138504</v>
      </c>
      <c r="E1198" s="228">
        <f t="shared" si="108"/>
        <v>-5.3444710723996591E-3</v>
      </c>
      <c r="F1198" s="228"/>
      <c r="G1198" s="245">
        <v>745.59997599999997</v>
      </c>
      <c r="H1198" s="228">
        <f t="shared" si="109"/>
        <v>-1.1258670312583208E-2</v>
      </c>
      <c r="J1198" s="227"/>
      <c r="K1198" s="245">
        <v>113.07556200000001</v>
      </c>
      <c r="L1198" s="228">
        <f t="shared" si="110"/>
        <v>-1.8244720928625502E-2</v>
      </c>
      <c r="M1198" s="228"/>
      <c r="N1198" s="227"/>
      <c r="O1198" s="322">
        <v>134.89999399999999</v>
      </c>
      <c r="P1198" s="228">
        <f t="shared" si="111"/>
        <v>-2.5852123796999638E-2</v>
      </c>
      <c r="Q1198" s="228"/>
      <c r="R1198" s="227"/>
      <c r="S1198" s="322">
        <v>622.59002699999996</v>
      </c>
      <c r="T1198" s="228">
        <f t="shared" si="112"/>
        <v>-2.7795542689715402E-2</v>
      </c>
      <c r="U1198" s="228"/>
      <c r="V1198" s="228"/>
      <c r="W1198" s="228"/>
      <c r="X1198" s="322">
        <v>309</v>
      </c>
      <c r="Y1198" s="228">
        <f t="shared" si="113"/>
        <v>-3.0223158048156784E-2</v>
      </c>
      <c r="Z1198" s="228"/>
      <c r="AA1198" s="202"/>
    </row>
    <row r="1199" spans="2:27" x14ac:dyDescent="0.15">
      <c r="B1199" s="241">
        <v>44405</v>
      </c>
      <c r="C1199" s="244"/>
      <c r="D1199" s="245">
        <v>100.31785600000001</v>
      </c>
      <c r="E1199" s="228">
        <f t="shared" si="108"/>
        <v>1.7910393388742563E-3</v>
      </c>
      <c r="F1199" s="228"/>
      <c r="G1199" s="245">
        <v>759.85998500000005</v>
      </c>
      <c r="H1199" s="228">
        <f t="shared" si="109"/>
        <v>1.9125549167131606E-2</v>
      </c>
      <c r="J1199" s="227"/>
      <c r="K1199" s="245">
        <v>114.599304</v>
      </c>
      <c r="L1199" s="228">
        <f t="shared" si="110"/>
        <v>1.3475431587949949E-2</v>
      </c>
      <c r="M1199" s="228"/>
      <c r="N1199" s="227"/>
      <c r="O1199" s="322">
        <v>137.21000699999999</v>
      </c>
      <c r="P1199" s="228">
        <f t="shared" si="111"/>
        <v>1.7123892533308815E-2</v>
      </c>
      <c r="Q1199" s="228"/>
      <c r="R1199" s="227"/>
      <c r="S1199" s="322">
        <v>635</v>
      </c>
      <c r="T1199" s="228">
        <f t="shared" si="112"/>
        <v>1.9932816880794624E-2</v>
      </c>
      <c r="U1199" s="228"/>
      <c r="V1199" s="228"/>
      <c r="W1199" s="228"/>
      <c r="X1199" s="322">
        <v>315.57000699999998</v>
      </c>
      <c r="Y1199" s="228">
        <f t="shared" si="113"/>
        <v>2.1262158576051737E-2</v>
      </c>
      <c r="Z1199" s="228"/>
      <c r="AA1199" s="202"/>
    </row>
    <row r="1200" spans="2:27" x14ac:dyDescent="0.15">
      <c r="B1200" s="241">
        <v>44406</v>
      </c>
      <c r="C1200" s="244"/>
      <c r="D1200" s="245">
        <v>100.73634300000001</v>
      </c>
      <c r="E1200" s="228">
        <f t="shared" si="108"/>
        <v>4.1716102864080007E-3</v>
      </c>
      <c r="F1200" s="228"/>
      <c r="G1200" s="245">
        <v>765.71002199999998</v>
      </c>
      <c r="H1200" s="228">
        <f t="shared" si="109"/>
        <v>7.6988354637466117E-3</v>
      </c>
      <c r="J1200" s="227"/>
      <c r="K1200" s="245">
        <v>115.674881</v>
      </c>
      <c r="L1200" s="228">
        <f t="shared" si="110"/>
        <v>9.3855456574152285E-3</v>
      </c>
      <c r="M1200" s="228"/>
      <c r="N1200" s="227"/>
      <c r="O1200" s="322">
        <v>137.5</v>
      </c>
      <c r="P1200" s="228">
        <f t="shared" si="111"/>
        <v>2.1134974506633597E-3</v>
      </c>
      <c r="Q1200" s="228"/>
      <c r="R1200" s="227"/>
      <c r="S1200" s="322">
        <v>619.63000499999998</v>
      </c>
      <c r="T1200" s="228">
        <f t="shared" si="112"/>
        <v>-2.4204716535433102E-2</v>
      </c>
      <c r="U1200" s="228"/>
      <c r="V1200" s="228"/>
      <c r="W1200" s="228"/>
      <c r="X1200" s="322">
        <v>319.42999300000002</v>
      </c>
      <c r="Y1200" s="228">
        <f t="shared" si="113"/>
        <v>1.2231789822789052E-2</v>
      </c>
      <c r="Z1200" s="228"/>
      <c r="AA1200" s="202"/>
    </row>
    <row r="1201" spans="2:27" x14ac:dyDescent="0.15">
      <c r="B1201" s="241">
        <v>44407</v>
      </c>
      <c r="C1201" s="244"/>
      <c r="D1201" s="245">
        <v>100.19828800000001</v>
      </c>
      <c r="E1201" s="228">
        <f t="shared" si="108"/>
        <v>-5.3412202982194845E-3</v>
      </c>
      <c r="F1201" s="228"/>
      <c r="G1201" s="245">
        <v>766.73999000000003</v>
      </c>
      <c r="H1201" s="228">
        <f t="shared" si="109"/>
        <v>1.3451149526682027E-3</v>
      </c>
      <c r="J1201" s="227"/>
      <c r="K1201" s="245">
        <v>116.16288</v>
      </c>
      <c r="L1201" s="228">
        <f t="shared" si="110"/>
        <v>4.2187119258847439E-3</v>
      </c>
      <c r="M1201" s="228"/>
      <c r="N1201" s="227"/>
      <c r="O1201" s="322">
        <v>139.929993</v>
      </c>
      <c r="P1201" s="228">
        <f t="shared" si="111"/>
        <v>1.7672676363636342E-2</v>
      </c>
      <c r="Q1201" s="228"/>
      <c r="R1201" s="227"/>
      <c r="S1201" s="322">
        <v>637.40997300000004</v>
      </c>
      <c r="T1201" s="228">
        <f t="shared" si="112"/>
        <v>2.8694491642637709E-2</v>
      </c>
      <c r="U1201" s="228"/>
      <c r="V1201" s="228"/>
      <c r="W1201" s="228"/>
      <c r="X1201" s="322">
        <v>348.16000400000001</v>
      </c>
      <c r="Y1201" s="228">
        <f t="shared" si="113"/>
        <v>8.9941494629779406E-2</v>
      </c>
      <c r="Z1201" s="228"/>
      <c r="AA1201" s="202"/>
    </row>
    <row r="1202" spans="2:27" x14ac:dyDescent="0.15">
      <c r="B1202" s="241">
        <v>44410</v>
      </c>
      <c r="C1202" s="244"/>
      <c r="D1202" s="245">
        <v>100.06875599999999</v>
      </c>
      <c r="E1202" s="228">
        <f t="shared" si="108"/>
        <v>-1.2927566187559414E-3</v>
      </c>
      <c r="F1202" s="228"/>
      <c r="G1202" s="245">
        <v>769.65002400000003</v>
      </c>
      <c r="H1202" s="228">
        <f t="shared" si="109"/>
        <v>3.7953335393396959E-3</v>
      </c>
      <c r="J1202" s="227"/>
      <c r="K1202" s="245">
        <v>116.381981</v>
      </c>
      <c r="L1202" s="228">
        <f t="shared" si="110"/>
        <v>1.8861533047389578E-3</v>
      </c>
      <c r="M1202" s="228"/>
      <c r="N1202" s="227"/>
      <c r="O1202" s="322">
        <v>142.009995</v>
      </c>
      <c r="P1202" s="228">
        <f t="shared" si="111"/>
        <v>1.4864590181177251E-2</v>
      </c>
      <c r="Q1202" s="228"/>
      <c r="R1202" s="227"/>
      <c r="S1202" s="322">
        <v>641.79998799999998</v>
      </c>
      <c r="T1202" s="228">
        <f t="shared" si="112"/>
        <v>6.8872706514744308E-3</v>
      </c>
      <c r="U1202" s="228"/>
      <c r="V1202" s="228"/>
      <c r="W1202" s="228"/>
      <c r="X1202" s="322">
        <v>345.91000400000001</v>
      </c>
      <c r="Y1202" s="228">
        <f t="shared" si="113"/>
        <v>-6.4625458816343073E-3</v>
      </c>
      <c r="Z1202" s="228"/>
      <c r="AA1202" s="202"/>
    </row>
    <row r="1203" spans="2:27" x14ac:dyDescent="0.15">
      <c r="B1203" s="241">
        <v>44411</v>
      </c>
      <c r="C1203" s="244"/>
      <c r="D1203" s="245">
        <v>100.786171</v>
      </c>
      <c r="E1203" s="228">
        <f t="shared" si="108"/>
        <v>7.16922073059445E-3</v>
      </c>
      <c r="F1203" s="228"/>
      <c r="G1203" s="245">
        <v>779.53002900000001</v>
      </c>
      <c r="H1203" s="228">
        <f t="shared" si="109"/>
        <v>1.2837009929073995E-2</v>
      </c>
      <c r="J1203" s="227"/>
      <c r="K1203" s="245">
        <v>117.92564400000001</v>
      </c>
      <c r="L1203" s="228">
        <f t="shared" si="110"/>
        <v>1.3263762884393682E-2</v>
      </c>
      <c r="M1203" s="228"/>
      <c r="N1203" s="227"/>
      <c r="O1203" s="322">
        <v>142.16000399999999</v>
      </c>
      <c r="P1203" s="228">
        <f t="shared" si="111"/>
        <v>1.0563270564158955E-3</v>
      </c>
      <c r="Q1203" s="228"/>
      <c r="R1203" s="227"/>
      <c r="S1203" s="322">
        <v>645.52002000000005</v>
      </c>
      <c r="T1203" s="228">
        <f t="shared" si="112"/>
        <v>5.7962481607276573E-3</v>
      </c>
      <c r="U1203" s="228"/>
      <c r="V1203" s="228"/>
      <c r="W1203" s="228"/>
      <c r="X1203" s="322">
        <v>346.89001500000001</v>
      </c>
      <c r="Y1203" s="228">
        <f t="shared" si="113"/>
        <v>2.8331386449291784E-3</v>
      </c>
      <c r="Z1203" s="228"/>
      <c r="AA1203" s="202"/>
    </row>
    <row r="1204" spans="2:27" x14ac:dyDescent="0.15">
      <c r="B1204" s="241">
        <v>44412</v>
      </c>
      <c r="C1204" s="244"/>
      <c r="D1204" s="245">
        <v>100.248108</v>
      </c>
      <c r="E1204" s="228">
        <f t="shared" si="108"/>
        <v>-5.3386590110660048E-3</v>
      </c>
      <c r="F1204" s="228"/>
      <c r="G1204" s="245">
        <v>795.47997999999995</v>
      </c>
      <c r="H1204" s="228">
        <f t="shared" si="109"/>
        <v>2.0460983421589196E-2</v>
      </c>
      <c r="J1204" s="227"/>
      <c r="K1204" s="245">
        <v>118.254288</v>
      </c>
      <c r="L1204" s="228">
        <f t="shared" si="110"/>
        <v>2.7868747530435112E-3</v>
      </c>
      <c r="M1204" s="228"/>
      <c r="N1204" s="227"/>
      <c r="O1204" s="322">
        <v>142.759995</v>
      </c>
      <c r="P1204" s="228">
        <f t="shared" si="111"/>
        <v>4.2205330832716381E-3</v>
      </c>
      <c r="Q1204" s="228"/>
      <c r="R1204" s="227"/>
      <c r="S1204" s="322">
        <v>649.78002900000001</v>
      </c>
      <c r="T1204" s="228">
        <f t="shared" si="112"/>
        <v>6.5993445098728731E-3</v>
      </c>
      <c r="U1204" s="228"/>
      <c r="V1204" s="228"/>
      <c r="W1204" s="228"/>
      <c r="X1204" s="322">
        <v>353.79998799999998</v>
      </c>
      <c r="Y1204" s="228">
        <f t="shared" si="113"/>
        <v>1.9919780625567984E-2</v>
      </c>
      <c r="Z1204" s="228"/>
      <c r="AA1204" s="202"/>
    </row>
    <row r="1205" spans="2:27" x14ac:dyDescent="0.15">
      <c r="B1205" s="241">
        <v>44413</v>
      </c>
      <c r="C1205" s="244"/>
      <c r="D1205" s="245">
        <v>100.99541499999999</v>
      </c>
      <c r="E1205" s="228">
        <f t="shared" si="108"/>
        <v>7.4545746040413086E-3</v>
      </c>
      <c r="F1205" s="228"/>
      <c r="G1205" s="245">
        <v>794.75</v>
      </c>
      <c r="H1205" s="228">
        <f t="shared" si="109"/>
        <v>-9.1765980081603971E-4</v>
      </c>
      <c r="J1205" s="227"/>
      <c r="K1205" s="245">
        <v>118.73232299999999</v>
      </c>
      <c r="L1205" s="228">
        <f t="shared" si="110"/>
        <v>4.0424326938570676E-3</v>
      </c>
      <c r="M1205" s="228"/>
      <c r="N1205" s="227"/>
      <c r="O1205" s="322">
        <v>142.270004</v>
      </c>
      <c r="P1205" s="228">
        <f t="shared" si="111"/>
        <v>-3.4322710644533183E-3</v>
      </c>
      <c r="Q1205" s="228"/>
      <c r="R1205" s="227"/>
      <c r="S1205" s="322">
        <v>645.65997300000004</v>
      </c>
      <c r="T1205" s="228">
        <f t="shared" si="112"/>
        <v>-6.3406934902887624E-3</v>
      </c>
      <c r="U1205" s="228"/>
      <c r="V1205" s="228"/>
      <c r="W1205" s="228"/>
      <c r="X1205" s="322">
        <v>353.709991</v>
      </c>
      <c r="Y1205" s="228">
        <f t="shared" si="113"/>
        <v>-2.5437253547899719E-4</v>
      </c>
      <c r="Z1205" s="228"/>
      <c r="AA1205" s="202"/>
    </row>
    <row r="1206" spans="2:27" x14ac:dyDescent="0.15">
      <c r="B1206" s="241">
        <v>44414</v>
      </c>
      <c r="C1206" s="244"/>
      <c r="D1206" s="245">
        <v>101.114983</v>
      </c>
      <c r="E1206" s="228">
        <f t="shared" si="108"/>
        <v>1.1838953283176412E-3</v>
      </c>
      <c r="F1206" s="228"/>
      <c r="G1206" s="245">
        <v>783.28002900000001</v>
      </c>
      <c r="H1206" s="228">
        <f t="shared" si="109"/>
        <v>-1.4432174897766603E-2</v>
      </c>
      <c r="J1206" s="227"/>
      <c r="K1206" s="245">
        <v>117.726456</v>
      </c>
      <c r="L1206" s="228">
        <f t="shared" si="110"/>
        <v>-8.4717200386957847E-3</v>
      </c>
      <c r="M1206" s="228"/>
      <c r="N1206" s="227"/>
      <c r="O1206" s="322">
        <v>142.64999399999999</v>
      </c>
      <c r="P1206" s="228">
        <f t="shared" si="111"/>
        <v>2.6709073544413098E-3</v>
      </c>
      <c r="Q1206" s="228"/>
      <c r="R1206" s="227"/>
      <c r="S1206" s="322">
        <v>647.96002199999998</v>
      </c>
      <c r="T1206" s="228">
        <f t="shared" si="112"/>
        <v>3.5623224238494622E-3</v>
      </c>
      <c r="U1206" s="228"/>
      <c r="V1206" s="228"/>
      <c r="W1206" s="228"/>
      <c r="X1206" s="322">
        <v>353.35000600000001</v>
      </c>
      <c r="Y1206" s="228">
        <f t="shared" si="113"/>
        <v>-1.0177405477924673E-3</v>
      </c>
      <c r="Z1206" s="228"/>
      <c r="AA1206" s="202"/>
    </row>
    <row r="1207" spans="2:27" x14ac:dyDescent="0.15">
      <c r="B1207" s="241">
        <v>44417</v>
      </c>
      <c r="C1207" s="244"/>
      <c r="D1207" s="245">
        <v>101.025307</v>
      </c>
      <c r="E1207" s="228">
        <f t="shared" si="108"/>
        <v>-8.8687153317323908E-4</v>
      </c>
      <c r="F1207" s="228"/>
      <c r="G1207" s="245">
        <v>788.67999299999997</v>
      </c>
      <c r="H1207" s="228">
        <f t="shared" si="109"/>
        <v>6.8940401900632331E-3</v>
      </c>
      <c r="J1207" s="227"/>
      <c r="K1207" s="245">
        <v>117.73642</v>
      </c>
      <c r="L1207" s="228">
        <f t="shared" si="110"/>
        <v>8.4636880600452713E-5</v>
      </c>
      <c r="M1207" s="228"/>
      <c r="N1207" s="227"/>
      <c r="O1207" s="322">
        <v>142</v>
      </c>
      <c r="P1207" s="228">
        <f t="shared" si="111"/>
        <v>-4.5565652109315069E-3</v>
      </c>
      <c r="Q1207" s="228"/>
      <c r="R1207" s="227"/>
      <c r="S1207" s="322">
        <v>640.5</v>
      </c>
      <c r="T1207" s="228">
        <f t="shared" si="112"/>
        <v>-1.1513089923316233E-2</v>
      </c>
      <c r="U1207" s="228"/>
      <c r="V1207" s="228"/>
      <c r="W1207" s="228"/>
      <c r="X1207" s="322">
        <v>351.51998900000001</v>
      </c>
      <c r="Y1207" s="228">
        <f t="shared" si="113"/>
        <v>-5.1790490135155132E-3</v>
      </c>
      <c r="Z1207" s="228"/>
      <c r="AA1207" s="202"/>
    </row>
    <row r="1208" spans="2:27" x14ac:dyDescent="0.15">
      <c r="B1208" s="241">
        <v>44418</v>
      </c>
      <c r="C1208" s="244"/>
      <c r="D1208" s="245">
        <v>101.05519099999999</v>
      </c>
      <c r="E1208" s="228">
        <f t="shared" si="108"/>
        <v>2.9580706941079171E-4</v>
      </c>
      <c r="F1208" s="228"/>
      <c r="G1208" s="245">
        <v>789.28997800000002</v>
      </c>
      <c r="H1208" s="228">
        <f t="shared" si="109"/>
        <v>7.7342522368262223E-4</v>
      </c>
      <c r="J1208" s="227"/>
      <c r="K1208" s="245">
        <v>115.88402600000001</v>
      </c>
      <c r="L1208" s="228">
        <f t="shared" si="110"/>
        <v>-1.5733398382590469E-2</v>
      </c>
      <c r="M1208" s="228"/>
      <c r="N1208" s="227"/>
      <c r="O1208" s="322">
        <v>138.05999800000001</v>
      </c>
      <c r="P1208" s="228">
        <f t="shared" si="111"/>
        <v>-2.7746492957746449E-2</v>
      </c>
      <c r="Q1208" s="228"/>
      <c r="R1208" s="227"/>
      <c r="S1208" s="322">
        <v>617.169983</v>
      </c>
      <c r="T1208" s="228">
        <f t="shared" si="112"/>
        <v>-3.6424694769711108E-2</v>
      </c>
      <c r="U1208" s="228"/>
      <c r="V1208" s="228"/>
      <c r="W1208" s="228"/>
      <c r="X1208" s="322">
        <v>342</v>
      </c>
      <c r="Y1208" s="228">
        <f t="shared" si="113"/>
        <v>-2.708235462535824E-2</v>
      </c>
      <c r="Z1208" s="228"/>
      <c r="AA1208" s="202"/>
    </row>
    <row r="1209" spans="2:27" x14ac:dyDescent="0.15">
      <c r="B1209" s="241">
        <v>44419</v>
      </c>
      <c r="C1209" s="244"/>
      <c r="D1209" s="245">
        <v>101.314262</v>
      </c>
      <c r="E1209" s="228">
        <f t="shared" si="108"/>
        <v>2.5636585061721284E-3</v>
      </c>
      <c r="F1209" s="228"/>
      <c r="G1209" s="245">
        <v>789.21997099999999</v>
      </c>
      <c r="H1209" s="228">
        <f t="shared" si="109"/>
        <v>-8.8696172447777499E-5</v>
      </c>
      <c r="J1209" s="227"/>
      <c r="K1209" s="245">
        <v>115.515533</v>
      </c>
      <c r="L1209" s="228">
        <f t="shared" si="110"/>
        <v>-3.179842923303311E-3</v>
      </c>
      <c r="M1209" s="228"/>
      <c r="N1209" s="227"/>
      <c r="O1209" s="322">
        <v>134.820007</v>
      </c>
      <c r="P1209" s="228">
        <f t="shared" si="111"/>
        <v>-2.3467992517282266E-2</v>
      </c>
      <c r="Q1209" s="228"/>
      <c r="R1209" s="227"/>
      <c r="S1209" s="322">
        <v>608.52002000000005</v>
      </c>
      <c r="T1209" s="228">
        <f t="shared" si="112"/>
        <v>-1.401552771240322E-2</v>
      </c>
      <c r="U1209" s="228"/>
      <c r="V1209" s="228"/>
      <c r="W1209" s="228"/>
      <c r="X1209" s="322">
        <v>342.66000400000001</v>
      </c>
      <c r="Y1209" s="228">
        <f t="shared" si="113"/>
        <v>1.9298362573099137E-3</v>
      </c>
      <c r="Z1209" s="228"/>
      <c r="AA1209" s="202"/>
    </row>
    <row r="1210" spans="2:27" x14ac:dyDescent="0.15">
      <c r="B1210" s="241">
        <v>44420</v>
      </c>
      <c r="C1210" s="244"/>
      <c r="D1210" s="245">
        <v>101.61318199999999</v>
      </c>
      <c r="E1210" s="228">
        <f t="shared" si="108"/>
        <v>2.9504237024398083E-3</v>
      </c>
      <c r="F1210" s="228"/>
      <c r="G1210" s="245">
        <v>781.07000700000003</v>
      </c>
      <c r="H1210" s="228">
        <f t="shared" si="109"/>
        <v>-1.0326606395519078E-2</v>
      </c>
      <c r="J1210" s="227"/>
      <c r="K1210" s="245">
        <v>115.22672300000001</v>
      </c>
      <c r="L1210" s="228">
        <f t="shared" si="110"/>
        <v>-2.5001832437547833E-3</v>
      </c>
      <c r="M1210" s="228"/>
      <c r="N1210" s="227"/>
      <c r="O1210" s="322">
        <v>129.220001</v>
      </c>
      <c r="P1210" s="228">
        <f t="shared" si="111"/>
        <v>-4.1536906313912381E-2</v>
      </c>
      <c r="Q1210" s="228"/>
      <c r="R1210" s="227"/>
      <c r="S1210" s="322">
        <v>583.51000999999997</v>
      </c>
      <c r="T1210" s="228">
        <f t="shared" si="112"/>
        <v>-4.1099732429510039E-2</v>
      </c>
      <c r="U1210" s="228"/>
      <c r="V1210" s="228"/>
      <c r="W1210" s="228"/>
      <c r="X1210" s="322">
        <v>328.51001000000002</v>
      </c>
      <c r="Y1210" s="228">
        <f t="shared" si="113"/>
        <v>-4.1294559723404456E-2</v>
      </c>
      <c r="Z1210" s="228"/>
      <c r="AA1210" s="202"/>
    </row>
    <row r="1211" spans="2:27" x14ac:dyDescent="0.15">
      <c r="B1211" s="241">
        <v>44421</v>
      </c>
      <c r="C1211" s="244"/>
      <c r="D1211" s="245">
        <v>101.66300200000001</v>
      </c>
      <c r="E1211" s="228">
        <f t="shared" si="108"/>
        <v>4.9029071838346816E-4</v>
      </c>
      <c r="F1211" s="228"/>
      <c r="G1211" s="245">
        <v>788.96002199999998</v>
      </c>
      <c r="H1211" s="228">
        <f t="shared" si="109"/>
        <v>1.010154650580497E-2</v>
      </c>
      <c r="J1211" s="227"/>
      <c r="K1211" s="245">
        <v>115.027542</v>
      </c>
      <c r="L1211" s="228">
        <f t="shared" si="110"/>
        <v>-1.7286007517545166E-3</v>
      </c>
      <c r="M1211" s="228"/>
      <c r="N1211" s="227"/>
      <c r="O1211" s="322">
        <v>129.89999399999999</v>
      </c>
      <c r="P1211" s="228">
        <f t="shared" si="111"/>
        <v>5.262289078607818E-3</v>
      </c>
      <c r="Q1211" s="228"/>
      <c r="R1211" s="227"/>
      <c r="S1211" s="322">
        <v>580.40997300000004</v>
      </c>
      <c r="T1211" s="228">
        <f t="shared" si="112"/>
        <v>-5.3127400505090794E-3</v>
      </c>
      <c r="U1211" s="228"/>
      <c r="V1211" s="228"/>
      <c r="W1211" s="228"/>
      <c r="X1211" s="322">
        <v>327.88000499999998</v>
      </c>
      <c r="Y1211" s="228">
        <f t="shared" si="113"/>
        <v>-1.9177650020467674E-3</v>
      </c>
      <c r="Z1211" s="228"/>
      <c r="AA1211" s="202"/>
    </row>
    <row r="1212" spans="2:27" x14ac:dyDescent="0.15">
      <c r="B1212" s="241">
        <v>44424</v>
      </c>
      <c r="C1212" s="244"/>
      <c r="D1212" s="245">
        <v>101.78257000000001</v>
      </c>
      <c r="E1212" s="228">
        <f t="shared" si="108"/>
        <v>1.1761210828695745E-3</v>
      </c>
      <c r="F1212" s="228"/>
      <c r="G1212" s="245">
        <v>787.34997599999997</v>
      </c>
      <c r="H1212" s="228">
        <f t="shared" si="109"/>
        <v>-2.0407193712028704E-3</v>
      </c>
      <c r="J1212" s="227"/>
      <c r="K1212" s="245">
        <v>114.161095</v>
      </c>
      <c r="L1212" s="228">
        <f t="shared" si="110"/>
        <v>-7.5325177338831928E-3</v>
      </c>
      <c r="M1212" s="228"/>
      <c r="N1212" s="227"/>
      <c r="O1212" s="322">
        <v>131.69000199999999</v>
      </c>
      <c r="P1212" s="228">
        <f t="shared" si="111"/>
        <v>1.3779892861272902E-2</v>
      </c>
      <c r="Q1212" s="228"/>
      <c r="R1212" s="227"/>
      <c r="S1212" s="322">
        <v>588.86999500000002</v>
      </c>
      <c r="T1212" s="228">
        <f t="shared" si="112"/>
        <v>1.4575941823108618E-2</v>
      </c>
      <c r="U1212" s="228"/>
      <c r="V1212" s="228"/>
      <c r="W1212" s="228"/>
      <c r="X1212" s="322">
        <v>329.19000199999999</v>
      </c>
      <c r="Y1212" s="228">
        <f t="shared" si="113"/>
        <v>3.9953549470026495E-3</v>
      </c>
      <c r="Z1212" s="228"/>
      <c r="AA1212" s="202"/>
    </row>
    <row r="1213" spans="2:27" x14ac:dyDescent="0.15">
      <c r="B1213" s="241">
        <v>44425</v>
      </c>
      <c r="C1213" s="244"/>
      <c r="D1213" s="245">
        <v>100.985443</v>
      </c>
      <c r="E1213" s="228">
        <f t="shared" si="108"/>
        <v>-7.8316650876472105E-3</v>
      </c>
      <c r="F1213" s="228"/>
      <c r="G1213" s="245">
        <v>776.55999799999995</v>
      </c>
      <c r="H1213" s="228">
        <f t="shared" si="109"/>
        <v>-1.3704170100844681E-2</v>
      </c>
      <c r="J1213" s="227"/>
      <c r="K1213" s="245">
        <v>110.655502</v>
      </c>
      <c r="L1213" s="228">
        <f t="shared" si="110"/>
        <v>-3.0707422699475684E-2</v>
      </c>
      <c r="M1213" s="228"/>
      <c r="N1213" s="227"/>
      <c r="O1213" s="322">
        <v>128.800003</v>
      </c>
      <c r="P1213" s="228">
        <f t="shared" si="111"/>
        <v>-2.1945470089673069E-2</v>
      </c>
      <c r="Q1213" s="228"/>
      <c r="R1213" s="227"/>
      <c r="S1213" s="322">
        <v>578.98999000000003</v>
      </c>
      <c r="T1213" s="228">
        <f t="shared" si="112"/>
        <v>-1.6777905282811978E-2</v>
      </c>
      <c r="U1213" s="228"/>
      <c r="V1213" s="228"/>
      <c r="W1213" s="228"/>
      <c r="X1213" s="322">
        <v>322.45001200000002</v>
      </c>
      <c r="Y1213" s="228">
        <f t="shared" si="113"/>
        <v>-2.047446750828108E-2</v>
      </c>
      <c r="Z1213" s="228"/>
      <c r="AA1213" s="202"/>
    </row>
    <row r="1214" spans="2:27" x14ac:dyDescent="0.15">
      <c r="B1214" s="241">
        <v>44426</v>
      </c>
      <c r="C1214" s="244"/>
      <c r="D1214" s="245">
        <v>99.989044000000007</v>
      </c>
      <c r="E1214" s="228">
        <f t="shared" si="108"/>
        <v>-9.8667587168974613E-3</v>
      </c>
      <c r="F1214" s="228"/>
      <c r="G1214" s="245">
        <v>772.45001200000002</v>
      </c>
      <c r="H1214" s="228">
        <f t="shared" si="109"/>
        <v>-5.2925543558579591E-3</v>
      </c>
      <c r="J1214" s="227"/>
      <c r="K1214" s="245">
        <v>109.998199</v>
      </c>
      <c r="L1214" s="228">
        <f t="shared" si="110"/>
        <v>-5.940084208374885E-3</v>
      </c>
      <c r="M1214" s="228"/>
      <c r="N1214" s="227"/>
      <c r="O1214" s="322">
        <v>127.370003</v>
      </c>
      <c r="P1214" s="228">
        <f t="shared" si="111"/>
        <v>-1.1102484213451502E-2</v>
      </c>
      <c r="Q1214" s="228"/>
      <c r="R1214" s="227"/>
      <c r="S1214" s="322">
        <v>569.51000999999997</v>
      </c>
      <c r="T1214" s="228">
        <f t="shared" si="112"/>
        <v>-1.6373305521223402E-2</v>
      </c>
      <c r="U1214" s="228"/>
      <c r="V1214" s="228"/>
      <c r="W1214" s="228"/>
      <c r="X1214" s="322">
        <v>317.54998799999998</v>
      </c>
      <c r="Y1214" s="228">
        <f t="shared" si="113"/>
        <v>-1.5196228307164827E-2</v>
      </c>
      <c r="Z1214" s="228"/>
      <c r="AA1214" s="202"/>
    </row>
    <row r="1215" spans="2:27" x14ac:dyDescent="0.15">
      <c r="B1215" s="241">
        <v>44427</v>
      </c>
      <c r="C1215" s="244"/>
      <c r="D1215" s="245">
        <v>99.939223999999996</v>
      </c>
      <c r="E1215" s="228">
        <f t="shared" si="108"/>
        <v>-4.9825458877283957E-4</v>
      </c>
      <c r="F1215" s="228"/>
      <c r="G1215" s="245">
        <v>781.51000999999997</v>
      </c>
      <c r="H1215" s="228">
        <f t="shared" si="109"/>
        <v>1.17289117214745E-2</v>
      </c>
      <c r="J1215" s="227"/>
      <c r="K1215" s="245">
        <v>110.067909</v>
      </c>
      <c r="L1215" s="228">
        <f t="shared" si="110"/>
        <v>6.3373764874086191E-4</v>
      </c>
      <c r="M1215" s="228"/>
      <c r="N1215" s="227"/>
      <c r="O1215" s="322">
        <v>129.199997</v>
      </c>
      <c r="P1215" s="228">
        <f t="shared" si="111"/>
        <v>1.436754303915655E-2</v>
      </c>
      <c r="Q1215" s="228"/>
      <c r="R1215" s="227"/>
      <c r="S1215" s="322">
        <v>577.14001499999995</v>
      </c>
      <c r="T1215" s="228">
        <f t="shared" si="112"/>
        <v>1.3397490590200567E-2</v>
      </c>
      <c r="U1215" s="228"/>
      <c r="V1215" s="228"/>
      <c r="W1215" s="228"/>
      <c r="X1215" s="322">
        <v>322.35000600000001</v>
      </c>
      <c r="Y1215" s="228">
        <f t="shared" si="113"/>
        <v>1.5115787061531938E-2</v>
      </c>
      <c r="Z1215" s="228"/>
      <c r="AA1215" s="202"/>
    </row>
    <row r="1216" spans="2:27" x14ac:dyDescent="0.15">
      <c r="B1216" s="241">
        <v>44428</v>
      </c>
      <c r="C1216" s="244"/>
      <c r="D1216" s="245">
        <v>100.816063</v>
      </c>
      <c r="E1216" s="228">
        <f t="shared" si="108"/>
        <v>8.7737223174757517E-3</v>
      </c>
      <c r="F1216" s="228"/>
      <c r="G1216" s="245">
        <v>788.17999299999997</v>
      </c>
      <c r="H1216" s="228">
        <f t="shared" si="109"/>
        <v>8.5347377700255578E-3</v>
      </c>
      <c r="J1216" s="227"/>
      <c r="K1216" s="245">
        <v>107.677734</v>
      </c>
      <c r="L1216" s="228">
        <f t="shared" si="110"/>
        <v>-2.1715457499969393E-2</v>
      </c>
      <c r="M1216" s="228"/>
      <c r="N1216" s="227"/>
      <c r="O1216" s="322">
        <v>127.199997</v>
      </c>
      <c r="P1216" s="228">
        <f t="shared" si="111"/>
        <v>-1.5479876520430591E-2</v>
      </c>
      <c r="Q1216" s="228"/>
      <c r="R1216" s="227"/>
      <c r="S1216" s="322">
        <v>565.96997099999999</v>
      </c>
      <c r="T1216" s="228">
        <f t="shared" si="112"/>
        <v>-1.9354131943181918E-2</v>
      </c>
      <c r="U1216" s="228"/>
      <c r="V1216" s="228"/>
      <c r="W1216" s="228"/>
      <c r="X1216" s="322">
        <v>319.97000100000002</v>
      </c>
      <c r="Y1216" s="228">
        <f t="shared" si="113"/>
        <v>-7.3832944181796423E-3</v>
      </c>
      <c r="Z1216" s="228"/>
      <c r="AA1216" s="202"/>
    </row>
    <row r="1217" spans="2:27" x14ac:dyDescent="0.15">
      <c r="B1217" s="241">
        <v>44431</v>
      </c>
      <c r="C1217" s="244"/>
      <c r="D1217" s="245">
        <v>101.83239</v>
      </c>
      <c r="E1217" s="228">
        <f t="shared" si="108"/>
        <v>1.008100266720402E-2</v>
      </c>
      <c r="F1217" s="228"/>
      <c r="G1217" s="245">
        <v>811.61999500000002</v>
      </c>
      <c r="H1217" s="228">
        <f t="shared" si="109"/>
        <v>2.9739402431139927E-2</v>
      </c>
      <c r="J1217" s="227"/>
      <c r="K1217" s="245">
        <v>110.506111</v>
      </c>
      <c r="L1217" s="228">
        <f t="shared" si="110"/>
        <v>2.6267055359838754E-2</v>
      </c>
      <c r="M1217" s="228"/>
      <c r="N1217" s="227"/>
      <c r="O1217" s="322">
        <v>131.490005</v>
      </c>
      <c r="P1217" s="228">
        <f t="shared" si="111"/>
        <v>3.3726478782857283E-2</v>
      </c>
      <c r="Q1217" s="228"/>
      <c r="R1217" s="227"/>
      <c r="S1217" s="322">
        <v>584.29998799999998</v>
      </c>
      <c r="T1217" s="228">
        <f t="shared" si="112"/>
        <v>3.2386907325865799E-2</v>
      </c>
      <c r="U1217" s="228"/>
      <c r="V1217" s="228"/>
      <c r="W1217" s="228"/>
      <c r="X1217" s="322">
        <v>328.540009</v>
      </c>
      <c r="Y1217" s="228">
        <f t="shared" si="113"/>
        <v>2.6783785896228318E-2</v>
      </c>
      <c r="Z1217" s="228"/>
      <c r="AA1217" s="202"/>
    </row>
    <row r="1218" spans="2:27" x14ac:dyDescent="0.15">
      <c r="B1218" s="241">
        <v>44432</v>
      </c>
      <c r="C1218" s="244"/>
      <c r="D1218" s="245">
        <v>102.111389</v>
      </c>
      <c r="E1218" s="228">
        <f t="shared" si="108"/>
        <v>2.7397864274814054E-3</v>
      </c>
      <c r="F1218" s="228"/>
      <c r="G1218" s="245">
        <v>805.60998500000005</v>
      </c>
      <c r="H1218" s="228">
        <f t="shared" si="109"/>
        <v>-7.4049555666749756E-3</v>
      </c>
      <c r="J1218" s="227"/>
      <c r="K1218" s="245">
        <v>111.65141300000001</v>
      </c>
      <c r="L1218" s="228">
        <f t="shared" si="110"/>
        <v>1.0364150811532857E-2</v>
      </c>
      <c r="M1218" s="228"/>
      <c r="N1218" s="227"/>
      <c r="O1218" s="322">
        <v>131.44000199999999</v>
      </c>
      <c r="P1218" s="228">
        <f t="shared" si="111"/>
        <v>-3.8027985473121362E-4</v>
      </c>
      <c r="Q1218" s="228"/>
      <c r="R1218" s="227"/>
      <c r="S1218" s="322">
        <v>585.580017</v>
      </c>
      <c r="T1218" s="228">
        <f t="shared" si="112"/>
        <v>2.1907051622256368E-3</v>
      </c>
      <c r="U1218" s="228"/>
      <c r="V1218" s="228"/>
      <c r="W1218" s="228"/>
      <c r="X1218" s="322">
        <v>328</v>
      </c>
      <c r="Y1218" s="228">
        <f t="shared" si="113"/>
        <v>-1.6436628270743991E-3</v>
      </c>
      <c r="Z1218" s="228"/>
      <c r="AA1218" s="202"/>
    </row>
    <row r="1219" spans="2:27" x14ac:dyDescent="0.15">
      <c r="B1219" s="241">
        <v>44433</v>
      </c>
      <c r="C1219" s="244"/>
      <c r="D1219" s="245">
        <v>102.450157</v>
      </c>
      <c r="E1219" s="228">
        <f t="shared" si="108"/>
        <v>3.3176318853129771E-3</v>
      </c>
      <c r="F1219" s="228"/>
      <c r="G1219" s="245">
        <v>807.86999500000002</v>
      </c>
      <c r="H1219" s="228">
        <f t="shared" si="109"/>
        <v>2.8053401051129079E-3</v>
      </c>
      <c r="J1219" s="227"/>
      <c r="K1219" s="245">
        <v>116.55128499999999</v>
      </c>
      <c r="L1219" s="228">
        <f t="shared" si="110"/>
        <v>4.3885445498123676E-2</v>
      </c>
      <c r="M1219" s="228"/>
      <c r="N1219" s="227"/>
      <c r="O1219" s="322">
        <v>132.820007</v>
      </c>
      <c r="P1219" s="228">
        <f t="shared" si="111"/>
        <v>1.0499124916325098E-2</v>
      </c>
      <c r="Q1219" s="228"/>
      <c r="R1219" s="227"/>
      <c r="S1219" s="322">
        <v>588.77002000000005</v>
      </c>
      <c r="T1219" s="228">
        <f t="shared" si="112"/>
        <v>5.4475953881467643E-3</v>
      </c>
      <c r="U1219" s="228"/>
      <c r="V1219" s="228"/>
      <c r="W1219" s="228"/>
      <c r="X1219" s="322">
        <v>334.01998900000001</v>
      </c>
      <c r="Y1219" s="228">
        <f t="shared" si="113"/>
        <v>1.835362500000004E-2</v>
      </c>
      <c r="Z1219" s="228"/>
      <c r="AA1219" s="202"/>
    </row>
    <row r="1220" spans="2:27" x14ac:dyDescent="0.15">
      <c r="B1220" s="241">
        <v>44434</v>
      </c>
      <c r="C1220" s="244"/>
      <c r="D1220" s="245">
        <v>101.812462</v>
      </c>
      <c r="E1220" s="228">
        <f t="shared" si="108"/>
        <v>-6.2244414130083747E-3</v>
      </c>
      <c r="F1220" s="228"/>
      <c r="G1220" s="245">
        <v>810.94000200000005</v>
      </c>
      <c r="H1220" s="228">
        <f t="shared" si="109"/>
        <v>3.8001250436341394E-3</v>
      </c>
      <c r="J1220" s="227"/>
      <c r="K1220" s="245">
        <v>117.616905</v>
      </c>
      <c r="L1220" s="228">
        <f t="shared" si="110"/>
        <v>9.1429279394046326E-3</v>
      </c>
      <c r="M1220" s="228"/>
      <c r="N1220" s="227"/>
      <c r="O1220" s="322">
        <v>132.490005</v>
      </c>
      <c r="P1220" s="228">
        <f t="shared" si="111"/>
        <v>-2.4845805045019542E-3</v>
      </c>
      <c r="Q1220" s="228"/>
      <c r="R1220" s="227"/>
      <c r="S1220" s="322">
        <v>585.34997599999997</v>
      </c>
      <c r="T1220" s="228">
        <f t="shared" si="112"/>
        <v>-5.8087944083838883E-3</v>
      </c>
      <c r="U1220" s="228"/>
      <c r="V1220" s="228"/>
      <c r="W1220" s="228"/>
      <c r="X1220" s="322">
        <v>333.75</v>
      </c>
      <c r="Y1220" s="228">
        <f t="shared" si="113"/>
        <v>-8.0830192470904283E-4</v>
      </c>
      <c r="Z1220" s="228"/>
      <c r="AA1220" s="202"/>
    </row>
    <row r="1221" spans="2:27" x14ac:dyDescent="0.15">
      <c r="B1221" s="241">
        <v>44435</v>
      </c>
      <c r="C1221" s="244"/>
      <c r="D1221" s="245">
        <v>102.88858</v>
      </c>
      <c r="E1221" s="228">
        <f t="shared" si="108"/>
        <v>1.0569609838135596E-2</v>
      </c>
      <c r="F1221" s="228"/>
      <c r="G1221" s="245">
        <v>832.919983</v>
      </c>
      <c r="H1221" s="228">
        <f t="shared" si="109"/>
        <v>2.7104324544098501E-2</v>
      </c>
      <c r="J1221" s="227"/>
      <c r="K1221" s="245">
        <v>118.00530999999999</v>
      </c>
      <c r="L1221" s="228">
        <f t="shared" si="110"/>
        <v>3.3022889014124868E-3</v>
      </c>
      <c r="M1221" s="228"/>
      <c r="N1221" s="227"/>
      <c r="O1221" s="322">
        <v>136.550003</v>
      </c>
      <c r="P1221" s="228">
        <f t="shared" si="111"/>
        <v>3.0643805923322276E-2</v>
      </c>
      <c r="Q1221" s="228"/>
      <c r="R1221" s="227"/>
      <c r="S1221" s="322">
        <v>609.59002699999996</v>
      </c>
      <c r="T1221" s="228">
        <f t="shared" si="112"/>
        <v>4.1411210376473884E-2</v>
      </c>
      <c r="U1221" s="228"/>
      <c r="V1221" s="228"/>
      <c r="W1221" s="228"/>
      <c r="X1221" s="322">
        <v>342.92999300000002</v>
      </c>
      <c r="Y1221" s="228">
        <f t="shared" si="113"/>
        <v>2.7505597003745441E-2</v>
      </c>
      <c r="Z1221" s="228"/>
      <c r="AA1221" s="202"/>
    </row>
    <row r="1222" spans="2:27" x14ac:dyDescent="0.15">
      <c r="B1222" s="241">
        <v>44438</v>
      </c>
      <c r="C1222" s="244"/>
      <c r="D1222" s="245">
        <v>103.23732</v>
      </c>
      <c r="E1222" s="228">
        <f t="shared" si="108"/>
        <v>3.3894918172647781E-3</v>
      </c>
      <c r="F1222" s="228"/>
      <c r="G1222" s="245">
        <v>839.59002699999996</v>
      </c>
      <c r="H1222" s="228">
        <f t="shared" si="109"/>
        <v>8.0080249437357587E-3</v>
      </c>
      <c r="J1222" s="227"/>
      <c r="K1222" s="245">
        <v>118.503265</v>
      </c>
      <c r="L1222" s="228">
        <f t="shared" si="110"/>
        <v>4.2197677375706011E-3</v>
      </c>
      <c r="M1222" s="228"/>
      <c r="N1222" s="227"/>
      <c r="O1222" s="322">
        <v>136.050003</v>
      </c>
      <c r="P1222" s="228">
        <f t="shared" si="111"/>
        <v>-3.661662314280556E-3</v>
      </c>
      <c r="Q1222" s="228"/>
      <c r="R1222" s="227"/>
      <c r="S1222" s="322">
        <v>607.98999000000003</v>
      </c>
      <c r="T1222" s="228">
        <f t="shared" si="112"/>
        <v>-2.6247755526354055E-3</v>
      </c>
      <c r="U1222" s="228"/>
      <c r="V1222" s="228"/>
      <c r="W1222" s="228"/>
      <c r="X1222" s="322">
        <v>342.10998499999999</v>
      </c>
      <c r="Y1222" s="228">
        <f t="shared" si="113"/>
        <v>-2.3911819226615227E-3</v>
      </c>
      <c r="Z1222" s="228"/>
      <c r="AA1222" s="202"/>
    </row>
    <row r="1223" spans="2:27" x14ac:dyDescent="0.15">
      <c r="B1223" s="241">
        <v>44439</v>
      </c>
      <c r="C1223" s="244"/>
      <c r="D1223" s="245">
        <v>103.03804</v>
      </c>
      <c r="E1223" s="228">
        <f t="shared" si="108"/>
        <v>-1.9303096980820555E-3</v>
      </c>
      <c r="F1223" s="228"/>
      <c r="G1223" s="245">
        <v>833.03997800000002</v>
      </c>
      <c r="H1223" s="228">
        <f t="shared" si="109"/>
        <v>-7.8014849978678136E-3</v>
      </c>
      <c r="J1223" s="227"/>
      <c r="K1223" s="245">
        <v>118.523186</v>
      </c>
      <c r="L1223" s="228">
        <f t="shared" si="110"/>
        <v>1.681050728854494E-4</v>
      </c>
      <c r="M1223" s="228"/>
      <c r="N1223" s="227"/>
      <c r="O1223" s="322">
        <v>135.13000500000001</v>
      </c>
      <c r="P1223" s="228">
        <f t="shared" si="111"/>
        <v>-6.7622049225533054E-3</v>
      </c>
      <c r="Q1223" s="228"/>
      <c r="R1223" s="227"/>
      <c r="S1223" s="322">
        <v>604.82000700000003</v>
      </c>
      <c r="T1223" s="228">
        <f t="shared" si="112"/>
        <v>-5.2138736692030063E-3</v>
      </c>
      <c r="U1223" s="228"/>
      <c r="V1223" s="228"/>
      <c r="W1223" s="228"/>
      <c r="X1223" s="322">
        <v>339.959991</v>
      </c>
      <c r="Y1223" s="228">
        <f t="shared" si="113"/>
        <v>-6.2845111053978497E-3</v>
      </c>
      <c r="Z1223" s="228"/>
      <c r="AA1223" s="202"/>
    </row>
    <row r="1224" spans="2:27" x14ac:dyDescent="0.15">
      <c r="B1224" s="241">
        <v>44440</v>
      </c>
      <c r="C1224" s="244"/>
      <c r="D1224" s="245">
        <v>103.227356</v>
      </c>
      <c r="E1224" s="228">
        <f t="shared" si="108"/>
        <v>1.8373408500396149E-3</v>
      </c>
      <c r="F1224" s="228"/>
      <c r="G1224" s="245">
        <v>842.169983</v>
      </c>
      <c r="H1224" s="228">
        <f t="shared" si="109"/>
        <v>1.0959864161525168E-2</v>
      </c>
      <c r="J1224" s="227"/>
      <c r="K1224" s="245">
        <v>119.96725499999999</v>
      </c>
      <c r="L1224" s="228">
        <f t="shared" si="110"/>
        <v>1.2183852364549219E-2</v>
      </c>
      <c r="M1224" s="228"/>
      <c r="N1224" s="227"/>
      <c r="O1224" s="322">
        <v>133.46000699999999</v>
      </c>
      <c r="P1224" s="228">
        <f t="shared" si="111"/>
        <v>-1.235845436400318E-2</v>
      </c>
      <c r="Q1224" s="228"/>
      <c r="R1224" s="227"/>
      <c r="S1224" s="322">
        <v>599.78002900000001</v>
      </c>
      <c r="T1224" s="228">
        <f t="shared" si="112"/>
        <v>-8.3330212983513396E-3</v>
      </c>
      <c r="U1224" s="228"/>
      <c r="V1224" s="228"/>
      <c r="W1224" s="228"/>
      <c r="X1224" s="322">
        <v>335.45001200000002</v>
      </c>
      <c r="Y1224" s="228">
        <f t="shared" si="113"/>
        <v>-1.3266205198834702E-2</v>
      </c>
      <c r="Z1224" s="228"/>
      <c r="AA1224" s="202"/>
    </row>
    <row r="1225" spans="2:27" x14ac:dyDescent="0.15">
      <c r="B1225" s="241">
        <v>44441</v>
      </c>
      <c r="C1225" s="244"/>
      <c r="D1225" s="245">
        <v>103.58606</v>
      </c>
      <c r="E1225" s="228">
        <f t="shared" ref="E1225:E1264" si="114">D1225/D1224-1</f>
        <v>3.474892837515009E-3</v>
      </c>
      <c r="F1225" s="228"/>
      <c r="G1225" s="245">
        <v>861.28002900000001</v>
      </c>
      <c r="H1225" s="228">
        <f t="shared" ref="H1225:H1264" si="115">G1225/G1224-1</f>
        <v>2.2691435678965588E-2</v>
      </c>
      <c r="J1225" s="227"/>
      <c r="K1225" s="245">
        <v>120.295906</v>
      </c>
      <c r="L1225" s="228">
        <f t="shared" ref="L1225:L1264" si="116">K1225/K1224-1</f>
        <v>2.7395058759993596E-3</v>
      </c>
      <c r="M1225" s="228"/>
      <c r="N1225" s="227"/>
      <c r="O1225" s="322">
        <v>134.449997</v>
      </c>
      <c r="P1225" s="228">
        <f t="shared" ref="P1225:P1264" si="117">O1225/O1224-1</f>
        <v>7.4178776268158941E-3</v>
      </c>
      <c r="Q1225" s="228"/>
      <c r="R1225" s="227"/>
      <c r="S1225" s="322">
        <v>602.09997599999997</v>
      </c>
      <c r="T1225" s="228">
        <f t="shared" ref="T1225:T1264" si="118">S1225/S1224-1</f>
        <v>3.8679964117309673E-3</v>
      </c>
      <c r="U1225" s="228"/>
      <c r="V1225" s="228"/>
      <c r="W1225" s="228"/>
      <c r="X1225" s="322">
        <v>337.709991</v>
      </c>
      <c r="Y1225" s="228">
        <f t="shared" ref="Y1225:Y1264" si="119">X1225/X1224-1</f>
        <v>6.7371558180180369E-3</v>
      </c>
      <c r="Z1225" s="228"/>
      <c r="AA1225" s="202"/>
    </row>
    <row r="1226" spans="2:27" x14ac:dyDescent="0.15">
      <c r="B1226" s="241">
        <v>44442</v>
      </c>
      <c r="C1226" s="244"/>
      <c r="D1226" s="245">
        <v>103.526276</v>
      </c>
      <c r="E1226" s="228">
        <f t="shared" si="114"/>
        <v>-5.7714329515001772E-4</v>
      </c>
      <c r="F1226" s="228"/>
      <c r="G1226" s="245">
        <v>858.10998500000005</v>
      </c>
      <c r="H1226" s="228">
        <f t="shared" si="115"/>
        <v>-3.6806194190762698E-3</v>
      </c>
      <c r="J1226" s="227"/>
      <c r="K1226" s="245">
        <v>123.462898</v>
      </c>
      <c r="L1226" s="228">
        <f t="shared" si="116"/>
        <v>2.6326681474929003E-2</v>
      </c>
      <c r="M1226" s="228"/>
      <c r="N1226" s="227"/>
      <c r="O1226" s="322">
        <v>135.83000200000001</v>
      </c>
      <c r="P1226" s="228">
        <f t="shared" si="117"/>
        <v>1.0264076093657426E-2</v>
      </c>
      <c r="Q1226" s="228"/>
      <c r="R1226" s="227"/>
      <c r="S1226" s="322">
        <v>610.71002199999998</v>
      </c>
      <c r="T1226" s="228">
        <f t="shared" si="118"/>
        <v>1.4300027143664851E-2</v>
      </c>
      <c r="U1226" s="228"/>
      <c r="V1226" s="228"/>
      <c r="W1226" s="228"/>
      <c r="X1226" s="322">
        <v>341.75</v>
      </c>
      <c r="Y1226" s="228">
        <f t="shared" si="119"/>
        <v>1.1962953740388471E-2</v>
      </c>
      <c r="Z1226" s="228"/>
      <c r="AA1226" s="202"/>
    </row>
    <row r="1227" spans="2:27" x14ac:dyDescent="0.15">
      <c r="B1227" s="241">
        <v>44446</v>
      </c>
      <c r="C1227" s="244"/>
      <c r="D1227" s="245">
        <v>103.03804</v>
      </c>
      <c r="E1227" s="228">
        <f t="shared" si="114"/>
        <v>-4.7160587520794772E-3</v>
      </c>
      <c r="F1227" s="228"/>
      <c r="G1227" s="245">
        <v>861.77002000000005</v>
      </c>
      <c r="H1227" s="228">
        <f t="shared" si="115"/>
        <v>4.2652283086999088E-3</v>
      </c>
      <c r="J1227" s="227"/>
      <c r="K1227" s="245">
        <v>124.189903</v>
      </c>
      <c r="L1227" s="228">
        <f t="shared" si="116"/>
        <v>5.8884491760431423E-3</v>
      </c>
      <c r="M1227" s="228"/>
      <c r="N1227" s="227"/>
      <c r="O1227" s="322">
        <v>136.490005</v>
      </c>
      <c r="P1227" s="228">
        <f t="shared" si="117"/>
        <v>4.8590369600376437E-3</v>
      </c>
      <c r="Q1227" s="228"/>
      <c r="R1227" s="227"/>
      <c r="S1227" s="322">
        <v>593.19000200000005</v>
      </c>
      <c r="T1227" s="228">
        <f t="shared" si="118"/>
        <v>-2.8687952332309918E-2</v>
      </c>
      <c r="U1227" s="228"/>
      <c r="V1227" s="228"/>
      <c r="W1227" s="228"/>
      <c r="X1227" s="322">
        <v>341.80999800000001</v>
      </c>
      <c r="Y1227" s="228">
        <f t="shared" si="119"/>
        <v>1.7556108266281178E-4</v>
      </c>
      <c r="Z1227" s="228"/>
      <c r="AA1227" s="202"/>
    </row>
    <row r="1228" spans="2:27" x14ac:dyDescent="0.15">
      <c r="B1228" s="241">
        <v>44447</v>
      </c>
      <c r="C1228" s="244"/>
      <c r="D1228" s="245">
        <v>102.818832</v>
      </c>
      <c r="E1228" s="228">
        <f t="shared" si="114"/>
        <v>-2.1274473000456595E-3</v>
      </c>
      <c r="F1228" s="228"/>
      <c r="G1228" s="245">
        <v>857.98999000000003</v>
      </c>
      <c r="H1228" s="228">
        <f t="shared" si="115"/>
        <v>-4.386355886457971E-3</v>
      </c>
      <c r="J1228" s="227"/>
      <c r="K1228" s="245">
        <v>121.391403</v>
      </c>
      <c r="L1228" s="228">
        <f t="shared" si="116"/>
        <v>-2.253403805299703E-2</v>
      </c>
      <c r="M1228" s="228"/>
      <c r="N1228" s="227"/>
      <c r="O1228" s="322">
        <v>133.55999800000001</v>
      </c>
      <c r="P1228" s="228">
        <f t="shared" si="117"/>
        <v>-2.1466824622066616E-2</v>
      </c>
      <c r="Q1228" s="228"/>
      <c r="R1228" s="227"/>
      <c r="S1228" s="322">
        <v>583.53997800000002</v>
      </c>
      <c r="T1228" s="228">
        <f t="shared" si="118"/>
        <v>-1.6268015252219326E-2</v>
      </c>
      <c r="U1228" s="228"/>
      <c r="V1228" s="228"/>
      <c r="W1228" s="228"/>
      <c r="X1228" s="322">
        <v>336.75</v>
      </c>
      <c r="Y1228" s="228">
        <f t="shared" si="119"/>
        <v>-1.480354006496909E-2</v>
      </c>
      <c r="Z1228" s="228"/>
      <c r="AA1228" s="202"/>
    </row>
    <row r="1229" spans="2:27" x14ac:dyDescent="0.15">
      <c r="B1229" s="241">
        <v>44448</v>
      </c>
      <c r="C1229" s="244"/>
      <c r="D1229" s="245">
        <v>102.450157</v>
      </c>
      <c r="E1229" s="228">
        <f t="shared" si="114"/>
        <v>-3.5856758224991347E-3</v>
      </c>
      <c r="F1229" s="228"/>
      <c r="G1229" s="245">
        <v>853.5</v>
      </c>
      <c r="H1229" s="228">
        <f t="shared" si="115"/>
        <v>-5.2331496315010106E-3</v>
      </c>
      <c r="J1229" s="227"/>
      <c r="K1229" s="245">
        <v>122.178169</v>
      </c>
      <c r="L1229" s="228">
        <f t="shared" si="116"/>
        <v>6.4812332715191712E-3</v>
      </c>
      <c r="M1229" s="228"/>
      <c r="N1229" s="227"/>
      <c r="O1229" s="322">
        <v>135</v>
      </c>
      <c r="P1229" s="228">
        <f t="shared" si="117"/>
        <v>1.0781686295023629E-2</v>
      </c>
      <c r="Q1229" s="228"/>
      <c r="R1229" s="227"/>
      <c r="S1229" s="322">
        <v>593.60998500000005</v>
      </c>
      <c r="T1229" s="228">
        <f t="shared" si="118"/>
        <v>1.7256755971567728E-2</v>
      </c>
      <c r="U1229" s="228"/>
      <c r="V1229" s="228"/>
      <c r="W1229" s="228"/>
      <c r="X1229" s="322">
        <v>347.82998700000002</v>
      </c>
      <c r="Y1229" s="228">
        <f t="shared" si="119"/>
        <v>3.290270824053465E-2</v>
      </c>
      <c r="Z1229" s="228"/>
      <c r="AA1229" s="202"/>
    </row>
    <row r="1230" spans="2:27" x14ac:dyDescent="0.15">
      <c r="B1230" s="241">
        <v>44449</v>
      </c>
      <c r="C1230" s="244"/>
      <c r="D1230" s="245">
        <v>101.63311</v>
      </c>
      <c r="E1230" s="228">
        <f t="shared" si="114"/>
        <v>-7.9750683056541982E-3</v>
      </c>
      <c r="F1230" s="228"/>
      <c r="G1230" s="245">
        <v>858.86999500000002</v>
      </c>
      <c r="H1230" s="228">
        <f t="shared" si="115"/>
        <v>6.2917340363211061E-3</v>
      </c>
      <c r="J1230" s="227"/>
      <c r="K1230" s="245">
        <v>122.466988</v>
      </c>
      <c r="L1230" s="228">
        <f t="shared" si="116"/>
        <v>2.3639165848032828E-3</v>
      </c>
      <c r="M1230" s="228"/>
      <c r="N1230" s="227"/>
      <c r="O1230" s="322">
        <v>136.83999600000001</v>
      </c>
      <c r="P1230" s="228">
        <f t="shared" si="117"/>
        <v>1.3629600000000019E-2</v>
      </c>
      <c r="Q1230" s="228"/>
      <c r="R1230" s="227"/>
      <c r="S1230" s="322">
        <v>598.10998500000005</v>
      </c>
      <c r="T1230" s="228">
        <f t="shared" si="118"/>
        <v>7.5807350174541543E-3</v>
      </c>
      <c r="U1230" s="228"/>
      <c r="V1230" s="228"/>
      <c r="W1230" s="228"/>
      <c r="X1230" s="322">
        <v>350.57000699999998</v>
      </c>
      <c r="Y1230" s="228">
        <f t="shared" si="119"/>
        <v>7.8774691728920043E-3</v>
      </c>
      <c r="Z1230" s="228"/>
      <c r="AA1230" s="202"/>
    </row>
    <row r="1231" spans="2:27" x14ac:dyDescent="0.15">
      <c r="B1231" s="241">
        <v>44452</v>
      </c>
      <c r="C1231" s="244"/>
      <c r="D1231" s="245">
        <v>101.862289</v>
      </c>
      <c r="E1231" s="228">
        <f t="shared" si="114"/>
        <v>2.2549639581037617E-3</v>
      </c>
      <c r="F1231" s="228"/>
      <c r="G1231" s="245">
        <v>871.23999000000003</v>
      </c>
      <c r="H1231" s="228">
        <f t="shared" si="115"/>
        <v>1.4402639598557698E-2</v>
      </c>
      <c r="J1231" s="227"/>
      <c r="K1231" s="245">
        <v>123.11432600000001</v>
      </c>
      <c r="L1231" s="228">
        <f t="shared" si="116"/>
        <v>5.2858162887128302E-3</v>
      </c>
      <c r="M1231" s="228"/>
      <c r="N1231" s="227"/>
      <c r="O1231" s="322">
        <v>139.44000199999999</v>
      </c>
      <c r="P1231" s="228">
        <f t="shared" si="117"/>
        <v>1.9000336714420696E-2</v>
      </c>
      <c r="Q1231" s="228"/>
      <c r="R1231" s="227"/>
      <c r="S1231" s="322">
        <v>608.77002000000005</v>
      </c>
      <c r="T1231" s="228">
        <f t="shared" si="118"/>
        <v>1.782286747812778E-2</v>
      </c>
      <c r="U1231" s="228"/>
      <c r="V1231" s="228"/>
      <c r="W1231" s="228"/>
      <c r="X1231" s="322">
        <v>355.60000600000001</v>
      </c>
      <c r="Y1231" s="228">
        <f t="shared" si="119"/>
        <v>1.4348058589050972E-2</v>
      </c>
      <c r="Z1231" s="228"/>
      <c r="AA1231" s="202"/>
    </row>
    <row r="1232" spans="2:27" x14ac:dyDescent="0.15">
      <c r="B1232" s="241">
        <v>44453</v>
      </c>
      <c r="C1232" s="244"/>
      <c r="D1232" s="245">
        <v>101.184731</v>
      </c>
      <c r="E1232" s="228">
        <f t="shared" si="114"/>
        <v>-6.6517060106513481E-3</v>
      </c>
      <c r="F1232" s="228"/>
      <c r="G1232" s="245">
        <v>888.07000700000003</v>
      </c>
      <c r="H1232" s="228">
        <f t="shared" si="115"/>
        <v>1.9317314624182957E-2</v>
      </c>
      <c r="J1232" s="227"/>
      <c r="K1232" s="245">
        <v>122.586494</v>
      </c>
      <c r="L1232" s="228">
        <f t="shared" si="116"/>
        <v>-4.2873320851385399E-3</v>
      </c>
      <c r="M1232" s="228"/>
      <c r="N1232" s="227"/>
      <c r="O1232" s="322">
        <v>140.13999899999999</v>
      </c>
      <c r="P1232" s="228">
        <f t="shared" si="117"/>
        <v>5.0200587346520553E-3</v>
      </c>
      <c r="Q1232" s="228"/>
      <c r="R1232" s="227"/>
      <c r="S1232" s="322">
        <v>603.5</v>
      </c>
      <c r="T1232" s="228">
        <f t="shared" si="118"/>
        <v>-8.656832345324883E-3</v>
      </c>
      <c r="U1232" s="228"/>
      <c r="V1232" s="228"/>
      <c r="W1232" s="228"/>
      <c r="X1232" s="322">
        <v>356.39001500000001</v>
      </c>
      <c r="Y1232" s="228">
        <f t="shared" si="119"/>
        <v>2.2216225721884975E-3</v>
      </c>
      <c r="Z1232" s="228"/>
      <c r="AA1232" s="202"/>
    </row>
    <row r="1233" spans="2:27" x14ac:dyDescent="0.15">
      <c r="B1233" s="241">
        <v>44454</v>
      </c>
      <c r="C1233" s="244"/>
      <c r="D1233" s="245">
        <v>102.121346</v>
      </c>
      <c r="E1233" s="228">
        <f t="shared" si="114"/>
        <v>9.2564855462233808E-3</v>
      </c>
      <c r="F1233" s="228"/>
      <c r="G1233" s="245">
        <v>889.330017</v>
      </c>
      <c r="H1233" s="228">
        <f t="shared" si="115"/>
        <v>1.4188183252088482E-3</v>
      </c>
      <c r="J1233" s="227"/>
      <c r="K1233" s="245">
        <v>121.00299800000001</v>
      </c>
      <c r="L1233" s="228">
        <f t="shared" si="116"/>
        <v>-1.2917377341748582E-2</v>
      </c>
      <c r="M1233" s="228"/>
      <c r="N1233" s="227"/>
      <c r="O1233" s="322">
        <v>141.229996</v>
      </c>
      <c r="P1233" s="228">
        <f t="shared" si="117"/>
        <v>7.7779149977017514E-3</v>
      </c>
      <c r="Q1233" s="228"/>
      <c r="R1233" s="227"/>
      <c r="S1233" s="322">
        <v>611.5</v>
      </c>
      <c r="T1233" s="228">
        <f t="shared" si="118"/>
        <v>1.3256006628003414E-2</v>
      </c>
      <c r="U1233" s="228"/>
      <c r="V1233" s="228"/>
      <c r="W1233" s="228"/>
      <c r="X1233" s="322">
        <v>367.33999599999999</v>
      </c>
      <c r="Y1233" s="228">
        <f t="shared" si="119"/>
        <v>3.0724713204998144E-2</v>
      </c>
      <c r="Z1233" s="228"/>
      <c r="AA1233" s="202"/>
    </row>
    <row r="1234" spans="2:27" x14ac:dyDescent="0.15">
      <c r="B1234" s="241">
        <v>44455</v>
      </c>
      <c r="C1234" s="244"/>
      <c r="D1234" s="245">
        <v>102.001785</v>
      </c>
      <c r="E1234" s="228">
        <f t="shared" si="114"/>
        <v>-1.1707738360597908E-3</v>
      </c>
      <c r="F1234" s="228"/>
      <c r="G1234" s="245">
        <v>887.30999799999995</v>
      </c>
      <c r="H1234" s="228">
        <f t="shared" si="115"/>
        <v>-2.2713941522115588E-3</v>
      </c>
      <c r="J1234" s="227"/>
      <c r="K1234" s="245">
        <v>120.790001</v>
      </c>
      <c r="L1234" s="228">
        <f t="shared" si="116"/>
        <v>-1.7602621713554978E-3</v>
      </c>
      <c r="M1234" s="228"/>
      <c r="N1234" s="227"/>
      <c r="O1234" s="322">
        <v>144.08999600000001</v>
      </c>
      <c r="P1234" s="228">
        <f t="shared" si="117"/>
        <v>2.0250655533545547E-2</v>
      </c>
      <c r="Q1234" s="228"/>
      <c r="R1234" s="227"/>
      <c r="S1234" s="322">
        <v>615.84997599999997</v>
      </c>
      <c r="T1234" s="228">
        <f t="shared" si="118"/>
        <v>7.1136156991005173E-3</v>
      </c>
      <c r="U1234" s="228"/>
      <c r="V1234" s="228"/>
      <c r="W1234" s="228"/>
      <c r="X1234" s="322">
        <v>372.01998900000001</v>
      </c>
      <c r="Y1234" s="228">
        <f t="shared" si="119"/>
        <v>1.2740221731804002E-2</v>
      </c>
      <c r="Z1234" s="228"/>
      <c r="AA1234" s="202"/>
    </row>
    <row r="1235" spans="2:27" x14ac:dyDescent="0.15">
      <c r="B1235" s="241">
        <v>44456</v>
      </c>
      <c r="C1235" s="244"/>
      <c r="D1235" s="245">
        <v>101.20465900000001</v>
      </c>
      <c r="E1235" s="228">
        <f t="shared" si="114"/>
        <v>-7.8148240248931966E-3</v>
      </c>
      <c r="F1235" s="228"/>
      <c r="G1235" s="245">
        <v>859.84997599999997</v>
      </c>
      <c r="H1235" s="228">
        <f t="shared" si="115"/>
        <v>-3.0947495308172979E-2</v>
      </c>
      <c r="J1235" s="227"/>
      <c r="K1235" s="245">
        <v>117.75</v>
      </c>
      <c r="L1235" s="228">
        <f t="shared" si="116"/>
        <v>-2.5167654398810746E-2</v>
      </c>
      <c r="M1235" s="228"/>
      <c r="N1235" s="227"/>
      <c r="O1235" s="322">
        <v>140.800003</v>
      </c>
      <c r="P1235" s="228">
        <f t="shared" si="117"/>
        <v>-2.2832903680558125E-2</v>
      </c>
      <c r="Q1235" s="228"/>
      <c r="R1235" s="227"/>
      <c r="S1235" s="322">
        <v>608.97997999999995</v>
      </c>
      <c r="T1235" s="228">
        <f t="shared" si="118"/>
        <v>-1.115530773358353E-2</v>
      </c>
      <c r="U1235" s="228"/>
      <c r="V1235" s="228"/>
      <c r="W1235" s="228"/>
      <c r="X1235" s="322">
        <v>369.80999800000001</v>
      </c>
      <c r="Y1235" s="228">
        <f t="shared" si="119"/>
        <v>-5.9405168145414411E-3</v>
      </c>
      <c r="Z1235" s="228"/>
      <c r="AA1235" s="202"/>
    </row>
    <row r="1236" spans="2:27" x14ac:dyDescent="0.15">
      <c r="B1236" s="241">
        <v>44459</v>
      </c>
      <c r="C1236" s="244"/>
      <c r="D1236" s="245">
        <v>99.431061</v>
      </c>
      <c r="E1236" s="228">
        <f t="shared" si="114"/>
        <v>-1.7524865134914469E-2</v>
      </c>
      <c r="F1236" s="228"/>
      <c r="G1236" s="245">
        <v>840.73999000000003</v>
      </c>
      <c r="H1236" s="228">
        <f t="shared" si="115"/>
        <v>-2.2224790990748255E-2</v>
      </c>
      <c r="J1236" s="227"/>
      <c r="K1236" s="245">
        <v>114.699997</v>
      </c>
      <c r="L1236" s="228">
        <f t="shared" si="116"/>
        <v>-2.5902360934182633E-2</v>
      </c>
      <c r="M1236" s="228"/>
      <c r="N1236" s="227"/>
      <c r="O1236" s="322">
        <v>135.529999</v>
      </c>
      <c r="P1236" s="228">
        <f t="shared" si="117"/>
        <v>-3.7429004884325212E-2</v>
      </c>
      <c r="Q1236" s="228"/>
      <c r="R1236" s="227"/>
      <c r="S1236" s="322">
        <v>589.90997300000004</v>
      </c>
      <c r="T1236" s="228">
        <f t="shared" si="118"/>
        <v>-3.1314669818866547E-2</v>
      </c>
      <c r="U1236" s="228"/>
      <c r="V1236" s="228"/>
      <c r="W1236" s="228"/>
      <c r="X1236" s="322">
        <v>355.17999300000002</v>
      </c>
      <c r="Y1236" s="228">
        <f t="shared" si="119"/>
        <v>-3.9560869308893021E-2</v>
      </c>
      <c r="Z1236" s="228"/>
      <c r="AA1236" s="202"/>
    </row>
    <row r="1237" spans="2:27" x14ac:dyDescent="0.15">
      <c r="B1237" s="241">
        <v>44460</v>
      </c>
      <c r="C1237" s="244"/>
      <c r="D1237" s="245">
        <v>99.411124999999998</v>
      </c>
      <c r="E1237" s="228">
        <f t="shared" si="114"/>
        <v>-2.0050072683019948E-4</v>
      </c>
      <c r="F1237" s="228"/>
      <c r="G1237" s="245">
        <v>854.72997999999995</v>
      </c>
      <c r="H1237" s="228">
        <f t="shared" si="115"/>
        <v>1.6640091070248664E-2</v>
      </c>
      <c r="J1237" s="227"/>
      <c r="K1237" s="245">
        <v>114.959999</v>
      </c>
      <c r="L1237" s="228">
        <f t="shared" si="116"/>
        <v>2.2668004080244053E-3</v>
      </c>
      <c r="M1237" s="228"/>
      <c r="N1237" s="227"/>
      <c r="O1237" s="322">
        <v>135.179993</v>
      </c>
      <c r="P1237" s="228">
        <f t="shared" si="117"/>
        <v>-2.5824983589057826E-3</v>
      </c>
      <c r="Q1237" s="228"/>
      <c r="R1237" s="227"/>
      <c r="S1237" s="322">
        <v>586.21997099999999</v>
      </c>
      <c r="T1237" s="228">
        <f t="shared" si="118"/>
        <v>-6.2551951465313893E-3</v>
      </c>
      <c r="U1237" s="228"/>
      <c r="V1237" s="228"/>
      <c r="W1237" s="228"/>
      <c r="X1237" s="322">
        <v>356.57998700000002</v>
      </c>
      <c r="Y1237" s="228">
        <f t="shared" si="119"/>
        <v>3.9416465667874157E-3</v>
      </c>
      <c r="Z1237" s="228"/>
      <c r="AA1237" s="202"/>
    </row>
    <row r="1238" spans="2:27" x14ac:dyDescent="0.15">
      <c r="B1238" s="241">
        <v>44461</v>
      </c>
      <c r="C1238" s="244"/>
      <c r="D1238" s="245">
        <v>100.417496</v>
      </c>
      <c r="E1238" s="228">
        <f t="shared" si="114"/>
        <v>1.0123323722571298E-2</v>
      </c>
      <c r="F1238" s="228"/>
      <c r="G1238" s="245">
        <v>864.73999000000003</v>
      </c>
      <c r="H1238" s="228">
        <f t="shared" si="115"/>
        <v>1.1711312618284619E-2</v>
      </c>
      <c r="J1238" s="227"/>
      <c r="K1238" s="245">
        <v>115.870003</v>
      </c>
      <c r="L1238" s="228">
        <f t="shared" si="116"/>
        <v>7.9158316624550196E-3</v>
      </c>
      <c r="M1238" s="228"/>
      <c r="N1238" s="227"/>
      <c r="O1238" s="322">
        <v>138.10000600000001</v>
      </c>
      <c r="P1238" s="228">
        <f t="shared" si="117"/>
        <v>2.1600925811558591E-2</v>
      </c>
      <c r="Q1238" s="228"/>
      <c r="R1238" s="227"/>
      <c r="S1238" s="322">
        <v>601.09997599999997</v>
      </c>
      <c r="T1238" s="228">
        <f t="shared" si="118"/>
        <v>2.5382971812811128E-2</v>
      </c>
      <c r="U1238" s="228"/>
      <c r="V1238" s="228"/>
      <c r="W1238" s="228"/>
      <c r="X1238" s="322">
        <v>365.51001000000002</v>
      </c>
      <c r="Y1238" s="228">
        <f t="shared" si="119"/>
        <v>2.5043533921044192E-2</v>
      </c>
      <c r="Z1238" s="228"/>
      <c r="AA1238" s="202"/>
    </row>
    <row r="1239" spans="2:27" x14ac:dyDescent="0.15">
      <c r="B1239" s="241">
        <v>44462</v>
      </c>
      <c r="C1239" s="244"/>
      <c r="D1239" s="245">
        <v>101.66300200000001</v>
      </c>
      <c r="E1239" s="228">
        <f t="shared" si="114"/>
        <v>1.2403276815426745E-2</v>
      </c>
      <c r="F1239" s="228"/>
      <c r="G1239" s="245">
        <v>879.78002900000001</v>
      </c>
      <c r="H1239" s="228">
        <f t="shared" si="115"/>
        <v>1.7392556345173782E-2</v>
      </c>
      <c r="J1239" s="227"/>
      <c r="K1239" s="245">
        <v>116.19000200000001</v>
      </c>
      <c r="L1239" s="228">
        <f t="shared" si="116"/>
        <v>2.7617070140233402E-3</v>
      </c>
      <c r="M1239" s="228"/>
      <c r="N1239" s="227"/>
      <c r="O1239" s="322">
        <v>141.11000100000001</v>
      </c>
      <c r="P1239" s="228">
        <f t="shared" si="117"/>
        <v>2.179576299221897E-2</v>
      </c>
      <c r="Q1239" s="228"/>
      <c r="R1239" s="227"/>
      <c r="S1239" s="322">
        <v>612.55999799999995</v>
      </c>
      <c r="T1239" s="228">
        <f t="shared" si="118"/>
        <v>1.9065084773851382E-2</v>
      </c>
      <c r="U1239" s="228"/>
      <c r="V1239" s="228"/>
      <c r="W1239" s="228"/>
      <c r="X1239" s="322">
        <v>370.98001099999999</v>
      </c>
      <c r="Y1239" s="228">
        <f t="shared" si="119"/>
        <v>1.4965393150244921E-2</v>
      </c>
      <c r="Z1239" s="228"/>
      <c r="AA1239" s="202"/>
    </row>
    <row r="1240" spans="2:27" x14ac:dyDescent="0.15">
      <c r="B1240" s="241">
        <v>44463</v>
      </c>
      <c r="C1240" s="244"/>
      <c r="D1240" s="245">
        <v>101.69000200000001</v>
      </c>
      <c r="E1240" s="228">
        <f t="shared" si="114"/>
        <v>2.6558334368287362E-4</v>
      </c>
      <c r="F1240" s="228"/>
      <c r="G1240" s="245">
        <v>868.82000700000003</v>
      </c>
      <c r="H1240" s="228">
        <f t="shared" si="115"/>
        <v>-1.2457684465124408E-2</v>
      </c>
      <c r="J1240" s="227"/>
      <c r="K1240" s="245">
        <v>115.639999</v>
      </c>
      <c r="L1240" s="228">
        <f t="shared" si="116"/>
        <v>-4.7336516957802166E-3</v>
      </c>
      <c r="M1240" s="228"/>
      <c r="N1240" s="227"/>
      <c r="O1240" s="322">
        <v>141.91999799999999</v>
      </c>
      <c r="P1240" s="228">
        <f t="shared" si="117"/>
        <v>5.7401813780724176E-3</v>
      </c>
      <c r="Q1240" s="228"/>
      <c r="R1240" s="227"/>
      <c r="S1240" s="322">
        <v>612.47997999999995</v>
      </c>
      <c r="T1240" s="228">
        <f t="shared" si="118"/>
        <v>-1.3062883678538473E-4</v>
      </c>
      <c r="U1240" s="228"/>
      <c r="V1240" s="228"/>
      <c r="W1240" s="228"/>
      <c r="X1240" s="322">
        <v>369.52999899999998</v>
      </c>
      <c r="Y1240" s="228">
        <f t="shared" si="119"/>
        <v>-3.908598730404389E-3</v>
      </c>
      <c r="Z1240" s="228"/>
      <c r="AA1240" s="202"/>
    </row>
    <row r="1241" spans="2:27" x14ac:dyDescent="0.15">
      <c r="B1241" s="241">
        <v>44466</v>
      </c>
      <c r="C1241" s="244"/>
      <c r="D1241" s="245">
        <v>101.519997</v>
      </c>
      <c r="E1241" s="228">
        <f t="shared" si="114"/>
        <v>-1.6717966039572207E-3</v>
      </c>
      <c r="F1241" s="228"/>
      <c r="G1241" s="245">
        <v>835.30999799999995</v>
      </c>
      <c r="H1241" s="228">
        <f t="shared" si="115"/>
        <v>-3.8569564155996772E-2</v>
      </c>
      <c r="J1241" s="227"/>
      <c r="K1241" s="245">
        <v>116.150002</v>
      </c>
      <c r="L1241" s="228">
        <f t="shared" si="116"/>
        <v>4.4102646524581957E-3</v>
      </c>
      <c r="M1241" s="228"/>
      <c r="N1241" s="227"/>
      <c r="O1241" s="322">
        <v>142.740005</v>
      </c>
      <c r="P1241" s="228">
        <f t="shared" si="117"/>
        <v>5.7779524489565137E-3</v>
      </c>
      <c r="Q1241" s="228"/>
      <c r="R1241" s="227"/>
      <c r="S1241" s="322">
        <v>616.669983</v>
      </c>
      <c r="T1241" s="228">
        <f t="shared" si="118"/>
        <v>6.8410448289266679E-3</v>
      </c>
      <c r="U1241" s="228"/>
      <c r="V1241" s="228"/>
      <c r="W1241" s="228"/>
      <c r="X1241" s="322">
        <v>365.77999899999998</v>
      </c>
      <c r="Y1241" s="228">
        <f t="shared" si="119"/>
        <v>-1.0148025898162549E-2</v>
      </c>
      <c r="Z1241" s="228"/>
      <c r="AA1241" s="202"/>
    </row>
    <row r="1242" spans="2:27" x14ac:dyDescent="0.15">
      <c r="B1242" s="241">
        <v>44467</v>
      </c>
      <c r="C1242" s="244"/>
      <c r="D1242" s="245">
        <v>99.360000999999997</v>
      </c>
      <c r="E1242" s="228">
        <f t="shared" si="114"/>
        <v>-2.1276556972317562E-2</v>
      </c>
      <c r="F1242" s="228"/>
      <c r="G1242" s="245">
        <v>780.169983</v>
      </c>
      <c r="H1242" s="228">
        <f t="shared" si="115"/>
        <v>-6.6011439025059904E-2</v>
      </c>
      <c r="J1242" s="227"/>
      <c r="K1242" s="245">
        <v>111.900002</v>
      </c>
      <c r="L1242" s="228">
        <f t="shared" si="116"/>
        <v>-3.6590614953239564E-2</v>
      </c>
      <c r="M1242" s="228"/>
      <c r="N1242" s="227"/>
      <c r="O1242" s="322">
        <v>132.88999899999999</v>
      </c>
      <c r="P1242" s="228">
        <f t="shared" si="117"/>
        <v>-6.9006625017282386E-2</v>
      </c>
      <c r="Q1242" s="228"/>
      <c r="R1242" s="227"/>
      <c r="S1242" s="322">
        <v>585.96997099999999</v>
      </c>
      <c r="T1242" s="228">
        <f t="shared" si="118"/>
        <v>-4.9783535515462218E-2</v>
      </c>
      <c r="U1242" s="228"/>
      <c r="V1242" s="228"/>
      <c r="W1242" s="228"/>
      <c r="X1242" s="322">
        <v>347.02999899999998</v>
      </c>
      <c r="Y1242" s="228">
        <f t="shared" si="119"/>
        <v>-5.1260320551315908E-2</v>
      </c>
      <c r="Z1242" s="228"/>
      <c r="AA1242" s="202"/>
    </row>
    <row r="1243" spans="2:27" x14ac:dyDescent="0.15">
      <c r="B1243" s="241">
        <v>44468</v>
      </c>
      <c r="C1243" s="244"/>
      <c r="D1243" s="245">
        <v>99.480002999999996</v>
      </c>
      <c r="E1243" s="228">
        <f t="shared" si="114"/>
        <v>1.2077495852682585E-3</v>
      </c>
      <c r="F1243" s="228"/>
      <c r="G1243" s="245">
        <v>750.419983</v>
      </c>
      <c r="H1243" s="228">
        <f t="shared" si="115"/>
        <v>-3.8132715495669101E-2</v>
      </c>
      <c r="J1243" s="227"/>
      <c r="K1243" s="245">
        <v>111.620003</v>
      </c>
      <c r="L1243" s="228">
        <f t="shared" si="116"/>
        <v>-2.5022251563499021E-3</v>
      </c>
      <c r="M1243" s="228"/>
      <c r="N1243" s="227"/>
      <c r="O1243" s="322">
        <v>128.270004</v>
      </c>
      <c r="P1243" s="228">
        <f t="shared" si="117"/>
        <v>-3.4765558241895866E-2</v>
      </c>
      <c r="Q1243" s="228"/>
      <c r="R1243" s="227"/>
      <c r="S1243" s="322">
        <v>567.51000999999997</v>
      </c>
      <c r="T1243" s="228">
        <f t="shared" si="118"/>
        <v>-3.150325428536338E-2</v>
      </c>
      <c r="U1243" s="228"/>
      <c r="V1243" s="228"/>
      <c r="W1243" s="228"/>
      <c r="X1243" s="322">
        <v>335.29998799999998</v>
      </c>
      <c r="Y1243" s="228">
        <f t="shared" si="119"/>
        <v>-3.3801144090715884E-2</v>
      </c>
      <c r="Z1243" s="228"/>
      <c r="AA1243" s="202"/>
    </row>
    <row r="1244" spans="2:27" x14ac:dyDescent="0.15">
      <c r="B1244" s="241">
        <v>44469</v>
      </c>
      <c r="C1244" s="244"/>
      <c r="D1244" s="245">
        <v>98.379997000000003</v>
      </c>
      <c r="E1244" s="228">
        <f t="shared" si="114"/>
        <v>-1.1057558974942872E-2</v>
      </c>
      <c r="F1244" s="228"/>
      <c r="G1244" s="245">
        <v>745.10998500000005</v>
      </c>
      <c r="H1244" s="228">
        <f t="shared" si="115"/>
        <v>-7.0760349141714141E-3</v>
      </c>
      <c r="J1244" s="227"/>
      <c r="K1244" s="245">
        <v>111.650002</v>
      </c>
      <c r="L1244" s="228">
        <f t="shared" si="116"/>
        <v>2.6876007161558135E-4</v>
      </c>
      <c r="M1244" s="228"/>
      <c r="N1244" s="227"/>
      <c r="O1244" s="322">
        <v>128.729996</v>
      </c>
      <c r="P1244" s="228">
        <f t="shared" si="117"/>
        <v>3.5861229099205527E-3</v>
      </c>
      <c r="Q1244" s="228"/>
      <c r="R1244" s="227"/>
      <c r="S1244" s="322">
        <v>569.15002400000003</v>
      </c>
      <c r="T1244" s="228">
        <f t="shared" si="118"/>
        <v>2.8898415377731634E-3</v>
      </c>
      <c r="U1244" s="228"/>
      <c r="V1244" s="228"/>
      <c r="W1244" s="228"/>
      <c r="X1244" s="322">
        <v>334.51001000000002</v>
      </c>
      <c r="Y1244" s="228">
        <f t="shared" si="119"/>
        <v>-2.3560334872423372E-3</v>
      </c>
      <c r="Z1244" s="228"/>
      <c r="AA1244" s="202"/>
    </row>
    <row r="1245" spans="2:27" x14ac:dyDescent="0.15">
      <c r="B1245" s="241">
        <v>44470</v>
      </c>
      <c r="C1245" s="244"/>
      <c r="D1245" s="245">
        <v>99.639999000000003</v>
      </c>
      <c r="E1245" s="228">
        <f t="shared" si="114"/>
        <v>1.280750191525204E-2</v>
      </c>
      <c r="F1245" s="228"/>
      <c r="G1245" s="245">
        <v>741.80999799999995</v>
      </c>
      <c r="H1245" s="228">
        <f t="shared" si="115"/>
        <v>-4.428858915372258E-3</v>
      </c>
      <c r="J1245" s="227"/>
      <c r="K1245" s="245">
        <v>111.55999799999999</v>
      </c>
      <c r="L1245" s="228">
        <f t="shared" si="116"/>
        <v>-8.0612627306542173E-4</v>
      </c>
      <c r="M1245" s="228"/>
      <c r="N1245" s="227"/>
      <c r="O1245" s="322">
        <v>129.13000500000001</v>
      </c>
      <c r="P1245" s="228">
        <f t="shared" si="117"/>
        <v>3.1073488109174541E-3</v>
      </c>
      <c r="Q1245" s="228"/>
      <c r="R1245" s="227"/>
      <c r="S1245" s="322">
        <v>569.72997999999995</v>
      </c>
      <c r="T1245" s="228">
        <f t="shared" si="118"/>
        <v>1.018986164533553E-3</v>
      </c>
      <c r="U1245" s="228"/>
      <c r="V1245" s="228"/>
      <c r="W1245" s="228"/>
      <c r="X1245" s="322">
        <v>335.01998900000001</v>
      </c>
      <c r="Y1245" s="228">
        <f t="shared" si="119"/>
        <v>1.5245552741456336E-3</v>
      </c>
      <c r="Z1245" s="228"/>
      <c r="AA1245" s="202"/>
    </row>
    <row r="1246" spans="2:27" x14ac:dyDescent="0.15">
      <c r="B1246" s="241">
        <v>44473</v>
      </c>
      <c r="C1246" s="244"/>
      <c r="D1246" s="245">
        <v>98.239998</v>
      </c>
      <c r="E1246" s="228">
        <f t="shared" si="114"/>
        <v>-1.4050592272687679E-2</v>
      </c>
      <c r="F1246" s="228"/>
      <c r="G1246" s="245">
        <v>712.94000200000005</v>
      </c>
      <c r="H1246" s="228">
        <f t="shared" si="115"/>
        <v>-3.8918316115766238E-2</v>
      </c>
      <c r="J1246" s="227"/>
      <c r="K1246" s="245">
        <v>109.019997</v>
      </c>
      <c r="L1246" s="228">
        <f t="shared" si="116"/>
        <v>-2.2768026582431378E-2</v>
      </c>
      <c r="M1246" s="228"/>
      <c r="N1246" s="227"/>
      <c r="O1246" s="322">
        <v>125.199997</v>
      </c>
      <c r="P1246" s="228">
        <f t="shared" si="117"/>
        <v>-3.0434506681851436E-2</v>
      </c>
      <c r="Q1246" s="228"/>
      <c r="R1246" s="227"/>
      <c r="S1246" s="322">
        <v>550.14001499999995</v>
      </c>
      <c r="T1246" s="228">
        <f t="shared" si="118"/>
        <v>-3.4384648320595623E-2</v>
      </c>
      <c r="U1246" s="228"/>
      <c r="V1246" s="228"/>
      <c r="W1246" s="228"/>
      <c r="X1246" s="322">
        <v>329.07000699999998</v>
      </c>
      <c r="Y1246" s="228">
        <f t="shared" si="119"/>
        <v>-1.7760080578356319E-2</v>
      </c>
      <c r="Z1246" s="228"/>
      <c r="AA1246" s="202"/>
    </row>
    <row r="1247" spans="2:27" x14ac:dyDescent="0.15">
      <c r="B1247" s="241">
        <v>44474</v>
      </c>
      <c r="C1247" s="244"/>
      <c r="D1247" s="245">
        <v>99.160004000000001</v>
      </c>
      <c r="E1247" s="228">
        <f t="shared" si="114"/>
        <v>9.364882112477213E-3</v>
      </c>
      <c r="F1247" s="228"/>
      <c r="G1247" s="245">
        <v>732.86999500000002</v>
      </c>
      <c r="H1247" s="228">
        <f t="shared" si="115"/>
        <v>2.7954656694940239E-2</v>
      </c>
      <c r="J1247" s="227"/>
      <c r="K1247" s="245">
        <v>109.260002</v>
      </c>
      <c r="L1247" s="228">
        <f t="shared" si="116"/>
        <v>2.2014768538289875E-3</v>
      </c>
      <c r="M1247" s="228"/>
      <c r="N1247" s="227"/>
      <c r="O1247" s="322">
        <v>128.070007</v>
      </c>
      <c r="P1247" s="228">
        <f t="shared" si="117"/>
        <v>2.2923403105193474E-2</v>
      </c>
      <c r="Q1247" s="228"/>
      <c r="R1247" s="227"/>
      <c r="S1247" s="322">
        <v>555.90002400000003</v>
      </c>
      <c r="T1247" s="228">
        <f t="shared" si="118"/>
        <v>1.0470078239991576E-2</v>
      </c>
      <c r="U1247" s="228"/>
      <c r="V1247" s="228"/>
      <c r="W1247" s="228"/>
      <c r="X1247" s="322">
        <v>331.23001099999999</v>
      </c>
      <c r="Y1247" s="228">
        <f t="shared" si="119"/>
        <v>6.5639649741764394E-3</v>
      </c>
      <c r="Z1247" s="228"/>
      <c r="AA1247" s="202"/>
    </row>
    <row r="1248" spans="2:27" x14ac:dyDescent="0.15">
      <c r="B1248" s="241">
        <v>44475</v>
      </c>
      <c r="C1248" s="244"/>
      <c r="D1248" s="245">
        <v>99.519997000000004</v>
      </c>
      <c r="E1248" s="228">
        <f t="shared" si="114"/>
        <v>3.6304254283814341E-3</v>
      </c>
      <c r="F1248" s="228"/>
      <c r="G1248" s="245">
        <v>732.5</v>
      </c>
      <c r="H1248" s="228">
        <f t="shared" si="115"/>
        <v>-5.0485761802820939E-4</v>
      </c>
      <c r="J1248" s="227"/>
      <c r="K1248" s="245">
        <v>109.339996</v>
      </c>
      <c r="L1248" s="228">
        <f t="shared" si="116"/>
        <v>7.3214349748962348E-4</v>
      </c>
      <c r="M1248" s="228"/>
      <c r="N1248" s="227"/>
      <c r="O1248" s="322">
        <v>126.519997</v>
      </c>
      <c r="P1248" s="228">
        <f t="shared" si="117"/>
        <v>-1.210283372593246E-2</v>
      </c>
      <c r="Q1248" s="228"/>
      <c r="R1248" s="227"/>
      <c r="S1248" s="322">
        <v>551.72997999999995</v>
      </c>
      <c r="T1248" s="228">
        <f t="shared" si="118"/>
        <v>-7.5014279905842862E-3</v>
      </c>
      <c r="U1248" s="228"/>
      <c r="V1248" s="228"/>
      <c r="W1248" s="228"/>
      <c r="X1248" s="322">
        <v>329.10000600000001</v>
      </c>
      <c r="Y1248" s="228">
        <f t="shared" si="119"/>
        <v>-6.430591822188414E-3</v>
      </c>
      <c r="Z1248" s="228"/>
      <c r="AA1248" s="202"/>
    </row>
    <row r="1249" spans="2:27" x14ac:dyDescent="0.15">
      <c r="B1249" s="241">
        <v>44476</v>
      </c>
      <c r="C1249" s="244"/>
      <c r="D1249" s="245">
        <v>100.489998</v>
      </c>
      <c r="E1249" s="228">
        <f t="shared" si="114"/>
        <v>9.7467949079619309E-3</v>
      </c>
      <c r="F1249" s="228"/>
      <c r="G1249" s="245">
        <v>746.82000700000003</v>
      </c>
      <c r="H1249" s="228">
        <f t="shared" si="115"/>
        <v>1.9549497610921618E-2</v>
      </c>
      <c r="J1249" s="227"/>
      <c r="K1249" s="245">
        <v>110.83000199999999</v>
      </c>
      <c r="L1249" s="228">
        <f t="shared" si="116"/>
        <v>1.3627273225801151E-2</v>
      </c>
      <c r="M1249" s="228"/>
      <c r="N1249" s="227"/>
      <c r="O1249" s="322">
        <v>127.879997</v>
      </c>
      <c r="P1249" s="228">
        <f t="shared" si="117"/>
        <v>1.0749288904899457E-2</v>
      </c>
      <c r="Q1249" s="228"/>
      <c r="R1249" s="227"/>
      <c r="S1249" s="322">
        <v>555.82000700000003</v>
      </c>
      <c r="T1249" s="228">
        <f t="shared" si="118"/>
        <v>7.4130954420856821E-3</v>
      </c>
      <c r="U1249" s="228"/>
      <c r="V1249" s="228"/>
      <c r="W1249" s="228"/>
      <c r="X1249" s="322">
        <v>330.10000600000001</v>
      </c>
      <c r="Y1249" s="228">
        <f t="shared" si="119"/>
        <v>3.038590038798139E-3</v>
      </c>
      <c r="Z1249" s="228"/>
      <c r="AA1249" s="202"/>
    </row>
    <row r="1250" spans="2:27" x14ac:dyDescent="0.15">
      <c r="B1250" s="241">
        <v>44477</v>
      </c>
      <c r="C1250" s="244"/>
      <c r="D1250" s="245">
        <v>100.220001</v>
      </c>
      <c r="E1250" s="228">
        <f t="shared" si="114"/>
        <v>-2.6868047106539672E-3</v>
      </c>
      <c r="F1250" s="228"/>
      <c r="G1250" s="245">
        <v>730.27002000000005</v>
      </c>
      <c r="H1250" s="228">
        <f t="shared" si="115"/>
        <v>-2.2160610113381662E-2</v>
      </c>
      <c r="J1250" s="227"/>
      <c r="K1250" s="245">
        <v>110.040001</v>
      </c>
      <c r="L1250" s="228">
        <f t="shared" si="116"/>
        <v>-7.1280428200297674E-3</v>
      </c>
      <c r="M1250" s="228"/>
      <c r="N1250" s="227"/>
      <c r="O1250" s="322">
        <v>126.220001</v>
      </c>
      <c r="P1250" s="228">
        <f t="shared" si="117"/>
        <v>-1.2980888637337151E-2</v>
      </c>
      <c r="Q1250" s="228"/>
      <c r="R1250" s="227"/>
      <c r="S1250" s="322">
        <v>550.15997300000004</v>
      </c>
      <c r="T1250" s="228">
        <f t="shared" si="118"/>
        <v>-1.0183213861893248E-2</v>
      </c>
      <c r="U1250" s="228"/>
      <c r="V1250" s="228"/>
      <c r="W1250" s="228"/>
      <c r="X1250" s="322">
        <v>326.04998799999998</v>
      </c>
      <c r="Y1250" s="228">
        <f t="shared" si="119"/>
        <v>-1.2269063697017968E-2</v>
      </c>
      <c r="Z1250" s="228"/>
      <c r="AA1250" s="202"/>
    </row>
    <row r="1251" spans="2:27" x14ac:dyDescent="0.15">
      <c r="B1251" s="241">
        <v>44480</v>
      </c>
      <c r="C1251" s="244"/>
      <c r="D1251" s="245">
        <v>99.57</v>
      </c>
      <c r="E1251" s="228">
        <f t="shared" si="114"/>
        <v>-6.4857413042732626E-3</v>
      </c>
      <c r="F1251" s="228"/>
      <c r="G1251" s="245">
        <v>721.89001499999995</v>
      </c>
      <c r="H1251" s="228">
        <f t="shared" si="115"/>
        <v>-1.1475214332364536E-2</v>
      </c>
      <c r="J1251" s="227"/>
      <c r="K1251" s="245">
        <v>110.260002</v>
      </c>
      <c r="L1251" s="228">
        <f t="shared" si="116"/>
        <v>1.9992820610752471E-3</v>
      </c>
      <c r="M1251" s="228"/>
      <c r="N1251" s="227"/>
      <c r="O1251" s="322">
        <v>127.5</v>
      </c>
      <c r="P1251" s="228">
        <f t="shared" si="117"/>
        <v>1.0141015606552006E-2</v>
      </c>
      <c r="Q1251" s="228"/>
      <c r="R1251" s="227"/>
      <c r="S1251" s="322">
        <v>552.44000200000005</v>
      </c>
      <c r="T1251" s="228">
        <f t="shared" si="118"/>
        <v>4.1443018610880511E-3</v>
      </c>
      <c r="U1251" s="228"/>
      <c r="V1251" s="228"/>
      <c r="W1251" s="228"/>
      <c r="X1251" s="322">
        <v>325.20001200000002</v>
      </c>
      <c r="Y1251" s="228">
        <f t="shared" si="119"/>
        <v>-2.6068886099758215E-3</v>
      </c>
      <c r="Z1251" s="228"/>
      <c r="AA1251" s="202"/>
    </row>
    <row r="1252" spans="2:27" x14ac:dyDescent="0.15">
      <c r="B1252" s="241">
        <v>44481</v>
      </c>
      <c r="C1252" s="244"/>
      <c r="D1252" s="245">
        <v>99.470000999999996</v>
      </c>
      <c r="E1252" s="228">
        <f t="shared" si="114"/>
        <v>-1.0043085266646656E-3</v>
      </c>
      <c r="F1252" s="228"/>
      <c r="G1252" s="245">
        <v>725.04998799999998</v>
      </c>
      <c r="H1252" s="228">
        <f t="shared" si="115"/>
        <v>4.3773607257886482E-3</v>
      </c>
      <c r="J1252" s="227"/>
      <c r="K1252" s="245">
        <v>109.199997</v>
      </c>
      <c r="L1252" s="228">
        <f t="shared" si="116"/>
        <v>-9.6136856591023667E-3</v>
      </c>
      <c r="M1252" s="228"/>
      <c r="N1252" s="227"/>
      <c r="O1252" s="322">
        <v>126.760002</v>
      </c>
      <c r="P1252" s="228">
        <f t="shared" si="117"/>
        <v>-5.803905882352911E-3</v>
      </c>
      <c r="Q1252" s="228"/>
      <c r="R1252" s="227"/>
      <c r="S1252" s="322">
        <v>546.78002900000001</v>
      </c>
      <c r="T1252" s="228">
        <f t="shared" si="118"/>
        <v>-1.0245407608987844E-2</v>
      </c>
      <c r="U1252" s="228"/>
      <c r="V1252" s="228"/>
      <c r="W1252" s="228"/>
      <c r="X1252" s="322">
        <v>319.54998799999998</v>
      </c>
      <c r="Y1252" s="228">
        <f t="shared" si="119"/>
        <v>-1.7373996898868649E-2</v>
      </c>
      <c r="Z1252" s="228"/>
      <c r="AA1252" s="202"/>
    </row>
    <row r="1253" spans="2:27" x14ac:dyDescent="0.15">
      <c r="B1253" s="241">
        <v>44482</v>
      </c>
      <c r="C1253" s="244"/>
      <c r="D1253" s="245">
        <v>99.940002000000007</v>
      </c>
      <c r="E1253" s="228">
        <f t="shared" si="114"/>
        <v>4.7250527322304503E-3</v>
      </c>
      <c r="F1253" s="228"/>
      <c r="G1253" s="245">
        <v>744.419983</v>
      </c>
      <c r="H1253" s="228">
        <f t="shared" si="115"/>
        <v>2.67153924840835E-2</v>
      </c>
      <c r="J1253" s="227"/>
      <c r="K1253" s="245">
        <v>109.980003</v>
      </c>
      <c r="L1253" s="228">
        <f t="shared" si="116"/>
        <v>7.1429122841459858E-3</v>
      </c>
      <c r="M1253" s="228"/>
      <c r="N1253" s="227"/>
      <c r="O1253" s="322">
        <v>128.21000699999999</v>
      </c>
      <c r="P1253" s="228">
        <f t="shared" si="117"/>
        <v>1.1438978992758253E-2</v>
      </c>
      <c r="Q1253" s="228"/>
      <c r="R1253" s="227"/>
      <c r="S1253" s="322">
        <v>544.40997300000004</v>
      </c>
      <c r="T1253" s="228">
        <f t="shared" si="118"/>
        <v>-4.3345694324911088E-3</v>
      </c>
      <c r="U1253" s="228"/>
      <c r="V1253" s="228"/>
      <c r="W1253" s="228"/>
      <c r="X1253" s="322">
        <v>320.41000400000001</v>
      </c>
      <c r="Y1253" s="228">
        <f t="shared" si="119"/>
        <v>2.6913347904742313E-3</v>
      </c>
      <c r="Z1253" s="228"/>
      <c r="AA1253" s="202"/>
    </row>
    <row r="1254" spans="2:27" x14ac:dyDescent="0.15">
      <c r="B1254" s="241">
        <v>44483</v>
      </c>
      <c r="C1254" s="244"/>
      <c r="D1254" s="245">
        <v>101.620003</v>
      </c>
      <c r="E1254" s="228">
        <f t="shared" si="114"/>
        <v>1.6810095721230711E-2</v>
      </c>
      <c r="F1254" s="228"/>
      <c r="G1254" s="245">
        <v>778.28997800000002</v>
      </c>
      <c r="H1254" s="228">
        <f t="shared" si="115"/>
        <v>4.5498503228653897E-2</v>
      </c>
      <c r="J1254" s="227"/>
      <c r="K1254" s="245">
        <v>112.55999799999999</v>
      </c>
      <c r="L1254" s="228">
        <f t="shared" si="116"/>
        <v>2.3458764590140957E-2</v>
      </c>
      <c r="M1254" s="228"/>
      <c r="N1254" s="227"/>
      <c r="O1254" s="322">
        <v>132.070007</v>
      </c>
      <c r="P1254" s="228">
        <f t="shared" si="117"/>
        <v>3.010685429570259E-2</v>
      </c>
      <c r="Q1254" s="228"/>
      <c r="R1254" s="227"/>
      <c r="S1254" s="322">
        <v>567.92999299999997</v>
      </c>
      <c r="T1254" s="228">
        <f t="shared" si="118"/>
        <v>4.3202772113801746E-2</v>
      </c>
      <c r="U1254" s="228"/>
      <c r="V1254" s="228"/>
      <c r="W1254" s="228"/>
      <c r="X1254" s="322">
        <v>329.77999899999998</v>
      </c>
      <c r="Y1254" s="228">
        <f t="shared" si="119"/>
        <v>2.9243765434989299E-2</v>
      </c>
      <c r="Z1254" s="228"/>
      <c r="AA1254" s="202"/>
    </row>
    <row r="1255" spans="2:27" x14ac:dyDescent="0.15">
      <c r="B1255" s="241">
        <v>44484</v>
      </c>
      <c r="C1255" s="244"/>
      <c r="D1255" s="245">
        <v>102.19000200000001</v>
      </c>
      <c r="E1255" s="228">
        <f t="shared" si="114"/>
        <v>5.6091220544445264E-3</v>
      </c>
      <c r="F1255" s="228"/>
      <c r="G1255" s="245">
        <v>789.40002400000003</v>
      </c>
      <c r="H1255" s="228">
        <f t="shared" si="115"/>
        <v>1.4274944190531436E-2</v>
      </c>
      <c r="J1255" s="227"/>
      <c r="K1255" s="245">
        <v>114.860001</v>
      </c>
      <c r="L1255" s="228">
        <f t="shared" si="116"/>
        <v>2.043357356847153E-2</v>
      </c>
      <c r="M1255" s="228"/>
      <c r="N1255" s="227"/>
      <c r="O1255" s="322">
        <v>131.58999600000001</v>
      </c>
      <c r="P1255" s="228">
        <f t="shared" si="117"/>
        <v>-3.6345193803161147E-3</v>
      </c>
      <c r="Q1255" s="228"/>
      <c r="R1255" s="227"/>
      <c r="S1255" s="322">
        <v>564.46997099999999</v>
      </c>
      <c r="T1255" s="228">
        <f t="shared" si="118"/>
        <v>-6.0923389196667621E-3</v>
      </c>
      <c r="U1255" s="228"/>
      <c r="V1255" s="228"/>
      <c r="W1255" s="228"/>
      <c r="X1255" s="322">
        <v>329.10000600000001</v>
      </c>
      <c r="Y1255" s="228">
        <f t="shared" si="119"/>
        <v>-2.0619594943960262E-3</v>
      </c>
      <c r="Z1255" s="228"/>
      <c r="AA1255" s="202"/>
    </row>
    <row r="1256" spans="2:27" x14ac:dyDescent="0.15">
      <c r="B1256" s="241">
        <v>44487</v>
      </c>
      <c r="C1256" s="244"/>
      <c r="D1256" s="245">
        <v>102.589996</v>
      </c>
      <c r="E1256" s="228">
        <f t="shared" si="114"/>
        <v>3.9142185357818882E-3</v>
      </c>
      <c r="F1256" s="228"/>
      <c r="G1256" s="245">
        <v>788.21997099999999</v>
      </c>
      <c r="H1256" s="228">
        <f t="shared" si="115"/>
        <v>-1.4948732760616812E-3</v>
      </c>
      <c r="J1256" s="227"/>
      <c r="K1256" s="245">
        <v>115.339996</v>
      </c>
      <c r="L1256" s="228">
        <f t="shared" si="116"/>
        <v>4.178956954736579E-3</v>
      </c>
      <c r="M1256" s="228"/>
      <c r="N1256" s="227"/>
      <c r="O1256" s="322">
        <v>133.279999</v>
      </c>
      <c r="P1256" s="228">
        <f t="shared" si="117"/>
        <v>1.2842944383097299E-2</v>
      </c>
      <c r="Q1256" s="228"/>
      <c r="R1256" s="227"/>
      <c r="S1256" s="322">
        <v>568.70001200000002</v>
      </c>
      <c r="T1256" s="228">
        <f t="shared" si="118"/>
        <v>7.4938282235035292E-3</v>
      </c>
      <c r="U1256" s="228"/>
      <c r="V1256" s="228"/>
      <c r="W1256" s="228"/>
      <c r="X1256" s="322">
        <v>326.76998900000001</v>
      </c>
      <c r="Y1256" s="228">
        <f t="shared" si="119"/>
        <v>-7.0799664464302747E-3</v>
      </c>
      <c r="Z1256" s="228"/>
      <c r="AA1256" s="202"/>
    </row>
    <row r="1257" spans="2:27" x14ac:dyDescent="0.15">
      <c r="B1257" s="241">
        <v>44488</v>
      </c>
      <c r="C1257" s="244"/>
      <c r="D1257" s="245">
        <v>103.279999</v>
      </c>
      <c r="E1257" s="228">
        <f t="shared" si="114"/>
        <v>6.7258312399194331E-3</v>
      </c>
      <c r="F1257" s="228"/>
      <c r="G1257" s="245">
        <v>800.96002199999998</v>
      </c>
      <c r="H1257" s="228">
        <f t="shared" si="115"/>
        <v>1.616306547503088E-2</v>
      </c>
      <c r="J1257" s="227"/>
      <c r="K1257" s="245">
        <v>116.959999</v>
      </c>
      <c r="L1257" s="228">
        <f t="shared" si="116"/>
        <v>1.4045457397102723E-2</v>
      </c>
      <c r="M1257" s="228"/>
      <c r="N1257" s="227"/>
      <c r="O1257" s="322">
        <v>134.60000600000001</v>
      </c>
      <c r="P1257" s="228">
        <f t="shared" si="117"/>
        <v>9.9040141799520143E-3</v>
      </c>
      <c r="Q1257" s="228"/>
      <c r="R1257" s="227"/>
      <c r="S1257" s="322">
        <v>570.830017</v>
      </c>
      <c r="T1257" s="228">
        <f t="shared" si="118"/>
        <v>3.7453929225519378E-3</v>
      </c>
      <c r="U1257" s="228"/>
      <c r="V1257" s="228"/>
      <c r="W1257" s="228"/>
      <c r="X1257" s="322">
        <v>332.14001500000001</v>
      </c>
      <c r="Y1257" s="228">
        <f t="shared" si="119"/>
        <v>1.643365725363477E-2</v>
      </c>
      <c r="Z1257" s="228"/>
      <c r="AA1257" s="202"/>
    </row>
    <row r="1258" spans="2:27" x14ac:dyDescent="0.15">
      <c r="B1258" s="241">
        <v>44489</v>
      </c>
      <c r="C1258" s="244"/>
      <c r="D1258" s="245">
        <v>103.709999</v>
      </c>
      <c r="E1258" s="228">
        <f t="shared" si="114"/>
        <v>4.1634392347349447E-3</v>
      </c>
      <c r="F1258" s="228"/>
      <c r="G1258" s="245">
        <v>767.70001200000002</v>
      </c>
      <c r="H1258" s="228">
        <f t="shared" si="115"/>
        <v>-4.1525181140688705E-2</v>
      </c>
      <c r="J1258" s="227"/>
      <c r="K1258" s="245">
        <v>115.589996</v>
      </c>
      <c r="L1258" s="228">
        <f t="shared" si="116"/>
        <v>-1.1713432042693483E-2</v>
      </c>
      <c r="M1258" s="228"/>
      <c r="N1258" s="227"/>
      <c r="O1258" s="322">
        <v>133.979996</v>
      </c>
      <c r="P1258" s="228">
        <f t="shared" si="117"/>
        <v>-4.6063148020959455E-3</v>
      </c>
      <c r="Q1258" s="228"/>
      <c r="R1258" s="227"/>
      <c r="S1258" s="322">
        <v>565.5</v>
      </c>
      <c r="T1258" s="228">
        <f t="shared" si="118"/>
        <v>-9.3373103047592609E-3</v>
      </c>
      <c r="U1258" s="228"/>
      <c r="V1258" s="228"/>
      <c r="W1258" s="228"/>
      <c r="X1258" s="322">
        <v>331.02999899999998</v>
      </c>
      <c r="Y1258" s="228">
        <f t="shared" si="119"/>
        <v>-3.342012253476967E-3</v>
      </c>
      <c r="Z1258" s="228"/>
      <c r="AA1258" s="202"/>
    </row>
    <row r="1259" spans="2:27" x14ac:dyDescent="0.15">
      <c r="B1259" s="241">
        <v>44490</v>
      </c>
      <c r="C1259" s="244"/>
      <c r="D1259" s="245">
        <v>104.029999</v>
      </c>
      <c r="E1259" s="228">
        <f t="shared" si="114"/>
        <v>3.0855269799010543E-3</v>
      </c>
      <c r="F1259" s="228"/>
      <c r="G1259" s="245">
        <v>787.55999799999995</v>
      </c>
      <c r="H1259" s="228">
        <f t="shared" si="115"/>
        <v>2.5869461625070311E-2</v>
      </c>
      <c r="J1259" s="227"/>
      <c r="K1259" s="245">
        <v>116.290001</v>
      </c>
      <c r="L1259" s="228">
        <f t="shared" si="116"/>
        <v>6.0559306533760626E-3</v>
      </c>
      <c r="M1259" s="228"/>
      <c r="N1259" s="227"/>
      <c r="O1259" s="322">
        <v>133.33999600000001</v>
      </c>
      <c r="P1259" s="228">
        <f t="shared" si="117"/>
        <v>-4.7768325056524175E-3</v>
      </c>
      <c r="Q1259" s="228"/>
      <c r="R1259" s="227"/>
      <c r="S1259" s="322">
        <v>555.419983</v>
      </c>
      <c r="T1259" s="228">
        <f t="shared" si="118"/>
        <v>-1.7824963748894751E-2</v>
      </c>
      <c r="U1259" s="228"/>
      <c r="V1259" s="228"/>
      <c r="W1259" s="228"/>
      <c r="X1259" s="322">
        <v>335.51001000000002</v>
      </c>
      <c r="Y1259" s="228">
        <f t="shared" si="119"/>
        <v>1.3533549870203831E-2</v>
      </c>
      <c r="Z1259" s="228"/>
      <c r="AA1259" s="202"/>
    </row>
    <row r="1260" spans="2:27" x14ac:dyDescent="0.15">
      <c r="B1260" s="241">
        <v>44491</v>
      </c>
      <c r="C1260" s="244"/>
      <c r="D1260" s="245">
        <v>103.82</v>
      </c>
      <c r="E1260" s="228">
        <f t="shared" si="114"/>
        <v>-2.0186388735812244E-3</v>
      </c>
      <c r="F1260" s="228"/>
      <c r="G1260" s="245">
        <v>800.96997099999999</v>
      </c>
      <c r="H1260" s="228">
        <f t="shared" si="115"/>
        <v>1.7027239872586808E-2</v>
      </c>
      <c r="J1260" s="227"/>
      <c r="K1260" s="245">
        <v>114.230003</v>
      </c>
      <c r="L1260" s="228">
        <f t="shared" si="116"/>
        <v>-1.7714317501811738E-2</v>
      </c>
      <c r="M1260" s="228"/>
      <c r="N1260" s="227"/>
      <c r="O1260" s="322">
        <v>135.929993</v>
      </c>
      <c r="P1260" s="228">
        <f t="shared" si="117"/>
        <v>1.9424006882375888E-2</v>
      </c>
      <c r="Q1260" s="228"/>
      <c r="R1260" s="227"/>
      <c r="S1260" s="322">
        <v>556.73999000000003</v>
      </c>
      <c r="T1260" s="228">
        <f t="shared" si="118"/>
        <v>2.3765925613088434E-3</v>
      </c>
      <c r="U1260" s="228"/>
      <c r="V1260" s="228"/>
      <c r="W1260" s="228"/>
      <c r="X1260" s="322">
        <v>343.02999899999998</v>
      </c>
      <c r="Y1260" s="228">
        <f t="shared" si="119"/>
        <v>2.2413605483782684E-2</v>
      </c>
      <c r="Z1260" s="228"/>
      <c r="AA1260" s="202"/>
    </row>
    <row r="1261" spans="2:27" x14ac:dyDescent="0.15">
      <c r="B1261" s="241">
        <v>44494</v>
      </c>
      <c r="C1261" s="244"/>
      <c r="D1261" s="245">
        <v>104.400002</v>
      </c>
      <c r="E1261" s="228">
        <f t="shared" si="114"/>
        <v>5.5866114428819724E-3</v>
      </c>
      <c r="F1261" s="228"/>
      <c r="G1261" s="245">
        <v>788.44000200000005</v>
      </c>
      <c r="H1261" s="228">
        <f t="shared" si="115"/>
        <v>-1.5643494080503917E-2</v>
      </c>
      <c r="K1261" s="245">
        <v>113.639999</v>
      </c>
      <c r="L1261" s="228">
        <f t="shared" si="116"/>
        <v>-5.1650528276707686E-3</v>
      </c>
      <c r="M1261" s="228"/>
      <c r="N1261" s="227"/>
      <c r="O1261" s="322">
        <v>135.759995</v>
      </c>
      <c r="P1261" s="228">
        <f t="shared" si="117"/>
        <v>-1.2506290646243645E-3</v>
      </c>
      <c r="Q1261" s="228"/>
      <c r="R1261" s="227"/>
      <c r="S1261" s="322">
        <v>551.96997099999999</v>
      </c>
      <c r="T1261" s="228">
        <f t="shared" si="118"/>
        <v>-8.567767873114418E-3</v>
      </c>
      <c r="U1261" s="228"/>
      <c r="V1261" s="228"/>
      <c r="W1261" s="228"/>
      <c r="X1261" s="322">
        <v>343.23001099999999</v>
      </c>
      <c r="Y1261" s="228">
        <f t="shared" si="119"/>
        <v>5.8307436837323756E-4</v>
      </c>
      <c r="Z1261" s="228"/>
      <c r="AA1261" s="202"/>
    </row>
    <row r="1262" spans="2:27" x14ac:dyDescent="0.15">
      <c r="B1262" s="241">
        <v>44495</v>
      </c>
      <c r="C1262" s="244"/>
      <c r="D1262" s="245">
        <v>104.43</v>
      </c>
      <c r="E1262" s="228">
        <f t="shared" si="114"/>
        <v>2.8733715924644798E-4</v>
      </c>
      <c r="F1262" s="228"/>
      <c r="G1262" s="245">
        <v>791.22997999999995</v>
      </c>
      <c r="H1262" s="228">
        <f t="shared" si="115"/>
        <v>3.5386053382917559E-3</v>
      </c>
      <c r="K1262" s="245">
        <v>114.18</v>
      </c>
      <c r="L1262" s="228">
        <f t="shared" si="116"/>
        <v>4.7518567823994218E-3</v>
      </c>
      <c r="M1262" s="228"/>
      <c r="N1262" s="227"/>
      <c r="O1262" s="322">
        <v>132</v>
      </c>
      <c r="P1262" s="228">
        <f t="shared" si="117"/>
        <v>-2.7695898191510748E-2</v>
      </c>
      <c r="Q1262" s="228"/>
      <c r="R1262" s="227"/>
      <c r="S1262" s="322">
        <v>548.94000200000005</v>
      </c>
      <c r="T1262" s="228">
        <f t="shared" si="118"/>
        <v>-5.4893728992367885E-3</v>
      </c>
      <c r="U1262" s="228"/>
      <c r="V1262" s="228"/>
      <c r="W1262" s="228"/>
      <c r="X1262" s="322">
        <v>341.97000100000002</v>
      </c>
      <c r="Y1262" s="228">
        <f t="shared" si="119"/>
        <v>-3.6710367963713741E-3</v>
      </c>
      <c r="Z1262" s="228"/>
      <c r="AA1262" s="202"/>
    </row>
    <row r="1263" spans="2:27" x14ac:dyDescent="0.15">
      <c r="B1263" s="241">
        <v>44496</v>
      </c>
      <c r="C1263" s="244"/>
      <c r="D1263" s="245">
        <v>103.650002</v>
      </c>
      <c r="E1263" s="228">
        <f t="shared" si="114"/>
        <v>-7.4690989179355682E-3</v>
      </c>
      <c r="F1263" s="228"/>
      <c r="G1263" s="245">
        <v>801</v>
      </c>
      <c r="H1263" s="228">
        <f t="shared" si="115"/>
        <v>1.2347889042323867E-2</v>
      </c>
      <c r="K1263" s="245">
        <v>113.75</v>
      </c>
      <c r="L1263" s="228">
        <f t="shared" si="116"/>
        <v>-3.7659835347697568E-3</v>
      </c>
      <c r="M1263" s="228"/>
      <c r="N1263" s="227"/>
      <c r="O1263" s="322">
        <v>132.16000399999999</v>
      </c>
      <c r="P1263" s="228">
        <f t="shared" si="117"/>
        <v>1.2121515151513051E-3</v>
      </c>
      <c r="Q1263" s="228"/>
      <c r="R1263" s="227"/>
      <c r="S1263" s="322">
        <v>553.61999500000002</v>
      </c>
      <c r="T1263" s="228">
        <f t="shared" si="118"/>
        <v>8.5255091320526333E-3</v>
      </c>
      <c r="U1263" s="228"/>
      <c r="V1263" s="228"/>
      <c r="W1263" s="228"/>
      <c r="X1263" s="322">
        <v>340.57000699999998</v>
      </c>
      <c r="Y1263" s="228">
        <f t="shared" si="119"/>
        <v>-4.0939088104399168E-3</v>
      </c>
      <c r="Z1263" s="228"/>
      <c r="AA1263" s="202"/>
    </row>
    <row r="1264" spans="2:27" x14ac:dyDescent="0.15">
      <c r="B1264" s="241">
        <v>44497</v>
      </c>
      <c r="C1264" s="244"/>
      <c r="D1264" s="245">
        <v>104.83000199999999</v>
      </c>
      <c r="E1264" s="228">
        <f t="shared" si="114"/>
        <v>1.1384466736430898E-2</v>
      </c>
      <c r="F1264" s="228"/>
      <c r="G1264" s="245">
        <v>813.19000200000005</v>
      </c>
      <c r="H1264" s="228">
        <f t="shared" si="115"/>
        <v>1.5218479400749052E-2</v>
      </c>
      <c r="K1264" s="245">
        <v>116.010002</v>
      </c>
      <c r="L1264" s="228">
        <f t="shared" si="116"/>
        <v>1.9868149450549488E-2</v>
      </c>
      <c r="M1264" s="228"/>
      <c r="N1264" s="227"/>
      <c r="O1264" s="322">
        <v>136.020004</v>
      </c>
      <c r="P1264" s="228">
        <f t="shared" si="117"/>
        <v>2.9207020907777936E-2</v>
      </c>
      <c r="Q1264" s="228"/>
      <c r="R1264" s="227"/>
      <c r="S1264" s="322">
        <v>565.95001200000002</v>
      </c>
      <c r="T1264" s="228">
        <f t="shared" si="118"/>
        <v>2.2271625142440854E-2</v>
      </c>
      <c r="U1264" s="228"/>
      <c r="V1264" s="228"/>
      <c r="W1264" s="228"/>
      <c r="X1264" s="322">
        <v>355.33999599999999</v>
      </c>
      <c r="Y1264" s="228">
        <f t="shared" si="119"/>
        <v>4.3368437315150832E-2</v>
      </c>
      <c r="Z1264" s="228"/>
      <c r="AA1264" s="202"/>
    </row>
    <row r="1265" spans="19:24" ht="15" x14ac:dyDescent="0.2">
      <c r="S1265"/>
      <c r="X1265"/>
    </row>
  </sheetData>
  <mergeCells count="13">
    <mergeCell ref="U6:V6"/>
    <mergeCell ref="U7:V7"/>
    <mergeCell ref="Z6:AA6"/>
    <mergeCell ref="Z7:AA7"/>
    <mergeCell ref="D2:E3"/>
    <mergeCell ref="K2:AA3"/>
    <mergeCell ref="G2:I3"/>
    <mergeCell ref="G5:I5"/>
    <mergeCell ref="K5:M5"/>
    <mergeCell ref="O5:Q5"/>
    <mergeCell ref="D5:E5"/>
    <mergeCell ref="S5:V5"/>
    <mergeCell ref="X5:AA5"/>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5A08-E70F-4247-BEDC-B5368102FCC8}">
  <sheetPr>
    <tabColor theme="5"/>
  </sheetPr>
  <dimension ref="B1:R44"/>
  <sheetViews>
    <sheetView showGridLines="0" zoomScaleNormal="100" workbookViewId="0"/>
  </sheetViews>
  <sheetFormatPr baseColWidth="10" defaultColWidth="8.83203125" defaultRowHeight="15" x14ac:dyDescent="0.2"/>
  <cols>
    <col min="1" max="1" width="1.33203125" customWidth="1"/>
    <col min="2" max="2" width="57.6640625" style="1" bestFit="1" customWidth="1"/>
    <col min="3" max="3" width="22.5" customWidth="1"/>
    <col min="4" max="4" width="22.1640625" customWidth="1"/>
    <col min="5" max="5" width="20" customWidth="1"/>
    <col min="6" max="6" width="18.33203125" bestFit="1" customWidth="1"/>
    <col min="7" max="7" width="19.1640625" bestFit="1" customWidth="1"/>
    <col min="15" max="15" width="12.1640625" customWidth="1"/>
  </cols>
  <sheetData>
    <row r="1" spans="2:11" ht="4.5" customHeight="1" thickBot="1" x14ac:dyDescent="0.25"/>
    <row r="2" spans="2:11" x14ac:dyDescent="0.2">
      <c r="B2" s="556" t="s">
        <v>102</v>
      </c>
      <c r="C2" s="557"/>
      <c r="D2" s="557"/>
      <c r="E2" s="558"/>
      <c r="G2" s="29"/>
      <c r="H2" s="29"/>
      <c r="I2" s="29"/>
      <c r="J2" s="29"/>
      <c r="K2" s="29"/>
    </row>
    <row r="3" spans="2:11" x14ac:dyDescent="0.2">
      <c r="B3" s="559"/>
      <c r="C3" s="560"/>
      <c r="D3" s="560"/>
      <c r="E3" s="561"/>
      <c r="G3" s="29"/>
      <c r="H3" s="29"/>
      <c r="I3" s="29"/>
      <c r="J3" s="29"/>
      <c r="K3" s="29"/>
    </row>
    <row r="4" spans="2:11" ht="16" x14ac:dyDescent="0.2">
      <c r="B4" s="12"/>
      <c r="C4" s="11" t="s">
        <v>81</v>
      </c>
      <c r="D4" s="13" t="s">
        <v>82</v>
      </c>
      <c r="E4" s="14" t="s">
        <v>83</v>
      </c>
      <c r="G4" s="29"/>
      <c r="H4" s="29"/>
      <c r="I4" s="29"/>
      <c r="J4" s="29"/>
      <c r="K4" s="29"/>
    </row>
    <row r="5" spans="2:11" ht="15" customHeight="1" x14ac:dyDescent="0.2">
      <c r="B5" s="571" t="s">
        <v>84</v>
      </c>
      <c r="C5" s="5" t="s">
        <v>91</v>
      </c>
      <c r="D5" s="9" t="s">
        <v>94</v>
      </c>
      <c r="E5" s="15" t="s">
        <v>97</v>
      </c>
      <c r="G5" s="29"/>
      <c r="H5" s="29"/>
      <c r="I5" s="29"/>
      <c r="J5" s="29"/>
      <c r="K5" s="29"/>
    </row>
    <row r="6" spans="2:11" x14ac:dyDescent="0.2">
      <c r="B6" s="569"/>
      <c r="C6" s="6" t="s">
        <v>88</v>
      </c>
      <c r="D6" s="8" t="s">
        <v>95</v>
      </c>
      <c r="E6" s="16" t="s">
        <v>98</v>
      </c>
      <c r="G6" s="29"/>
      <c r="H6" s="29"/>
      <c r="I6" s="29"/>
      <c r="J6" s="29"/>
      <c r="K6" s="29"/>
    </row>
    <row r="7" spans="2:11" x14ac:dyDescent="0.2">
      <c r="B7" s="570"/>
      <c r="C7" s="7" t="s">
        <v>89</v>
      </c>
      <c r="D7" s="10" t="s">
        <v>96</v>
      </c>
      <c r="E7" s="17" t="s">
        <v>99</v>
      </c>
      <c r="G7" s="29"/>
      <c r="H7" s="29"/>
      <c r="I7" s="29"/>
      <c r="J7" s="29"/>
      <c r="K7" s="29"/>
    </row>
    <row r="8" spans="2:11" x14ac:dyDescent="0.2">
      <c r="B8" s="19"/>
      <c r="C8" s="9" t="s">
        <v>90</v>
      </c>
      <c r="D8" s="9"/>
      <c r="E8" s="16"/>
      <c r="G8" s="29"/>
      <c r="H8" s="29"/>
      <c r="I8" s="29"/>
      <c r="J8" s="29"/>
      <c r="K8" s="29"/>
    </row>
    <row r="9" spans="2:11" x14ac:dyDescent="0.2">
      <c r="B9" s="569" t="s">
        <v>85</v>
      </c>
      <c r="C9" s="4" t="s">
        <v>92</v>
      </c>
      <c r="D9" s="8" t="s">
        <v>92</v>
      </c>
      <c r="E9" s="73" t="s">
        <v>92</v>
      </c>
      <c r="G9" s="29"/>
      <c r="H9" s="29"/>
      <c r="I9" s="29"/>
      <c r="J9" s="29"/>
      <c r="K9" s="29"/>
    </row>
    <row r="10" spans="2:11" x14ac:dyDescent="0.2">
      <c r="B10" s="570"/>
      <c r="C10" s="7" t="s">
        <v>93</v>
      </c>
      <c r="D10" s="10" t="s">
        <v>100</v>
      </c>
      <c r="E10" s="17" t="s">
        <v>101</v>
      </c>
      <c r="G10" s="29"/>
      <c r="H10" s="29"/>
      <c r="I10" s="29"/>
      <c r="J10" s="29"/>
      <c r="K10" s="29"/>
    </row>
    <row r="11" spans="2:11" x14ac:dyDescent="0.2">
      <c r="B11" s="68"/>
      <c r="C11" s="9"/>
      <c r="D11" s="9"/>
      <c r="E11" s="72"/>
      <c r="G11" s="29"/>
      <c r="H11" s="29"/>
      <c r="I11" s="29"/>
      <c r="J11" s="29"/>
      <c r="K11" s="29"/>
    </row>
    <row r="12" spans="2:11" x14ac:dyDescent="0.2">
      <c r="B12" s="18" t="s">
        <v>86</v>
      </c>
      <c r="C12" s="69">
        <v>35000</v>
      </c>
      <c r="D12" s="70">
        <v>100000</v>
      </c>
      <c r="E12" s="71">
        <v>40000</v>
      </c>
      <c r="G12" s="29"/>
      <c r="H12" s="29"/>
      <c r="I12" s="29"/>
      <c r="J12" s="29"/>
      <c r="K12" s="29"/>
    </row>
    <row r="13" spans="2:11" x14ac:dyDescent="0.2">
      <c r="B13" s="68"/>
      <c r="C13" s="9"/>
      <c r="D13" s="9"/>
      <c r="E13" s="72"/>
      <c r="G13" s="29"/>
      <c r="H13" s="29"/>
      <c r="I13" s="29"/>
      <c r="J13" s="29"/>
      <c r="K13" s="29"/>
    </row>
    <row r="14" spans="2:11" x14ac:dyDescent="0.2">
      <c r="B14" s="18" t="s">
        <v>103</v>
      </c>
      <c r="C14" s="69">
        <v>3000</v>
      </c>
      <c r="D14" s="70">
        <v>6000</v>
      </c>
      <c r="E14" s="71">
        <v>3000</v>
      </c>
      <c r="G14" s="29"/>
      <c r="H14" s="29"/>
      <c r="I14" s="29"/>
      <c r="J14" s="29"/>
      <c r="K14" s="29"/>
    </row>
    <row r="15" spans="2:11" x14ac:dyDescent="0.2">
      <c r="B15" s="19"/>
      <c r="C15" s="4"/>
      <c r="D15" s="76"/>
      <c r="E15" s="20"/>
    </row>
    <row r="16" spans="2:11" ht="16" thickBot="1" x14ac:dyDescent="0.25">
      <c r="B16" s="74" t="s">
        <v>87</v>
      </c>
      <c r="C16" s="75">
        <v>20</v>
      </c>
      <c r="D16" s="75">
        <v>20</v>
      </c>
      <c r="E16" s="77">
        <v>5</v>
      </c>
      <c r="G16" s="2"/>
      <c r="H16" s="2"/>
      <c r="I16" s="2"/>
      <c r="J16" s="2"/>
      <c r="K16" s="2"/>
    </row>
    <row r="17" spans="2:8" x14ac:dyDescent="0.2">
      <c r="B17" s="562" t="s">
        <v>104</v>
      </c>
      <c r="C17" s="562"/>
      <c r="D17" s="562"/>
      <c r="E17" s="562"/>
    </row>
    <row r="18" spans="2:8" ht="16" thickBot="1" x14ac:dyDescent="0.25"/>
    <row r="19" spans="2:8" ht="19" x14ac:dyDescent="0.25">
      <c r="B19" s="566" t="s">
        <v>117</v>
      </c>
      <c r="C19" s="567"/>
      <c r="D19" s="567"/>
      <c r="E19" s="567"/>
      <c r="F19" s="567"/>
      <c r="G19" s="568"/>
    </row>
    <row r="20" spans="2:8" ht="16" thickBot="1" x14ac:dyDescent="0.25">
      <c r="B20" s="30"/>
      <c r="C20" s="29"/>
      <c r="D20" s="29"/>
      <c r="E20" s="563" t="s">
        <v>111</v>
      </c>
      <c r="F20" s="564"/>
      <c r="G20" s="565"/>
    </row>
    <row r="21" spans="2:8" ht="16" x14ac:dyDescent="0.2">
      <c r="B21" s="30"/>
      <c r="C21" s="29"/>
      <c r="D21" s="21" t="s">
        <v>106</v>
      </c>
      <c r="E21" s="3" t="s">
        <v>108</v>
      </c>
      <c r="F21" s="3" t="s">
        <v>109</v>
      </c>
      <c r="G21" s="31" t="s">
        <v>110</v>
      </c>
    </row>
    <row r="22" spans="2:8" x14ac:dyDescent="0.2">
      <c r="B22" s="39" t="s">
        <v>105</v>
      </c>
      <c r="C22" s="22"/>
      <c r="D22" s="23">
        <v>0.1</v>
      </c>
      <c r="E22" s="24">
        <v>0.06</v>
      </c>
      <c r="F22" s="24">
        <v>0.14000000000000001</v>
      </c>
      <c r="G22" s="32">
        <v>0.24</v>
      </c>
      <c r="H22" s="29"/>
    </row>
    <row r="23" spans="2:8" x14ac:dyDescent="0.2">
      <c r="B23" s="33"/>
      <c r="C23" s="25" t="s">
        <v>107</v>
      </c>
      <c r="D23" s="26">
        <v>0.12</v>
      </c>
      <c r="E23" s="27">
        <v>0.12</v>
      </c>
      <c r="F23" s="26">
        <v>0.24</v>
      </c>
      <c r="G23" s="34">
        <v>0.41</v>
      </c>
      <c r="H23" s="29"/>
    </row>
    <row r="24" spans="2:8" x14ac:dyDescent="0.2">
      <c r="B24" s="38" t="s">
        <v>112</v>
      </c>
      <c r="C24" s="29"/>
      <c r="D24" s="78">
        <v>5</v>
      </c>
      <c r="E24" s="79">
        <v>5</v>
      </c>
      <c r="F24" s="79">
        <v>3</v>
      </c>
      <c r="G24" s="80">
        <v>2</v>
      </c>
    </row>
    <row r="25" spans="2:8" x14ac:dyDescent="0.2">
      <c r="B25" s="33"/>
      <c r="C25" s="25" t="s">
        <v>107</v>
      </c>
      <c r="D25" s="28" t="s">
        <v>113</v>
      </c>
      <c r="E25" s="25" t="s">
        <v>113</v>
      </c>
      <c r="F25" s="25" t="s">
        <v>114</v>
      </c>
      <c r="G25" s="35" t="s">
        <v>115</v>
      </c>
    </row>
    <row r="26" spans="2:8" ht="16" thickBot="1" x14ac:dyDescent="0.25">
      <c r="B26" s="37" t="s">
        <v>116</v>
      </c>
      <c r="C26" s="36"/>
      <c r="D26" s="40">
        <v>9</v>
      </c>
      <c r="E26" s="41">
        <v>9</v>
      </c>
      <c r="F26" s="41">
        <v>14</v>
      </c>
      <c r="G26" s="42">
        <v>19</v>
      </c>
    </row>
    <row r="27" spans="2:8" x14ac:dyDescent="0.2">
      <c r="B27" s="562" t="s">
        <v>146</v>
      </c>
      <c r="C27" s="562"/>
      <c r="D27" s="562"/>
      <c r="E27" s="562"/>
    </row>
    <row r="28" spans="2:8" ht="16" thickBot="1" x14ac:dyDescent="0.25">
      <c r="B28" s="43"/>
      <c r="C28" s="43"/>
      <c r="D28" s="43"/>
      <c r="E28" s="43"/>
    </row>
    <row r="29" spans="2:8" ht="19" x14ac:dyDescent="0.25">
      <c r="B29" s="566" t="s">
        <v>160</v>
      </c>
      <c r="C29" s="567"/>
      <c r="D29" s="567"/>
      <c r="E29" s="567"/>
      <c r="F29" s="567"/>
      <c r="G29" s="568"/>
    </row>
    <row r="30" spans="2:8" x14ac:dyDescent="0.2">
      <c r="B30" s="55"/>
      <c r="C30" s="51" t="s">
        <v>151</v>
      </c>
      <c r="D30" s="44" t="s">
        <v>51</v>
      </c>
      <c r="E30" s="51" t="s">
        <v>50</v>
      </c>
      <c r="F30" s="44" t="s">
        <v>152</v>
      </c>
      <c r="G30" s="56" t="s">
        <v>52</v>
      </c>
    </row>
    <row r="31" spans="2:8" x14ac:dyDescent="0.2">
      <c r="B31" s="57" t="s">
        <v>147</v>
      </c>
      <c r="C31" s="45"/>
      <c r="D31" s="52"/>
      <c r="E31" s="45"/>
      <c r="F31" s="52"/>
      <c r="G31" s="58"/>
    </row>
    <row r="32" spans="2:8" x14ac:dyDescent="0.2">
      <c r="B32" s="59" t="s">
        <v>148</v>
      </c>
      <c r="C32" s="46">
        <v>50</v>
      </c>
      <c r="D32" s="46">
        <v>75</v>
      </c>
      <c r="E32" s="46">
        <v>100</v>
      </c>
      <c r="F32" s="46">
        <v>50</v>
      </c>
      <c r="G32" s="60">
        <v>100</v>
      </c>
    </row>
    <row r="33" spans="2:18" x14ac:dyDescent="0.2">
      <c r="B33" s="59" t="s">
        <v>149</v>
      </c>
      <c r="C33" s="46">
        <v>10</v>
      </c>
      <c r="D33" s="46">
        <v>10</v>
      </c>
      <c r="E33" s="46">
        <v>45</v>
      </c>
      <c r="F33" s="46">
        <v>45</v>
      </c>
      <c r="G33" s="60">
        <v>65</v>
      </c>
    </row>
    <row r="34" spans="2:18" x14ac:dyDescent="0.2">
      <c r="B34" s="59" t="s">
        <v>150</v>
      </c>
      <c r="C34" s="54">
        <v>6</v>
      </c>
      <c r="D34" s="54">
        <v>10</v>
      </c>
      <c r="E34" s="46">
        <v>20</v>
      </c>
      <c r="F34" s="46">
        <v>25</v>
      </c>
      <c r="G34" s="60">
        <v>35</v>
      </c>
    </row>
    <row r="35" spans="2:18" x14ac:dyDescent="0.2">
      <c r="B35" s="61" t="s">
        <v>153</v>
      </c>
      <c r="C35" s="47"/>
      <c r="D35" s="47"/>
      <c r="E35" s="53"/>
      <c r="F35" s="53"/>
      <c r="G35" s="62"/>
    </row>
    <row r="36" spans="2:18" ht="15" customHeight="1" x14ac:dyDescent="0.2">
      <c r="B36" s="30" t="s">
        <v>154</v>
      </c>
      <c r="C36" s="54">
        <v>5</v>
      </c>
      <c r="D36" s="54">
        <v>5</v>
      </c>
      <c r="E36" s="54">
        <v>5</v>
      </c>
      <c r="F36" s="54">
        <v>5</v>
      </c>
      <c r="G36" s="63">
        <v>33</v>
      </c>
    </row>
    <row r="37" spans="2:18" x14ac:dyDescent="0.2">
      <c r="B37" s="64"/>
      <c r="C37" s="48"/>
      <c r="D37" s="48"/>
      <c r="E37" s="48"/>
      <c r="F37" s="48"/>
      <c r="G37" s="65"/>
    </row>
    <row r="38" spans="2:18" ht="16" thickBot="1" x14ac:dyDescent="0.25">
      <c r="B38" s="66" t="s">
        <v>155</v>
      </c>
      <c r="C38" s="49" t="s">
        <v>156</v>
      </c>
      <c r="D38" s="50">
        <v>0.15</v>
      </c>
      <c r="E38" s="49" t="s">
        <v>157</v>
      </c>
      <c r="F38" s="49" t="s">
        <v>158</v>
      </c>
      <c r="G38" s="67" t="s">
        <v>159</v>
      </c>
    </row>
    <row r="39" spans="2:18" x14ac:dyDescent="0.2">
      <c r="B39" s="562" t="s">
        <v>161</v>
      </c>
      <c r="C39" s="562"/>
      <c r="D39" s="562"/>
      <c r="E39" s="562"/>
    </row>
    <row r="40" spans="2:18" ht="16" thickBot="1" x14ac:dyDescent="0.25">
      <c r="B40" s="576" t="s">
        <v>162</v>
      </c>
      <c r="C40" s="576"/>
      <c r="D40" s="576"/>
      <c r="E40" s="576"/>
      <c r="F40" s="576"/>
      <c r="G40" s="576"/>
      <c r="J40" s="572" t="s">
        <v>167</v>
      </c>
      <c r="K40" s="572"/>
      <c r="L40" s="572"/>
      <c r="M40" s="572"/>
      <c r="N40" s="572"/>
      <c r="O40" s="572"/>
      <c r="P40" s="572"/>
      <c r="Q40" s="572"/>
      <c r="R40" s="376"/>
    </row>
    <row r="41" spans="2:18" ht="98.25" customHeight="1" thickBot="1" x14ac:dyDescent="0.25">
      <c r="B41" s="573" t="s">
        <v>166</v>
      </c>
      <c r="C41" s="574"/>
      <c r="D41" s="574"/>
      <c r="E41" s="574"/>
      <c r="F41" s="574"/>
      <c r="G41" s="575"/>
    </row>
    <row r="43" spans="2:18" ht="16" thickBot="1" x14ac:dyDescent="0.25">
      <c r="B43" s="577" t="s">
        <v>164</v>
      </c>
      <c r="C43" s="577"/>
      <c r="D43" s="577"/>
      <c r="E43" s="577"/>
      <c r="F43" s="577"/>
      <c r="G43" s="577"/>
    </row>
    <row r="44" spans="2:18" ht="128.25" customHeight="1" thickBot="1" x14ac:dyDescent="0.25">
      <c r="B44" s="573" t="s">
        <v>165</v>
      </c>
      <c r="C44" s="574"/>
      <c r="D44" s="574"/>
      <c r="E44" s="574"/>
      <c r="F44" s="574"/>
      <c r="G44" s="575"/>
    </row>
  </sheetData>
  <mergeCells count="14">
    <mergeCell ref="J40:Q40"/>
    <mergeCell ref="B44:G44"/>
    <mergeCell ref="B40:G40"/>
    <mergeCell ref="B27:E27"/>
    <mergeCell ref="B29:G29"/>
    <mergeCell ref="B39:E39"/>
    <mergeCell ref="B41:G41"/>
    <mergeCell ref="B43:G43"/>
    <mergeCell ref="B2:E3"/>
    <mergeCell ref="B17:E17"/>
    <mergeCell ref="E20:G20"/>
    <mergeCell ref="B19:G19"/>
    <mergeCell ref="B9:B10"/>
    <mergeCell ref="B5:B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43BA-985E-47F0-8811-CBC76C27D90B}">
  <sheetPr published="0">
    <tabColor theme="5"/>
  </sheetPr>
  <dimension ref="A1:C40"/>
  <sheetViews>
    <sheetView workbookViewId="0"/>
  </sheetViews>
  <sheetFormatPr baseColWidth="10" defaultColWidth="8.83203125" defaultRowHeight="15" x14ac:dyDescent="0.2"/>
  <cols>
    <col min="1" max="1" width="36.6640625" bestFit="1" customWidth="1"/>
    <col min="2" max="2" width="15.83203125" bestFit="1" customWidth="1"/>
    <col min="3" max="3" width="23.33203125" bestFit="1" customWidth="1"/>
    <col min="4" max="4" width="28.1640625" bestFit="1" customWidth="1"/>
  </cols>
  <sheetData>
    <row r="1" spans="1:3" x14ac:dyDescent="0.2">
      <c r="A1" s="377" t="s">
        <v>334</v>
      </c>
      <c r="B1" t="s">
        <v>337</v>
      </c>
      <c r="C1" t="s">
        <v>336</v>
      </c>
    </row>
    <row r="2" spans="1:3" x14ac:dyDescent="0.2">
      <c r="A2" s="1" t="s">
        <v>51</v>
      </c>
      <c r="B2" s="379">
        <v>5.3E-3</v>
      </c>
      <c r="C2" s="379">
        <v>0.121</v>
      </c>
    </row>
    <row r="3" spans="1:3" x14ac:dyDescent="0.2">
      <c r="A3" s="378" t="s">
        <v>325</v>
      </c>
      <c r="B3" s="379">
        <v>5.3E-3</v>
      </c>
      <c r="C3" s="379">
        <v>0.121</v>
      </c>
    </row>
    <row r="4" spans="1:3" x14ac:dyDescent="0.2">
      <c r="A4" s="1" t="s">
        <v>50</v>
      </c>
      <c r="B4" s="379">
        <v>0.29959999999999998</v>
      </c>
      <c r="C4" s="379">
        <v>0.34689999999999999</v>
      </c>
    </row>
    <row r="5" spans="1:3" x14ac:dyDescent="0.2">
      <c r="A5" s="378" t="s">
        <v>318</v>
      </c>
      <c r="B5" s="379">
        <v>0.20050000000000001</v>
      </c>
      <c r="C5" s="379">
        <v>0.10489999999999999</v>
      </c>
    </row>
    <row r="6" spans="1:3" x14ac:dyDescent="0.2">
      <c r="A6" s="378" t="s">
        <v>319</v>
      </c>
      <c r="B6" s="379">
        <v>9.9099999999999994E-2</v>
      </c>
      <c r="C6" s="379">
        <v>0.24199999999999999</v>
      </c>
    </row>
    <row r="7" spans="1:3" x14ac:dyDescent="0.2">
      <c r="A7" s="1" t="s">
        <v>328</v>
      </c>
      <c r="B7" s="379">
        <v>0.42559999999999998</v>
      </c>
      <c r="C7" s="379">
        <v>0.83250000000000002</v>
      </c>
    </row>
    <row r="8" spans="1:3" x14ac:dyDescent="0.2">
      <c r="A8" s="378" t="s">
        <v>326</v>
      </c>
      <c r="B8" s="379">
        <v>8.0000000000000004E-4</v>
      </c>
      <c r="C8" s="379">
        <v>0.1104</v>
      </c>
    </row>
    <row r="9" spans="1:3" x14ac:dyDescent="0.2">
      <c r="A9" s="378" t="s">
        <v>322</v>
      </c>
      <c r="B9" s="379">
        <v>1.29E-2</v>
      </c>
      <c r="C9" s="379">
        <v>0.121</v>
      </c>
    </row>
    <row r="10" spans="1:3" x14ac:dyDescent="0.2">
      <c r="A10" s="378" t="s">
        <v>323</v>
      </c>
      <c r="B10" s="379">
        <v>8.3000000000000001E-3</v>
      </c>
      <c r="C10" s="379">
        <v>0.1171</v>
      </c>
    </row>
    <row r="11" spans="1:3" x14ac:dyDescent="0.2">
      <c r="A11" s="378" t="s">
        <v>317</v>
      </c>
      <c r="B11" s="379">
        <v>0.39779999999999999</v>
      </c>
      <c r="C11" s="379">
        <v>0.36299999999999999</v>
      </c>
    </row>
    <row r="12" spans="1:3" x14ac:dyDescent="0.2">
      <c r="A12" s="378" t="s">
        <v>324</v>
      </c>
      <c r="B12" s="379">
        <v>5.7999999999999996E-3</v>
      </c>
      <c r="C12" s="379">
        <v>0.121</v>
      </c>
    </row>
    <row r="13" spans="1:3" x14ac:dyDescent="0.2">
      <c r="A13" s="1" t="s">
        <v>329</v>
      </c>
      <c r="B13" s="379">
        <v>0.1195</v>
      </c>
      <c r="C13" s="379">
        <v>0.23280000000000001</v>
      </c>
    </row>
    <row r="14" spans="1:3" x14ac:dyDescent="0.2">
      <c r="A14" s="378" t="s">
        <v>320</v>
      </c>
      <c r="B14" s="379">
        <v>8.0299999999999996E-2</v>
      </c>
      <c r="C14" s="379">
        <v>0.1118</v>
      </c>
    </row>
    <row r="15" spans="1:3" x14ac:dyDescent="0.2">
      <c r="A15" s="378" t="s">
        <v>321</v>
      </c>
      <c r="B15" s="379">
        <v>3.9199999999999999E-2</v>
      </c>
      <c r="C15" s="379">
        <v>0.121</v>
      </c>
    </row>
    <row r="16" spans="1:3" x14ac:dyDescent="0.2">
      <c r="A16" s="1" t="s">
        <v>335</v>
      </c>
      <c r="B16" s="379">
        <v>0.85000000000000009</v>
      </c>
      <c r="C16" s="379">
        <v>1.5331999999999999</v>
      </c>
    </row>
    <row r="18" spans="1:3" x14ac:dyDescent="0.2">
      <c r="A18" s="377" t="s">
        <v>334</v>
      </c>
      <c r="B18" t="s">
        <v>358</v>
      </c>
      <c r="C18" t="s">
        <v>359</v>
      </c>
    </row>
    <row r="19" spans="1:3" x14ac:dyDescent="0.2">
      <c r="A19" s="1" t="s">
        <v>357</v>
      </c>
      <c r="B19" s="379">
        <v>3.3999999999999998E-3</v>
      </c>
      <c r="C19" s="379">
        <v>0.03</v>
      </c>
    </row>
    <row r="20" spans="1:3" x14ac:dyDescent="0.2">
      <c r="A20" s="378" t="s">
        <v>352</v>
      </c>
      <c r="B20" s="379">
        <v>3.3999999999999998E-3</v>
      </c>
      <c r="C20" s="379">
        <v>0.03</v>
      </c>
    </row>
    <row r="21" spans="1:3" x14ac:dyDescent="0.2">
      <c r="A21" s="1" t="s">
        <v>52</v>
      </c>
      <c r="B21" s="379">
        <v>5.8999999999999999E-3</v>
      </c>
      <c r="C21" s="379">
        <v>8.3799999999999999E-2</v>
      </c>
    </row>
    <row r="22" spans="1:3" x14ac:dyDescent="0.2">
      <c r="A22" s="378" t="s">
        <v>347</v>
      </c>
      <c r="B22" s="379">
        <v>5.8999999999999999E-3</v>
      </c>
      <c r="C22" s="379">
        <v>8.3799999999999999E-2</v>
      </c>
    </row>
    <row r="23" spans="1:3" x14ac:dyDescent="0.2">
      <c r="A23" s="1" t="s">
        <v>356</v>
      </c>
      <c r="B23" s="379">
        <v>3.9000000000000003E-3</v>
      </c>
      <c r="C23" s="379">
        <v>1.6000000000000001E-3</v>
      </c>
    </row>
    <row r="24" spans="1:3" x14ac:dyDescent="0.2">
      <c r="A24" s="378" t="s">
        <v>355</v>
      </c>
      <c r="B24" s="379">
        <v>4.0000000000000002E-4</v>
      </c>
      <c r="C24" s="379">
        <v>1.5E-3</v>
      </c>
    </row>
    <row r="25" spans="1:3" x14ac:dyDescent="0.2">
      <c r="A25" s="378" t="s">
        <v>351</v>
      </c>
      <c r="B25" s="379">
        <v>3.5000000000000001E-3</v>
      </c>
      <c r="C25" s="379">
        <v>1E-4</v>
      </c>
    </row>
    <row r="26" spans="1:3" x14ac:dyDescent="0.2">
      <c r="A26" s="1" t="s">
        <v>342</v>
      </c>
      <c r="B26" s="379">
        <v>0.21340000000000001</v>
      </c>
      <c r="C26" s="379">
        <v>0.62129999999999996</v>
      </c>
    </row>
    <row r="27" spans="1:3" x14ac:dyDescent="0.2">
      <c r="A27" s="378" t="s">
        <v>341</v>
      </c>
      <c r="B27" s="379">
        <v>0.21340000000000001</v>
      </c>
      <c r="C27" s="379">
        <v>0.62129999999999996</v>
      </c>
    </row>
    <row r="28" spans="1:3" x14ac:dyDescent="0.2">
      <c r="A28" s="1" t="s">
        <v>51</v>
      </c>
      <c r="B28" s="379">
        <v>4.8599999999999997E-2</v>
      </c>
      <c r="C28" s="379">
        <v>1.17E-2</v>
      </c>
    </row>
    <row r="29" spans="1:3" x14ac:dyDescent="0.2">
      <c r="A29" s="378" t="s">
        <v>343</v>
      </c>
      <c r="B29" s="379">
        <v>4.8599999999999997E-2</v>
      </c>
      <c r="C29" s="379">
        <v>1.17E-2</v>
      </c>
    </row>
    <row r="30" spans="1:3" x14ac:dyDescent="0.2">
      <c r="A30" s="1" t="s">
        <v>328</v>
      </c>
      <c r="B30" s="379">
        <v>1.1999999999999999E-3</v>
      </c>
      <c r="C30" s="379">
        <v>1.3599999999999999E-2</v>
      </c>
    </row>
    <row r="31" spans="1:3" x14ac:dyDescent="0.2">
      <c r="A31" s="378" t="s">
        <v>354</v>
      </c>
      <c r="B31" s="379">
        <v>1.1999999999999999E-3</v>
      </c>
      <c r="C31" s="379">
        <v>1.3599999999999999E-2</v>
      </c>
    </row>
    <row r="32" spans="1:3" x14ac:dyDescent="0.2">
      <c r="A32" s="1" t="s">
        <v>329</v>
      </c>
      <c r="B32" s="379">
        <v>4.6699999999999998E-2</v>
      </c>
      <c r="C32" s="379">
        <v>0.2288</v>
      </c>
    </row>
    <row r="33" spans="1:3" x14ac:dyDescent="0.2">
      <c r="A33" s="378" t="s">
        <v>346</v>
      </c>
      <c r="B33" s="379">
        <v>6.0000000000000001E-3</v>
      </c>
      <c r="C33" s="379">
        <v>3.0700000000000002E-2</v>
      </c>
    </row>
    <row r="34" spans="1:3" x14ac:dyDescent="0.2">
      <c r="A34" s="378" t="s">
        <v>350</v>
      </c>
      <c r="B34" s="379">
        <v>4.7999999999999996E-3</v>
      </c>
      <c r="C34" s="379">
        <v>4.5499999999999999E-2</v>
      </c>
    </row>
    <row r="35" spans="1:3" x14ac:dyDescent="0.2">
      <c r="A35" s="378" t="s">
        <v>345</v>
      </c>
      <c r="B35" s="379">
        <v>8.5000000000000006E-3</v>
      </c>
      <c r="C35" s="379">
        <v>3.5299999999999998E-2</v>
      </c>
    </row>
    <row r="36" spans="1:3" x14ac:dyDescent="0.2">
      <c r="A36" s="378" t="s">
        <v>349</v>
      </c>
      <c r="B36" s="379">
        <v>5.4999999999999997E-3</v>
      </c>
      <c r="C36" s="379">
        <v>1.61E-2</v>
      </c>
    </row>
    <row r="37" spans="1:3" x14ac:dyDescent="0.2">
      <c r="A37" s="378" t="s">
        <v>353</v>
      </c>
      <c r="B37" s="379">
        <v>2.3999999999999998E-3</v>
      </c>
      <c r="C37" s="379">
        <v>1.46E-2</v>
      </c>
    </row>
    <row r="38" spans="1:3" x14ac:dyDescent="0.2">
      <c r="A38" s="378" t="s">
        <v>344</v>
      </c>
      <c r="B38" s="379">
        <v>1.4E-2</v>
      </c>
      <c r="C38" s="379">
        <v>5.6899999999999999E-2</v>
      </c>
    </row>
    <row r="39" spans="1:3" x14ac:dyDescent="0.2">
      <c r="A39" s="378" t="s">
        <v>348</v>
      </c>
      <c r="B39" s="379">
        <v>5.4999999999999997E-3</v>
      </c>
      <c r="C39" s="379">
        <v>2.9700000000000001E-2</v>
      </c>
    </row>
    <row r="40" spans="1:3" x14ac:dyDescent="0.2">
      <c r="A40" s="1" t="s">
        <v>335</v>
      </c>
      <c r="B40" s="379">
        <v>0.32310000000000005</v>
      </c>
      <c r="C40" s="379">
        <v>0.99079999999999968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DEE39-FDB0-472E-A6B0-0DD4BE1F15BA}">
  <sheetPr published="0">
    <tabColor theme="5"/>
  </sheetPr>
  <dimension ref="A1:I44"/>
  <sheetViews>
    <sheetView showGridLines="0" tabSelected="1" topLeftCell="B16" zoomScale="125" zoomScaleNormal="100" workbookViewId="0"/>
  </sheetViews>
  <sheetFormatPr baseColWidth="10" defaultColWidth="9.1640625" defaultRowHeight="15" x14ac:dyDescent="0.2"/>
  <cols>
    <col min="1" max="1" width="39.83203125" style="380" bestFit="1" customWidth="1"/>
    <col min="2" max="2" width="39.83203125" style="380" customWidth="1"/>
    <col min="3" max="3" width="21.5" style="380" bestFit="1" customWidth="1"/>
    <col min="4" max="4" width="32" style="380" bestFit="1" customWidth="1"/>
    <col min="5" max="5" width="32.5" style="380" bestFit="1" customWidth="1"/>
    <col min="6" max="16384" width="9.1640625" style="380"/>
  </cols>
  <sheetData>
    <row r="1" spans="1:9" x14ac:dyDescent="0.2">
      <c r="A1" s="435" t="s">
        <v>333</v>
      </c>
      <c r="B1" s="435"/>
      <c r="C1" s="435"/>
      <c r="D1" s="435"/>
      <c r="E1" s="435"/>
      <c r="F1" s="435"/>
      <c r="G1" s="435"/>
      <c r="H1" s="435"/>
      <c r="I1" s="435"/>
    </row>
    <row r="2" spans="1:9" x14ac:dyDescent="0.2">
      <c r="A2" s="381" t="s">
        <v>316</v>
      </c>
      <c r="B2" s="381" t="s">
        <v>327</v>
      </c>
      <c r="C2" s="381" t="s">
        <v>330</v>
      </c>
      <c r="D2" s="381" t="s">
        <v>331</v>
      </c>
      <c r="E2" s="381" t="s">
        <v>332</v>
      </c>
    </row>
    <row r="3" spans="1:9" x14ac:dyDescent="0.2">
      <c r="A3" s="382" t="s">
        <v>317</v>
      </c>
      <c r="B3" s="382" t="s">
        <v>328</v>
      </c>
      <c r="C3" s="383">
        <v>562.85</v>
      </c>
      <c r="D3" s="384">
        <v>0.39779999999999999</v>
      </c>
      <c r="E3" s="384">
        <v>0.36299999999999999</v>
      </c>
    </row>
    <row r="4" spans="1:9" x14ac:dyDescent="0.2">
      <c r="A4" s="382" t="s">
        <v>318</v>
      </c>
      <c r="B4" s="382" t="s">
        <v>50</v>
      </c>
      <c r="C4" s="383">
        <v>357.11</v>
      </c>
      <c r="D4" s="384">
        <v>0.20050000000000001</v>
      </c>
      <c r="E4" s="384">
        <v>0.10489999999999999</v>
      </c>
    </row>
    <row r="5" spans="1:9" x14ac:dyDescent="0.2">
      <c r="A5" s="382" t="s">
        <v>319</v>
      </c>
      <c r="B5" s="382" t="s">
        <v>50</v>
      </c>
      <c r="C5" s="383">
        <v>65.69</v>
      </c>
      <c r="D5" s="384">
        <v>9.9099999999999994E-2</v>
      </c>
      <c r="E5" s="384">
        <v>0.24199999999999999</v>
      </c>
    </row>
    <row r="6" spans="1:9" x14ac:dyDescent="0.2">
      <c r="A6" s="382" t="s">
        <v>320</v>
      </c>
      <c r="B6" s="382" t="s">
        <v>329</v>
      </c>
      <c r="C6" s="383">
        <v>204.61</v>
      </c>
      <c r="D6" s="384">
        <v>8.0299999999999996E-2</v>
      </c>
      <c r="E6" s="384">
        <v>0.1118</v>
      </c>
    </row>
    <row r="7" spans="1:9" x14ac:dyDescent="0.2">
      <c r="A7" s="382" t="s">
        <v>321</v>
      </c>
      <c r="B7" s="382" t="s">
        <v>329</v>
      </c>
      <c r="C7" s="383">
        <v>86.47</v>
      </c>
      <c r="D7" s="384">
        <v>3.9199999999999999E-2</v>
      </c>
      <c r="E7" s="384">
        <v>0.121</v>
      </c>
    </row>
    <row r="8" spans="1:9" x14ac:dyDescent="0.2">
      <c r="A8" s="382" t="s">
        <v>322</v>
      </c>
      <c r="B8" s="382" t="s">
        <v>328</v>
      </c>
      <c r="C8" s="383">
        <v>34.369999999999997</v>
      </c>
      <c r="D8" s="384">
        <v>1.29E-2</v>
      </c>
      <c r="E8" s="384">
        <v>0.121</v>
      </c>
    </row>
    <row r="9" spans="1:9" x14ac:dyDescent="0.2">
      <c r="A9" s="382" t="s">
        <v>323</v>
      </c>
      <c r="B9" s="382" t="s">
        <v>328</v>
      </c>
      <c r="C9" s="383">
        <v>30.25</v>
      </c>
      <c r="D9" s="384">
        <v>8.3000000000000001E-3</v>
      </c>
      <c r="E9" s="384">
        <v>0.1171</v>
      </c>
    </row>
    <row r="10" spans="1:9" x14ac:dyDescent="0.2">
      <c r="A10" s="382" t="s">
        <v>324</v>
      </c>
      <c r="B10" s="382" t="s">
        <v>328</v>
      </c>
      <c r="C10" s="383">
        <v>27.95</v>
      </c>
      <c r="D10" s="384">
        <v>5.7999999999999996E-3</v>
      </c>
      <c r="E10" s="384">
        <v>0.121</v>
      </c>
    </row>
    <row r="11" spans="1:9" x14ac:dyDescent="0.2">
      <c r="A11" s="382" t="s">
        <v>325</v>
      </c>
      <c r="B11" s="382" t="s">
        <v>51</v>
      </c>
      <c r="C11" s="383">
        <v>40.5</v>
      </c>
      <c r="D11" s="384">
        <v>5.3E-3</v>
      </c>
      <c r="E11" s="384">
        <v>0.121</v>
      </c>
    </row>
    <row r="12" spans="1:9" x14ac:dyDescent="0.2">
      <c r="A12" s="382" t="s">
        <v>326</v>
      </c>
      <c r="B12" s="382" t="s">
        <v>328</v>
      </c>
      <c r="C12" s="383">
        <v>7.65</v>
      </c>
      <c r="D12" s="384">
        <v>8.0000000000000004E-4</v>
      </c>
      <c r="E12" s="384">
        <v>0.1104</v>
      </c>
    </row>
    <row r="30" spans="1:5" x14ac:dyDescent="0.2">
      <c r="A30" s="381" t="s">
        <v>338</v>
      </c>
      <c r="B30" s="381" t="s">
        <v>327</v>
      </c>
      <c r="C30" s="381" t="s">
        <v>330</v>
      </c>
      <c r="D30" s="381" t="s">
        <v>339</v>
      </c>
      <c r="E30" s="381" t="s">
        <v>340</v>
      </c>
    </row>
    <row r="31" spans="1:5" x14ac:dyDescent="0.2">
      <c r="A31" s="382" t="s">
        <v>341</v>
      </c>
      <c r="B31" s="382" t="s">
        <v>342</v>
      </c>
      <c r="C31" s="383">
        <v>18.559999999999999</v>
      </c>
      <c r="D31" s="384">
        <v>0.21340000000000001</v>
      </c>
      <c r="E31" s="384">
        <v>0.62129999999999996</v>
      </c>
    </row>
    <row r="32" spans="1:5" x14ac:dyDescent="0.2">
      <c r="A32" s="382" t="s">
        <v>343</v>
      </c>
      <c r="B32" s="382" t="s">
        <v>51</v>
      </c>
      <c r="C32" s="383">
        <v>3.89</v>
      </c>
      <c r="D32" s="384">
        <v>4.8599999999999997E-2</v>
      </c>
      <c r="E32" s="384">
        <v>1.17E-2</v>
      </c>
    </row>
    <row r="33" spans="1:5" x14ac:dyDescent="0.2">
      <c r="A33" s="382" t="s">
        <v>344</v>
      </c>
      <c r="B33" s="382" t="s">
        <v>329</v>
      </c>
      <c r="C33" s="383">
        <v>9.23</v>
      </c>
      <c r="D33" s="384">
        <v>1.4E-2</v>
      </c>
      <c r="E33" s="384">
        <v>5.6899999999999999E-2</v>
      </c>
    </row>
    <row r="34" spans="1:5" x14ac:dyDescent="0.2">
      <c r="A34" s="382" t="s">
        <v>345</v>
      </c>
      <c r="B34" s="382" t="s">
        <v>329</v>
      </c>
      <c r="C34" s="383">
        <v>20.29</v>
      </c>
      <c r="D34" s="384">
        <v>8.5000000000000006E-3</v>
      </c>
      <c r="E34" s="384">
        <v>3.5299999999999998E-2</v>
      </c>
    </row>
    <row r="35" spans="1:5" x14ac:dyDescent="0.2">
      <c r="A35" s="382" t="s">
        <v>346</v>
      </c>
      <c r="B35" s="382" t="s">
        <v>329</v>
      </c>
      <c r="C35" s="383">
        <v>0.92300000000000004</v>
      </c>
      <c r="D35" s="384">
        <v>6.0000000000000001E-3</v>
      </c>
      <c r="E35" s="384">
        <v>3.0700000000000002E-2</v>
      </c>
    </row>
    <row r="36" spans="1:5" x14ac:dyDescent="0.2">
      <c r="A36" s="382" t="s">
        <v>347</v>
      </c>
      <c r="B36" s="382" t="s">
        <v>52</v>
      </c>
      <c r="C36" s="383">
        <v>15.31</v>
      </c>
      <c r="D36" s="384">
        <v>5.8999999999999999E-3</v>
      </c>
      <c r="E36" s="384">
        <v>8.3799999999999999E-2</v>
      </c>
    </row>
    <row r="37" spans="1:5" x14ac:dyDescent="0.2">
      <c r="A37" s="382" t="s">
        <v>348</v>
      </c>
      <c r="B37" s="382" t="s">
        <v>329</v>
      </c>
      <c r="C37" s="383">
        <v>2.64</v>
      </c>
      <c r="D37" s="384">
        <v>5.4999999999999997E-3</v>
      </c>
      <c r="E37" s="384">
        <v>2.9700000000000001E-2</v>
      </c>
    </row>
    <row r="38" spans="1:5" x14ac:dyDescent="0.2">
      <c r="A38" s="382" t="s">
        <v>349</v>
      </c>
      <c r="B38" s="382" t="s">
        <v>329</v>
      </c>
      <c r="C38" s="383">
        <v>6.92</v>
      </c>
      <c r="D38" s="384">
        <v>5.4999999999999997E-3</v>
      </c>
      <c r="E38" s="384">
        <v>1.61E-2</v>
      </c>
    </row>
    <row r="39" spans="1:5" x14ac:dyDescent="0.2">
      <c r="A39" s="382" t="s">
        <v>350</v>
      </c>
      <c r="B39" s="382" t="s">
        <v>329</v>
      </c>
      <c r="C39" s="383">
        <v>8.5399999999999991</v>
      </c>
      <c r="D39" s="384">
        <v>4.7999999999999996E-3</v>
      </c>
      <c r="E39" s="384">
        <v>4.5499999999999999E-2</v>
      </c>
    </row>
    <row r="40" spans="1:5" x14ac:dyDescent="0.2">
      <c r="A40" s="382" t="s">
        <v>351</v>
      </c>
      <c r="B40" s="382" t="s">
        <v>356</v>
      </c>
      <c r="C40" s="383">
        <v>41.28</v>
      </c>
      <c r="D40" s="384">
        <v>3.5000000000000001E-3</v>
      </c>
      <c r="E40" s="384">
        <v>1E-4</v>
      </c>
    </row>
    <row r="41" spans="1:5" x14ac:dyDescent="0.2">
      <c r="A41" s="382" t="s">
        <v>352</v>
      </c>
      <c r="B41" s="382" t="s">
        <v>357</v>
      </c>
      <c r="C41" s="383">
        <v>805.5</v>
      </c>
      <c r="D41" s="384">
        <v>3.3999999999999998E-3</v>
      </c>
      <c r="E41" s="384">
        <v>0.03</v>
      </c>
    </row>
    <row r="42" spans="1:5" x14ac:dyDescent="0.2">
      <c r="A42" s="382" t="s">
        <v>353</v>
      </c>
      <c r="B42" s="382" t="s">
        <v>329</v>
      </c>
      <c r="C42" s="383">
        <v>6.64</v>
      </c>
      <c r="D42" s="384">
        <v>2.3999999999999998E-3</v>
      </c>
      <c r="E42" s="384">
        <v>1.46E-2</v>
      </c>
    </row>
    <row r="43" spans="1:5" x14ac:dyDescent="0.2">
      <c r="A43" s="382" t="s">
        <v>354</v>
      </c>
      <c r="B43" s="382" t="s">
        <v>328</v>
      </c>
      <c r="C43" s="383">
        <v>2.08</v>
      </c>
      <c r="D43" s="384">
        <v>1.1999999999999999E-3</v>
      </c>
      <c r="E43" s="384">
        <v>1.3599999999999999E-2</v>
      </c>
    </row>
    <row r="44" spans="1:5" x14ac:dyDescent="0.2">
      <c r="A44" s="382" t="s">
        <v>355</v>
      </c>
      <c r="B44" s="382" t="s">
        <v>356</v>
      </c>
      <c r="C44" s="383">
        <v>5.99</v>
      </c>
      <c r="D44" s="384">
        <v>4.0000000000000002E-4</v>
      </c>
      <c r="E44" s="384">
        <v>1.5E-3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W 9 l U 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V b 2 V 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W 9 l U y i K R 7 g O A A A A E Q A A A B M A H A B G b 3 J t d W x h c y 9 T Z W N 0 a W 9 u M S 5 t I K I Y A C i g F A A A A A A A A A A A A A A A A A A A A A A A A A A A A C t O T S 7 J z M 9 T C I b Q h t Y A U E s B A i 0 A F A A C A A g A V W 9 l U 4 U q Y V m m A A A A + Q A A A B I A A A A A A A A A A A A A A A A A A A A A A E N v b m Z p Z y 9 Q Y W N r Y W d l L n h t b F B L A Q I t A B Q A A g A I A F V v Z V M P y u m r p A A A A O k A A A A T A A A A A A A A A A A A A A A A A P I A A A B b Q 2 9 u d G V u d F 9 U e X B l c 1 0 u e G 1 s U E s B A i 0 A F A A C A A g A V W 9 l U 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G d d 6 e C d Z F J B v Q S b C j c R T r M A A A A A A g A A A A A A A 2 Y A A M A A A A A Q A A A A I J V K t P W 7 1 h F T 2 Y u O N 9 0 M n Q A A A A A E g A A A o A A A A B A A A A A U R 2 7 2 l + J 5 y n w N Z E L 8 t H v Y U A A A A J T 0 t 1 I e g p v g e Q E e n / w t a E c F A C i M l 8 I Q g H Q D Z + 1 F s 3 H N M n M Z T T r R p K / p S 8 c Q E A p E F 0 m l M w u 0 B x p A G g W C 2 t M Y 3 K G E 8 h u 7 5 O A 6 d P 4 8 g J u r g X F n F A A A A L w Z r P 4 C Y 9 q i b 8 8 P F g T c F N c W l 8 G 7 < / D a t a M a s h u p > 
</file>

<file path=customXml/itemProps1.xml><?xml version="1.0" encoding="utf-8"?>
<ds:datastoreItem xmlns:ds="http://schemas.openxmlformats.org/officeDocument/2006/customXml" ds:itemID="{D02993D1-C5E8-4D39-AC9A-75FC6387FB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Tear Sheet</vt:lpstr>
      <vt:lpstr>Operating Model</vt:lpstr>
      <vt:lpstr>DCF</vt:lpstr>
      <vt:lpstr>Revenue Segments</vt:lpstr>
      <vt:lpstr>Historical Multiples</vt:lpstr>
      <vt:lpstr>Beta</vt:lpstr>
      <vt:lpstr>Macro Data</vt:lpstr>
      <vt:lpstr>Supply Chain PivotData</vt:lpstr>
      <vt:lpstr>Supply Chain</vt:lpstr>
      <vt:lpstr>Share Buyback Program</vt:lpstr>
      <vt:lpstr>'Share Buyback Program'!Print_Area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Erica Li</cp:lastModifiedBy>
  <dcterms:created xsi:type="dcterms:W3CDTF">2013-04-03T15:49:21Z</dcterms:created>
  <dcterms:modified xsi:type="dcterms:W3CDTF">2021-12-03T17:27:33Z</dcterms:modified>
</cp:coreProperties>
</file>