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hidePivotFieldList="1" defaultThemeVersion="166925"/>
  <mc:AlternateContent xmlns:mc="http://schemas.openxmlformats.org/markup-compatibility/2006">
    <mc:Choice Requires="x15">
      <x15ac:absPath xmlns:x15ac="http://schemas.microsoft.com/office/spreadsheetml/2010/11/ac" url="/Users/Tiger/Downloads/"/>
    </mc:Choice>
  </mc:AlternateContent>
  <xr:revisionPtr revIDLastSave="0" documentId="8_{CAA17D89-B66F-8446-90B0-7BA46A7B95A8}" xr6:coauthVersionLast="47" xr6:coauthVersionMax="47" xr10:uidLastSave="{00000000-0000-0000-0000-000000000000}"/>
  <bookViews>
    <workbookView xWindow="0" yWindow="500" windowWidth="23040" windowHeight="12360" xr2:uid="{E9DA6FAD-E5B2-4249-838E-315EA7518583}"/>
  </bookViews>
  <sheets>
    <sheet name="Tear Sheet" sheetId="8" r:id="rId1"/>
    <sheet name="Operating Model" sheetId="1" r:id="rId2"/>
    <sheet name="Comparable Valuation" sheetId="5" r:id="rId3"/>
    <sheet name="DCF Valuation " sheetId="12" r:id="rId4"/>
    <sheet name="Beta" sheetId="13" r:id="rId5"/>
    <sheet name="Supporting Trends" sheetId="4"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53" i="8" l="1"/>
  <c r="G53" i="8"/>
  <c r="H50" i="8"/>
  <c r="G50" i="8"/>
  <c r="H47" i="8"/>
  <c r="G47" i="8"/>
  <c r="L29" i="12"/>
  <c r="BI37" i="1"/>
  <c r="BH41" i="1"/>
  <c r="BG41" i="1"/>
  <c r="BF41" i="1"/>
  <c r="BE41" i="1"/>
  <c r="BD37" i="1"/>
  <c r="BC41" i="1"/>
  <c r="BB41" i="1"/>
  <c r="BA41" i="1"/>
  <c r="AZ41" i="1"/>
  <c r="AY37" i="1"/>
  <c r="AX41" i="1"/>
  <c r="AW41" i="1"/>
  <c r="AV41" i="1"/>
  <c r="AU41" i="1"/>
  <c r="AT37" i="1"/>
  <c r="AS41" i="1"/>
  <c r="AR41" i="1"/>
  <c r="AQ41" i="1"/>
  <c r="AP41" i="1"/>
  <c r="AO37" i="1"/>
  <c r="AN41" i="1"/>
  <c r="AM41" i="1"/>
  <c r="AL41" i="1"/>
  <c r="AK41" i="1"/>
  <c r="AJ37" i="1"/>
  <c r="H44" i="8"/>
  <c r="AH45" i="1"/>
  <c r="AM45" i="1" s="1"/>
  <c r="AR45" i="1" s="1"/>
  <c r="AW45" i="1" s="1"/>
  <c r="BB45" i="1" s="1"/>
  <c r="BG45" i="1" s="1"/>
  <c r="AI45" i="1"/>
  <c r="AJ45" i="1"/>
  <c r="AK45" i="1"/>
  <c r="AL45" i="1"/>
  <c r="AQ45" i="1" s="1"/>
  <c r="AV45" i="1" s="1"/>
  <c r="BA45" i="1" s="1"/>
  <c r="BF45" i="1" s="1"/>
  <c r="AN45" i="1"/>
  <c r="AS45" i="1" s="1"/>
  <c r="AX45" i="1" s="1"/>
  <c r="BC45" i="1" s="1"/>
  <c r="BH45" i="1" s="1"/>
  <c r="AO45" i="1"/>
  <c r="AT45" i="1" s="1"/>
  <c r="AY45" i="1" s="1"/>
  <c r="BD45" i="1" s="1"/>
  <c r="BI45" i="1" s="1"/>
  <c r="AP45" i="1"/>
  <c r="AU45" i="1" s="1"/>
  <c r="AZ45" i="1" s="1"/>
  <c r="BE45" i="1" s="1"/>
  <c r="E54" i="8"/>
  <c r="F54" i="8"/>
  <c r="D54" i="8"/>
  <c r="E51" i="8"/>
  <c r="F51" i="8"/>
  <c r="D51" i="8"/>
  <c r="E48" i="8"/>
  <c r="F48" i="8"/>
  <c r="D48" i="8"/>
  <c r="E45" i="8"/>
  <c r="F45" i="8"/>
  <c r="D45" i="8"/>
  <c r="O18" i="12"/>
  <c r="N22" i="12"/>
  <c r="N21" i="12"/>
  <c r="H10" i="1"/>
  <c r="I10" i="1"/>
  <c r="K10" i="1"/>
  <c r="L10" i="1"/>
  <c r="M10" i="1"/>
  <c r="N10" i="1"/>
  <c r="P10" i="1"/>
  <c r="Q10" i="1"/>
  <c r="R10" i="1"/>
  <c r="S10" i="1"/>
  <c r="U10" i="1"/>
  <c r="V10" i="1"/>
  <c r="W10" i="1"/>
  <c r="X10" i="1"/>
  <c r="Z10" i="1"/>
  <c r="AA10" i="1"/>
  <c r="AB10" i="1"/>
  <c r="AC10" i="1"/>
  <c r="AE10" i="1"/>
  <c r="AF10" i="1"/>
  <c r="AG10" i="1"/>
  <c r="G10" i="1"/>
  <c r="G1253" i="13"/>
  <c r="G1241" i="13"/>
  <c r="G1229" i="13"/>
  <c r="G1217" i="13"/>
  <c r="G1205" i="13"/>
  <c r="G1193" i="13"/>
  <c r="G1181" i="13"/>
  <c r="G1169" i="13"/>
  <c r="G1157" i="13"/>
  <c r="G1145" i="13"/>
  <c r="G1133" i="13"/>
  <c r="G1121" i="13"/>
  <c r="G1109" i="13"/>
  <c r="G1097" i="13"/>
  <c r="G1085" i="13"/>
  <c r="G1073" i="13"/>
  <c r="G1061" i="13"/>
  <c r="G1049" i="13"/>
  <c r="G1037" i="13"/>
  <c r="G1025" i="13"/>
  <c r="G1013" i="13"/>
  <c r="G1001" i="13"/>
  <c r="G989" i="13"/>
  <c r="G977" i="13"/>
  <c r="G965" i="13"/>
  <c r="G953" i="13"/>
  <c r="G940" i="13"/>
  <c r="G929" i="13"/>
  <c r="G893" i="13"/>
  <c r="G881" i="13"/>
  <c r="G857" i="13"/>
  <c r="G845" i="13"/>
  <c r="G809" i="13"/>
  <c r="G785" i="13"/>
  <c r="G773" i="13"/>
  <c r="G760" i="13"/>
  <c r="G749" i="13"/>
  <c r="G737" i="13"/>
  <c r="G725" i="13"/>
  <c r="G701" i="13"/>
  <c r="G689" i="13"/>
  <c r="G677" i="13"/>
  <c r="G665" i="13"/>
  <c r="G653" i="13"/>
  <c r="G641" i="13"/>
  <c r="G628" i="13"/>
  <c r="G617" i="13"/>
  <c r="G605" i="13"/>
  <c r="G593" i="13"/>
  <c r="G581" i="13"/>
  <c r="G569" i="13"/>
  <c r="G557" i="13"/>
  <c r="G533" i="13"/>
  <c r="G521" i="13"/>
  <c r="G509" i="13"/>
  <c r="G497" i="13"/>
  <c r="G485" i="13"/>
  <c r="G473" i="13"/>
  <c r="G461" i="13"/>
  <c r="G449" i="13"/>
  <c r="G437" i="13"/>
  <c r="G425" i="13"/>
  <c r="G413" i="13"/>
  <c r="G401" i="13"/>
  <c r="G389" i="13"/>
  <c r="G377" i="13"/>
  <c r="G365" i="13"/>
  <c r="G353" i="13"/>
  <c r="G329" i="13"/>
  <c r="G304" i="13"/>
  <c r="G292" i="13"/>
  <c r="G280" i="13"/>
  <c r="G268" i="13"/>
  <c r="G256" i="13"/>
  <c r="G244" i="13"/>
  <c r="G232" i="13"/>
  <c r="G220" i="13"/>
  <c r="G208" i="13"/>
  <c r="G196" i="13"/>
  <c r="G184" i="13"/>
  <c r="G172" i="13"/>
  <c r="G160" i="13"/>
  <c r="G148" i="13"/>
  <c r="G136" i="13"/>
  <c r="G124" i="13"/>
  <c r="G112" i="13"/>
  <c r="G100" i="13"/>
  <c r="G88" i="13"/>
  <c r="G76" i="13"/>
  <c r="G64" i="13"/>
  <c r="G52" i="13"/>
  <c r="G40" i="13"/>
  <c r="G28" i="13"/>
  <c r="G16" i="13"/>
  <c r="G1262" i="13"/>
  <c r="G1261" i="13"/>
  <c r="G1260" i="13"/>
  <c r="G1259" i="13"/>
  <c r="G1258" i="13"/>
  <c r="G1257" i="13"/>
  <c r="G1256" i="13"/>
  <c r="G1255" i="13"/>
  <c r="G1254" i="13"/>
  <c r="G1252" i="13"/>
  <c r="G1251" i="13"/>
  <c r="G1250" i="13"/>
  <c r="G1249" i="13"/>
  <c r="G1248" i="13"/>
  <c r="G1247" i="13"/>
  <c r="G1246" i="13"/>
  <c r="G1245" i="13"/>
  <c r="G1244" i="13"/>
  <c r="G1243" i="13"/>
  <c r="G1242" i="13"/>
  <c r="G1240" i="13"/>
  <c r="G1239" i="13"/>
  <c r="G1238" i="13"/>
  <c r="G1237" i="13"/>
  <c r="G1236" i="13"/>
  <c r="G1235" i="13"/>
  <c r="G1234" i="13"/>
  <c r="G1233" i="13"/>
  <c r="G1232" i="13"/>
  <c r="G1231" i="13"/>
  <c r="G1230" i="13"/>
  <c r="G1228" i="13"/>
  <c r="G1227" i="13"/>
  <c r="G1226" i="13"/>
  <c r="G1225" i="13"/>
  <c r="G1224" i="13"/>
  <c r="G1223" i="13"/>
  <c r="G1222" i="13"/>
  <c r="G1221" i="13"/>
  <c r="G1220" i="13"/>
  <c r="G1219" i="13"/>
  <c r="G1218" i="13"/>
  <c r="G1216" i="13"/>
  <c r="G1215" i="13"/>
  <c r="G1214" i="13"/>
  <c r="G1213" i="13"/>
  <c r="G1212" i="13"/>
  <c r="G1211" i="13"/>
  <c r="G1210" i="13"/>
  <c r="G1209" i="13"/>
  <c r="G1208" i="13"/>
  <c r="G1207" i="13"/>
  <c r="G1206" i="13"/>
  <c r="G1204" i="13"/>
  <c r="G1203" i="13"/>
  <c r="G1202" i="13"/>
  <c r="G1201" i="13"/>
  <c r="G1200" i="13"/>
  <c r="G1199" i="13"/>
  <c r="G1198" i="13"/>
  <c r="G1197" i="13"/>
  <c r="G1196" i="13"/>
  <c r="G1195" i="13"/>
  <c r="G1194" i="13"/>
  <c r="G1192" i="13"/>
  <c r="G1191" i="13"/>
  <c r="G1190" i="13"/>
  <c r="G1189" i="13"/>
  <c r="G1188" i="13"/>
  <c r="G1187" i="13"/>
  <c r="G1186" i="13"/>
  <c r="G1185" i="13"/>
  <c r="G1184" i="13"/>
  <c r="G1183" i="13"/>
  <c r="G1182" i="13"/>
  <c r="G1180" i="13"/>
  <c r="G1179" i="13"/>
  <c r="G1178" i="13"/>
  <c r="G1177" i="13"/>
  <c r="G1176" i="13"/>
  <c r="G1175" i="13"/>
  <c r="G1174" i="13"/>
  <c r="G1173" i="13"/>
  <c r="G1172" i="13"/>
  <c r="G1171" i="13"/>
  <c r="G1170" i="13"/>
  <c r="G1168" i="13"/>
  <c r="G1167" i="13"/>
  <c r="G1166" i="13"/>
  <c r="G1165" i="13"/>
  <c r="G1164" i="13"/>
  <c r="G1163" i="13"/>
  <c r="G1162" i="13"/>
  <c r="G1161" i="13"/>
  <c r="G1160" i="13"/>
  <c r="G1159" i="13"/>
  <c r="G1158" i="13"/>
  <c r="G1156" i="13"/>
  <c r="G1155" i="13"/>
  <c r="G1154" i="13"/>
  <c r="G1153" i="13"/>
  <c r="G1152" i="13"/>
  <c r="G1151" i="13"/>
  <c r="G1150" i="13"/>
  <c r="G1149" i="13"/>
  <c r="G1148" i="13"/>
  <c r="G1147" i="13"/>
  <c r="G1146" i="13"/>
  <c r="G1144" i="13"/>
  <c r="G1143" i="13"/>
  <c r="G1142" i="13"/>
  <c r="G1141" i="13"/>
  <c r="G1140" i="13"/>
  <c r="G1139" i="13"/>
  <c r="G1138" i="13"/>
  <c r="G1137" i="13"/>
  <c r="G1136" i="13"/>
  <c r="G1135" i="13"/>
  <c r="G1134" i="13"/>
  <c r="G1132" i="13"/>
  <c r="G1131" i="13"/>
  <c r="G1130" i="13"/>
  <c r="G1129" i="13"/>
  <c r="G1128" i="13"/>
  <c r="G1127" i="13"/>
  <c r="G1126" i="13"/>
  <c r="G1125" i="13"/>
  <c r="G1124" i="13"/>
  <c r="G1123" i="13"/>
  <c r="G1122" i="13"/>
  <c r="G1120" i="13"/>
  <c r="G1119" i="13"/>
  <c r="G1118" i="13"/>
  <c r="G1117" i="13"/>
  <c r="G1116" i="13"/>
  <c r="G1115" i="13"/>
  <c r="G1114" i="13"/>
  <c r="G1113" i="13"/>
  <c r="G1112" i="13"/>
  <c r="G1111" i="13"/>
  <c r="G1110" i="13"/>
  <c r="G1108" i="13"/>
  <c r="G1107" i="13"/>
  <c r="G1106" i="13"/>
  <c r="G1105" i="13"/>
  <c r="G1104" i="13"/>
  <c r="G1103" i="13"/>
  <c r="G1102" i="13"/>
  <c r="G1101" i="13"/>
  <c r="G1100" i="13"/>
  <c r="G1099" i="13"/>
  <c r="G1098" i="13"/>
  <c r="G1096" i="13"/>
  <c r="G1095" i="13"/>
  <c r="G1094" i="13"/>
  <c r="G1093" i="13"/>
  <c r="G1092" i="13"/>
  <c r="G1091" i="13"/>
  <c r="G1090" i="13"/>
  <c r="G1089" i="13"/>
  <c r="G1088" i="13"/>
  <c r="G1087" i="13"/>
  <c r="G1086" i="13"/>
  <c r="G1084" i="13"/>
  <c r="G1083" i="13"/>
  <c r="G1082" i="13"/>
  <c r="G1081" i="13"/>
  <c r="G1080" i="13"/>
  <c r="G1079" i="13"/>
  <c r="G1078" i="13"/>
  <c r="G1077" i="13"/>
  <c r="G1076" i="13"/>
  <c r="G1075" i="13"/>
  <c r="G1074" i="13"/>
  <c r="G1072" i="13"/>
  <c r="G1071" i="13"/>
  <c r="G1070" i="13"/>
  <c r="G1069" i="13"/>
  <c r="G1068" i="13"/>
  <c r="G1067" i="13"/>
  <c r="G1066" i="13"/>
  <c r="G1065" i="13"/>
  <c r="G1064" i="13"/>
  <c r="G1063" i="13"/>
  <c r="G1062" i="13"/>
  <c r="G1060" i="13"/>
  <c r="G1059" i="13"/>
  <c r="G1058" i="13"/>
  <c r="G1057" i="13"/>
  <c r="G1056" i="13"/>
  <c r="G1055" i="13"/>
  <c r="G1054" i="13"/>
  <c r="G1053" i="13"/>
  <c r="G1052" i="13"/>
  <c r="G1051" i="13"/>
  <c r="G1050" i="13"/>
  <c r="G1048" i="13"/>
  <c r="G1047" i="13"/>
  <c r="G1046" i="13"/>
  <c r="G1045" i="13"/>
  <c r="G1044" i="13"/>
  <c r="G1043" i="13"/>
  <c r="G1042" i="13"/>
  <c r="G1041" i="13"/>
  <c r="G1040" i="13"/>
  <c r="G1039" i="13"/>
  <c r="G1038" i="13"/>
  <c r="G1036" i="13"/>
  <c r="G1035" i="13"/>
  <c r="G1034" i="13"/>
  <c r="G1033" i="13"/>
  <c r="G1032" i="13"/>
  <c r="G1031" i="13"/>
  <c r="G1030" i="13"/>
  <c r="G1029" i="13"/>
  <c r="G1028" i="13"/>
  <c r="G1027" i="13"/>
  <c r="G1026" i="13"/>
  <c r="G1024" i="13"/>
  <c r="G1023" i="13"/>
  <c r="G1022" i="13"/>
  <c r="G1021" i="13"/>
  <c r="G1020" i="13"/>
  <c r="G1019" i="13"/>
  <c r="G1018" i="13"/>
  <c r="G1017" i="13"/>
  <c r="G1016" i="13"/>
  <c r="G1015" i="13"/>
  <c r="G1014" i="13"/>
  <c r="G1012" i="13"/>
  <c r="G1011" i="13"/>
  <c r="G1010" i="13"/>
  <c r="G1009" i="13"/>
  <c r="G1008" i="13"/>
  <c r="G1007" i="13"/>
  <c r="G1006" i="13"/>
  <c r="G1005" i="13"/>
  <c r="G1004" i="13"/>
  <c r="G1003" i="13"/>
  <c r="G1002" i="13"/>
  <c r="G1000" i="13"/>
  <c r="G999" i="13"/>
  <c r="G998" i="13"/>
  <c r="G997" i="13"/>
  <c r="G996" i="13"/>
  <c r="G995" i="13"/>
  <c r="G994" i="13"/>
  <c r="G993" i="13"/>
  <c r="G992" i="13"/>
  <c r="G991" i="13"/>
  <c r="G990" i="13"/>
  <c r="G988" i="13"/>
  <c r="G987" i="13"/>
  <c r="G986" i="13"/>
  <c r="G985" i="13"/>
  <c r="G984" i="13"/>
  <c r="G983" i="13"/>
  <c r="G982" i="13"/>
  <c r="G981" i="13"/>
  <c r="G980" i="13"/>
  <c r="G979" i="13"/>
  <c r="G978" i="13"/>
  <c r="G976" i="13"/>
  <c r="G975" i="13"/>
  <c r="G974" i="13"/>
  <c r="G973" i="13"/>
  <c r="G972" i="13"/>
  <c r="G971" i="13"/>
  <c r="G970" i="13"/>
  <c r="G969" i="13"/>
  <c r="G968" i="13"/>
  <c r="G967" i="13"/>
  <c r="G966" i="13"/>
  <c r="G964" i="13"/>
  <c r="G963" i="13"/>
  <c r="G962" i="13"/>
  <c r="G961" i="13"/>
  <c r="G960" i="13"/>
  <c r="G959" i="13"/>
  <c r="G958" i="13"/>
  <c r="G957" i="13"/>
  <c r="G956" i="13"/>
  <c r="G955" i="13"/>
  <c r="G951" i="13"/>
  <c r="G950" i="13"/>
  <c r="G949" i="13"/>
  <c r="G948" i="13"/>
  <c r="G947" i="13"/>
  <c r="G946" i="13"/>
  <c r="G945" i="13"/>
  <c r="G944" i="13"/>
  <c r="G943" i="13"/>
  <c r="G939" i="13"/>
  <c r="G938" i="13"/>
  <c r="G937" i="13"/>
  <c r="G935" i="13"/>
  <c r="G934" i="13"/>
  <c r="G932" i="13"/>
  <c r="G931" i="13"/>
  <c r="G930" i="13"/>
  <c r="G926" i="13"/>
  <c r="G925" i="13"/>
  <c r="G922" i="13"/>
  <c r="G919" i="13"/>
  <c r="G917" i="13"/>
  <c r="G915" i="13"/>
  <c r="G914" i="13"/>
  <c r="G913" i="13"/>
  <c r="G912" i="13"/>
  <c r="G911" i="13"/>
  <c r="G908" i="13"/>
  <c r="G907" i="13"/>
  <c r="G903" i="13"/>
  <c r="G901" i="13"/>
  <c r="G899" i="13"/>
  <c r="G897" i="13"/>
  <c r="G896" i="13"/>
  <c r="G895" i="13"/>
  <c r="G894" i="13"/>
  <c r="G890" i="13"/>
  <c r="G889" i="13"/>
  <c r="G885" i="13"/>
  <c r="G883" i="13"/>
  <c r="G879" i="13"/>
  <c r="G878" i="13"/>
  <c r="G877" i="13"/>
  <c r="G876" i="13"/>
  <c r="G875" i="13"/>
  <c r="G872" i="13"/>
  <c r="G867" i="13"/>
  <c r="G865" i="13"/>
  <c r="G863" i="13"/>
  <c r="G861" i="13"/>
  <c r="G860" i="13"/>
  <c r="G855" i="13"/>
  <c r="G854" i="13"/>
  <c r="G849" i="13"/>
  <c r="G847" i="13"/>
  <c r="G843" i="13"/>
  <c r="G842" i="13"/>
  <c r="G839" i="13"/>
  <c r="G837" i="13"/>
  <c r="G836" i="13"/>
  <c r="G831" i="13"/>
  <c r="G829" i="13"/>
  <c r="G827" i="13"/>
  <c r="G825" i="13"/>
  <c r="G824" i="13"/>
  <c r="G821" i="13"/>
  <c r="G819" i="13"/>
  <c r="G818" i="13"/>
  <c r="G813" i="13"/>
  <c r="G811" i="13"/>
  <c r="G807" i="13"/>
  <c r="G806" i="13"/>
  <c r="G803" i="13"/>
  <c r="G801" i="13"/>
  <c r="G800" i="13"/>
  <c r="G795" i="13"/>
  <c r="G793" i="13"/>
  <c r="G791" i="13"/>
  <c r="G790" i="13"/>
  <c r="G789" i="13"/>
  <c r="G788" i="13"/>
  <c r="G783" i="13"/>
  <c r="G782" i="13"/>
  <c r="G781" i="13"/>
  <c r="G779" i="13"/>
  <c r="G778" i="13"/>
  <c r="G777" i="13"/>
  <c r="G775" i="13"/>
  <c r="G774" i="13"/>
  <c r="G771" i="13"/>
  <c r="G769" i="13"/>
  <c r="G768" i="13"/>
  <c r="G767" i="13"/>
  <c r="G766" i="13"/>
  <c r="G765" i="13"/>
  <c r="G764" i="13"/>
  <c r="G763" i="13"/>
  <c r="G762" i="13"/>
  <c r="G759" i="13"/>
  <c r="G757" i="13"/>
  <c r="G756" i="13"/>
  <c r="G755" i="13"/>
  <c r="G754" i="13"/>
  <c r="G753" i="13"/>
  <c r="G752" i="13"/>
  <c r="G750" i="13"/>
  <c r="G747" i="13"/>
  <c r="G746" i="13"/>
  <c r="G744" i="13"/>
  <c r="G743" i="13"/>
  <c r="G741" i="13"/>
  <c r="G740" i="13"/>
  <c r="G738" i="13"/>
  <c r="G735" i="13"/>
  <c r="G734" i="13"/>
  <c r="G732" i="13"/>
  <c r="G731" i="13"/>
  <c r="G729" i="13"/>
  <c r="G728" i="13"/>
  <c r="G726" i="13"/>
  <c r="G723" i="13"/>
  <c r="G722" i="13"/>
  <c r="G720" i="13"/>
  <c r="G719" i="13"/>
  <c r="G718" i="13"/>
  <c r="G717" i="13"/>
  <c r="G716" i="13"/>
  <c r="G714" i="13"/>
  <c r="G713" i="13"/>
  <c r="G711" i="13"/>
  <c r="G710" i="13"/>
  <c r="G708" i="13"/>
  <c r="G707" i="13"/>
  <c r="G705" i="13"/>
  <c r="G704" i="13"/>
  <c r="G702" i="13"/>
  <c r="G699" i="13"/>
  <c r="G698" i="13"/>
  <c r="G696" i="13"/>
  <c r="G695" i="13"/>
  <c r="G693" i="13"/>
  <c r="G692" i="13"/>
  <c r="G690" i="13"/>
  <c r="G687" i="13"/>
  <c r="G686" i="13"/>
  <c r="G684" i="13"/>
  <c r="G683" i="13"/>
  <c r="G682" i="13"/>
  <c r="G681" i="13"/>
  <c r="G680" i="13"/>
  <c r="G678" i="13"/>
  <c r="G675" i="13"/>
  <c r="G674" i="13"/>
  <c r="G672" i="13"/>
  <c r="G671" i="13"/>
  <c r="G669" i="13"/>
  <c r="G668" i="13"/>
  <c r="G666" i="13"/>
  <c r="G663" i="13"/>
  <c r="G662" i="13"/>
  <c r="G660" i="13"/>
  <c r="G659" i="13"/>
  <c r="G657" i="13"/>
  <c r="G656" i="13"/>
  <c r="G654" i="13"/>
  <c r="G651" i="13"/>
  <c r="G650" i="13"/>
  <c r="G648" i="13"/>
  <c r="G647" i="13"/>
  <c r="G646" i="13"/>
  <c r="G645" i="13"/>
  <c r="G644" i="13"/>
  <c r="G642" i="13"/>
  <c r="G639" i="13"/>
  <c r="G638" i="13"/>
  <c r="G636" i="13"/>
  <c r="G635" i="13"/>
  <c r="G633" i="13"/>
  <c r="G632" i="13"/>
  <c r="G630" i="13"/>
  <c r="G629" i="13"/>
  <c r="G627" i="13"/>
  <c r="G626" i="13"/>
  <c r="G624" i="13"/>
  <c r="G623" i="13"/>
  <c r="G621" i="13"/>
  <c r="G620" i="13"/>
  <c r="G618" i="13"/>
  <c r="G615" i="13"/>
  <c r="G614" i="13"/>
  <c r="G612" i="13"/>
  <c r="G610" i="13"/>
  <c r="G609" i="13"/>
  <c r="G608" i="13"/>
  <c r="G606" i="13"/>
  <c r="G603" i="13"/>
  <c r="G602" i="13"/>
  <c r="G600" i="13"/>
  <c r="G599" i="13"/>
  <c r="G598" i="13"/>
  <c r="G597" i="13"/>
  <c r="G596" i="13"/>
  <c r="G594" i="13"/>
  <c r="G591" i="13"/>
  <c r="G590" i="13"/>
  <c r="G588" i="13"/>
  <c r="G587" i="13"/>
  <c r="G585" i="13"/>
  <c r="G584" i="13"/>
  <c r="G582" i="13"/>
  <c r="G579" i="13"/>
  <c r="G578" i="13"/>
  <c r="G576" i="13"/>
  <c r="G575" i="13"/>
  <c r="G574" i="13"/>
  <c r="G573" i="13"/>
  <c r="G572" i="13"/>
  <c r="G570" i="13"/>
  <c r="G567" i="13"/>
  <c r="G566" i="13"/>
  <c r="G564" i="13"/>
  <c r="G563" i="13"/>
  <c r="G561" i="13"/>
  <c r="G560" i="13"/>
  <c r="G558" i="13"/>
  <c r="G555" i="13"/>
  <c r="G554" i="13"/>
  <c r="G552" i="13"/>
  <c r="G551" i="13"/>
  <c r="G550" i="13"/>
  <c r="G549" i="13"/>
  <c r="G548" i="13"/>
  <c r="G546" i="13"/>
  <c r="G545" i="13"/>
  <c r="G543" i="13"/>
  <c r="G542" i="13"/>
  <c r="G540" i="13"/>
  <c r="G539" i="13"/>
  <c r="G537" i="13"/>
  <c r="G536" i="13"/>
  <c r="G534" i="13"/>
  <c r="G531" i="13"/>
  <c r="G530" i="13"/>
  <c r="G528" i="13"/>
  <c r="G527" i="13"/>
  <c r="G526" i="13"/>
  <c r="G525" i="13"/>
  <c r="G524" i="13"/>
  <c r="G522" i="13"/>
  <c r="G519" i="13"/>
  <c r="G518" i="13"/>
  <c r="G516" i="13"/>
  <c r="G515" i="13"/>
  <c r="G513" i="13"/>
  <c r="G512" i="13"/>
  <c r="G510" i="13"/>
  <c r="G507" i="13"/>
  <c r="G506" i="13"/>
  <c r="G504" i="13"/>
  <c r="G503" i="13"/>
  <c r="G502" i="13"/>
  <c r="G501" i="13"/>
  <c r="G500" i="13"/>
  <c r="G498" i="13"/>
  <c r="G495" i="13"/>
  <c r="G494" i="13"/>
  <c r="G492" i="13"/>
  <c r="G491" i="13"/>
  <c r="G489" i="13"/>
  <c r="G488" i="13"/>
  <c r="G486" i="13"/>
  <c r="G483" i="13"/>
  <c r="G482" i="13"/>
  <c r="G480" i="13"/>
  <c r="G479" i="13"/>
  <c r="G478" i="13"/>
  <c r="G477" i="13"/>
  <c r="G476" i="13"/>
  <c r="G474" i="13"/>
  <c r="G471" i="13"/>
  <c r="G470" i="13"/>
  <c r="G468" i="13"/>
  <c r="G467" i="13"/>
  <c r="G465" i="13"/>
  <c r="G464" i="13"/>
  <c r="G462" i="13"/>
  <c r="G459" i="13"/>
  <c r="G458" i="13"/>
  <c r="G456" i="13"/>
  <c r="G455" i="13"/>
  <c r="G454" i="13"/>
  <c r="G453" i="13"/>
  <c r="G452" i="13"/>
  <c r="G450" i="13"/>
  <c r="G447" i="13"/>
  <c r="G444" i="13"/>
  <c r="G443" i="13"/>
  <c r="G441" i="13"/>
  <c r="G438" i="13"/>
  <c r="G435" i="13"/>
  <c r="G432" i="13"/>
  <c r="G431" i="13"/>
  <c r="G430" i="13"/>
  <c r="G429" i="13"/>
  <c r="G426" i="13"/>
  <c r="G423" i="13"/>
  <c r="G420" i="13"/>
  <c r="G419" i="13"/>
  <c r="G417" i="13"/>
  <c r="G414" i="13"/>
  <c r="G411" i="13"/>
  <c r="G408" i="13"/>
  <c r="G407" i="13"/>
  <c r="G406" i="13"/>
  <c r="G405" i="13"/>
  <c r="G402" i="13"/>
  <c r="G399" i="13"/>
  <c r="G396" i="13"/>
  <c r="G395" i="13"/>
  <c r="G393" i="13"/>
  <c r="G390" i="13"/>
  <c r="G387" i="13"/>
  <c r="G384" i="13"/>
  <c r="G383" i="13"/>
  <c r="G382" i="13"/>
  <c r="G381" i="13"/>
  <c r="G378" i="13"/>
  <c r="G375" i="13"/>
  <c r="G372" i="13"/>
  <c r="G371" i="13"/>
  <c r="G369" i="13"/>
  <c r="G366" i="13"/>
  <c r="G363" i="13"/>
  <c r="G360" i="13"/>
  <c r="G359" i="13"/>
  <c r="G358" i="13"/>
  <c r="G357" i="13"/>
  <c r="G354" i="13"/>
  <c r="G351" i="13"/>
  <c r="G350" i="13"/>
  <c r="G349" i="13"/>
  <c r="G348" i="13"/>
  <c r="G346" i="13"/>
  <c r="G345" i="13"/>
  <c r="G344" i="13"/>
  <c r="G343" i="13"/>
  <c r="G342" i="13"/>
  <c r="G339" i="13"/>
  <c r="G337" i="13"/>
  <c r="G336" i="13"/>
  <c r="G335" i="13"/>
  <c r="G333" i="13"/>
  <c r="G330" i="13"/>
  <c r="G327" i="13"/>
  <c r="G326" i="13"/>
  <c r="G324" i="13"/>
  <c r="G321" i="13"/>
  <c r="G319" i="13"/>
  <c r="G318" i="13"/>
  <c r="G317" i="13"/>
  <c r="G315" i="13"/>
  <c r="G314" i="13"/>
  <c r="G312" i="13"/>
  <c r="G310" i="13"/>
  <c r="G309" i="13"/>
  <c r="G308" i="13"/>
  <c r="G307" i="13"/>
  <c r="G306" i="13"/>
  <c r="G303" i="13"/>
  <c r="G302" i="13"/>
  <c r="G301" i="13"/>
  <c r="G300" i="13"/>
  <c r="G298" i="13"/>
  <c r="G297" i="13"/>
  <c r="G296" i="13"/>
  <c r="G295" i="13"/>
  <c r="G294" i="13"/>
  <c r="G291" i="13"/>
  <c r="G290" i="13"/>
  <c r="G289" i="13"/>
  <c r="G288" i="13"/>
  <c r="G286" i="13"/>
  <c r="G285" i="13"/>
  <c r="G284" i="13"/>
  <c r="G283" i="13"/>
  <c r="G282" i="13"/>
  <c r="G279" i="13"/>
  <c r="G278" i="13"/>
  <c r="G277" i="13"/>
  <c r="G276" i="13"/>
  <c r="G274" i="13"/>
  <c r="G273" i="13"/>
  <c r="G272" i="13"/>
  <c r="G271" i="13"/>
  <c r="G270" i="13"/>
  <c r="G267" i="13"/>
  <c r="G266" i="13"/>
  <c r="G265" i="13"/>
  <c r="G264" i="13"/>
  <c r="G262" i="13"/>
  <c r="G261" i="13"/>
  <c r="G260" i="13"/>
  <c r="G259" i="13"/>
  <c r="G258" i="13"/>
  <c r="G255" i="13"/>
  <c r="G254" i="13"/>
  <c r="G253" i="13"/>
  <c r="G252" i="13"/>
  <c r="G250" i="13"/>
  <c r="G249" i="13"/>
  <c r="G248" i="13"/>
  <c r="G247" i="13"/>
  <c r="G246" i="13"/>
  <c r="G243" i="13"/>
  <c r="G242" i="13"/>
  <c r="G241" i="13"/>
  <c r="G240" i="13"/>
  <c r="G238" i="13"/>
  <c r="G237" i="13"/>
  <c r="G236" i="13"/>
  <c r="G235" i="13"/>
  <c r="G234" i="13"/>
  <c r="G231" i="13"/>
  <c r="G230" i="13"/>
  <c r="G229" i="13"/>
  <c r="G228" i="13"/>
  <c r="G226" i="13"/>
  <c r="G225" i="13"/>
  <c r="G224" i="13"/>
  <c r="G223" i="13"/>
  <c r="G222" i="13"/>
  <c r="G219" i="13"/>
  <c r="G218" i="13"/>
  <c r="G217" i="13"/>
  <c r="G216" i="13"/>
  <c r="G214" i="13"/>
  <c r="G213" i="13"/>
  <c r="G212" i="13"/>
  <c r="G211" i="13"/>
  <c r="G210" i="13"/>
  <c r="G207" i="13"/>
  <c r="G206" i="13"/>
  <c r="G205" i="13"/>
  <c r="G204" i="13"/>
  <c r="G202" i="13"/>
  <c r="G201" i="13"/>
  <c r="G200" i="13"/>
  <c r="G199" i="13"/>
  <c r="G198" i="13"/>
  <c r="G195" i="13"/>
  <c r="G194" i="13"/>
  <c r="G193" i="13"/>
  <c r="G192" i="13"/>
  <c r="G190" i="13"/>
  <c r="G189" i="13"/>
  <c r="G188" i="13"/>
  <c r="G187" i="13"/>
  <c r="G186" i="13"/>
  <c r="G183" i="13"/>
  <c r="G182" i="13"/>
  <c r="G181" i="13"/>
  <c r="G180" i="13"/>
  <c r="G178" i="13"/>
  <c r="G177" i="13"/>
  <c r="G176" i="13"/>
  <c r="G175" i="13"/>
  <c r="G174" i="13"/>
  <c r="G171" i="13"/>
  <c r="G170" i="13"/>
  <c r="G169" i="13"/>
  <c r="G168" i="13"/>
  <c r="G166" i="13"/>
  <c r="G165" i="13"/>
  <c r="G164" i="13"/>
  <c r="G163" i="13"/>
  <c r="G162" i="13"/>
  <c r="G159" i="13"/>
  <c r="G158" i="13"/>
  <c r="G157" i="13"/>
  <c r="G156" i="13"/>
  <c r="G154" i="13"/>
  <c r="G153" i="13"/>
  <c r="G152" i="13"/>
  <c r="G151" i="13"/>
  <c r="G150" i="13"/>
  <c r="G147" i="13"/>
  <c r="G146" i="13"/>
  <c r="G145" i="13"/>
  <c r="G144" i="13"/>
  <c r="G142" i="13"/>
  <c r="G141" i="13"/>
  <c r="G140" i="13"/>
  <c r="G139" i="13"/>
  <c r="G138" i="13"/>
  <c r="G135" i="13"/>
  <c r="G134" i="13"/>
  <c r="G133" i="13"/>
  <c r="G132" i="13"/>
  <c r="G130" i="13"/>
  <c r="G129" i="13"/>
  <c r="G128" i="13"/>
  <c r="G127" i="13"/>
  <c r="G126" i="13"/>
  <c r="G123" i="13"/>
  <c r="G122" i="13"/>
  <c r="G121" i="13"/>
  <c r="G120" i="13"/>
  <c r="G118" i="13"/>
  <c r="G117" i="13"/>
  <c r="G116" i="13"/>
  <c r="G115" i="13"/>
  <c r="G114" i="13"/>
  <c r="G111" i="13"/>
  <c r="G110" i="13"/>
  <c r="G109" i="13"/>
  <c r="G108" i="13"/>
  <c r="G106" i="13"/>
  <c r="G105" i="13"/>
  <c r="G104" i="13"/>
  <c r="G103" i="13"/>
  <c r="G102" i="13"/>
  <c r="G99" i="13"/>
  <c r="G98" i="13"/>
  <c r="G97" i="13"/>
  <c r="G96" i="13"/>
  <c r="G94" i="13"/>
  <c r="G93" i="13"/>
  <c r="G92" i="13"/>
  <c r="G91" i="13"/>
  <c r="G90" i="13"/>
  <c r="G87" i="13"/>
  <c r="G86" i="13"/>
  <c r="G85" i="13"/>
  <c r="G84" i="13"/>
  <c r="G82" i="13"/>
  <c r="G81" i="13"/>
  <c r="G80" i="13"/>
  <c r="G79" i="13"/>
  <c r="G78" i="13"/>
  <c r="G75" i="13"/>
  <c r="G74" i="13"/>
  <c r="G73" i="13"/>
  <c r="G72" i="13"/>
  <c r="G70" i="13"/>
  <c r="G69" i="13"/>
  <c r="G68" i="13"/>
  <c r="G67" i="13"/>
  <c r="G66" i="13"/>
  <c r="G63" i="13"/>
  <c r="G62" i="13"/>
  <c r="G61" i="13"/>
  <c r="G60" i="13"/>
  <c r="G58" i="13"/>
  <c r="G57" i="13"/>
  <c r="G56" i="13"/>
  <c r="G55" i="13"/>
  <c r="G54" i="13"/>
  <c r="G51" i="13"/>
  <c r="G50" i="13"/>
  <c r="G49" i="13"/>
  <c r="G48" i="13"/>
  <c r="G46" i="13"/>
  <c r="G45" i="13"/>
  <c r="G44" i="13"/>
  <c r="G43" i="13"/>
  <c r="G42" i="13"/>
  <c r="G39" i="13"/>
  <c r="G38" i="13"/>
  <c r="G37" i="13"/>
  <c r="G36" i="13"/>
  <c r="G34" i="13"/>
  <c r="G33" i="13"/>
  <c r="G32" i="13"/>
  <c r="G31" i="13"/>
  <c r="G30" i="13"/>
  <c r="G27" i="13"/>
  <c r="G26" i="13"/>
  <c r="G25" i="13"/>
  <c r="G24" i="13"/>
  <c r="G22" i="13"/>
  <c r="G21" i="13"/>
  <c r="G20" i="13"/>
  <c r="G19" i="13"/>
  <c r="G18" i="13"/>
  <c r="G15" i="13"/>
  <c r="G14" i="13"/>
  <c r="G13" i="13"/>
  <c r="G12" i="13"/>
  <c r="G10" i="13"/>
  <c r="G9" i="13"/>
  <c r="G8" i="13"/>
  <c r="G7" i="13"/>
  <c r="G6" i="13"/>
  <c r="D1262" i="13"/>
  <c r="D1261" i="13"/>
  <c r="D1260" i="13"/>
  <c r="D1259" i="13"/>
  <c r="D1258" i="13"/>
  <c r="D1257" i="13"/>
  <c r="D1256" i="13"/>
  <c r="D1255" i="13"/>
  <c r="D1254" i="13"/>
  <c r="D1253" i="13"/>
  <c r="D1252" i="13"/>
  <c r="D1251" i="13"/>
  <c r="D1250" i="13"/>
  <c r="D1249" i="13"/>
  <c r="D1248" i="13"/>
  <c r="D1247" i="13"/>
  <c r="D1246" i="13"/>
  <c r="D1245" i="13"/>
  <c r="D1244" i="13"/>
  <c r="D1243" i="13"/>
  <c r="D1242" i="13"/>
  <c r="D1241" i="13"/>
  <c r="D1240" i="13"/>
  <c r="D1239" i="13"/>
  <c r="D1238" i="13"/>
  <c r="D1237" i="13"/>
  <c r="D1236" i="13"/>
  <c r="D1235" i="13"/>
  <c r="D1234" i="13"/>
  <c r="D1233" i="13"/>
  <c r="D1232" i="13"/>
  <c r="D1231" i="13"/>
  <c r="D1230" i="13"/>
  <c r="D1229" i="13"/>
  <c r="D1228" i="13"/>
  <c r="D1227" i="13"/>
  <c r="D1226" i="13"/>
  <c r="D1225" i="13"/>
  <c r="D1224" i="13"/>
  <c r="D1223" i="13"/>
  <c r="D1222" i="13"/>
  <c r="D1221" i="13"/>
  <c r="D1220" i="13"/>
  <c r="D1219" i="13"/>
  <c r="D1218" i="13"/>
  <c r="D1217" i="13"/>
  <c r="D1216" i="13"/>
  <c r="D1215" i="13"/>
  <c r="D1214" i="13"/>
  <c r="D1213" i="13"/>
  <c r="D1212" i="13"/>
  <c r="D1211" i="13"/>
  <c r="D1210" i="13"/>
  <c r="D1209" i="13"/>
  <c r="D1208" i="13"/>
  <c r="D1207" i="13"/>
  <c r="D1206" i="13"/>
  <c r="D1205" i="13"/>
  <c r="D1204" i="13"/>
  <c r="D1203" i="13"/>
  <c r="D1202" i="13"/>
  <c r="D1201" i="13"/>
  <c r="D1200" i="13"/>
  <c r="D1199" i="13"/>
  <c r="D1198" i="13"/>
  <c r="D1197" i="13"/>
  <c r="D1196" i="13"/>
  <c r="D1195" i="13"/>
  <c r="D1194" i="13"/>
  <c r="D1193" i="13"/>
  <c r="D1192" i="13"/>
  <c r="D1191" i="13"/>
  <c r="D1190" i="13"/>
  <c r="D1189" i="13"/>
  <c r="D1188" i="13"/>
  <c r="D1187" i="13"/>
  <c r="D1186" i="13"/>
  <c r="D1185" i="13"/>
  <c r="D1184" i="13"/>
  <c r="D1183" i="13"/>
  <c r="D1182" i="13"/>
  <c r="D1181" i="13"/>
  <c r="D1180" i="13"/>
  <c r="D1179" i="13"/>
  <c r="D1178" i="13"/>
  <c r="D1177" i="13"/>
  <c r="D1176" i="13"/>
  <c r="D1175" i="13"/>
  <c r="D1174" i="13"/>
  <c r="D1173" i="13"/>
  <c r="D1172" i="13"/>
  <c r="D1171" i="13"/>
  <c r="D1170" i="13"/>
  <c r="D1169" i="13"/>
  <c r="D1168" i="13"/>
  <c r="D1167" i="13"/>
  <c r="D1166" i="13"/>
  <c r="D1165" i="13"/>
  <c r="D1164" i="13"/>
  <c r="D1163" i="13"/>
  <c r="D1162" i="13"/>
  <c r="D1161" i="13"/>
  <c r="D1160" i="13"/>
  <c r="D1159" i="13"/>
  <c r="D1158" i="13"/>
  <c r="D1157" i="13"/>
  <c r="D1156" i="13"/>
  <c r="D1155" i="13"/>
  <c r="D1154" i="13"/>
  <c r="D1153" i="13"/>
  <c r="D1152" i="13"/>
  <c r="D1151" i="13"/>
  <c r="D1150" i="13"/>
  <c r="D1149" i="13"/>
  <c r="D1148" i="13"/>
  <c r="D1147" i="13"/>
  <c r="D1146" i="13"/>
  <c r="D1145" i="13"/>
  <c r="D1144" i="13"/>
  <c r="D1143" i="13"/>
  <c r="D1142" i="13"/>
  <c r="D1141" i="13"/>
  <c r="D1140" i="13"/>
  <c r="D1139" i="13"/>
  <c r="D1138" i="13"/>
  <c r="D1137" i="13"/>
  <c r="D1136" i="13"/>
  <c r="D1135" i="13"/>
  <c r="D1134" i="13"/>
  <c r="D1133" i="13"/>
  <c r="D1132" i="13"/>
  <c r="D1131" i="13"/>
  <c r="D1130" i="13"/>
  <c r="D1129" i="13"/>
  <c r="D1128" i="13"/>
  <c r="D1127" i="13"/>
  <c r="D1126" i="13"/>
  <c r="D1125" i="13"/>
  <c r="D1124" i="13"/>
  <c r="D1123" i="13"/>
  <c r="D1122" i="13"/>
  <c r="D1121" i="13"/>
  <c r="D1120" i="13"/>
  <c r="D1119" i="13"/>
  <c r="D1118" i="13"/>
  <c r="D1117" i="13"/>
  <c r="D1116" i="13"/>
  <c r="D1115" i="13"/>
  <c r="D1114" i="13"/>
  <c r="D1113" i="13"/>
  <c r="D1112" i="13"/>
  <c r="D1111" i="13"/>
  <c r="D1110" i="13"/>
  <c r="D1109" i="13"/>
  <c r="D1108" i="13"/>
  <c r="D1107" i="13"/>
  <c r="D1106" i="13"/>
  <c r="D1105" i="13"/>
  <c r="D1104" i="13"/>
  <c r="D1103" i="13"/>
  <c r="D1102" i="13"/>
  <c r="D1101" i="13"/>
  <c r="D1100" i="13"/>
  <c r="D1099" i="13"/>
  <c r="D1098" i="13"/>
  <c r="D1097" i="13"/>
  <c r="D1096" i="13"/>
  <c r="D1095" i="13"/>
  <c r="D1094" i="13"/>
  <c r="D1093" i="13"/>
  <c r="D1092" i="13"/>
  <c r="D1091" i="13"/>
  <c r="D1090" i="13"/>
  <c r="D1089" i="13"/>
  <c r="D1088" i="13"/>
  <c r="D1087" i="13"/>
  <c r="D1086" i="13"/>
  <c r="D1085" i="13"/>
  <c r="D1084" i="13"/>
  <c r="D1083" i="13"/>
  <c r="D1082" i="13"/>
  <c r="D1081" i="13"/>
  <c r="D1080" i="13"/>
  <c r="D1079" i="13"/>
  <c r="D1078" i="13"/>
  <c r="D1077" i="13"/>
  <c r="D1076" i="13"/>
  <c r="D1075" i="13"/>
  <c r="D1074" i="13"/>
  <c r="D1073" i="13"/>
  <c r="D1072" i="13"/>
  <c r="D1071" i="13"/>
  <c r="D1070" i="13"/>
  <c r="D1069" i="13"/>
  <c r="D1068" i="13"/>
  <c r="D1067" i="13"/>
  <c r="D1066" i="13"/>
  <c r="D1065" i="13"/>
  <c r="D1064" i="13"/>
  <c r="D1063" i="13"/>
  <c r="D1062" i="13"/>
  <c r="D1061" i="13"/>
  <c r="D1060" i="13"/>
  <c r="D1059" i="13"/>
  <c r="D1058" i="13"/>
  <c r="D1057" i="13"/>
  <c r="D1056" i="13"/>
  <c r="D1055" i="13"/>
  <c r="D1054" i="13"/>
  <c r="D1053" i="13"/>
  <c r="D1052" i="13"/>
  <c r="D1051" i="13"/>
  <c r="D1050" i="13"/>
  <c r="D1049" i="13"/>
  <c r="D1048" i="13"/>
  <c r="D1047" i="13"/>
  <c r="D1046" i="13"/>
  <c r="D1045" i="13"/>
  <c r="D1044" i="13"/>
  <c r="D1043" i="13"/>
  <c r="D1042" i="13"/>
  <c r="D1041" i="13"/>
  <c r="D1040" i="13"/>
  <c r="D1039" i="13"/>
  <c r="D1038" i="13"/>
  <c r="D1037" i="13"/>
  <c r="D1036" i="13"/>
  <c r="D1035" i="13"/>
  <c r="D1034" i="13"/>
  <c r="D1033" i="13"/>
  <c r="D1032" i="13"/>
  <c r="D1031" i="13"/>
  <c r="D1030" i="13"/>
  <c r="D1029" i="13"/>
  <c r="D1028" i="13"/>
  <c r="D1027" i="13"/>
  <c r="D1026" i="13"/>
  <c r="D1025" i="13"/>
  <c r="D1024" i="13"/>
  <c r="D1023" i="13"/>
  <c r="D1022" i="13"/>
  <c r="D1021" i="13"/>
  <c r="D1020" i="13"/>
  <c r="D1019" i="13"/>
  <c r="D1018" i="13"/>
  <c r="D1017" i="13"/>
  <c r="D1016" i="13"/>
  <c r="D1015" i="13"/>
  <c r="D1014" i="13"/>
  <c r="D1013" i="13"/>
  <c r="D1012" i="13"/>
  <c r="D1011" i="13"/>
  <c r="D1010" i="13"/>
  <c r="D1009" i="13"/>
  <c r="D1008" i="13"/>
  <c r="D1007" i="13"/>
  <c r="D1006" i="13"/>
  <c r="D1005" i="13"/>
  <c r="D1004" i="13"/>
  <c r="D1003" i="13"/>
  <c r="D1002" i="13"/>
  <c r="D1001" i="13"/>
  <c r="D1000" i="13"/>
  <c r="D999" i="13"/>
  <c r="D998" i="13"/>
  <c r="D997" i="13"/>
  <c r="D996" i="13"/>
  <c r="D995" i="13"/>
  <c r="D994" i="13"/>
  <c r="D993" i="13"/>
  <c r="D992" i="13"/>
  <c r="D991" i="13"/>
  <c r="D990" i="13"/>
  <c r="D989" i="13"/>
  <c r="D988" i="13"/>
  <c r="D987" i="13"/>
  <c r="D986" i="13"/>
  <c r="D985" i="13"/>
  <c r="D984" i="13"/>
  <c r="D983" i="13"/>
  <c r="D982" i="13"/>
  <c r="D981" i="13"/>
  <c r="D980" i="13"/>
  <c r="D979" i="13"/>
  <c r="D978" i="13"/>
  <c r="D977" i="13"/>
  <c r="D976" i="13"/>
  <c r="D975" i="13"/>
  <c r="D974" i="13"/>
  <c r="D973" i="13"/>
  <c r="D972" i="13"/>
  <c r="D971" i="13"/>
  <c r="D970" i="13"/>
  <c r="D969" i="13"/>
  <c r="D968" i="13"/>
  <c r="D967" i="13"/>
  <c r="D966" i="13"/>
  <c r="D965" i="13"/>
  <c r="D964" i="13"/>
  <c r="D963" i="13"/>
  <c r="D962" i="13"/>
  <c r="D961" i="13"/>
  <c r="D960" i="13"/>
  <c r="D959" i="13"/>
  <c r="D958" i="13"/>
  <c r="D957" i="13"/>
  <c r="D956" i="13"/>
  <c r="D955" i="13"/>
  <c r="D954" i="13"/>
  <c r="D953" i="13"/>
  <c r="D952" i="13"/>
  <c r="D951" i="13"/>
  <c r="D950" i="13"/>
  <c r="D949" i="13"/>
  <c r="D948" i="13"/>
  <c r="D947" i="13"/>
  <c r="D946" i="13"/>
  <c r="D945" i="13"/>
  <c r="D944" i="13"/>
  <c r="D943" i="13"/>
  <c r="D942" i="13"/>
  <c r="D941" i="13"/>
  <c r="D940" i="13"/>
  <c r="D939" i="13"/>
  <c r="D938" i="13"/>
  <c r="D937" i="13"/>
  <c r="D936" i="13"/>
  <c r="D935" i="13"/>
  <c r="D934" i="13"/>
  <c r="D933" i="13"/>
  <c r="D932" i="13"/>
  <c r="D931" i="13"/>
  <c r="D930" i="13"/>
  <c r="D929" i="13"/>
  <c r="D928" i="13"/>
  <c r="D927" i="13"/>
  <c r="D926" i="13"/>
  <c r="D925" i="13"/>
  <c r="D924" i="13"/>
  <c r="D923" i="13"/>
  <c r="D922" i="13"/>
  <c r="D921" i="13"/>
  <c r="D920" i="13"/>
  <c r="D919" i="13"/>
  <c r="D918" i="13"/>
  <c r="D917" i="13"/>
  <c r="D916" i="13"/>
  <c r="D915" i="13"/>
  <c r="D914" i="13"/>
  <c r="D913" i="13"/>
  <c r="D912" i="13"/>
  <c r="D911" i="13"/>
  <c r="D910" i="13"/>
  <c r="D909" i="13"/>
  <c r="D908" i="13"/>
  <c r="D907" i="13"/>
  <c r="D906" i="13"/>
  <c r="D905" i="13"/>
  <c r="D904" i="13"/>
  <c r="D903" i="13"/>
  <c r="D902" i="13"/>
  <c r="D901" i="13"/>
  <c r="D900" i="13"/>
  <c r="D899" i="13"/>
  <c r="D898" i="13"/>
  <c r="D897" i="13"/>
  <c r="D896" i="13"/>
  <c r="D895" i="13"/>
  <c r="D894" i="13"/>
  <c r="D893" i="13"/>
  <c r="D892" i="13"/>
  <c r="D891" i="13"/>
  <c r="D890" i="13"/>
  <c r="D889" i="13"/>
  <c r="D888" i="13"/>
  <c r="D887" i="13"/>
  <c r="D886" i="13"/>
  <c r="D885" i="13"/>
  <c r="D884" i="13"/>
  <c r="D883" i="13"/>
  <c r="D882" i="13"/>
  <c r="D881" i="13"/>
  <c r="D880" i="13"/>
  <c r="D879" i="13"/>
  <c r="D878" i="13"/>
  <c r="D877" i="13"/>
  <c r="D876" i="13"/>
  <c r="D875" i="13"/>
  <c r="D874" i="13"/>
  <c r="D873" i="13"/>
  <c r="D872" i="13"/>
  <c r="D871" i="13"/>
  <c r="D870" i="13"/>
  <c r="D869" i="13"/>
  <c r="D868" i="13"/>
  <c r="D867" i="13"/>
  <c r="D866" i="13"/>
  <c r="D865" i="13"/>
  <c r="D864" i="13"/>
  <c r="D863" i="13"/>
  <c r="D862" i="13"/>
  <c r="D861" i="13"/>
  <c r="D860" i="13"/>
  <c r="D859" i="13"/>
  <c r="D858" i="13"/>
  <c r="D857" i="13"/>
  <c r="D856" i="13"/>
  <c r="D855" i="13"/>
  <c r="D854" i="13"/>
  <c r="D853" i="13"/>
  <c r="D852" i="13"/>
  <c r="D851" i="13"/>
  <c r="D850" i="13"/>
  <c r="D849" i="13"/>
  <c r="D848" i="13"/>
  <c r="D847" i="13"/>
  <c r="D846" i="13"/>
  <c r="D845" i="13"/>
  <c r="D844" i="13"/>
  <c r="D843" i="13"/>
  <c r="D842" i="13"/>
  <c r="D841" i="13"/>
  <c r="D840" i="13"/>
  <c r="D839" i="13"/>
  <c r="D838" i="13"/>
  <c r="D837" i="13"/>
  <c r="D836" i="13"/>
  <c r="D835" i="13"/>
  <c r="D834" i="13"/>
  <c r="D833" i="13"/>
  <c r="D832" i="13"/>
  <c r="D831" i="13"/>
  <c r="D830" i="13"/>
  <c r="D829" i="13"/>
  <c r="D828" i="13"/>
  <c r="D827" i="13"/>
  <c r="D826" i="13"/>
  <c r="D825" i="13"/>
  <c r="D824" i="13"/>
  <c r="D823" i="13"/>
  <c r="D822" i="13"/>
  <c r="D821" i="13"/>
  <c r="D820" i="13"/>
  <c r="D819" i="13"/>
  <c r="D818" i="13"/>
  <c r="D817" i="13"/>
  <c r="D816" i="13"/>
  <c r="D815" i="13"/>
  <c r="D814" i="13"/>
  <c r="D813" i="13"/>
  <c r="D812" i="13"/>
  <c r="D811" i="13"/>
  <c r="D810" i="13"/>
  <c r="D809" i="13"/>
  <c r="D808" i="13"/>
  <c r="D807" i="13"/>
  <c r="D806" i="13"/>
  <c r="D805" i="13"/>
  <c r="D804" i="13"/>
  <c r="D803" i="13"/>
  <c r="D802" i="13"/>
  <c r="D801" i="13"/>
  <c r="D800" i="13"/>
  <c r="D799" i="13"/>
  <c r="D798" i="13"/>
  <c r="D797" i="13"/>
  <c r="D796" i="13"/>
  <c r="D795" i="13"/>
  <c r="D794" i="13"/>
  <c r="D793" i="13"/>
  <c r="D792" i="13"/>
  <c r="D791" i="13"/>
  <c r="D790" i="13"/>
  <c r="D789" i="13"/>
  <c r="D788" i="13"/>
  <c r="D787" i="13"/>
  <c r="D786" i="13"/>
  <c r="D785" i="13"/>
  <c r="D784" i="13"/>
  <c r="D783" i="13"/>
  <c r="D782" i="13"/>
  <c r="D781" i="13"/>
  <c r="D780" i="13"/>
  <c r="D779" i="13"/>
  <c r="D778" i="13"/>
  <c r="D777" i="13"/>
  <c r="D776" i="13"/>
  <c r="D775" i="13"/>
  <c r="D774" i="13"/>
  <c r="D773" i="13"/>
  <c r="D772" i="13"/>
  <c r="D771" i="13"/>
  <c r="D770" i="13"/>
  <c r="D769" i="13"/>
  <c r="D768" i="13"/>
  <c r="D767" i="13"/>
  <c r="D766" i="13"/>
  <c r="D765" i="13"/>
  <c r="D764" i="13"/>
  <c r="D763" i="13"/>
  <c r="D762" i="13"/>
  <c r="D761" i="13"/>
  <c r="D760" i="13"/>
  <c r="D759" i="13"/>
  <c r="D758" i="13"/>
  <c r="D757" i="13"/>
  <c r="D756" i="13"/>
  <c r="D755" i="13"/>
  <c r="D754" i="13"/>
  <c r="D753" i="13"/>
  <c r="D752" i="13"/>
  <c r="D751" i="13"/>
  <c r="D750" i="13"/>
  <c r="D749" i="13"/>
  <c r="D748" i="13"/>
  <c r="D747" i="13"/>
  <c r="D746" i="13"/>
  <c r="D745" i="13"/>
  <c r="D744" i="13"/>
  <c r="D743" i="13"/>
  <c r="D742" i="13"/>
  <c r="D741" i="13"/>
  <c r="D740" i="13"/>
  <c r="D739" i="13"/>
  <c r="D738" i="13"/>
  <c r="D737" i="13"/>
  <c r="D736" i="13"/>
  <c r="D735" i="13"/>
  <c r="D734" i="13"/>
  <c r="D733" i="13"/>
  <c r="D732" i="13"/>
  <c r="D731" i="13"/>
  <c r="D730" i="13"/>
  <c r="D729" i="13"/>
  <c r="D728" i="13"/>
  <c r="D727" i="13"/>
  <c r="D726" i="13"/>
  <c r="D725" i="13"/>
  <c r="D724" i="13"/>
  <c r="D723" i="13"/>
  <c r="D722" i="13"/>
  <c r="D721" i="13"/>
  <c r="D720" i="13"/>
  <c r="D719" i="13"/>
  <c r="D718" i="13"/>
  <c r="D717" i="13"/>
  <c r="D716" i="13"/>
  <c r="D715" i="13"/>
  <c r="D714" i="13"/>
  <c r="D713" i="13"/>
  <c r="D712" i="13"/>
  <c r="D711" i="13"/>
  <c r="D710" i="13"/>
  <c r="D709" i="13"/>
  <c r="D708" i="13"/>
  <c r="D707" i="13"/>
  <c r="D706" i="13"/>
  <c r="D705" i="13"/>
  <c r="D704" i="13"/>
  <c r="D703" i="13"/>
  <c r="D702" i="13"/>
  <c r="D701" i="13"/>
  <c r="D700" i="13"/>
  <c r="D699" i="13"/>
  <c r="D698" i="13"/>
  <c r="D697" i="13"/>
  <c r="D696" i="13"/>
  <c r="D695" i="13"/>
  <c r="D694" i="13"/>
  <c r="D693" i="13"/>
  <c r="D692" i="13"/>
  <c r="D691" i="13"/>
  <c r="D690" i="13"/>
  <c r="D689" i="13"/>
  <c r="D688" i="13"/>
  <c r="D687" i="13"/>
  <c r="D686" i="13"/>
  <c r="D685" i="13"/>
  <c r="D684" i="13"/>
  <c r="D683" i="13"/>
  <c r="D682" i="13"/>
  <c r="D681" i="13"/>
  <c r="D680" i="13"/>
  <c r="D679" i="13"/>
  <c r="D678" i="13"/>
  <c r="D677" i="13"/>
  <c r="D676" i="13"/>
  <c r="D675" i="13"/>
  <c r="D674" i="13"/>
  <c r="D673" i="13"/>
  <c r="D672" i="13"/>
  <c r="D671" i="13"/>
  <c r="D670" i="13"/>
  <c r="D669" i="13"/>
  <c r="D668" i="13"/>
  <c r="D667" i="13"/>
  <c r="D666" i="13"/>
  <c r="D665" i="13"/>
  <c r="D664" i="13"/>
  <c r="D663" i="13"/>
  <c r="D662" i="13"/>
  <c r="D661" i="13"/>
  <c r="D660" i="13"/>
  <c r="D659" i="13"/>
  <c r="D658" i="13"/>
  <c r="D657" i="13"/>
  <c r="D656" i="13"/>
  <c r="D655" i="13"/>
  <c r="D654" i="13"/>
  <c r="D653" i="13"/>
  <c r="D652" i="13"/>
  <c r="D651" i="13"/>
  <c r="D650" i="13"/>
  <c r="D649" i="13"/>
  <c r="D648" i="13"/>
  <c r="D647" i="13"/>
  <c r="D646" i="13"/>
  <c r="D645" i="13"/>
  <c r="D644" i="13"/>
  <c r="D643" i="13"/>
  <c r="D642" i="13"/>
  <c r="D641" i="13"/>
  <c r="D640" i="13"/>
  <c r="D639" i="13"/>
  <c r="D638" i="13"/>
  <c r="D637" i="13"/>
  <c r="D636" i="13"/>
  <c r="D635" i="13"/>
  <c r="D634" i="13"/>
  <c r="D633" i="13"/>
  <c r="D632" i="13"/>
  <c r="D631" i="13"/>
  <c r="D630" i="13"/>
  <c r="D629" i="13"/>
  <c r="D628" i="13"/>
  <c r="D627" i="13"/>
  <c r="D626" i="13"/>
  <c r="D625" i="13"/>
  <c r="D624" i="13"/>
  <c r="D623" i="13"/>
  <c r="D622" i="13"/>
  <c r="D621" i="13"/>
  <c r="D620" i="13"/>
  <c r="D619" i="13"/>
  <c r="D618" i="13"/>
  <c r="D617" i="13"/>
  <c r="D616" i="13"/>
  <c r="D615" i="13"/>
  <c r="D614" i="13"/>
  <c r="D613" i="13"/>
  <c r="D612" i="13"/>
  <c r="D611" i="13"/>
  <c r="D610" i="13"/>
  <c r="D609" i="13"/>
  <c r="D608" i="13"/>
  <c r="D607" i="13"/>
  <c r="D606" i="13"/>
  <c r="D605" i="13"/>
  <c r="D604" i="13"/>
  <c r="D603" i="13"/>
  <c r="D602" i="13"/>
  <c r="D601" i="13"/>
  <c r="D600" i="13"/>
  <c r="D599" i="13"/>
  <c r="D598" i="13"/>
  <c r="D597" i="13"/>
  <c r="D596" i="13"/>
  <c r="D595" i="13"/>
  <c r="D594" i="13"/>
  <c r="D593" i="13"/>
  <c r="D592" i="13"/>
  <c r="D591" i="13"/>
  <c r="D590" i="13"/>
  <c r="D589" i="13"/>
  <c r="D588" i="13"/>
  <c r="D587" i="13"/>
  <c r="D586" i="13"/>
  <c r="D585" i="13"/>
  <c r="D584" i="13"/>
  <c r="D583" i="13"/>
  <c r="D582" i="13"/>
  <c r="D581" i="13"/>
  <c r="D580" i="13"/>
  <c r="D579" i="13"/>
  <c r="D578" i="13"/>
  <c r="D577" i="13"/>
  <c r="D576" i="13"/>
  <c r="D575" i="13"/>
  <c r="D574" i="13"/>
  <c r="D573" i="13"/>
  <c r="D572" i="13"/>
  <c r="D571" i="13"/>
  <c r="D570" i="13"/>
  <c r="D569" i="13"/>
  <c r="D568" i="13"/>
  <c r="D567" i="13"/>
  <c r="D566" i="13"/>
  <c r="D565" i="13"/>
  <c r="D564" i="13"/>
  <c r="D563" i="13"/>
  <c r="D562" i="13"/>
  <c r="D561" i="13"/>
  <c r="D560" i="13"/>
  <c r="D559" i="13"/>
  <c r="D558" i="13"/>
  <c r="D557" i="13"/>
  <c r="D556" i="13"/>
  <c r="D555" i="13"/>
  <c r="D554" i="13"/>
  <c r="D553" i="13"/>
  <c r="D552" i="13"/>
  <c r="D551" i="13"/>
  <c r="D550" i="13"/>
  <c r="D549" i="13"/>
  <c r="D548" i="13"/>
  <c r="D547" i="13"/>
  <c r="D546" i="13"/>
  <c r="D545" i="13"/>
  <c r="D544" i="13"/>
  <c r="D543" i="13"/>
  <c r="D542" i="13"/>
  <c r="D541" i="13"/>
  <c r="D540" i="13"/>
  <c r="D539" i="13"/>
  <c r="D538" i="13"/>
  <c r="D537" i="13"/>
  <c r="D536" i="13"/>
  <c r="D535" i="13"/>
  <c r="D534" i="13"/>
  <c r="D533" i="13"/>
  <c r="D532" i="13"/>
  <c r="D531" i="13"/>
  <c r="D530" i="13"/>
  <c r="D529" i="13"/>
  <c r="D528" i="13"/>
  <c r="D527" i="13"/>
  <c r="D526" i="13"/>
  <c r="D525" i="13"/>
  <c r="D524" i="13"/>
  <c r="D523" i="13"/>
  <c r="D522" i="13"/>
  <c r="D521" i="13"/>
  <c r="D520" i="13"/>
  <c r="D519" i="13"/>
  <c r="D518" i="13"/>
  <c r="D517" i="13"/>
  <c r="D516" i="13"/>
  <c r="D515" i="13"/>
  <c r="D514" i="13"/>
  <c r="D513" i="13"/>
  <c r="D512" i="13"/>
  <c r="D511" i="13"/>
  <c r="D510" i="13"/>
  <c r="D509" i="13"/>
  <c r="D508" i="13"/>
  <c r="D507" i="13"/>
  <c r="D506" i="13"/>
  <c r="D505" i="13"/>
  <c r="D504" i="13"/>
  <c r="D503" i="13"/>
  <c r="D502" i="13"/>
  <c r="D501" i="13"/>
  <c r="D500" i="13"/>
  <c r="D499" i="13"/>
  <c r="D498" i="13"/>
  <c r="D497" i="13"/>
  <c r="D496" i="13"/>
  <c r="D495" i="13"/>
  <c r="D494" i="13"/>
  <c r="D493" i="13"/>
  <c r="D492" i="13"/>
  <c r="D491" i="13"/>
  <c r="D490" i="13"/>
  <c r="D489" i="13"/>
  <c r="D488" i="13"/>
  <c r="D487" i="13"/>
  <c r="D486" i="13"/>
  <c r="D485" i="13"/>
  <c r="D484" i="13"/>
  <c r="D483" i="13"/>
  <c r="D482" i="13"/>
  <c r="D481" i="13"/>
  <c r="D480" i="13"/>
  <c r="D479" i="13"/>
  <c r="D478" i="13"/>
  <c r="D477" i="13"/>
  <c r="D476" i="13"/>
  <c r="D475" i="13"/>
  <c r="D474" i="13"/>
  <c r="D473" i="13"/>
  <c r="D472" i="13"/>
  <c r="D471" i="13"/>
  <c r="D470" i="13"/>
  <c r="D469" i="13"/>
  <c r="D468" i="13"/>
  <c r="D467" i="13"/>
  <c r="D466" i="13"/>
  <c r="D465" i="13"/>
  <c r="D464" i="13"/>
  <c r="D463" i="13"/>
  <c r="D462" i="13"/>
  <c r="D461" i="13"/>
  <c r="D460" i="13"/>
  <c r="D459" i="13"/>
  <c r="D458" i="13"/>
  <c r="D457" i="13"/>
  <c r="D456" i="13"/>
  <c r="D455" i="13"/>
  <c r="D454" i="13"/>
  <c r="D453" i="13"/>
  <c r="D452" i="13"/>
  <c r="D451" i="13"/>
  <c r="D450" i="13"/>
  <c r="D449" i="13"/>
  <c r="D448" i="13"/>
  <c r="D447" i="13"/>
  <c r="D446" i="13"/>
  <c r="D445" i="13"/>
  <c r="D444" i="13"/>
  <c r="D443" i="13"/>
  <c r="D442" i="13"/>
  <c r="D441" i="13"/>
  <c r="D440" i="13"/>
  <c r="D439" i="13"/>
  <c r="D438" i="13"/>
  <c r="D437" i="13"/>
  <c r="D436" i="13"/>
  <c r="D435" i="13"/>
  <c r="D434" i="13"/>
  <c r="D433" i="13"/>
  <c r="D432" i="13"/>
  <c r="D431" i="13"/>
  <c r="D430" i="13"/>
  <c r="D429" i="13"/>
  <c r="D428" i="13"/>
  <c r="D427" i="13"/>
  <c r="D426" i="13"/>
  <c r="D425" i="13"/>
  <c r="D424" i="13"/>
  <c r="D423" i="13"/>
  <c r="D422" i="13"/>
  <c r="D421" i="13"/>
  <c r="D420" i="13"/>
  <c r="D419" i="13"/>
  <c r="D418" i="13"/>
  <c r="D417" i="13"/>
  <c r="D416" i="13"/>
  <c r="D415" i="13"/>
  <c r="D414" i="13"/>
  <c r="D413" i="13"/>
  <c r="D412" i="13"/>
  <c r="D411" i="13"/>
  <c r="D410" i="13"/>
  <c r="D409" i="13"/>
  <c r="D408" i="13"/>
  <c r="D407" i="13"/>
  <c r="D406" i="13"/>
  <c r="D405" i="13"/>
  <c r="D404" i="13"/>
  <c r="D403" i="13"/>
  <c r="D402" i="13"/>
  <c r="D401" i="13"/>
  <c r="D400" i="13"/>
  <c r="D399" i="13"/>
  <c r="D398" i="13"/>
  <c r="D397" i="13"/>
  <c r="D396" i="13"/>
  <c r="D395" i="13"/>
  <c r="D394" i="13"/>
  <c r="D393" i="13"/>
  <c r="D392" i="13"/>
  <c r="D391" i="13"/>
  <c r="D390" i="13"/>
  <c r="D389" i="13"/>
  <c r="D388" i="13"/>
  <c r="D387" i="13"/>
  <c r="D386" i="13"/>
  <c r="D385" i="13"/>
  <c r="D384" i="13"/>
  <c r="D383" i="13"/>
  <c r="D382" i="13"/>
  <c r="D381" i="13"/>
  <c r="D380" i="13"/>
  <c r="D379" i="13"/>
  <c r="D378" i="13"/>
  <c r="D377" i="13"/>
  <c r="D376" i="13"/>
  <c r="D375" i="13"/>
  <c r="D374" i="13"/>
  <c r="D373" i="13"/>
  <c r="D372" i="13"/>
  <c r="D371" i="13"/>
  <c r="D370" i="13"/>
  <c r="D369" i="13"/>
  <c r="D368" i="13"/>
  <c r="D367" i="13"/>
  <c r="D366" i="13"/>
  <c r="D365" i="13"/>
  <c r="D364" i="13"/>
  <c r="D363" i="13"/>
  <c r="D362" i="13"/>
  <c r="D361" i="13"/>
  <c r="D360" i="13"/>
  <c r="D359" i="13"/>
  <c r="D358" i="13"/>
  <c r="D357" i="13"/>
  <c r="D356" i="13"/>
  <c r="D355" i="13"/>
  <c r="D354" i="13"/>
  <c r="D353" i="13"/>
  <c r="D352" i="13"/>
  <c r="D351" i="13"/>
  <c r="D350" i="13"/>
  <c r="D349" i="13"/>
  <c r="D348" i="13"/>
  <c r="D347" i="13"/>
  <c r="D346" i="13"/>
  <c r="D345" i="13"/>
  <c r="D344" i="13"/>
  <c r="D343" i="13"/>
  <c r="D342" i="13"/>
  <c r="D341" i="13"/>
  <c r="D340" i="13"/>
  <c r="D339" i="13"/>
  <c r="D338" i="13"/>
  <c r="D337" i="13"/>
  <c r="D336" i="13"/>
  <c r="D335" i="13"/>
  <c r="D334" i="13"/>
  <c r="D333" i="13"/>
  <c r="D332" i="13"/>
  <c r="D331" i="13"/>
  <c r="D330" i="13"/>
  <c r="D329" i="13"/>
  <c r="D328" i="13"/>
  <c r="D327" i="13"/>
  <c r="D326" i="13"/>
  <c r="D325" i="13"/>
  <c r="D324" i="13"/>
  <c r="D323" i="13"/>
  <c r="D322" i="13"/>
  <c r="D321" i="13"/>
  <c r="D320" i="13"/>
  <c r="D319" i="13"/>
  <c r="D318" i="13"/>
  <c r="D317" i="13"/>
  <c r="D316" i="13"/>
  <c r="D315" i="13"/>
  <c r="D314" i="13"/>
  <c r="D313" i="13"/>
  <c r="D312" i="13"/>
  <c r="D311" i="13"/>
  <c r="D310" i="13"/>
  <c r="D309" i="13"/>
  <c r="D308" i="13"/>
  <c r="D307" i="13"/>
  <c r="D306" i="13"/>
  <c r="D305" i="13"/>
  <c r="D304" i="13"/>
  <c r="D303" i="13"/>
  <c r="D302" i="13"/>
  <c r="D301" i="13"/>
  <c r="D300" i="13"/>
  <c r="D299" i="13"/>
  <c r="D298" i="13"/>
  <c r="D297" i="13"/>
  <c r="D296" i="13"/>
  <c r="D295" i="13"/>
  <c r="D294" i="13"/>
  <c r="D293" i="13"/>
  <c r="D292" i="13"/>
  <c r="D291" i="13"/>
  <c r="D290" i="13"/>
  <c r="D289" i="13"/>
  <c r="D288" i="13"/>
  <c r="D287" i="13"/>
  <c r="D286" i="13"/>
  <c r="D285" i="13"/>
  <c r="D284" i="13"/>
  <c r="D283" i="13"/>
  <c r="D282" i="13"/>
  <c r="D281" i="13"/>
  <c r="D280" i="13"/>
  <c r="D279" i="13"/>
  <c r="D278" i="13"/>
  <c r="D277" i="13"/>
  <c r="D276" i="13"/>
  <c r="D275" i="13"/>
  <c r="D274" i="13"/>
  <c r="D273" i="13"/>
  <c r="D272" i="13"/>
  <c r="D271" i="13"/>
  <c r="D270" i="13"/>
  <c r="D269" i="13"/>
  <c r="D268" i="13"/>
  <c r="D267" i="13"/>
  <c r="D266" i="13"/>
  <c r="D265" i="13"/>
  <c r="D264" i="13"/>
  <c r="D263" i="13"/>
  <c r="D262" i="13"/>
  <c r="D261" i="13"/>
  <c r="D260" i="13"/>
  <c r="D259" i="13"/>
  <c r="D258" i="13"/>
  <c r="D257" i="13"/>
  <c r="D256" i="13"/>
  <c r="D255" i="13"/>
  <c r="D254" i="13"/>
  <c r="D253" i="13"/>
  <c r="D252" i="13"/>
  <c r="D251" i="13"/>
  <c r="D250" i="13"/>
  <c r="D249" i="13"/>
  <c r="D248" i="13"/>
  <c r="D247" i="13"/>
  <c r="D246" i="13"/>
  <c r="D245" i="13"/>
  <c r="D244" i="13"/>
  <c r="D243" i="13"/>
  <c r="D242" i="13"/>
  <c r="D241" i="13"/>
  <c r="D240" i="13"/>
  <c r="D239" i="13"/>
  <c r="D238" i="13"/>
  <c r="D237" i="13"/>
  <c r="D236" i="13"/>
  <c r="D235" i="13"/>
  <c r="D234" i="13"/>
  <c r="D233" i="13"/>
  <c r="D232" i="13"/>
  <c r="D231" i="13"/>
  <c r="D230" i="13"/>
  <c r="D229" i="13"/>
  <c r="D228" i="13"/>
  <c r="D227" i="13"/>
  <c r="D226" i="13"/>
  <c r="D225" i="13"/>
  <c r="D224" i="13"/>
  <c r="D223" i="13"/>
  <c r="D222" i="13"/>
  <c r="D221" i="13"/>
  <c r="D220" i="13"/>
  <c r="D219" i="13"/>
  <c r="D218" i="13"/>
  <c r="D217" i="13"/>
  <c r="D216" i="13"/>
  <c r="D215" i="13"/>
  <c r="D214" i="13"/>
  <c r="D213" i="13"/>
  <c r="D212" i="13"/>
  <c r="D211" i="13"/>
  <c r="D210" i="13"/>
  <c r="D209" i="13"/>
  <c r="D208" i="13"/>
  <c r="D207" i="13"/>
  <c r="D206" i="13"/>
  <c r="D205" i="13"/>
  <c r="D204" i="13"/>
  <c r="D203" i="13"/>
  <c r="D202" i="13"/>
  <c r="D201" i="13"/>
  <c r="D200" i="13"/>
  <c r="D199" i="13"/>
  <c r="D198" i="13"/>
  <c r="D197" i="13"/>
  <c r="D196" i="13"/>
  <c r="D195" i="13"/>
  <c r="D194" i="13"/>
  <c r="D193" i="13"/>
  <c r="D192" i="13"/>
  <c r="D191" i="13"/>
  <c r="D190" i="13"/>
  <c r="D189" i="13"/>
  <c r="D188" i="13"/>
  <c r="D187" i="13"/>
  <c r="D186" i="13"/>
  <c r="D185" i="13"/>
  <c r="D184" i="13"/>
  <c r="D183" i="13"/>
  <c r="D182" i="13"/>
  <c r="D181" i="13"/>
  <c r="D180" i="13"/>
  <c r="D179" i="13"/>
  <c r="D178" i="13"/>
  <c r="D177" i="13"/>
  <c r="D176" i="13"/>
  <c r="D175" i="13"/>
  <c r="D174" i="13"/>
  <c r="D173" i="13"/>
  <c r="D172" i="13"/>
  <c r="D171" i="13"/>
  <c r="D170" i="13"/>
  <c r="D169" i="13"/>
  <c r="D168" i="13"/>
  <c r="D167" i="13"/>
  <c r="D166" i="13"/>
  <c r="D165" i="13"/>
  <c r="D164" i="13"/>
  <c r="D163" i="13"/>
  <c r="D162" i="13"/>
  <c r="D161" i="13"/>
  <c r="D160" i="13"/>
  <c r="D159" i="13"/>
  <c r="D158" i="13"/>
  <c r="D157" i="13"/>
  <c r="D156" i="13"/>
  <c r="D155" i="13"/>
  <c r="D154" i="13"/>
  <c r="D153" i="13"/>
  <c r="D152" i="13"/>
  <c r="D151" i="13"/>
  <c r="D150" i="13"/>
  <c r="D149" i="13"/>
  <c r="D148" i="13"/>
  <c r="D147" i="13"/>
  <c r="D146" i="13"/>
  <c r="D145" i="13"/>
  <c r="D144" i="13"/>
  <c r="D143" i="13"/>
  <c r="D142" i="13"/>
  <c r="D141" i="13"/>
  <c r="D140" i="13"/>
  <c r="D139" i="13"/>
  <c r="D138" i="13"/>
  <c r="D137" i="13"/>
  <c r="D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30" i="13"/>
  <c r="D29" i="13"/>
  <c r="D28" i="13"/>
  <c r="D27" i="13"/>
  <c r="D26" i="13"/>
  <c r="D25" i="13"/>
  <c r="D24" i="13"/>
  <c r="D23" i="13"/>
  <c r="D22" i="13"/>
  <c r="D21" i="13"/>
  <c r="D20" i="13"/>
  <c r="D19" i="13"/>
  <c r="D18" i="13"/>
  <c r="D17" i="13"/>
  <c r="D16" i="13"/>
  <c r="D15" i="13"/>
  <c r="D14" i="13"/>
  <c r="D13" i="13"/>
  <c r="D12" i="13"/>
  <c r="D11" i="13"/>
  <c r="D10" i="13"/>
  <c r="D9" i="13"/>
  <c r="D8" i="13"/>
  <c r="D7" i="13"/>
  <c r="D6" i="13"/>
  <c r="G664" i="13" l="1"/>
  <c r="G952" i="13"/>
  <c r="G700" i="13"/>
  <c r="G736" i="13"/>
  <c r="G928" i="13"/>
  <c r="G328" i="13"/>
  <c r="G772" i="13"/>
  <c r="G368" i="13"/>
  <c r="G367" i="13"/>
  <c r="G316" i="13"/>
  <c r="G323" i="13"/>
  <c r="G352" i="13"/>
  <c r="G376" i="13"/>
  <c r="G400" i="13"/>
  <c r="G424" i="13"/>
  <c r="G448" i="13"/>
  <c r="G472" i="13"/>
  <c r="G496" i="13"/>
  <c r="G520" i="13"/>
  <c r="G544" i="13"/>
  <c r="G568" i="13"/>
  <c r="G592" i="13"/>
  <c r="G331" i="13"/>
  <c r="G338" i="13"/>
  <c r="G362" i="13"/>
  <c r="G361" i="13"/>
  <c r="G386" i="13"/>
  <c r="G385" i="13"/>
  <c r="G410" i="13"/>
  <c r="G409" i="13"/>
  <c r="G434" i="13"/>
  <c r="G433" i="13"/>
  <c r="G804" i="13"/>
  <c r="G805" i="13"/>
  <c r="G840" i="13"/>
  <c r="G841" i="13"/>
  <c r="G11" i="13"/>
  <c r="A2" i="13" s="1"/>
  <c r="L26" i="12" s="1"/>
  <c r="L25" i="12" s="1"/>
  <c r="G17" i="13"/>
  <c r="G23" i="13"/>
  <c r="G29" i="13"/>
  <c r="G35" i="13"/>
  <c r="G41" i="13"/>
  <c r="G47" i="13"/>
  <c r="G53" i="13"/>
  <c r="G59" i="13"/>
  <c r="G65" i="13"/>
  <c r="G71" i="13"/>
  <c r="G77" i="13"/>
  <c r="G83" i="13"/>
  <c r="G89" i="13"/>
  <c r="G95" i="13"/>
  <c r="G101" i="13"/>
  <c r="G107" i="13"/>
  <c r="G113" i="13"/>
  <c r="G119" i="13"/>
  <c r="G125" i="13"/>
  <c r="G131" i="13"/>
  <c r="G137" i="13"/>
  <c r="G143" i="13"/>
  <c r="G149" i="13"/>
  <c r="G155" i="13"/>
  <c r="G161" i="13"/>
  <c r="G167" i="13"/>
  <c r="G173" i="13"/>
  <c r="G179" i="13"/>
  <c r="G185" i="13"/>
  <c r="G191" i="13"/>
  <c r="G197" i="13"/>
  <c r="G203" i="13"/>
  <c r="G209" i="13"/>
  <c r="G215" i="13"/>
  <c r="G221" i="13"/>
  <c r="G227" i="13"/>
  <c r="G233" i="13"/>
  <c r="G239" i="13"/>
  <c r="G245" i="13"/>
  <c r="G251" i="13"/>
  <c r="G257" i="13"/>
  <c r="G263" i="13"/>
  <c r="G269" i="13"/>
  <c r="G275" i="13"/>
  <c r="G281" i="13"/>
  <c r="G287" i="13"/>
  <c r="G293" i="13"/>
  <c r="G299" i="13"/>
  <c r="G305" i="13"/>
  <c r="G311" i="13"/>
  <c r="G325" i="13"/>
  <c r="G332" i="13"/>
  <c r="G370" i="13"/>
  <c r="G394" i="13"/>
  <c r="G418" i="13"/>
  <c r="G442" i="13"/>
  <c r="G466" i="13"/>
  <c r="G490" i="13"/>
  <c r="G514" i="13"/>
  <c r="G538" i="13"/>
  <c r="G562" i="13"/>
  <c r="G586" i="13"/>
  <c r="G340" i="13"/>
  <c r="G347" i="13"/>
  <c r="G611" i="13"/>
  <c r="G416" i="13"/>
  <c r="G415" i="13"/>
  <c r="G356" i="13"/>
  <c r="G355" i="13"/>
  <c r="G380" i="13"/>
  <c r="G379" i="13"/>
  <c r="G404" i="13"/>
  <c r="G403" i="13"/>
  <c r="G428" i="13"/>
  <c r="G427" i="13"/>
  <c r="G313" i="13"/>
  <c r="G334" i="13"/>
  <c r="G341" i="13"/>
  <c r="G364" i="13"/>
  <c r="G388" i="13"/>
  <c r="G412" i="13"/>
  <c r="G436" i="13"/>
  <c r="G460" i="13"/>
  <c r="G484" i="13"/>
  <c r="G508" i="13"/>
  <c r="G532" i="13"/>
  <c r="G556" i="13"/>
  <c r="G580" i="13"/>
  <c r="G604" i="13"/>
  <c r="G622" i="13"/>
  <c r="G640" i="13"/>
  <c r="G658" i="13"/>
  <c r="G676" i="13"/>
  <c r="G694" i="13"/>
  <c r="G712" i="13"/>
  <c r="G730" i="13"/>
  <c r="G748" i="13"/>
  <c r="G392" i="13"/>
  <c r="G391" i="13"/>
  <c r="G320" i="13"/>
  <c r="G440" i="13"/>
  <c r="G439" i="13"/>
  <c r="G374" i="13"/>
  <c r="G373" i="13"/>
  <c r="G398" i="13"/>
  <c r="G397" i="13"/>
  <c r="G422" i="13"/>
  <c r="G421" i="13"/>
  <c r="G446" i="13"/>
  <c r="G445" i="13"/>
  <c r="G786" i="13"/>
  <c r="G787" i="13"/>
  <c r="G822" i="13"/>
  <c r="G823" i="13"/>
  <c r="G858" i="13"/>
  <c r="G859" i="13"/>
  <c r="G322" i="13"/>
  <c r="G616" i="13"/>
  <c r="G634" i="13"/>
  <c r="G652" i="13"/>
  <c r="G670" i="13"/>
  <c r="G688" i="13"/>
  <c r="G706" i="13"/>
  <c r="G724" i="13"/>
  <c r="G742" i="13"/>
  <c r="G794" i="13"/>
  <c r="G812" i="13"/>
  <c r="G830" i="13"/>
  <c r="G848" i="13"/>
  <c r="G866" i="13"/>
  <c r="G884" i="13"/>
  <c r="G902" i="13"/>
  <c r="G920" i="13"/>
  <c r="G770" i="13"/>
  <c r="G921" i="13"/>
  <c r="G796" i="13"/>
  <c r="G814" i="13"/>
  <c r="G832" i="13"/>
  <c r="G850" i="13"/>
  <c r="G868" i="13"/>
  <c r="G886" i="13"/>
  <c r="G904" i="13"/>
  <c r="G797" i="13"/>
  <c r="G815" i="13"/>
  <c r="G833" i="13"/>
  <c r="G851" i="13"/>
  <c r="G869" i="13"/>
  <c r="G887" i="13"/>
  <c r="G905" i="13"/>
  <c r="G923" i="13"/>
  <c r="G941" i="13"/>
  <c r="G451" i="13"/>
  <c r="G457" i="13"/>
  <c r="G463" i="13"/>
  <c r="G469" i="13"/>
  <c r="G475" i="13"/>
  <c r="G481" i="13"/>
  <c r="G487" i="13"/>
  <c r="G493" i="13"/>
  <c r="G499" i="13"/>
  <c r="G505" i="13"/>
  <c r="G511" i="13"/>
  <c r="G517" i="13"/>
  <c r="G523" i="13"/>
  <c r="G529" i="13"/>
  <c r="G535" i="13"/>
  <c r="G541" i="13"/>
  <c r="G547" i="13"/>
  <c r="G553" i="13"/>
  <c r="G559" i="13"/>
  <c r="G565" i="13"/>
  <c r="G571" i="13"/>
  <c r="G577" i="13"/>
  <c r="G583" i="13"/>
  <c r="G589" i="13"/>
  <c r="G595" i="13"/>
  <c r="G601" i="13"/>
  <c r="G607" i="13"/>
  <c r="G613" i="13"/>
  <c r="G619" i="13"/>
  <c r="G625" i="13"/>
  <c r="G631" i="13"/>
  <c r="G637" i="13"/>
  <c r="G643" i="13"/>
  <c r="G649" i="13"/>
  <c r="G655" i="13"/>
  <c r="G661" i="13"/>
  <c r="G667" i="13"/>
  <c r="G673" i="13"/>
  <c r="G679" i="13"/>
  <c r="G685" i="13"/>
  <c r="G691" i="13"/>
  <c r="G697" i="13"/>
  <c r="G703" i="13"/>
  <c r="G709" i="13"/>
  <c r="G715" i="13"/>
  <c r="G721" i="13"/>
  <c r="G727" i="13"/>
  <c r="G733" i="13"/>
  <c r="G739" i="13"/>
  <c r="G745" i="13"/>
  <c r="G751" i="13"/>
  <c r="G780" i="13"/>
  <c r="G798" i="13"/>
  <c r="G816" i="13"/>
  <c r="G834" i="13"/>
  <c r="G852" i="13"/>
  <c r="G870" i="13"/>
  <c r="G888" i="13"/>
  <c r="G906" i="13"/>
  <c r="G924" i="13"/>
  <c r="G942" i="13"/>
  <c r="G758" i="13"/>
  <c r="G933" i="13"/>
  <c r="G799" i="13"/>
  <c r="G808" i="13"/>
  <c r="G817" i="13"/>
  <c r="G826" i="13"/>
  <c r="G835" i="13"/>
  <c r="G844" i="13"/>
  <c r="G853" i="13"/>
  <c r="G862" i="13"/>
  <c r="G871" i="13"/>
  <c r="G880" i="13"/>
  <c r="G898" i="13"/>
  <c r="G916" i="13"/>
  <c r="G792" i="13"/>
  <c r="G810" i="13"/>
  <c r="G828" i="13"/>
  <c r="G846" i="13"/>
  <c r="G864" i="13"/>
  <c r="G882" i="13"/>
  <c r="G900" i="13"/>
  <c r="G918" i="13"/>
  <c r="G936" i="13"/>
  <c r="G954" i="13"/>
  <c r="G873" i="13"/>
  <c r="G891" i="13"/>
  <c r="G909" i="13"/>
  <c r="G927" i="13"/>
  <c r="G761" i="13"/>
  <c r="G776" i="13"/>
  <c r="G784" i="13"/>
  <c r="G802" i="13"/>
  <c r="G820" i="13"/>
  <c r="G838" i="13"/>
  <c r="G856" i="13"/>
  <c r="G874" i="13"/>
  <c r="G892" i="13"/>
  <c r="G910" i="13"/>
  <c r="K16" i="1"/>
  <c r="P16" i="1"/>
  <c r="Q16" i="1"/>
  <c r="U16" i="1"/>
  <c r="W16" i="1"/>
  <c r="X16" i="1"/>
  <c r="Z16" i="1"/>
  <c r="AA16" i="1"/>
  <c r="AB16" i="1"/>
  <c r="AC16" i="1"/>
  <c r="AE16" i="1"/>
  <c r="AF16" i="1"/>
  <c r="AG16" i="1"/>
  <c r="AF11" i="1"/>
  <c r="AG11" i="1"/>
  <c r="H11" i="1"/>
  <c r="I11" i="1"/>
  <c r="L11" i="1"/>
  <c r="M11" i="1"/>
  <c r="N11" i="1"/>
  <c r="Q11" i="1"/>
  <c r="R11" i="1"/>
  <c r="S11" i="1"/>
  <c r="V11" i="1"/>
  <c r="W11" i="1"/>
  <c r="X11" i="1"/>
  <c r="AA11" i="1"/>
  <c r="AB11" i="1"/>
  <c r="AC11" i="1"/>
  <c r="G44" i="8"/>
  <c r="L37" i="12"/>
  <c r="C44" i="8"/>
  <c r="C47" i="8"/>
  <c r="I68" i="1"/>
  <c r="L38" i="12"/>
  <c r="L39" i="12" s="1"/>
  <c r="L42" i="12" s="1"/>
  <c r="H21" i="12" s="1"/>
  <c r="L103" i="1"/>
  <c r="M103" i="1"/>
  <c r="N103" i="1"/>
  <c r="Q103" i="1"/>
  <c r="R103" i="1"/>
  <c r="S103" i="1"/>
  <c r="V103" i="1"/>
  <c r="W103" i="1"/>
  <c r="X103" i="1"/>
  <c r="AA103" i="1"/>
  <c r="AB103" i="1"/>
  <c r="AC103" i="1"/>
  <c r="AF103" i="1"/>
  <c r="AG103" i="1"/>
  <c r="D8" i="12"/>
  <c r="H14" i="12"/>
  <c r="I14" i="12" s="1"/>
  <c r="J14" i="12" s="1"/>
  <c r="K14" i="12" s="1"/>
  <c r="L14" i="12" s="1"/>
  <c r="L21" i="12"/>
  <c r="H23" i="12"/>
  <c r="H24" i="12" s="1"/>
  <c r="D27" i="12"/>
  <c r="H27" i="12"/>
  <c r="L33" i="12"/>
  <c r="D25" i="12" s="1"/>
  <c r="AH11" i="1" l="1"/>
  <c r="AL11" i="1"/>
  <c r="AK11" i="1"/>
  <c r="H25" i="12"/>
  <c r="H26" i="12" s="1"/>
  <c r="H28" i="12" s="1"/>
  <c r="O22" i="12" s="1"/>
  <c r="P22" i="12" s="1"/>
  <c r="AP11" i="1" l="1"/>
  <c r="AM11" i="1"/>
  <c r="AQ11" i="1"/>
  <c r="AL10" i="1"/>
  <c r="BE119" i="1"/>
  <c r="BE120" i="1" s="1"/>
  <c r="BF119" i="1"/>
  <c r="BF120" i="1" s="1"/>
  <c r="BG119" i="1"/>
  <c r="BG120" i="1" s="1"/>
  <c r="BH119" i="1"/>
  <c r="BH120" i="1" s="1"/>
  <c r="AZ119" i="1"/>
  <c r="AZ120" i="1" s="1"/>
  <c r="BA119" i="1"/>
  <c r="BA120" i="1" s="1"/>
  <c r="BB119" i="1"/>
  <c r="BB120" i="1" s="1"/>
  <c r="BC119" i="1"/>
  <c r="BC120" i="1" s="1"/>
  <c r="AU119" i="1"/>
  <c r="AU120" i="1" s="1"/>
  <c r="AV119" i="1"/>
  <c r="AV120" i="1" s="1"/>
  <c r="AW119" i="1"/>
  <c r="AW120" i="1" s="1"/>
  <c r="AX119" i="1"/>
  <c r="AX120" i="1" s="1"/>
  <c r="AP119" i="1"/>
  <c r="AP120" i="1" s="1"/>
  <c r="AQ119" i="1"/>
  <c r="AQ120" i="1" s="1"/>
  <c r="AR119" i="1"/>
  <c r="AR120" i="1" s="1"/>
  <c r="AS119" i="1"/>
  <c r="AS120" i="1" s="1"/>
  <c r="AK119" i="1"/>
  <c r="AK120" i="1" s="1"/>
  <c r="AL119" i="1"/>
  <c r="AL120" i="1" s="1"/>
  <c r="AM119" i="1"/>
  <c r="AM120" i="1" s="1"/>
  <c r="AN119" i="1"/>
  <c r="AN120" i="1" s="1"/>
  <c r="BE98" i="1"/>
  <c r="BF98" i="1"/>
  <c r="BG98" i="1"/>
  <c r="BH98" i="1"/>
  <c r="AK29" i="1"/>
  <c r="BE88" i="1"/>
  <c r="BF88" i="1"/>
  <c r="BG88" i="1"/>
  <c r="BH88" i="1"/>
  <c r="AZ98" i="1"/>
  <c r="BA98" i="1"/>
  <c r="BB98" i="1"/>
  <c r="BC98" i="1"/>
  <c r="AZ88" i="1"/>
  <c r="BA88" i="1"/>
  <c r="BB88" i="1"/>
  <c r="BC88" i="1"/>
  <c r="AU98" i="1"/>
  <c r="AV98" i="1"/>
  <c r="AW98" i="1"/>
  <c r="AX98" i="1"/>
  <c r="AU88" i="1"/>
  <c r="AV88" i="1"/>
  <c r="AW88" i="1"/>
  <c r="AX88" i="1"/>
  <c r="AK66" i="1"/>
  <c r="AP66" i="1" s="1"/>
  <c r="AU66" i="1" s="1"/>
  <c r="AZ66" i="1" s="1"/>
  <c r="BE66" i="1" s="1"/>
  <c r="AL66" i="1"/>
  <c r="AQ66" i="1" s="1"/>
  <c r="AV66" i="1" s="1"/>
  <c r="BA66" i="1" s="1"/>
  <c r="BF66" i="1" s="1"/>
  <c r="AK65" i="1"/>
  <c r="AL65" i="1"/>
  <c r="AK59" i="1"/>
  <c r="AP59" i="1" s="1"/>
  <c r="AU59" i="1" s="1"/>
  <c r="AZ59" i="1" s="1"/>
  <c r="BE59" i="1" s="1"/>
  <c r="AL59" i="1"/>
  <c r="AQ59" i="1" s="1"/>
  <c r="AV59" i="1" s="1"/>
  <c r="BA59" i="1" s="1"/>
  <c r="BF59" i="1" s="1"/>
  <c r="AK57" i="1"/>
  <c r="AP57" i="1" s="1"/>
  <c r="AU57" i="1" s="1"/>
  <c r="AZ57" i="1" s="1"/>
  <c r="BE57" i="1" s="1"/>
  <c r="AL57" i="1"/>
  <c r="AQ57" i="1" s="1"/>
  <c r="AV57" i="1" s="1"/>
  <c r="BA57" i="1" s="1"/>
  <c r="BF57" i="1" s="1"/>
  <c r="AK55" i="1"/>
  <c r="AP55" i="1" s="1"/>
  <c r="AU55" i="1" s="1"/>
  <c r="AZ55" i="1" s="1"/>
  <c r="BE55" i="1" s="1"/>
  <c r="AL55" i="1"/>
  <c r="AQ55" i="1" s="1"/>
  <c r="AV55" i="1" s="1"/>
  <c r="BA55" i="1" s="1"/>
  <c r="BF55" i="1" s="1"/>
  <c r="AK54" i="1"/>
  <c r="AP54" i="1" s="1"/>
  <c r="AU54" i="1" s="1"/>
  <c r="AZ54" i="1" s="1"/>
  <c r="BE54" i="1" s="1"/>
  <c r="AL54" i="1"/>
  <c r="AQ54" i="1" s="1"/>
  <c r="AV54" i="1" s="1"/>
  <c r="BA54" i="1" s="1"/>
  <c r="BF54" i="1" s="1"/>
  <c r="AK53" i="1"/>
  <c r="AP53" i="1" s="1"/>
  <c r="AU53" i="1" s="1"/>
  <c r="AZ53" i="1" s="1"/>
  <c r="BE53" i="1" s="1"/>
  <c r="AL53" i="1"/>
  <c r="AQ53" i="1" s="1"/>
  <c r="AV53" i="1" s="1"/>
  <c r="BA53" i="1" s="1"/>
  <c r="BF53" i="1" s="1"/>
  <c r="AK52" i="1"/>
  <c r="AP52" i="1" s="1"/>
  <c r="AU52" i="1" s="1"/>
  <c r="AZ52" i="1" s="1"/>
  <c r="BE52" i="1" s="1"/>
  <c r="AL52" i="1"/>
  <c r="AQ52" i="1" s="1"/>
  <c r="AV52" i="1" s="1"/>
  <c r="BA52" i="1" s="1"/>
  <c r="BF52" i="1" s="1"/>
  <c r="AK47" i="1"/>
  <c r="AP47" i="1" s="1"/>
  <c r="AU47" i="1" s="1"/>
  <c r="AZ47" i="1" s="1"/>
  <c r="BE47" i="1" s="1"/>
  <c r="AL47" i="1"/>
  <c r="AQ47" i="1" s="1"/>
  <c r="AV47" i="1" s="1"/>
  <c r="BA47" i="1" s="1"/>
  <c r="BF47" i="1" s="1"/>
  <c r="AK43" i="1"/>
  <c r="AP43" i="1" s="1"/>
  <c r="AU43" i="1" s="1"/>
  <c r="AZ43" i="1" s="1"/>
  <c r="BE43" i="1" s="1"/>
  <c r="AL43" i="1"/>
  <c r="AQ43" i="1" s="1"/>
  <c r="AV43" i="1" s="1"/>
  <c r="BA43" i="1" s="1"/>
  <c r="BF43" i="1" s="1"/>
  <c r="AK98" i="1"/>
  <c r="AL98" i="1"/>
  <c r="AM98" i="1"/>
  <c r="AN98" i="1"/>
  <c r="AH66" i="1"/>
  <c r="AM66" i="1" s="1"/>
  <c r="AR66" i="1" s="1"/>
  <c r="AW66" i="1" s="1"/>
  <c r="BB66" i="1" s="1"/>
  <c r="BG66" i="1" s="1"/>
  <c r="AI66" i="1"/>
  <c r="AN66" i="1" s="1"/>
  <c r="AS66" i="1" s="1"/>
  <c r="AX66" i="1" s="1"/>
  <c r="BC66" i="1" s="1"/>
  <c r="BH66" i="1" s="1"/>
  <c r="AH65" i="1"/>
  <c r="AI65" i="1"/>
  <c r="AH59" i="1"/>
  <c r="AM59" i="1" s="1"/>
  <c r="AR59" i="1" s="1"/>
  <c r="AW59" i="1" s="1"/>
  <c r="BB59" i="1" s="1"/>
  <c r="BG59" i="1" s="1"/>
  <c r="AI59" i="1"/>
  <c r="AN59" i="1" s="1"/>
  <c r="AS59" i="1" s="1"/>
  <c r="AX59" i="1" s="1"/>
  <c r="BC59" i="1" s="1"/>
  <c r="BH59" i="1" s="1"/>
  <c r="AH52" i="1"/>
  <c r="AM52" i="1" s="1"/>
  <c r="AR52" i="1" s="1"/>
  <c r="AW52" i="1" s="1"/>
  <c r="BB52" i="1" s="1"/>
  <c r="BG52" i="1" s="1"/>
  <c r="AI52" i="1"/>
  <c r="AN52" i="1" s="1"/>
  <c r="AS52" i="1" s="1"/>
  <c r="AX52" i="1" s="1"/>
  <c r="BC52" i="1" s="1"/>
  <c r="BH52" i="1" s="1"/>
  <c r="AH53" i="1"/>
  <c r="AM53" i="1" s="1"/>
  <c r="AR53" i="1" s="1"/>
  <c r="AW53" i="1" s="1"/>
  <c r="BB53" i="1" s="1"/>
  <c r="BG53" i="1" s="1"/>
  <c r="AI53" i="1"/>
  <c r="AN53" i="1" s="1"/>
  <c r="AS53" i="1" s="1"/>
  <c r="AX53" i="1" s="1"/>
  <c r="BC53" i="1" s="1"/>
  <c r="BH53" i="1" s="1"/>
  <c r="AH54" i="1"/>
  <c r="AM54" i="1" s="1"/>
  <c r="AR54" i="1" s="1"/>
  <c r="AW54" i="1" s="1"/>
  <c r="BB54" i="1" s="1"/>
  <c r="BG54" i="1" s="1"/>
  <c r="AI54" i="1"/>
  <c r="AN54" i="1" s="1"/>
  <c r="AS54" i="1" s="1"/>
  <c r="AX54" i="1" s="1"/>
  <c r="BC54" i="1" s="1"/>
  <c r="BH54" i="1" s="1"/>
  <c r="AH55" i="1"/>
  <c r="AM55" i="1" s="1"/>
  <c r="AR55" i="1" s="1"/>
  <c r="AW55" i="1" s="1"/>
  <c r="BB55" i="1" s="1"/>
  <c r="BG55" i="1" s="1"/>
  <c r="AI55" i="1"/>
  <c r="AN55" i="1" s="1"/>
  <c r="AS55" i="1" s="1"/>
  <c r="AX55" i="1" s="1"/>
  <c r="BC55" i="1" s="1"/>
  <c r="BH55" i="1" s="1"/>
  <c r="AH57" i="1"/>
  <c r="AM57" i="1" s="1"/>
  <c r="AR57" i="1" s="1"/>
  <c r="AW57" i="1" s="1"/>
  <c r="BB57" i="1" s="1"/>
  <c r="BG57" i="1" s="1"/>
  <c r="AI57" i="1"/>
  <c r="AN57" i="1" s="1"/>
  <c r="AS57" i="1" s="1"/>
  <c r="AX57" i="1" s="1"/>
  <c r="BC57" i="1" s="1"/>
  <c r="BH57" i="1" s="1"/>
  <c r="AH47" i="1"/>
  <c r="AM47" i="1" s="1"/>
  <c r="AR47" i="1" s="1"/>
  <c r="AW47" i="1" s="1"/>
  <c r="BB47" i="1" s="1"/>
  <c r="BG47" i="1" s="1"/>
  <c r="AI47" i="1"/>
  <c r="AN47" i="1" s="1"/>
  <c r="AS47" i="1" s="1"/>
  <c r="AX47" i="1" s="1"/>
  <c r="BC47" i="1" s="1"/>
  <c r="BH47" i="1" s="1"/>
  <c r="AH43" i="1"/>
  <c r="AM43" i="1" s="1"/>
  <c r="AR43" i="1" s="1"/>
  <c r="AW43" i="1" s="1"/>
  <c r="BB43" i="1" s="1"/>
  <c r="BG43" i="1" s="1"/>
  <c r="AI43" i="1"/>
  <c r="AN43" i="1" s="1"/>
  <c r="AS43" i="1" s="1"/>
  <c r="AX43" i="1" s="1"/>
  <c r="BC43" i="1" s="1"/>
  <c r="BH43" i="1" s="1"/>
  <c r="AP98" i="1"/>
  <c r="AQ98" i="1"/>
  <c r="AR98" i="1"/>
  <c r="AS98" i="1"/>
  <c r="AP88" i="1"/>
  <c r="AQ88" i="1"/>
  <c r="AR88" i="1"/>
  <c r="AS88" i="1"/>
  <c r="AI58" i="1"/>
  <c r="AI17" i="1" s="1"/>
  <c r="AL58" i="1"/>
  <c r="AQ58" i="1" s="1"/>
  <c r="AD68" i="1"/>
  <c r="AD56" i="1"/>
  <c r="AD61" i="1" s="1"/>
  <c r="AD69" i="1" s="1"/>
  <c r="AD40" i="1"/>
  <c r="AD48" i="1"/>
  <c r="Y68" i="1"/>
  <c r="Y56" i="1"/>
  <c r="Y61" i="1"/>
  <c r="Y40" i="1"/>
  <c r="Y72" i="1" s="1"/>
  <c r="T68" i="1"/>
  <c r="T56" i="1"/>
  <c r="T61" i="1"/>
  <c r="T69" i="1" s="1"/>
  <c r="T40" i="1"/>
  <c r="T72" i="1" s="1"/>
  <c r="O68" i="1"/>
  <c r="O56" i="1"/>
  <c r="O61" i="1" s="1"/>
  <c r="O69" i="1" s="1"/>
  <c r="O40" i="1"/>
  <c r="O48" i="1"/>
  <c r="J68" i="1"/>
  <c r="J56" i="1"/>
  <c r="J61" i="1" s="1"/>
  <c r="J69" i="1" s="1"/>
  <c r="J40" i="1"/>
  <c r="AK88" i="1"/>
  <c r="AL88" i="1"/>
  <c r="AM88" i="1"/>
  <c r="AN88" i="1"/>
  <c r="AE29" i="1"/>
  <c r="AE30" i="1"/>
  <c r="Z29" i="1"/>
  <c r="Z30" i="1"/>
  <c r="U29" i="1"/>
  <c r="U30" i="1"/>
  <c r="P29" i="1"/>
  <c r="P30" i="1"/>
  <c r="AK30" i="1"/>
  <c r="AL30" i="1"/>
  <c r="AL29" i="1"/>
  <c r="K29" i="1"/>
  <c r="K30" i="1"/>
  <c r="J9" i="1"/>
  <c r="J12" i="1"/>
  <c r="J17" i="1"/>
  <c r="J19" i="1"/>
  <c r="J22" i="1"/>
  <c r="AE95" i="1"/>
  <c r="J8" i="1"/>
  <c r="O8" i="1"/>
  <c r="O9" i="1"/>
  <c r="O12" i="1"/>
  <c r="O89" i="1" s="1"/>
  <c r="O17" i="1"/>
  <c r="O19" i="1"/>
  <c r="O22" i="1"/>
  <c r="T8" i="1"/>
  <c r="T9" i="1"/>
  <c r="T12" i="1"/>
  <c r="T17" i="1"/>
  <c r="T19" i="1"/>
  <c r="T22" i="1"/>
  <c r="Y8" i="1"/>
  <c r="Y9" i="1"/>
  <c r="Y12" i="1"/>
  <c r="Y17" i="1"/>
  <c r="Y19" i="1"/>
  <c r="Y22" i="1"/>
  <c r="AD8" i="1"/>
  <c r="AD9" i="1"/>
  <c r="AD12" i="1"/>
  <c r="AD15" i="1"/>
  <c r="AD17" i="1"/>
  <c r="AD91" i="1" s="1"/>
  <c r="AD19" i="1"/>
  <c r="AD22" i="1"/>
  <c r="AL17" i="1"/>
  <c r="AK58" i="1"/>
  <c r="AH30" i="1"/>
  <c r="AM30" i="1" s="1"/>
  <c r="AR30" i="1" s="1"/>
  <c r="AW30" i="1" s="1"/>
  <c r="BB30" i="1" s="1"/>
  <c r="BG30" i="1" s="1"/>
  <c r="AH29" i="1"/>
  <c r="AM29" i="1" s="1"/>
  <c r="AR29" i="1" s="1"/>
  <c r="AW29" i="1" s="1"/>
  <c r="BB29" i="1" s="1"/>
  <c r="BG29" i="1" s="1"/>
  <c r="AH58" i="1"/>
  <c r="AF86" i="1"/>
  <c r="AG86" i="1"/>
  <c r="Q86" i="1"/>
  <c r="R86" i="1"/>
  <c r="S86" i="1"/>
  <c r="V86" i="1"/>
  <c r="W86" i="1"/>
  <c r="X86" i="1"/>
  <c r="AH8" i="1" s="1"/>
  <c r="AH10" i="1" s="1"/>
  <c r="AB86" i="1"/>
  <c r="AL8" i="1" s="1"/>
  <c r="AQ8" i="1" s="1"/>
  <c r="AC86" i="1"/>
  <c r="AA86" i="1"/>
  <c r="AK8" i="1" s="1"/>
  <c r="AF97" i="1"/>
  <c r="AG97" i="1"/>
  <c r="AF96" i="1"/>
  <c r="AG96" i="1"/>
  <c r="AF95" i="1"/>
  <c r="AF98" i="1" s="1"/>
  <c r="AG95" i="1"/>
  <c r="AF91" i="1"/>
  <c r="AG91" i="1"/>
  <c r="AF89" i="1"/>
  <c r="AG89" i="1"/>
  <c r="AF88" i="1"/>
  <c r="AG88" i="1"/>
  <c r="AF87" i="1"/>
  <c r="AG87" i="1"/>
  <c r="AF68" i="1"/>
  <c r="AG68" i="1"/>
  <c r="AF56" i="1"/>
  <c r="AF61" i="1" s="1"/>
  <c r="AG56" i="1"/>
  <c r="AG61" i="1" s="1"/>
  <c r="AF40" i="1"/>
  <c r="AG40" i="1"/>
  <c r="AF18" i="1"/>
  <c r="AG18" i="1"/>
  <c r="AF13" i="1"/>
  <c r="AF14" i="1" s="1"/>
  <c r="AG13" i="1"/>
  <c r="AG14" i="1" s="1"/>
  <c r="AC68" i="1"/>
  <c r="AA97" i="1"/>
  <c r="AB97" i="1"/>
  <c r="AC97" i="1"/>
  <c r="AA96" i="1"/>
  <c r="AB96" i="1"/>
  <c r="AC96" i="1"/>
  <c r="AA95" i="1"/>
  <c r="AB95" i="1"/>
  <c r="AC95" i="1"/>
  <c r="AC98" i="1" s="1"/>
  <c r="AA91" i="1"/>
  <c r="AB91" i="1"/>
  <c r="AC91" i="1"/>
  <c r="AA89" i="1"/>
  <c r="AB89" i="1"/>
  <c r="AC89" i="1"/>
  <c r="AA88" i="1"/>
  <c r="AB88" i="1"/>
  <c r="AC88" i="1"/>
  <c r="AA87" i="1"/>
  <c r="AB87" i="1"/>
  <c r="AC87" i="1"/>
  <c r="AA68" i="1"/>
  <c r="AB68" i="1"/>
  <c r="AB69" i="1" s="1"/>
  <c r="AA56" i="1"/>
  <c r="AA61" i="1" s="1"/>
  <c r="AB56" i="1"/>
  <c r="AB61" i="1" s="1"/>
  <c r="AC56" i="1"/>
  <c r="AC61" i="1" s="1"/>
  <c r="AA40" i="1"/>
  <c r="AB40" i="1"/>
  <c r="AC40" i="1"/>
  <c r="AA18" i="1"/>
  <c r="AB18" i="1"/>
  <c r="AC18" i="1"/>
  <c r="AA13" i="1"/>
  <c r="AA14" i="1" s="1"/>
  <c r="AB13" i="1"/>
  <c r="AB14" i="1" s="1"/>
  <c r="AC13" i="1"/>
  <c r="AC14" i="1" s="1"/>
  <c r="V97" i="1"/>
  <c r="W97" i="1"/>
  <c r="X97" i="1"/>
  <c r="V96" i="1"/>
  <c r="W96" i="1"/>
  <c r="X96" i="1"/>
  <c r="V95" i="1"/>
  <c r="W95" i="1"/>
  <c r="W98" i="1" s="1"/>
  <c r="X95" i="1"/>
  <c r="V91" i="1"/>
  <c r="W91" i="1"/>
  <c r="X91" i="1"/>
  <c r="V89" i="1"/>
  <c r="W89" i="1"/>
  <c r="X89" i="1"/>
  <c r="V88" i="1"/>
  <c r="W88" i="1"/>
  <c r="X88" i="1"/>
  <c r="V87" i="1"/>
  <c r="W87" i="1"/>
  <c r="X87" i="1"/>
  <c r="V56" i="1"/>
  <c r="V61" i="1" s="1"/>
  <c r="V69" i="1" s="1"/>
  <c r="W56" i="1"/>
  <c r="W61" i="1" s="1"/>
  <c r="X56" i="1"/>
  <c r="X61" i="1" s="1"/>
  <c r="X69" i="1" s="1"/>
  <c r="V40" i="1"/>
  <c r="W40" i="1"/>
  <c r="X40" i="1"/>
  <c r="W18" i="1"/>
  <c r="X18" i="1"/>
  <c r="V13" i="1"/>
  <c r="W13" i="1"/>
  <c r="W14" i="1" s="1"/>
  <c r="X13" i="1"/>
  <c r="X14" i="1" s="1"/>
  <c r="H13" i="8"/>
  <c r="H15" i="8"/>
  <c r="E67" i="8"/>
  <c r="F67" i="8" s="1"/>
  <c r="G67" i="8" s="1"/>
  <c r="E72" i="8"/>
  <c r="F72" i="8" s="1"/>
  <c r="G72" i="8" s="1"/>
  <c r="Q97" i="1"/>
  <c r="R97" i="1"/>
  <c r="S97" i="1"/>
  <c r="Q96" i="1"/>
  <c r="R96" i="1"/>
  <c r="S96" i="1"/>
  <c r="Q95" i="1"/>
  <c r="R95" i="1"/>
  <c r="S95" i="1"/>
  <c r="Q91" i="1"/>
  <c r="R91" i="1"/>
  <c r="S91" i="1"/>
  <c r="Q89" i="1"/>
  <c r="R89" i="1"/>
  <c r="S89" i="1"/>
  <c r="S88" i="1"/>
  <c r="Q88" i="1"/>
  <c r="R88" i="1"/>
  <c r="Q87" i="1"/>
  <c r="R87" i="1"/>
  <c r="S87" i="1"/>
  <c r="AA69" i="1"/>
  <c r="AC69" i="1"/>
  <c r="W69" i="1"/>
  <c r="Q68" i="1"/>
  <c r="Q69" i="1" s="1"/>
  <c r="R68" i="1"/>
  <c r="R69" i="1" s="1"/>
  <c r="S68" i="1"/>
  <c r="S69" i="1" s="1"/>
  <c r="Q40" i="1"/>
  <c r="R40" i="1"/>
  <c r="S40" i="1"/>
  <c r="Q18" i="1"/>
  <c r="Q92" i="1" s="1"/>
  <c r="Q13" i="1"/>
  <c r="Q14" i="1" s="1"/>
  <c r="R13" i="1"/>
  <c r="S13" i="1"/>
  <c r="L97" i="1"/>
  <c r="M97" i="1"/>
  <c r="N97" i="1"/>
  <c r="L96" i="1"/>
  <c r="M96" i="1"/>
  <c r="N96" i="1"/>
  <c r="L95" i="1"/>
  <c r="M95" i="1"/>
  <c r="M98" i="1" s="1"/>
  <c r="N95" i="1"/>
  <c r="L91" i="1"/>
  <c r="M91" i="1"/>
  <c r="N91" i="1"/>
  <c r="L89" i="1"/>
  <c r="M89" i="1"/>
  <c r="N89" i="1"/>
  <c r="L88" i="1"/>
  <c r="M88" i="1"/>
  <c r="N88" i="1"/>
  <c r="L87" i="1"/>
  <c r="M87" i="1"/>
  <c r="N87" i="1"/>
  <c r="L68" i="1"/>
  <c r="M68" i="1"/>
  <c r="N68" i="1"/>
  <c r="L56" i="1"/>
  <c r="L61" i="1" s="1"/>
  <c r="M56" i="1"/>
  <c r="M61" i="1" s="1"/>
  <c r="N56" i="1"/>
  <c r="N61" i="1" s="1"/>
  <c r="L40" i="1"/>
  <c r="M40" i="1"/>
  <c r="N40" i="1"/>
  <c r="L13" i="1"/>
  <c r="M13" i="1"/>
  <c r="N13" i="1"/>
  <c r="G106" i="1"/>
  <c r="G103" i="1" s="1"/>
  <c r="H106" i="1"/>
  <c r="H103" i="1" s="1"/>
  <c r="I106" i="1"/>
  <c r="I103" i="1" s="1"/>
  <c r="G105" i="1"/>
  <c r="H105" i="1"/>
  <c r="I105" i="1"/>
  <c r="G100" i="1"/>
  <c r="H100" i="1"/>
  <c r="I100" i="1"/>
  <c r="G97" i="1"/>
  <c r="H97" i="1"/>
  <c r="I97" i="1"/>
  <c r="G96" i="1"/>
  <c r="H96" i="1"/>
  <c r="I96" i="1"/>
  <c r="G95" i="1"/>
  <c r="H95" i="1"/>
  <c r="I95" i="1"/>
  <c r="G91" i="1"/>
  <c r="H91" i="1"/>
  <c r="I91" i="1"/>
  <c r="G89" i="1"/>
  <c r="H89" i="1"/>
  <c r="I89" i="1"/>
  <c r="H88" i="1"/>
  <c r="I88" i="1"/>
  <c r="G87" i="1"/>
  <c r="H87" i="1"/>
  <c r="I87" i="1"/>
  <c r="G68" i="1"/>
  <c r="H68" i="1"/>
  <c r="G56" i="1"/>
  <c r="G61" i="1" s="1"/>
  <c r="H56" i="1"/>
  <c r="H61" i="1" s="1"/>
  <c r="I56" i="1"/>
  <c r="I61" i="1" s="1"/>
  <c r="G40" i="1"/>
  <c r="G72" i="1" s="1"/>
  <c r="H40" i="1"/>
  <c r="I40" i="1"/>
  <c r="I72" i="1" s="1"/>
  <c r="H48" i="1"/>
  <c r="H13" i="1"/>
  <c r="I13" i="1"/>
  <c r="D16" i="5"/>
  <c r="F16" i="5"/>
  <c r="G78" i="8" s="1"/>
  <c r="G16" i="5"/>
  <c r="G79" i="8" s="1"/>
  <c r="H16" i="5"/>
  <c r="G80" i="8" s="1"/>
  <c r="I16" i="5"/>
  <c r="G81" i="8" s="1"/>
  <c r="J16" i="5"/>
  <c r="G82" i="8" s="1"/>
  <c r="G17" i="5"/>
  <c r="G23" i="5" s="1"/>
  <c r="I17" i="5"/>
  <c r="I23" i="5" s="1"/>
  <c r="G35" i="5"/>
  <c r="I35" i="5"/>
  <c r="G36" i="5"/>
  <c r="I36" i="5"/>
  <c r="D42" i="5"/>
  <c r="D14" i="5" s="1"/>
  <c r="F42" i="5"/>
  <c r="F14" i="5" s="1"/>
  <c r="G42" i="5"/>
  <c r="G14" i="5" s="1"/>
  <c r="H42" i="5"/>
  <c r="H45" i="5" s="1"/>
  <c r="H21" i="5" s="1"/>
  <c r="I42" i="5"/>
  <c r="I45" i="5" s="1"/>
  <c r="I21" i="5" s="1"/>
  <c r="J42" i="5"/>
  <c r="J14" i="5" s="1"/>
  <c r="D45" i="5"/>
  <c r="D21" i="5" s="1"/>
  <c r="H61" i="8" s="1"/>
  <c r="D46" i="5"/>
  <c r="D35" i="5" s="1"/>
  <c r="F46" i="5"/>
  <c r="F17" i="5" s="1"/>
  <c r="F23" i="5" s="1"/>
  <c r="H46" i="5"/>
  <c r="H17" i="5" s="1"/>
  <c r="H23" i="5" s="1"/>
  <c r="J46" i="5"/>
  <c r="J17" i="5" s="1"/>
  <c r="J23" i="5" s="1"/>
  <c r="D49" i="5"/>
  <c r="D28" i="5" s="1"/>
  <c r="F49" i="5"/>
  <c r="G49" i="5"/>
  <c r="H49" i="5"/>
  <c r="I49" i="5"/>
  <c r="J49" i="5"/>
  <c r="J26" i="5" s="1"/>
  <c r="D50" i="5"/>
  <c r="F50" i="5"/>
  <c r="F26" i="5" s="1"/>
  <c r="G50" i="5"/>
  <c r="G26" i="5" s="1"/>
  <c r="H50" i="5"/>
  <c r="H26" i="5" s="1"/>
  <c r="I50" i="5"/>
  <c r="D51" i="5"/>
  <c r="F51" i="5"/>
  <c r="G51" i="5"/>
  <c r="G28" i="5" s="1"/>
  <c r="H51" i="5"/>
  <c r="I51" i="5"/>
  <c r="I28" i="5" s="1"/>
  <c r="J51" i="5"/>
  <c r="J56" i="5" s="1"/>
  <c r="J34" i="5" s="1"/>
  <c r="D52" i="5"/>
  <c r="D29" i="5" s="1"/>
  <c r="F52" i="5"/>
  <c r="G52" i="5"/>
  <c r="G29" i="5" s="1"/>
  <c r="H52" i="5"/>
  <c r="H29" i="5" s="1"/>
  <c r="I52" i="5"/>
  <c r="I29" i="5" s="1"/>
  <c r="J52" i="5"/>
  <c r="D53" i="5"/>
  <c r="D20" i="5" s="1"/>
  <c r="H60" i="8" s="1"/>
  <c r="F53" i="5"/>
  <c r="F20" i="5" s="1"/>
  <c r="F78" i="8" s="1"/>
  <c r="G53" i="5"/>
  <c r="G20" i="5" s="1"/>
  <c r="F79" i="8" s="1"/>
  <c r="H53" i="5"/>
  <c r="H20" i="5" s="1"/>
  <c r="F80" i="8" s="1"/>
  <c r="I53" i="5"/>
  <c r="I20" i="5" s="1"/>
  <c r="F81" i="8" s="1"/>
  <c r="J53" i="5"/>
  <c r="J20" i="5" s="1"/>
  <c r="F82" i="8" s="1"/>
  <c r="D54" i="5"/>
  <c r="F54" i="5"/>
  <c r="G54" i="5"/>
  <c r="H54" i="5"/>
  <c r="I54" i="5"/>
  <c r="J54" i="5"/>
  <c r="D55" i="5"/>
  <c r="F55" i="5"/>
  <c r="F56" i="5" s="1"/>
  <c r="F27" i="5" s="1"/>
  <c r="G55" i="5"/>
  <c r="H55" i="5"/>
  <c r="J55" i="5"/>
  <c r="D56" i="5"/>
  <c r="D32" i="5" s="1"/>
  <c r="AJ66" i="1"/>
  <c r="AO66" i="1" s="1"/>
  <c r="AT66" i="1" s="1"/>
  <c r="AY66" i="1" s="1"/>
  <c r="BD66" i="1" s="1"/>
  <c r="BI66" i="1" s="1"/>
  <c r="AJ65" i="1"/>
  <c r="AO65" i="1" s="1"/>
  <c r="AT65" i="1" s="1"/>
  <c r="AY65" i="1" s="1"/>
  <c r="BD65" i="1" s="1"/>
  <c r="BI65" i="1" s="1"/>
  <c r="AJ59" i="1"/>
  <c r="AO59" i="1" s="1"/>
  <c r="AT59" i="1" s="1"/>
  <c r="AY59" i="1" s="1"/>
  <c r="BD59" i="1" s="1"/>
  <c r="BI59" i="1" s="1"/>
  <c r="AJ57" i="1"/>
  <c r="AO57" i="1" s="1"/>
  <c r="AT57" i="1" s="1"/>
  <c r="AY57" i="1" s="1"/>
  <c r="BD57" i="1" s="1"/>
  <c r="BI57" i="1" s="1"/>
  <c r="AJ53" i="1"/>
  <c r="AO53" i="1" s="1"/>
  <c r="AT53" i="1" s="1"/>
  <c r="AY53" i="1" s="1"/>
  <c r="BD53" i="1" s="1"/>
  <c r="BI53" i="1" s="1"/>
  <c r="AJ54" i="1"/>
  <c r="AJ55" i="1"/>
  <c r="AO55" i="1" s="1"/>
  <c r="AT55" i="1" s="1"/>
  <c r="AY55" i="1" s="1"/>
  <c r="BD55" i="1" s="1"/>
  <c r="BI55" i="1" s="1"/>
  <c r="AJ52" i="1"/>
  <c r="AO52" i="1" s="1"/>
  <c r="AT52" i="1" s="1"/>
  <c r="AJ47" i="1"/>
  <c r="AO47" i="1" s="1"/>
  <c r="AT47" i="1" s="1"/>
  <c r="AY47" i="1" s="1"/>
  <c r="BD47" i="1" s="1"/>
  <c r="BI47" i="1" s="1"/>
  <c r="AJ43" i="1"/>
  <c r="AO43" i="1" s="1"/>
  <c r="AT43" i="1" s="1"/>
  <c r="AY43" i="1" s="1"/>
  <c r="BD43" i="1" s="1"/>
  <c r="BI43" i="1" s="1"/>
  <c r="P106" i="1"/>
  <c r="P103" i="1" s="1"/>
  <c r="U106" i="1"/>
  <c r="U103" i="1" s="1"/>
  <c r="Z106" i="1"/>
  <c r="Z103" i="1" s="1"/>
  <c r="AE106" i="1"/>
  <c r="AE103" i="1" s="1"/>
  <c r="K106" i="1"/>
  <c r="K103" i="1" s="1"/>
  <c r="P105" i="1"/>
  <c r="U102" i="1" s="1"/>
  <c r="U105" i="1"/>
  <c r="Z102" i="1" s="1"/>
  <c r="Z105" i="1"/>
  <c r="AE102" i="1" s="1"/>
  <c r="AE105" i="1"/>
  <c r="AJ102" i="1" s="1"/>
  <c r="K105" i="1"/>
  <c r="P102" i="1" s="1"/>
  <c r="P100" i="1"/>
  <c r="U100" i="1"/>
  <c r="Z100" i="1"/>
  <c r="AE100" i="1"/>
  <c r="K100" i="1"/>
  <c r="AJ98" i="1"/>
  <c r="AO98" i="1"/>
  <c r="AT98" i="1"/>
  <c r="AY98" i="1"/>
  <c r="BD98" i="1"/>
  <c r="BI98" i="1"/>
  <c r="P95" i="1"/>
  <c r="U95" i="1"/>
  <c r="Z95" i="1"/>
  <c r="P96" i="1"/>
  <c r="U96" i="1"/>
  <c r="Z96" i="1"/>
  <c r="AE96" i="1"/>
  <c r="P97" i="1"/>
  <c r="U97" i="1"/>
  <c r="Z97" i="1"/>
  <c r="AE97" i="1"/>
  <c r="K97" i="1"/>
  <c r="K96" i="1"/>
  <c r="K95" i="1"/>
  <c r="K98" i="1" s="1"/>
  <c r="P91" i="1"/>
  <c r="U91" i="1"/>
  <c r="Z91" i="1"/>
  <c r="AE91" i="1"/>
  <c r="K91" i="1"/>
  <c r="AJ58" i="1"/>
  <c r="AO58" i="1" s="1"/>
  <c r="P89" i="1"/>
  <c r="U89" i="1"/>
  <c r="Z89" i="1"/>
  <c r="AE89" i="1"/>
  <c r="K89" i="1"/>
  <c r="AO88" i="1"/>
  <c r="AT88" i="1"/>
  <c r="AY88" i="1"/>
  <c r="BD88" i="1"/>
  <c r="BI88" i="1"/>
  <c r="U86" i="1"/>
  <c r="Z86" i="1"/>
  <c r="AE86" i="1"/>
  <c r="P86" i="1"/>
  <c r="P87" i="1"/>
  <c r="U87" i="1"/>
  <c r="Z87" i="1"/>
  <c r="AE87" i="1"/>
  <c r="K87" i="1"/>
  <c r="AE68" i="1"/>
  <c r="Z68" i="1"/>
  <c r="U68" i="1"/>
  <c r="P68" i="1"/>
  <c r="K68" i="1"/>
  <c r="AE56" i="1"/>
  <c r="AE61" i="1" s="1"/>
  <c r="Z56" i="1"/>
  <c r="Z61" i="1" s="1"/>
  <c r="U56" i="1"/>
  <c r="U61" i="1" s="1"/>
  <c r="P56" i="1"/>
  <c r="P61" i="1" s="1"/>
  <c r="K56" i="1"/>
  <c r="K61" i="1" s="1"/>
  <c r="AE40" i="1"/>
  <c r="AE72" i="1" s="1"/>
  <c r="Z40" i="1"/>
  <c r="U40" i="1"/>
  <c r="U72" i="1" s="1"/>
  <c r="P40" i="1"/>
  <c r="K40" i="1"/>
  <c r="AI30" i="1"/>
  <c r="AJ30" i="1" s="1"/>
  <c r="AI29" i="1"/>
  <c r="AJ29" i="1" s="1"/>
  <c r="P18" i="1"/>
  <c r="U18" i="1"/>
  <c r="U23" i="1" s="1"/>
  <c r="Z18" i="1"/>
  <c r="AE18" i="1"/>
  <c r="K18" i="1"/>
  <c r="K11" i="1"/>
  <c r="H14" i="5" l="1"/>
  <c r="AD89" i="1"/>
  <c r="Y103" i="1"/>
  <c r="Y10" i="1"/>
  <c r="J72" i="1"/>
  <c r="Y69" i="1"/>
  <c r="AN58" i="1"/>
  <c r="AS58" i="1" s="1"/>
  <c r="AX58" i="1" s="1"/>
  <c r="J35" i="5"/>
  <c r="J29" i="5"/>
  <c r="H28" i="5"/>
  <c r="I14" i="5"/>
  <c r="H72" i="1"/>
  <c r="Q20" i="1"/>
  <c r="V98" i="1"/>
  <c r="T48" i="1"/>
  <c r="T70" i="1" s="1"/>
  <c r="D34" i="5"/>
  <c r="I98" i="1"/>
  <c r="S98" i="1"/>
  <c r="AB98" i="1"/>
  <c r="AD70" i="1"/>
  <c r="AD103" i="1"/>
  <c r="AI8" i="1"/>
  <c r="AD10" i="1"/>
  <c r="H98" i="1"/>
  <c r="R98" i="1"/>
  <c r="AA98" i="1"/>
  <c r="AP8" i="1"/>
  <c r="T89" i="1"/>
  <c r="O103" i="1"/>
  <c r="O10" i="1"/>
  <c r="O70" i="1"/>
  <c r="AD72" i="1"/>
  <c r="Z72" i="1"/>
  <c r="G56" i="5"/>
  <c r="G34" i="5" s="1"/>
  <c r="F29" i="5"/>
  <c r="I26" i="5"/>
  <c r="O26" i="5" s="1"/>
  <c r="I48" i="1"/>
  <c r="G98" i="1"/>
  <c r="N98" i="1"/>
  <c r="Q98" i="1"/>
  <c r="J103" i="1"/>
  <c r="J10" i="1"/>
  <c r="O72" i="1"/>
  <c r="F28" i="5"/>
  <c r="AG98" i="1"/>
  <c r="AV8" i="1"/>
  <c r="BA8" i="1" s="1"/>
  <c r="BF8" i="1" s="1"/>
  <c r="Y89" i="1"/>
  <c r="T103" i="1"/>
  <c r="T10" i="1"/>
  <c r="Y48" i="1"/>
  <c r="Y70" i="1" s="1"/>
  <c r="AK10" i="1"/>
  <c r="J28" i="5"/>
  <c r="D36" i="5"/>
  <c r="G48" i="1"/>
  <c r="L98" i="1"/>
  <c r="X98" i="1"/>
  <c r="AM8" i="1"/>
  <c r="AM10" i="1" s="1"/>
  <c r="AD16" i="1"/>
  <c r="J48" i="1"/>
  <c r="J70" i="1" s="1"/>
  <c r="AR11" i="1"/>
  <c r="AU11" i="1"/>
  <c r="AP10" i="1"/>
  <c r="AV11" i="1"/>
  <c r="AQ10" i="1"/>
  <c r="R14" i="1"/>
  <c r="R15" i="1" s="1"/>
  <c r="M14" i="1"/>
  <c r="M15" i="1" s="1"/>
  <c r="L14" i="1"/>
  <c r="L15" i="1" s="1"/>
  <c r="V14" i="1"/>
  <c r="V15" i="1" s="1"/>
  <c r="N14" i="1"/>
  <c r="N15" i="1" s="1"/>
  <c r="S14" i="1"/>
  <c r="S15" i="1" s="1"/>
  <c r="S18" i="1" s="1"/>
  <c r="I14" i="1"/>
  <c r="I15" i="1" s="1"/>
  <c r="H14" i="1"/>
  <c r="H15" i="1" s="1"/>
  <c r="AW11" i="1"/>
  <c r="Y11" i="1"/>
  <c r="Z11" i="1"/>
  <c r="T11" i="1"/>
  <c r="U11" i="1"/>
  <c r="O11" i="1"/>
  <c r="P11" i="1"/>
  <c r="AE11" i="1"/>
  <c r="C46" i="8" s="1"/>
  <c r="K48" i="1"/>
  <c r="K72" i="1"/>
  <c r="P48" i="1"/>
  <c r="P70" i="1" s="1"/>
  <c r="P72" i="1"/>
  <c r="N48" i="1"/>
  <c r="N72" i="1"/>
  <c r="M48" i="1"/>
  <c r="M72" i="1"/>
  <c r="L48" i="1"/>
  <c r="L72" i="1"/>
  <c r="S48" i="1"/>
  <c r="S70" i="1" s="1"/>
  <c r="S72" i="1"/>
  <c r="R48" i="1"/>
  <c r="R70" i="1" s="1"/>
  <c r="R72" i="1"/>
  <c r="Q48" i="1"/>
  <c r="Q70" i="1" s="1"/>
  <c r="Q72" i="1"/>
  <c r="X48" i="1"/>
  <c r="X70" i="1" s="1"/>
  <c r="X72" i="1"/>
  <c r="W48" i="1"/>
  <c r="W70" i="1" s="1"/>
  <c r="W72" i="1"/>
  <c r="V48" i="1"/>
  <c r="V70" i="1" s="1"/>
  <c r="V72" i="1"/>
  <c r="AC48" i="1"/>
  <c r="AC70" i="1" s="1"/>
  <c r="AC72" i="1"/>
  <c r="AB48" i="1"/>
  <c r="AB70" i="1" s="1"/>
  <c r="AB72" i="1"/>
  <c r="AA48" i="1"/>
  <c r="AA70" i="1" s="1"/>
  <c r="AA72" i="1"/>
  <c r="AG48" i="1"/>
  <c r="AG72" i="1"/>
  <c r="AF48" i="1"/>
  <c r="AF72" i="1"/>
  <c r="AH103" i="1"/>
  <c r="AH119" i="1" s="1"/>
  <c r="AH120" i="1" s="1"/>
  <c r="AH39" i="1"/>
  <c r="AD18" i="1"/>
  <c r="AE23" i="1"/>
  <c r="F7" i="12" s="1"/>
  <c r="F8" i="12" s="1"/>
  <c r="E7" i="12"/>
  <c r="E8" i="12" s="1"/>
  <c r="Z23" i="1"/>
  <c r="U48" i="1"/>
  <c r="U70" i="1" s="1"/>
  <c r="D10" i="12"/>
  <c r="D12" i="12" s="1"/>
  <c r="Z48" i="1"/>
  <c r="Z70" i="1" s="1"/>
  <c r="E10" i="12"/>
  <c r="AE48" i="1"/>
  <c r="AE70" i="1" s="1"/>
  <c r="F10" i="12"/>
  <c r="AQ12" i="1"/>
  <c r="AS17" i="1"/>
  <c r="AV58" i="1"/>
  <c r="AQ17" i="1"/>
  <c r="AO54" i="1"/>
  <c r="AT54" i="1" s="1"/>
  <c r="AY54" i="1" s="1"/>
  <c r="BD54" i="1" s="1"/>
  <c r="BI54" i="1" s="1"/>
  <c r="AK86" i="1"/>
  <c r="AK39" i="1"/>
  <c r="AK36" i="1"/>
  <c r="AL86" i="1"/>
  <c r="AL39" i="1"/>
  <c r="AL36" i="1"/>
  <c r="AN65" i="1"/>
  <c r="AS65" i="1" s="1"/>
  <c r="AX65" i="1" s="1"/>
  <c r="BC65" i="1" s="1"/>
  <c r="BH65" i="1" s="1"/>
  <c r="AM65" i="1"/>
  <c r="AQ65" i="1"/>
  <c r="AP65" i="1"/>
  <c r="AH86" i="1"/>
  <c r="AD92" i="1"/>
  <c r="AD97" i="1"/>
  <c r="AD96" i="1"/>
  <c r="AD87" i="1"/>
  <c r="AD95" i="1"/>
  <c r="AD86" i="1"/>
  <c r="AH17" i="1"/>
  <c r="AM58" i="1"/>
  <c r="AK17" i="1"/>
  <c r="AP58" i="1"/>
  <c r="AN29" i="1"/>
  <c r="AS29" i="1" s="1"/>
  <c r="AN30" i="1"/>
  <c r="AS30" i="1" s="1"/>
  <c r="K13" i="1"/>
  <c r="K14" i="1" s="1"/>
  <c r="Z13" i="1"/>
  <c r="P13" i="1"/>
  <c r="K92" i="1"/>
  <c r="U92" i="1"/>
  <c r="P92" i="1"/>
  <c r="AE88" i="1"/>
  <c r="AK12" i="1"/>
  <c r="AL12" i="1"/>
  <c r="AH12" i="1"/>
  <c r="AF20" i="1"/>
  <c r="AF92" i="1"/>
  <c r="AG20" i="1"/>
  <c r="AG92" i="1"/>
  <c r="AG69" i="1"/>
  <c r="AF69" i="1"/>
  <c r="AC92" i="1"/>
  <c r="AC20" i="1"/>
  <c r="AA20" i="1"/>
  <c r="AA92" i="1"/>
  <c r="AB92" i="1"/>
  <c r="AB20" i="1"/>
  <c r="X20" i="1"/>
  <c r="X92" i="1"/>
  <c r="W20" i="1"/>
  <c r="W92" i="1"/>
  <c r="U69" i="1"/>
  <c r="N69" i="1"/>
  <c r="M69" i="1"/>
  <c r="L69" i="1"/>
  <c r="I69" i="1"/>
  <c r="H69" i="1"/>
  <c r="H70" i="1" s="1"/>
  <c r="G69" i="1"/>
  <c r="G70" i="1" s="1"/>
  <c r="U13" i="1"/>
  <c r="U88" i="1"/>
  <c r="AE92" i="1"/>
  <c r="AE20" i="1"/>
  <c r="AE21" i="1" s="1"/>
  <c r="Z92" i="1"/>
  <c r="Z20" i="1"/>
  <c r="Z21" i="1" s="1"/>
  <c r="Z69" i="1"/>
  <c r="AE69" i="1"/>
  <c r="AE98" i="1"/>
  <c r="Z98" i="1"/>
  <c r="U98" i="1"/>
  <c r="P98" i="1"/>
  <c r="N28" i="5"/>
  <c r="N29" i="5"/>
  <c r="M12" i="5"/>
  <c r="O12" i="5"/>
  <c r="M20" i="5"/>
  <c r="N20" i="5"/>
  <c r="O20" i="5"/>
  <c r="N12" i="5"/>
  <c r="M26" i="5"/>
  <c r="N26" i="5"/>
  <c r="G45" i="5"/>
  <c r="D33" i="5"/>
  <c r="F45" i="5"/>
  <c r="J36" i="5"/>
  <c r="H35" i="5"/>
  <c r="F34" i="5"/>
  <c r="J32" i="5"/>
  <c r="D27" i="5"/>
  <c r="D22" i="5"/>
  <c r="H62" i="8" s="1"/>
  <c r="D17" i="5"/>
  <c r="D23" i="5" s="1"/>
  <c r="F35" i="5"/>
  <c r="I56" i="5"/>
  <c r="I22" i="5" s="1"/>
  <c r="H81" i="8" s="1"/>
  <c r="J27" i="5"/>
  <c r="H36" i="5"/>
  <c r="J33" i="5"/>
  <c r="H56" i="5"/>
  <c r="H22" i="5" s="1"/>
  <c r="H80" i="8" s="1"/>
  <c r="J45" i="5"/>
  <c r="F36" i="5"/>
  <c r="F32" i="5"/>
  <c r="F33" i="5"/>
  <c r="AY52" i="1"/>
  <c r="K69" i="1"/>
  <c r="AO17" i="1"/>
  <c r="AT58" i="1"/>
  <c r="AT17" i="1" s="1"/>
  <c r="P88" i="1"/>
  <c r="AJ17" i="1"/>
  <c r="U20" i="1"/>
  <c r="U21" i="1" s="1"/>
  <c r="P20" i="1"/>
  <c r="P21" i="1" s="1"/>
  <c r="AE13" i="1"/>
  <c r="AE14" i="1" s="1"/>
  <c r="P69" i="1"/>
  <c r="K88" i="1"/>
  <c r="K20" i="1"/>
  <c r="K21" i="1" s="1"/>
  <c r="Z88" i="1"/>
  <c r="G32" i="5" l="1"/>
  <c r="M29" i="5"/>
  <c r="O28" i="5"/>
  <c r="M28" i="5"/>
  <c r="O29" i="5"/>
  <c r="I70" i="1"/>
  <c r="AG70" i="1"/>
  <c r="N70" i="1"/>
  <c r="M70" i="1"/>
  <c r="AA21" i="1"/>
  <c r="AA25" i="1"/>
  <c r="AA26" i="1"/>
  <c r="AF25" i="1"/>
  <c r="AF21" i="1"/>
  <c r="AF26" i="1"/>
  <c r="K70" i="1"/>
  <c r="AC26" i="1"/>
  <c r="F70" i="8" s="1"/>
  <c r="AC21" i="1"/>
  <c r="AC25" i="1"/>
  <c r="AR10" i="1"/>
  <c r="W25" i="1"/>
  <c r="W21" i="1"/>
  <c r="W26" i="1"/>
  <c r="AN8" i="1"/>
  <c r="AF70" i="1"/>
  <c r="AD98" i="1"/>
  <c r="Q26" i="1"/>
  <c r="Q25" i="1"/>
  <c r="Q21" i="1"/>
  <c r="X21" i="1"/>
  <c r="X25" i="1"/>
  <c r="X26" i="1"/>
  <c r="AR8" i="1"/>
  <c r="AO8" i="1"/>
  <c r="L70" i="1"/>
  <c r="AB26" i="1"/>
  <c r="E70" i="8" s="1"/>
  <c r="AB21" i="1"/>
  <c r="AB25" i="1"/>
  <c r="AI12" i="1"/>
  <c r="AJ8" i="1"/>
  <c r="G33" i="5"/>
  <c r="G27" i="5"/>
  <c r="AU8" i="1"/>
  <c r="AG22" i="1"/>
  <c r="AG21" i="1"/>
  <c r="AG25" i="1"/>
  <c r="AG26" i="1"/>
  <c r="E69" i="8" s="1"/>
  <c r="V18" i="1"/>
  <c r="Y18" i="1" s="1"/>
  <c r="Y15" i="1"/>
  <c r="Y16" i="1" s="1"/>
  <c r="V16" i="1"/>
  <c r="BA11" i="1"/>
  <c r="AV10" i="1"/>
  <c r="AZ11" i="1"/>
  <c r="AU10" i="1"/>
  <c r="R18" i="1"/>
  <c r="T18" i="1" s="1"/>
  <c r="R16" i="1"/>
  <c r="L16" i="1"/>
  <c r="O15" i="1"/>
  <c r="O16" i="1" s="1"/>
  <c r="L18" i="1"/>
  <c r="M18" i="1"/>
  <c r="M16" i="1"/>
  <c r="S92" i="1"/>
  <c r="S20" i="1"/>
  <c r="N18" i="1"/>
  <c r="N16" i="1"/>
  <c r="O13" i="1"/>
  <c r="O14" i="1" s="1"/>
  <c r="P14" i="1"/>
  <c r="T15" i="1"/>
  <c r="T16" i="1" s="1"/>
  <c r="Y13" i="1"/>
  <c r="Y14" i="1" s="1"/>
  <c r="Z14" i="1"/>
  <c r="T13" i="1"/>
  <c r="T14" i="1" s="1"/>
  <c r="U14" i="1"/>
  <c r="S16" i="1"/>
  <c r="H18" i="1"/>
  <c r="H16" i="1"/>
  <c r="I16" i="1"/>
  <c r="I18" i="1"/>
  <c r="BB11" i="1"/>
  <c r="AD88" i="1"/>
  <c r="AD11" i="1"/>
  <c r="AD13" i="1"/>
  <c r="AD14" i="1" s="1"/>
  <c r="C50" i="8"/>
  <c r="AD20" i="1"/>
  <c r="C53" i="8"/>
  <c r="AI103" i="1"/>
  <c r="AI119" i="1" s="1"/>
  <c r="AI120" i="1" s="1"/>
  <c r="AI39" i="1"/>
  <c r="AX30" i="1"/>
  <c r="AT30" i="1"/>
  <c r="AX29" i="1"/>
  <c r="AT29" i="1"/>
  <c r="AH114" i="1"/>
  <c r="AL112" i="1"/>
  <c r="AL114" i="1"/>
  <c r="AK112" i="1"/>
  <c r="AK114" i="1"/>
  <c r="E12" i="12"/>
  <c r="F12" i="12"/>
  <c r="AR12" i="1"/>
  <c r="AV12" i="1"/>
  <c r="AV39" i="1"/>
  <c r="AV36" i="1"/>
  <c r="AV17" i="1"/>
  <c r="BA58" i="1"/>
  <c r="AX17" i="1"/>
  <c r="BC58" i="1"/>
  <c r="AP17" i="1"/>
  <c r="AU58" i="1"/>
  <c r="AU65" i="1"/>
  <c r="AZ65" i="1" s="1"/>
  <c r="BE65" i="1" s="1"/>
  <c r="AV65" i="1"/>
  <c r="BA65" i="1" s="1"/>
  <c r="BF65" i="1" s="1"/>
  <c r="AM86" i="1"/>
  <c r="AM39" i="1"/>
  <c r="AM36" i="1"/>
  <c r="AQ39" i="1"/>
  <c r="AQ36" i="1"/>
  <c r="AP39" i="1"/>
  <c r="AP36" i="1"/>
  <c r="AR65" i="1"/>
  <c r="AI86" i="1"/>
  <c r="AO30" i="1"/>
  <c r="AO29" i="1"/>
  <c r="AR58" i="1"/>
  <c r="AR17" i="1" s="1"/>
  <c r="AM17" i="1"/>
  <c r="AN17" i="1" s="1"/>
  <c r="AP12" i="1"/>
  <c r="AM12" i="1"/>
  <c r="AO103" i="1"/>
  <c r="AO119" i="1" s="1"/>
  <c r="AO120" i="1" s="1"/>
  <c r="AO39" i="1"/>
  <c r="AO36" i="1"/>
  <c r="I34" i="5"/>
  <c r="I27" i="5"/>
  <c r="I33" i="5"/>
  <c r="I32" i="5"/>
  <c r="F22" i="5"/>
  <c r="H78" i="8" s="1"/>
  <c r="F21" i="5"/>
  <c r="J21" i="5"/>
  <c r="J22" i="5"/>
  <c r="H82" i="8" s="1"/>
  <c r="G21" i="5"/>
  <c r="G22" i="5"/>
  <c r="H79" i="8" s="1"/>
  <c r="H27" i="5"/>
  <c r="H34" i="5"/>
  <c r="H33" i="5"/>
  <c r="H32" i="5"/>
  <c r="BD52" i="1"/>
  <c r="AY58" i="1"/>
  <c r="AY17" i="1" s="1"/>
  <c r="AO12" i="1"/>
  <c r="AS8" i="1" l="1"/>
  <c r="AS12" i="1" s="1"/>
  <c r="D69" i="8"/>
  <c r="D70" i="8"/>
  <c r="AD26" i="1"/>
  <c r="G70" i="8" s="1"/>
  <c r="AD21" i="1"/>
  <c r="AD25" i="1"/>
  <c r="S21" i="1"/>
  <c r="S26" i="1"/>
  <c r="S25" i="1"/>
  <c r="AJ9" i="1"/>
  <c r="AJ10" i="1"/>
  <c r="AJ39" i="1"/>
  <c r="AJ36" i="1"/>
  <c r="AJ86" i="1"/>
  <c r="D44" i="8"/>
  <c r="AJ12" i="1"/>
  <c r="AJ103" i="1"/>
  <c r="AZ8" i="1"/>
  <c r="AO10" i="1"/>
  <c r="AO13" i="1" s="1"/>
  <c r="AO9" i="1"/>
  <c r="E44" i="8"/>
  <c r="AE25" i="1"/>
  <c r="AO86" i="1"/>
  <c r="AW8" i="1"/>
  <c r="V92" i="1"/>
  <c r="V20" i="1"/>
  <c r="BE11" i="1"/>
  <c r="AZ10" i="1"/>
  <c r="BF11" i="1"/>
  <c r="BF10" i="1" s="1"/>
  <c r="BA10" i="1"/>
  <c r="N20" i="1"/>
  <c r="N92" i="1"/>
  <c r="M92" i="1"/>
  <c r="M20" i="1"/>
  <c r="O18" i="1"/>
  <c r="L92" i="1"/>
  <c r="L20" i="1"/>
  <c r="R92" i="1"/>
  <c r="R20" i="1"/>
  <c r="BG11" i="1"/>
  <c r="I20" i="1"/>
  <c r="I92" i="1"/>
  <c r="H20" i="1"/>
  <c r="H92" i="1"/>
  <c r="AI114" i="1"/>
  <c r="AP112" i="1"/>
  <c r="AP114" i="1"/>
  <c r="AV112" i="1"/>
  <c r="AQ112" i="1"/>
  <c r="AV114" i="1"/>
  <c r="AQ114" i="1"/>
  <c r="AM114" i="1"/>
  <c r="BC29" i="1"/>
  <c r="AY29" i="1"/>
  <c r="AY30" i="1"/>
  <c r="BC30" i="1"/>
  <c r="BA12" i="1"/>
  <c r="AW12" i="1"/>
  <c r="AW39" i="1"/>
  <c r="AW36" i="1"/>
  <c r="AU17" i="1"/>
  <c r="AZ58" i="1"/>
  <c r="BH58" i="1"/>
  <c r="BH17" i="1" s="1"/>
  <c r="BC17" i="1"/>
  <c r="BF58" i="1"/>
  <c r="BF17" i="1" s="1"/>
  <c r="BA17" i="1"/>
  <c r="AU12" i="1"/>
  <c r="AU39" i="1"/>
  <c r="AU114" i="1" s="1"/>
  <c r="AU36" i="1"/>
  <c r="AU112" i="1" s="1"/>
  <c r="BA39" i="1"/>
  <c r="BA36" i="1"/>
  <c r="BA86" i="1"/>
  <c r="AW58" i="1"/>
  <c r="AW65" i="1"/>
  <c r="BB65" i="1" s="1"/>
  <c r="BG65" i="1" s="1"/>
  <c r="AR39" i="1"/>
  <c r="AR36" i="1"/>
  <c r="AN39" i="1"/>
  <c r="AN36" i="1"/>
  <c r="AN86" i="1"/>
  <c r="AN12" i="1"/>
  <c r="AO51" i="1"/>
  <c r="AO38" i="1"/>
  <c r="M13" i="5"/>
  <c r="M21" i="5"/>
  <c r="N21" i="5"/>
  <c r="N13" i="5"/>
  <c r="O13" i="5"/>
  <c r="O21" i="5"/>
  <c r="M14" i="5"/>
  <c r="M22" i="5"/>
  <c r="N14" i="5"/>
  <c r="O14" i="5"/>
  <c r="N22" i="5"/>
  <c r="O22" i="5"/>
  <c r="M27" i="5"/>
  <c r="N27" i="5"/>
  <c r="O27" i="5"/>
  <c r="BI52" i="1"/>
  <c r="BD58" i="1"/>
  <c r="BD17" i="1" s="1"/>
  <c r="AO14" i="1" l="1"/>
  <c r="AO15" i="1" s="1"/>
  <c r="E50" i="8"/>
  <c r="I21" i="1"/>
  <c r="I25" i="1"/>
  <c r="I26" i="1"/>
  <c r="AO112" i="1"/>
  <c r="AJ112" i="1"/>
  <c r="AJ114" i="1"/>
  <c r="AO114" i="1"/>
  <c r="R26" i="1"/>
  <c r="R25" i="1"/>
  <c r="BB8" i="1"/>
  <c r="AW10" i="1"/>
  <c r="AY8" i="1"/>
  <c r="AY36" i="1" s="1"/>
  <c r="V21" i="1"/>
  <c r="V25" i="1"/>
  <c r="V26" i="1"/>
  <c r="N21" i="1"/>
  <c r="N25" i="1"/>
  <c r="N26" i="1"/>
  <c r="BE8" i="1"/>
  <c r="BE86" i="1" s="1"/>
  <c r="BD8" i="1"/>
  <c r="AE26" i="1"/>
  <c r="H70" i="8" s="1"/>
  <c r="Y20" i="1"/>
  <c r="AJ119" i="1"/>
  <c r="AJ120" i="1" s="1"/>
  <c r="AJ105" i="1"/>
  <c r="M21" i="1"/>
  <c r="M25" i="1"/>
  <c r="M26" i="1"/>
  <c r="L25" i="1"/>
  <c r="L26" i="1"/>
  <c r="H21" i="1"/>
  <c r="H26" i="1"/>
  <c r="H25" i="1"/>
  <c r="AX8" i="1"/>
  <c r="BC8" i="1" s="1"/>
  <c r="BH8" i="1" s="1"/>
  <c r="AT8" i="1"/>
  <c r="BE10" i="1"/>
  <c r="AO11" i="1"/>
  <c r="R21" i="1"/>
  <c r="T20" i="1"/>
  <c r="L21" i="1"/>
  <c r="O20" i="1"/>
  <c r="AN114" i="1"/>
  <c r="AW112" i="1"/>
  <c r="AR112" i="1"/>
  <c r="AW114" i="1"/>
  <c r="AR114" i="1"/>
  <c r="BH30" i="1"/>
  <c r="BI30" i="1" s="1"/>
  <c r="BD30" i="1"/>
  <c r="BH29" i="1"/>
  <c r="BI29" i="1" s="1"/>
  <c r="BD29" i="1"/>
  <c r="BA112" i="1"/>
  <c r="BA114" i="1"/>
  <c r="BB12" i="1"/>
  <c r="AW17" i="1"/>
  <c r="BB58" i="1"/>
  <c r="BF86" i="1"/>
  <c r="BF39" i="1"/>
  <c r="BF114" i="1" s="1"/>
  <c r="BF36" i="1"/>
  <c r="BF112" i="1" s="1"/>
  <c r="BF12" i="1"/>
  <c r="BE36" i="1"/>
  <c r="BE12" i="1"/>
  <c r="AZ12" i="1"/>
  <c r="AZ39" i="1"/>
  <c r="AZ36" i="1"/>
  <c r="AZ86" i="1"/>
  <c r="BE58" i="1"/>
  <c r="BE17" i="1" s="1"/>
  <c r="AZ17" i="1"/>
  <c r="BB39" i="1"/>
  <c r="BB36" i="1"/>
  <c r="BB86" i="1"/>
  <c r="AS39" i="1"/>
  <c r="AS36" i="1"/>
  <c r="AO56" i="1"/>
  <c r="AO61" i="1" s="1"/>
  <c r="O15" i="5"/>
  <c r="BI58" i="1"/>
  <c r="BI17" i="1" s="1"/>
  <c r="AO16" i="1" l="1"/>
  <c r="AO18" i="1"/>
  <c r="E47" i="8"/>
  <c r="BE39" i="1"/>
  <c r="BE114" i="1" s="1"/>
  <c r="AT9" i="1"/>
  <c r="F44" i="8"/>
  <c r="AT12" i="1"/>
  <c r="AT39" i="1"/>
  <c r="AT114" i="1" s="1"/>
  <c r="AT36" i="1"/>
  <c r="AT112" i="1" s="1"/>
  <c r="AT103" i="1"/>
  <c r="AT119" i="1" s="1"/>
  <c r="AT120" i="1" s="1"/>
  <c r="BG8" i="1"/>
  <c r="BG10" i="1" s="1"/>
  <c r="BB10" i="1"/>
  <c r="AY9" i="1"/>
  <c r="AY51" i="1" s="1"/>
  <c r="U25" i="1"/>
  <c r="BD10" i="1"/>
  <c r="BD13" i="1" s="1"/>
  <c r="BD9" i="1"/>
  <c r="BD86" i="1"/>
  <c r="AY39" i="1"/>
  <c r="O16" i="5"/>
  <c r="O23" i="12"/>
  <c r="P23" i="12" s="1"/>
  <c r="AY103" i="1"/>
  <c r="AY119" i="1" s="1"/>
  <c r="AY120" i="1" s="1"/>
  <c r="AY12" i="1"/>
  <c r="AX36" i="1"/>
  <c r="O21" i="1"/>
  <c r="O25" i="1"/>
  <c r="P25" i="1" s="1"/>
  <c r="O26" i="1"/>
  <c r="AJ41" i="1"/>
  <c r="AO102" i="1"/>
  <c r="AO105" i="1" s="1"/>
  <c r="U26" i="1"/>
  <c r="AX39" i="1"/>
  <c r="AX114" i="1" s="1"/>
  <c r="AX12" i="1"/>
  <c r="T21" i="1"/>
  <c r="T26" i="1"/>
  <c r="T25" i="1"/>
  <c r="Y21" i="1"/>
  <c r="Y25" i="1"/>
  <c r="Z25" i="1" s="1"/>
  <c r="Y26" i="1"/>
  <c r="Z26" i="1" s="1"/>
  <c r="BD12" i="1"/>
  <c r="P26" i="1"/>
  <c r="AX112" i="1"/>
  <c r="AS112" i="1"/>
  <c r="AS114" i="1"/>
  <c r="BB112" i="1"/>
  <c r="BB114" i="1"/>
  <c r="BE112" i="1"/>
  <c r="AZ112" i="1"/>
  <c r="AZ114" i="1"/>
  <c r="BC12" i="1"/>
  <c r="BG86" i="1"/>
  <c r="BG39" i="1"/>
  <c r="BG114" i="1" s="1"/>
  <c r="BG36" i="1"/>
  <c r="BG112" i="1" s="1"/>
  <c r="BG58" i="1"/>
  <c r="BG17" i="1" s="1"/>
  <c r="BB17" i="1"/>
  <c r="BC39" i="1"/>
  <c r="BC36" i="1"/>
  <c r="BC86" i="1"/>
  <c r="BD51" i="1"/>
  <c r="BD38" i="1"/>
  <c r="BD103" i="1"/>
  <c r="BD119" i="1" s="1"/>
  <c r="BD120" i="1" s="1"/>
  <c r="BD39" i="1"/>
  <c r="BD36" i="1"/>
  <c r="BD112" i="1" s="1"/>
  <c r="BD11" i="1" l="1"/>
  <c r="AT102" i="1"/>
  <c r="AT105" i="1" s="1"/>
  <c r="AO41" i="1"/>
  <c r="AY10" i="1"/>
  <c r="AT51" i="1"/>
  <c r="AT38" i="1"/>
  <c r="AT113" i="1" s="1"/>
  <c r="AT10" i="1"/>
  <c r="BI8" i="1"/>
  <c r="AO19" i="1"/>
  <c r="AY38" i="1"/>
  <c r="AY113" i="1" s="1"/>
  <c r="AY114" i="1"/>
  <c r="BG12" i="1"/>
  <c r="AY112" i="1"/>
  <c r="BD14" i="1"/>
  <c r="BD15" i="1" s="1"/>
  <c r="BD18" i="1" s="1"/>
  <c r="BD114" i="1"/>
  <c r="BC112" i="1"/>
  <c r="BC114" i="1"/>
  <c r="BH86" i="1"/>
  <c r="BH39" i="1"/>
  <c r="BH114" i="1" s="1"/>
  <c r="BH36" i="1"/>
  <c r="BH112" i="1" s="1"/>
  <c r="BH12" i="1"/>
  <c r="BD115" i="1"/>
  <c r="BD56" i="1"/>
  <c r="BD61" i="1" s="1"/>
  <c r="AY115" i="1"/>
  <c r="AY56" i="1"/>
  <c r="AY61" i="1" s="1"/>
  <c r="AT11" i="1" l="1"/>
  <c r="AT13" i="1"/>
  <c r="BI9" i="1"/>
  <c r="BI36" i="1"/>
  <c r="BI112" i="1" s="1"/>
  <c r="BI86" i="1"/>
  <c r="BI103" i="1"/>
  <c r="BI119" i="1" s="1"/>
  <c r="BI120" i="1" s="1"/>
  <c r="BI39" i="1"/>
  <c r="BI114" i="1" s="1"/>
  <c r="BI12" i="1"/>
  <c r="H7" i="12"/>
  <c r="H8" i="12" s="1"/>
  <c r="AO23" i="1"/>
  <c r="AT115" i="1"/>
  <c r="AT56" i="1"/>
  <c r="AT61" i="1" s="1"/>
  <c r="AY11" i="1"/>
  <c r="AY13" i="1"/>
  <c r="AY14" i="1" s="1"/>
  <c r="AY15" i="1" s="1"/>
  <c r="AY16" i="1" s="1"/>
  <c r="BD113" i="1"/>
  <c r="AO20" i="1"/>
  <c r="AY102" i="1"/>
  <c r="AY105" i="1" s="1"/>
  <c r="AT41" i="1"/>
  <c r="BD19" i="1"/>
  <c r="BD23" i="1" s="1"/>
  <c r="K7" i="12" s="1"/>
  <c r="K8" i="12" s="1"/>
  <c r="AY18" i="1"/>
  <c r="BD16" i="1"/>
  <c r="BI51" i="1" l="1"/>
  <c r="BI38" i="1"/>
  <c r="BI113" i="1" s="1"/>
  <c r="BI10" i="1"/>
  <c r="AY41" i="1"/>
  <c r="BD102" i="1"/>
  <c r="BD105" i="1" s="1"/>
  <c r="AT14" i="1"/>
  <c r="AT15" i="1"/>
  <c r="F50" i="8"/>
  <c r="AO22" i="1"/>
  <c r="E53" i="8"/>
  <c r="AO110" i="1"/>
  <c r="AO21" i="1"/>
  <c r="AY19" i="1"/>
  <c r="AY23" i="1" s="1"/>
  <c r="J7" i="12" s="1"/>
  <c r="J8" i="12" s="1"/>
  <c r="BD20" i="1"/>
  <c r="AJ88" i="1"/>
  <c r="AT16" i="1" l="1"/>
  <c r="F47" i="8"/>
  <c r="AT18" i="1"/>
  <c r="BI115" i="1"/>
  <c r="BI56" i="1"/>
  <c r="BI61" i="1" s="1"/>
  <c r="BI13" i="1"/>
  <c r="BI11" i="1"/>
  <c r="BI102" i="1"/>
  <c r="BI105" i="1" s="1"/>
  <c r="BI41" i="1" s="1"/>
  <c r="BD41" i="1"/>
  <c r="AY20" i="1"/>
  <c r="AY22" i="1" s="1"/>
  <c r="BD110" i="1"/>
  <c r="BD116" i="1" s="1"/>
  <c r="BD121" i="1" s="1"/>
  <c r="BD21" i="1"/>
  <c r="BD22" i="1"/>
  <c r="AT19" i="1" l="1"/>
  <c r="AT23" i="1" s="1"/>
  <c r="I7" i="12" s="1"/>
  <c r="I8" i="12" s="1"/>
  <c r="BI14" i="1"/>
  <c r="BI15" i="1"/>
  <c r="AY21" i="1"/>
  <c r="AY110" i="1"/>
  <c r="AY116" i="1" s="1"/>
  <c r="AY121" i="1" s="1"/>
  <c r="BI16" i="1" l="1"/>
  <c r="BI18" i="1"/>
  <c r="AT20" i="1"/>
  <c r="AH36" i="1"/>
  <c r="AM112" i="1" s="1"/>
  <c r="AH112" i="1"/>
  <c r="AI36" i="1"/>
  <c r="AN112" i="1" s="1"/>
  <c r="AT22" i="1" l="1"/>
  <c r="AT21" i="1"/>
  <c r="AT110" i="1"/>
  <c r="AT116" i="1" s="1"/>
  <c r="AT121" i="1" s="1"/>
  <c r="F53" i="8"/>
  <c r="BI19" i="1"/>
  <c r="BI23" i="1" s="1"/>
  <c r="L7" i="12" s="1"/>
  <c r="L8" i="12" s="1"/>
  <c r="BI20" i="1"/>
  <c r="AI112" i="1"/>
  <c r="BI21" i="1" l="1"/>
  <c r="BI22" i="1"/>
  <c r="BI110" i="1"/>
  <c r="BI116" i="1" s="1"/>
  <c r="BI121" i="1" s="1"/>
  <c r="AJ51" i="1" l="1"/>
  <c r="AO115" i="1" s="1"/>
  <c r="AJ56" i="1"/>
  <c r="AJ61" i="1" s="1"/>
  <c r="AJ38" i="1"/>
  <c r="AO113" i="1" s="1"/>
  <c r="AO116" i="1" s="1"/>
  <c r="AO121" i="1" s="1"/>
  <c r="AJ11" i="1"/>
  <c r="AJ13" i="1"/>
  <c r="AJ14" i="1" s="1"/>
  <c r="AJ113" i="1" l="1"/>
  <c r="AJ15" i="1"/>
  <c r="AJ115" i="1"/>
  <c r="D50" i="8"/>
  <c r="D47" i="8" l="1"/>
  <c r="AJ16" i="1"/>
  <c r="AJ18" i="1"/>
  <c r="AJ19" i="1" l="1"/>
  <c r="AJ23" i="1" s="1"/>
  <c r="G7" i="12" s="1"/>
  <c r="AJ20" i="1" l="1"/>
  <c r="AJ22" i="1" s="1"/>
  <c r="G8" i="12"/>
  <c r="AJ110" i="1" l="1"/>
  <c r="AJ116" i="1" s="1"/>
  <c r="AJ121" i="1" s="1"/>
  <c r="AJ35" i="1" s="1"/>
  <c r="D53" i="8"/>
  <c r="AJ67" i="1"/>
  <c r="AJ21" i="1"/>
  <c r="AO35" i="1"/>
  <c r="AJ40" i="1"/>
  <c r="AO67" i="1"/>
  <c r="AJ68" i="1"/>
  <c r="AJ69" i="1" s="1"/>
  <c r="AJ48" i="1" l="1"/>
  <c r="AJ70" i="1" s="1"/>
  <c r="AJ72" i="1"/>
  <c r="AT67" i="1"/>
  <c r="AO68" i="1"/>
  <c r="AO69" i="1" s="1"/>
  <c r="AT35" i="1"/>
  <c r="AO40" i="1"/>
  <c r="AT68" i="1" l="1"/>
  <c r="AT69" i="1" s="1"/>
  <c r="AY67" i="1"/>
  <c r="AO48" i="1"/>
  <c r="AO70" i="1" s="1"/>
  <c r="AO72" i="1"/>
  <c r="H10" i="12" s="1"/>
  <c r="H12" i="12" s="1"/>
  <c r="H15" i="12" s="1"/>
  <c r="AY35" i="1"/>
  <c r="AT40" i="1"/>
  <c r="G11" i="1"/>
  <c r="J11" i="1"/>
  <c r="AI11" i="1" s="1"/>
  <c r="AI10" i="1" s="1"/>
  <c r="G88" i="1"/>
  <c r="G13" i="1"/>
  <c r="AN11" i="1" l="1"/>
  <c r="AN10" i="1" s="1"/>
  <c r="AY40" i="1"/>
  <c r="BD35" i="1"/>
  <c r="J13" i="1"/>
  <c r="J14" i="1" s="1"/>
  <c r="G14" i="1"/>
  <c r="G15" i="1" s="1"/>
  <c r="AT48" i="1"/>
  <c r="AT70" i="1" s="1"/>
  <c r="AT72" i="1"/>
  <c r="I10" i="12" s="1"/>
  <c r="I12" i="12" s="1"/>
  <c r="I15" i="12" s="1"/>
  <c r="AY68" i="1"/>
  <c r="AY69" i="1" s="1"/>
  <c r="BD67" i="1"/>
  <c r="G18" i="1" l="1"/>
  <c r="G16" i="1"/>
  <c r="J15" i="1"/>
  <c r="J16" i="1" s="1"/>
  <c r="BI67" i="1"/>
  <c r="BI68" i="1" s="1"/>
  <c r="BI69" i="1" s="1"/>
  <c r="BD68" i="1"/>
  <c r="BD69" i="1" s="1"/>
  <c r="BI35" i="1"/>
  <c r="BI40" i="1" s="1"/>
  <c r="BD40" i="1"/>
  <c r="AY48" i="1"/>
  <c r="AY70" i="1" s="1"/>
  <c r="AY72" i="1"/>
  <c r="J10" i="12" s="1"/>
  <c r="J12" i="12" s="1"/>
  <c r="J15" i="12" s="1"/>
  <c r="AS11" i="1"/>
  <c r="AS10" i="1" s="1"/>
  <c r="AX11" i="1" l="1"/>
  <c r="AX10" i="1" s="1"/>
  <c r="BI72" i="1"/>
  <c r="BI48" i="1"/>
  <c r="BI70" i="1" s="1"/>
  <c r="BD72" i="1"/>
  <c r="K10" i="12" s="1"/>
  <c r="K12" i="12" s="1"/>
  <c r="K15" i="12" s="1"/>
  <c r="BD48" i="1"/>
  <c r="BD70" i="1" s="1"/>
  <c r="G20" i="1"/>
  <c r="G92" i="1"/>
  <c r="J18" i="1"/>
  <c r="G25" i="1" l="1"/>
  <c r="G26" i="1"/>
  <c r="BC11" i="1"/>
  <c r="BC10" i="1" s="1"/>
  <c r="L10" i="12"/>
  <c r="L12" i="12" s="1"/>
  <c r="D22" i="12" s="1"/>
  <c r="J20" i="1"/>
  <c r="G21" i="1"/>
  <c r="K26" i="1" l="1"/>
  <c r="J21" i="1"/>
  <c r="J26" i="1"/>
  <c r="J25" i="1"/>
  <c r="K25" i="1"/>
  <c r="BH11" i="1"/>
  <c r="BH10" i="1" s="1"/>
  <c r="BH13" i="1" s="1"/>
  <c r="L15" i="12"/>
  <c r="AQ14" i="1"/>
  <c r="AQ15" i="1" s="1"/>
  <c r="BF9" i="1"/>
  <c r="BF38" i="1" s="1"/>
  <c r="BF13" i="1"/>
  <c r="BF14" i="1" s="1"/>
  <c r="BF15" i="1" s="1"/>
  <c r="AU13" i="1"/>
  <c r="AU14" i="1" s="1"/>
  <c r="AU15" i="1" s="1"/>
  <c r="AZ13" i="1"/>
  <c r="AS13" i="1"/>
  <c r="AS14" i="1" s="1"/>
  <c r="AZ9" i="1"/>
  <c r="AZ51" i="1" s="1"/>
  <c r="AS9" i="1"/>
  <c r="AS38" i="1" s="1"/>
  <c r="BA9" i="1"/>
  <c r="BA38" i="1" s="1"/>
  <c r="BA13" i="1"/>
  <c r="BA14" i="1" s="1"/>
  <c r="BA15" i="1" s="1"/>
  <c r="BC51" i="1"/>
  <c r="BC115" i="1" s="1"/>
  <c r="AV9" i="1"/>
  <c r="AV51" i="1" s="1"/>
  <c r="AV13" i="1"/>
  <c r="AV14" i="1"/>
  <c r="AQ9" i="1"/>
  <c r="AQ38" i="1" s="1"/>
  <c r="AQ13" i="1"/>
  <c r="AU9" i="1"/>
  <c r="AU51" i="1" s="1"/>
  <c r="AU56" i="1" s="1"/>
  <c r="AU61" i="1" s="1"/>
  <c r="AM13" i="1"/>
  <c r="AM14" i="1" s="1"/>
  <c r="AM15" i="1" s="1"/>
  <c r="AH38" i="1"/>
  <c r="AH113" i="1" s="1"/>
  <c r="AW13" i="1"/>
  <c r="AW14" i="1" s="1"/>
  <c r="BG9" i="1"/>
  <c r="BG51" i="1" s="1"/>
  <c r="BG13" i="1"/>
  <c r="BG14" i="1" s="1"/>
  <c r="AX9" i="1"/>
  <c r="AX51" i="1" s="1"/>
  <c r="AX13" i="1"/>
  <c r="AX14" i="1" s="1"/>
  <c r="AX15" i="1" s="1"/>
  <c r="AP9" i="1"/>
  <c r="AP38" i="1" s="1"/>
  <c r="AP13" i="1"/>
  <c r="AP14" i="1" s="1"/>
  <c r="AH9" i="1"/>
  <c r="AH51" i="1" s="1"/>
  <c r="AH13" i="1"/>
  <c r="AH14" i="1" s="1"/>
  <c r="AH15" i="1" s="1"/>
  <c r="AI9" i="1"/>
  <c r="AI38" i="1" s="1"/>
  <c r="AI13" i="1"/>
  <c r="AI14" i="1" s="1"/>
  <c r="AI15" i="1" s="1"/>
  <c r="BC9" i="1"/>
  <c r="BC38" i="1" s="1"/>
  <c r="BC13" i="1"/>
  <c r="BC14" i="1" s="1"/>
  <c r="BC15" i="1" s="1"/>
  <c r="BE9" i="1"/>
  <c r="BE51" i="1" s="1"/>
  <c r="BE13" i="1"/>
  <c r="BE14" i="1" s="1"/>
  <c r="AW9" i="1"/>
  <c r="AW51" i="1" s="1"/>
  <c r="AL13" i="1"/>
  <c r="AL14" i="1" s="1"/>
  <c r="BB9" i="1"/>
  <c r="BB51" i="1" s="1"/>
  <c r="BB13" i="1"/>
  <c r="BB14" i="1" s="1"/>
  <c r="BB15" i="1" s="1"/>
  <c r="AR9" i="1"/>
  <c r="AR38" i="1" s="1"/>
  <c r="AR13" i="1"/>
  <c r="AR14" i="1" s="1"/>
  <c r="AR15" i="1" s="1"/>
  <c r="AM9" i="1"/>
  <c r="AM51" i="1" s="1"/>
  <c r="AM38" i="1"/>
  <c r="AM113" i="1" s="1"/>
  <c r="AK9" i="1"/>
  <c r="AK38" i="1" s="1"/>
  <c r="AK13" i="1"/>
  <c r="AK14" i="1" s="1"/>
  <c r="AL9" i="1"/>
  <c r="AL38" i="1" s="1"/>
  <c r="AL51" i="1"/>
  <c r="AL115" i="1" s="1"/>
  <c r="AL56" i="1"/>
  <c r="AL61" i="1" s="1"/>
  <c r="AN9" i="1"/>
  <c r="AN38" i="1" s="1"/>
  <c r="AN13" i="1"/>
  <c r="G10" i="12" l="1"/>
  <c r="G12" i="12" s="1"/>
  <c r="G15" i="12" s="1"/>
  <c r="D23" i="12" s="1"/>
  <c r="D24" i="12" s="1"/>
  <c r="D26" i="12" s="1"/>
  <c r="D28" i="12" s="1"/>
  <c r="O21" i="12" s="1"/>
  <c r="P21" i="12" s="1"/>
  <c r="AN51" i="1"/>
  <c r="AN56" i="1" s="1"/>
  <c r="AN61" i="1" s="1"/>
  <c r="AW38" i="1"/>
  <c r="AS113" i="1"/>
  <c r="AQ51" i="1"/>
  <c r="AU38" i="1"/>
  <c r="AU113" i="1" s="1"/>
  <c r="BH9" i="1"/>
  <c r="BH38" i="1" s="1"/>
  <c r="BH113" i="1"/>
  <c r="AH56" i="1"/>
  <c r="AH61" i="1" s="1"/>
  <c r="AH97" i="1"/>
  <c r="AH98" i="1" s="1"/>
  <c r="AV15" i="1"/>
  <c r="AP51" i="1"/>
  <c r="AU115" i="1" s="1"/>
  <c r="AW113" i="1"/>
  <c r="BC16" i="1"/>
  <c r="BC18" i="1"/>
  <c r="AM16" i="1"/>
  <c r="AM18" i="1"/>
  <c r="AQ18" i="1"/>
  <c r="AQ16" i="1"/>
  <c r="BE56" i="1"/>
  <c r="BE61" i="1" s="1"/>
  <c r="BE115" i="1"/>
  <c r="AV16" i="1"/>
  <c r="AV18" i="1"/>
  <c r="BF18" i="1"/>
  <c r="BF16" i="1"/>
  <c r="BF113" i="1"/>
  <c r="BA16" i="1"/>
  <c r="BA18" i="1"/>
  <c r="AI18" i="1"/>
  <c r="AI16" i="1"/>
  <c r="AV56" i="1"/>
  <c r="AV61" i="1" s="1"/>
  <c r="AN113" i="1"/>
  <c r="AI113" i="1"/>
  <c r="AX16" i="1"/>
  <c r="AX18" i="1"/>
  <c r="AZ56" i="1"/>
  <c r="AZ61" i="1" s="1"/>
  <c r="AZ115" i="1"/>
  <c r="AU18" i="1"/>
  <c r="AU16" i="1"/>
  <c r="AR18" i="1"/>
  <c r="AR16" i="1"/>
  <c r="BB56" i="1"/>
  <c r="BB61" i="1" s="1"/>
  <c r="BB115" i="1"/>
  <c r="AW56" i="1"/>
  <c r="AW61" i="1" s="1"/>
  <c r="AX56" i="1"/>
  <c r="AX61" i="1" s="1"/>
  <c r="BG115" i="1"/>
  <c r="BG56" i="1"/>
  <c r="BG61" i="1" s="1"/>
  <c r="AM115" i="1"/>
  <c r="AM56" i="1"/>
  <c r="AM61" i="1" s="1"/>
  <c r="AH18" i="1"/>
  <c r="AH16" i="1"/>
  <c r="BB18" i="1"/>
  <c r="BB16" i="1"/>
  <c r="AQ113" i="1"/>
  <c r="AL113" i="1"/>
  <c r="AP113" i="1"/>
  <c r="AK113" i="1"/>
  <c r="BG15" i="1"/>
  <c r="BC56" i="1"/>
  <c r="BC61" i="1" s="1"/>
  <c r="AX38" i="1"/>
  <c r="BC113" i="1" s="1"/>
  <c r="AS15" i="1"/>
  <c r="AI51" i="1"/>
  <c r="AW15" i="1"/>
  <c r="AZ14" i="1"/>
  <c r="AZ15" i="1" s="1"/>
  <c r="AK51" i="1"/>
  <c r="AP115" i="1" s="1"/>
  <c r="BA51" i="1"/>
  <c r="BF51" i="1"/>
  <c r="BE38" i="1"/>
  <c r="BE15" i="1"/>
  <c r="AH115" i="1"/>
  <c r="AN14" i="1"/>
  <c r="AN15" i="1" s="1"/>
  <c r="AR113" i="1"/>
  <c r="AL15" i="1"/>
  <c r="AP15" i="1"/>
  <c r="AP56" i="1"/>
  <c r="AP61" i="1" s="1"/>
  <c r="BH51" i="1"/>
  <c r="AZ38" i="1"/>
  <c r="AV38" i="1"/>
  <c r="BA113" i="1" s="1"/>
  <c r="AR51" i="1"/>
  <c r="AS51" i="1"/>
  <c r="BB38" i="1"/>
  <c r="BB113" i="1" s="1"/>
  <c r="BH14" i="1"/>
  <c r="BH15" i="1" s="1"/>
  <c r="BG38" i="1"/>
  <c r="AK15" i="1"/>
  <c r="G27" i="8" l="1"/>
  <c r="G30" i="8" s="1"/>
  <c r="C33" i="12"/>
  <c r="AQ115" i="1"/>
  <c r="AQ56" i="1"/>
  <c r="AQ61" i="1" s="1"/>
  <c r="AN115" i="1"/>
  <c r="O25" i="12"/>
  <c r="P25" i="12" s="1"/>
  <c r="AV115" i="1"/>
  <c r="BH18" i="1"/>
  <c r="BH16" i="1"/>
  <c r="AZ16" i="1"/>
  <c r="AZ18" i="1"/>
  <c r="AN18" i="1"/>
  <c r="AN16" i="1"/>
  <c r="AV19" i="1"/>
  <c r="AV20" i="1" s="1"/>
  <c r="BE18" i="1"/>
  <c r="BE16" i="1"/>
  <c r="AU19" i="1"/>
  <c r="AU20" i="1" s="1"/>
  <c r="AR56" i="1"/>
  <c r="AR61" i="1" s="1"/>
  <c r="AR115" i="1"/>
  <c r="BF115" i="1"/>
  <c r="BF56" i="1"/>
  <c r="BF61" i="1" s="1"/>
  <c r="BG18" i="1"/>
  <c r="BG16" i="1"/>
  <c r="AV113" i="1"/>
  <c r="BE113" i="1"/>
  <c r="AZ113" i="1"/>
  <c r="AX19" i="1"/>
  <c r="AX20" i="1" s="1"/>
  <c r="BA19" i="1"/>
  <c r="BA20" i="1" s="1"/>
  <c r="AQ19" i="1"/>
  <c r="AQ20" i="1" s="1"/>
  <c r="AM19" i="1"/>
  <c r="AM20" i="1" s="1"/>
  <c r="BA56" i="1"/>
  <c r="BA61" i="1" s="1"/>
  <c r="BA115" i="1"/>
  <c r="AI19" i="1"/>
  <c r="AI20" i="1" s="1"/>
  <c r="AK56" i="1"/>
  <c r="AK61" i="1" s="1"/>
  <c r="AK115" i="1"/>
  <c r="BH115" i="1"/>
  <c r="BH56" i="1"/>
  <c r="BH61" i="1" s="1"/>
  <c r="BB19" i="1"/>
  <c r="BB20" i="1" s="1"/>
  <c r="AW18" i="1"/>
  <c r="AW16" i="1"/>
  <c r="AS56" i="1"/>
  <c r="AS61" i="1" s="1"/>
  <c r="AS115" i="1"/>
  <c r="AW115" i="1"/>
  <c r="AI56" i="1"/>
  <c r="AI61" i="1" s="1"/>
  <c r="AI97" i="1"/>
  <c r="AI98" i="1" s="1"/>
  <c r="AI115" i="1"/>
  <c r="AH19" i="1"/>
  <c r="AH20" i="1" s="1"/>
  <c r="AR19" i="1"/>
  <c r="AR20" i="1"/>
  <c r="BC19" i="1"/>
  <c r="BC20" i="1"/>
  <c r="BG113" i="1"/>
  <c r="AX115" i="1"/>
  <c r="AP16" i="1"/>
  <c r="AP18" i="1"/>
  <c r="AL16" i="1"/>
  <c r="AL18" i="1"/>
  <c r="AK18" i="1"/>
  <c r="AK16" i="1"/>
  <c r="AS16" i="1"/>
  <c r="AS18" i="1"/>
  <c r="AX113" i="1"/>
  <c r="BF19" i="1"/>
  <c r="BF20" i="1" s="1"/>
  <c r="BB25" i="1" l="1"/>
  <c r="BB26" i="1"/>
  <c r="AV26" i="1"/>
  <c r="AV25" i="1"/>
  <c r="BF26" i="1"/>
  <c r="BF25" i="1"/>
  <c r="AM26" i="1"/>
  <c r="AM25" i="1"/>
  <c r="BC25" i="1"/>
  <c r="BC26" i="1"/>
  <c r="AX26" i="1"/>
  <c r="AX25" i="1"/>
  <c r="BA25" i="1"/>
  <c r="BA26" i="1"/>
  <c r="AR25" i="1"/>
  <c r="AR26" i="1"/>
  <c r="AQ25" i="1"/>
  <c r="AQ26" i="1"/>
  <c r="AI25" i="1"/>
  <c r="AI26" i="1"/>
  <c r="G69" i="8" s="1"/>
  <c r="AU25" i="1"/>
  <c r="AU26" i="1"/>
  <c r="AH25" i="1"/>
  <c r="AH26" i="1"/>
  <c r="AJ26" i="1" s="1"/>
  <c r="AU110" i="1"/>
  <c r="AU116" i="1" s="1"/>
  <c r="AU121" i="1" s="1"/>
  <c r="AU22" i="1"/>
  <c r="AU21" i="1"/>
  <c r="AX110" i="1"/>
  <c r="AX116" i="1" s="1"/>
  <c r="AX121" i="1" s="1"/>
  <c r="AX22" i="1"/>
  <c r="AX21" i="1"/>
  <c r="BA110" i="1"/>
  <c r="BA116" i="1" s="1"/>
  <c r="BA121" i="1" s="1"/>
  <c r="BA21" i="1"/>
  <c r="BA22" i="1"/>
  <c r="AI67" i="1"/>
  <c r="AI21" i="1"/>
  <c r="AI22" i="1"/>
  <c r="AI110" i="1"/>
  <c r="AI116" i="1" s="1"/>
  <c r="AI121" i="1" s="1"/>
  <c r="AI35" i="1" s="1"/>
  <c r="AM21" i="1"/>
  <c r="AM110" i="1"/>
  <c r="AM116" i="1" s="1"/>
  <c r="AM121" i="1" s="1"/>
  <c r="AM22" i="1"/>
  <c r="AH22" i="1"/>
  <c r="AH21" i="1"/>
  <c r="AH110" i="1"/>
  <c r="AH116" i="1" s="1"/>
  <c r="AH121" i="1" s="1"/>
  <c r="AH35" i="1" s="1"/>
  <c r="AH67" i="1"/>
  <c r="AL19" i="1"/>
  <c r="AL20" i="1" s="1"/>
  <c r="AN19" i="1"/>
  <c r="AN20" i="1" s="1"/>
  <c r="BC110" i="1"/>
  <c r="BC116" i="1" s="1"/>
  <c r="BC121" i="1" s="1"/>
  <c r="BC22" i="1"/>
  <c r="BC21" i="1"/>
  <c r="AW19" i="1"/>
  <c r="AW20" i="1" s="1"/>
  <c r="AZ19" i="1"/>
  <c r="AZ20" i="1" s="1"/>
  <c r="AK19" i="1"/>
  <c r="AK20" i="1" s="1"/>
  <c r="BB21" i="1"/>
  <c r="BB22" i="1"/>
  <c r="BB110" i="1"/>
  <c r="BB116" i="1" s="1"/>
  <c r="BB121" i="1" s="1"/>
  <c r="AP19" i="1"/>
  <c r="AP20" i="1"/>
  <c r="AV21" i="1"/>
  <c r="AV22" i="1"/>
  <c r="AV110" i="1"/>
  <c r="AV116" i="1" s="1"/>
  <c r="AV121" i="1" s="1"/>
  <c r="BF22" i="1"/>
  <c r="BF110" i="1"/>
  <c r="BF116" i="1" s="1"/>
  <c r="BF121" i="1" s="1"/>
  <c r="BF21" i="1"/>
  <c r="BG19" i="1"/>
  <c r="BG20" i="1" s="1"/>
  <c r="AS19" i="1"/>
  <c r="AS20" i="1" s="1"/>
  <c r="AR22" i="1"/>
  <c r="AR21" i="1"/>
  <c r="AR110" i="1"/>
  <c r="AR116" i="1" s="1"/>
  <c r="AR121" i="1" s="1"/>
  <c r="AQ21" i="1"/>
  <c r="AQ110" i="1"/>
  <c r="AQ116" i="1" s="1"/>
  <c r="AQ121" i="1" s="1"/>
  <c r="AQ22" i="1"/>
  <c r="BE19" i="1"/>
  <c r="BE20" i="1"/>
  <c r="BH19" i="1"/>
  <c r="BH20" i="1" s="1"/>
  <c r="AZ25" i="1" l="1"/>
  <c r="BD25" i="1" s="1"/>
  <c r="AZ26" i="1"/>
  <c r="BD26" i="1" s="1"/>
  <c r="AS25" i="1"/>
  <c r="AS26" i="1"/>
  <c r="AW26" i="1"/>
  <c r="AW25" i="1"/>
  <c r="BG26" i="1"/>
  <c r="BG25" i="1"/>
  <c r="AJ25" i="1"/>
  <c r="BE26" i="1"/>
  <c r="BE25" i="1"/>
  <c r="BI25" i="1" s="1"/>
  <c r="AN26" i="1"/>
  <c r="G68" i="8" s="1"/>
  <c r="AN25" i="1"/>
  <c r="AK26" i="1"/>
  <c r="AK25" i="1"/>
  <c r="AO25" i="1" s="1"/>
  <c r="AL26" i="1"/>
  <c r="E68" i="8" s="1"/>
  <c r="AL25" i="1"/>
  <c r="AY25" i="1"/>
  <c r="BH26" i="1"/>
  <c r="BH25" i="1"/>
  <c r="AP25" i="1"/>
  <c r="AP26" i="1"/>
  <c r="AT26" i="1" s="1"/>
  <c r="AY26" i="1"/>
  <c r="AS110" i="1"/>
  <c r="AS116" i="1" s="1"/>
  <c r="AS121" i="1" s="1"/>
  <c r="AS22" i="1"/>
  <c r="AS21" i="1"/>
  <c r="BG21" i="1"/>
  <c r="BG110" i="1"/>
  <c r="BG116" i="1" s="1"/>
  <c r="BG121" i="1" s="1"/>
  <c r="BG22" i="1"/>
  <c r="AL67" i="1"/>
  <c r="AL21" i="1"/>
  <c r="AL22" i="1"/>
  <c r="AL110" i="1"/>
  <c r="AL116" i="1" s="1"/>
  <c r="AL121" i="1" s="1"/>
  <c r="AL35" i="1" s="1"/>
  <c r="BH22" i="1"/>
  <c r="BH110" i="1"/>
  <c r="BH116" i="1" s="1"/>
  <c r="BH121" i="1" s="1"/>
  <c r="BH21" i="1"/>
  <c r="AN21" i="1"/>
  <c r="AN22" i="1"/>
  <c r="AN110" i="1"/>
  <c r="AN116" i="1" s="1"/>
  <c r="AN121" i="1" s="1"/>
  <c r="AW110" i="1"/>
  <c r="AW116" i="1" s="1"/>
  <c r="AW121" i="1" s="1"/>
  <c r="AW22" i="1"/>
  <c r="AW21" i="1"/>
  <c r="F68" i="8"/>
  <c r="AZ110" i="1"/>
  <c r="AZ116" i="1" s="1"/>
  <c r="AZ121" i="1" s="1"/>
  <c r="AZ22" i="1"/>
  <c r="AZ21" i="1"/>
  <c r="H69" i="8"/>
  <c r="F69" i="8"/>
  <c r="AN67" i="1"/>
  <c r="AI68" i="1"/>
  <c r="AI69" i="1" s="1"/>
  <c r="AM35" i="1"/>
  <c r="AH40" i="1"/>
  <c r="AK110" i="1"/>
  <c r="AK116" i="1" s="1"/>
  <c r="AK121" i="1" s="1"/>
  <c r="AK35" i="1" s="1"/>
  <c r="AK22" i="1"/>
  <c r="AK67" i="1"/>
  <c r="AK21" i="1"/>
  <c r="D68" i="8"/>
  <c r="AN35" i="1"/>
  <c r="AI40" i="1"/>
  <c r="AP22" i="1"/>
  <c r="AP21" i="1"/>
  <c r="AP110" i="1"/>
  <c r="AP116" i="1" s="1"/>
  <c r="AP121" i="1" s="1"/>
  <c r="AH68" i="1"/>
  <c r="AH69" i="1" s="1"/>
  <c r="AM67" i="1"/>
  <c r="BE110" i="1"/>
  <c r="BE116" i="1" s="1"/>
  <c r="BE121" i="1" s="1"/>
  <c r="BE21" i="1"/>
  <c r="BE22" i="1"/>
  <c r="AO26" i="1" l="1"/>
  <c r="AT25" i="1"/>
  <c r="BI26" i="1"/>
  <c r="AN40" i="1"/>
  <c r="AS35" i="1"/>
  <c r="AM68" i="1"/>
  <c r="AM69" i="1" s="1"/>
  <c r="AR67" i="1"/>
  <c r="AK40" i="1"/>
  <c r="AP35" i="1"/>
  <c r="AH72" i="1"/>
  <c r="AH48" i="1"/>
  <c r="AH70" i="1" s="1"/>
  <c r="AN68" i="1"/>
  <c r="AN69" i="1" s="1"/>
  <c r="AS67" i="1"/>
  <c r="AI72" i="1"/>
  <c r="AI48" i="1"/>
  <c r="AI70" i="1" s="1"/>
  <c r="AM40" i="1"/>
  <c r="AR35" i="1"/>
  <c r="AQ67" i="1"/>
  <c r="AL68" i="1"/>
  <c r="AL69" i="1" s="1"/>
  <c r="AK68" i="1"/>
  <c r="AK69" i="1" s="1"/>
  <c r="AP67" i="1"/>
  <c r="AQ35" i="1"/>
  <c r="AL40" i="1"/>
  <c r="AX67" i="1" l="1"/>
  <c r="AS68" i="1"/>
  <c r="AS69" i="1" s="1"/>
  <c r="AV35" i="1"/>
  <c r="AQ40" i="1"/>
  <c r="AK48" i="1"/>
  <c r="AK70" i="1" s="1"/>
  <c r="AK72" i="1"/>
  <c r="H68" i="8"/>
  <c r="AR68" i="1"/>
  <c r="AR69" i="1" s="1"/>
  <c r="AW67" i="1"/>
  <c r="AW35" i="1"/>
  <c r="AR40" i="1"/>
  <c r="AX35" i="1"/>
  <c r="AS40" i="1"/>
  <c r="AL72" i="1"/>
  <c r="AL48" i="1"/>
  <c r="AL70" i="1" s="1"/>
  <c r="AP68" i="1"/>
  <c r="AP69" i="1" s="1"/>
  <c r="AU67" i="1"/>
  <c r="AU35" i="1"/>
  <c r="AP40" i="1"/>
  <c r="AV67" i="1"/>
  <c r="AQ68" i="1"/>
  <c r="AQ69" i="1" s="1"/>
  <c r="AM48" i="1"/>
  <c r="AM70" i="1" s="1"/>
  <c r="AM72" i="1"/>
  <c r="AN72" i="1"/>
  <c r="AN48" i="1"/>
  <c r="AN70" i="1" s="1"/>
  <c r="AR72" i="1" l="1"/>
  <c r="AR48" i="1"/>
  <c r="AR70" i="1" s="1"/>
  <c r="AW40" i="1"/>
  <c r="BB35" i="1"/>
  <c r="AV40" i="1"/>
  <c r="BA35" i="1"/>
  <c r="AS72" i="1"/>
  <c r="AS48" i="1"/>
  <c r="AS70" i="1" s="1"/>
  <c r="BB67" i="1"/>
  <c r="AW68" i="1"/>
  <c r="AW69" i="1" s="1"/>
  <c r="BA67" i="1"/>
  <c r="AV68" i="1"/>
  <c r="AV69" i="1" s="1"/>
  <c r="AP72" i="1"/>
  <c r="AP48" i="1"/>
  <c r="AP70" i="1" s="1"/>
  <c r="AZ35" i="1"/>
  <c r="AU40" i="1"/>
  <c r="AZ67" i="1"/>
  <c r="AU68" i="1"/>
  <c r="AU69" i="1" s="1"/>
  <c r="AQ72" i="1"/>
  <c r="AQ48" i="1"/>
  <c r="AQ70" i="1" s="1"/>
  <c r="BC35" i="1"/>
  <c r="AX40" i="1"/>
  <c r="AX68" i="1"/>
  <c r="AX69" i="1" s="1"/>
  <c r="BC67" i="1"/>
  <c r="BC40" i="1" l="1"/>
  <c r="BH35" i="1"/>
  <c r="BH40" i="1" s="1"/>
  <c r="AZ68" i="1"/>
  <c r="AZ69" i="1" s="1"/>
  <c r="BE67" i="1"/>
  <c r="BE68" i="1" s="1"/>
  <c r="BE69" i="1" s="1"/>
  <c r="AX72" i="1"/>
  <c r="AX48" i="1"/>
  <c r="AX70" i="1" s="1"/>
  <c r="BB68" i="1"/>
  <c r="BB69" i="1" s="1"/>
  <c r="BG67" i="1"/>
  <c r="BG68" i="1" s="1"/>
  <c r="BG69" i="1" s="1"/>
  <c r="BA40" i="1"/>
  <c r="BF35" i="1"/>
  <c r="BF40" i="1" s="1"/>
  <c r="AV48" i="1"/>
  <c r="AV70" i="1" s="1"/>
  <c r="AV72" i="1"/>
  <c r="AU48" i="1"/>
  <c r="AU70" i="1" s="1"/>
  <c r="AU72" i="1"/>
  <c r="AZ40" i="1"/>
  <c r="BE35" i="1"/>
  <c r="BE40" i="1" s="1"/>
  <c r="BG35" i="1"/>
  <c r="BG40" i="1" s="1"/>
  <c r="BB40" i="1"/>
  <c r="AW48" i="1"/>
  <c r="AW70" i="1" s="1"/>
  <c r="AW72" i="1"/>
  <c r="BH67" i="1"/>
  <c r="BH68" i="1" s="1"/>
  <c r="BH69" i="1" s="1"/>
  <c r="BC68" i="1"/>
  <c r="BC69" i="1" s="1"/>
  <c r="BA68" i="1"/>
  <c r="BA69" i="1" s="1"/>
  <c r="BF67" i="1"/>
  <c r="BF68" i="1" s="1"/>
  <c r="BF69" i="1" s="1"/>
  <c r="BF72" i="1" l="1"/>
  <c r="BF48" i="1"/>
  <c r="BF70" i="1" s="1"/>
  <c r="BB72" i="1"/>
  <c r="BB48" i="1"/>
  <c r="BB70" i="1" s="1"/>
  <c r="AZ48" i="1"/>
  <c r="AZ70" i="1" s="1"/>
  <c r="AZ72" i="1"/>
  <c r="BH48" i="1"/>
  <c r="BH70" i="1" s="1"/>
  <c r="BH72" i="1"/>
  <c r="BA48" i="1"/>
  <c r="BA70" i="1" s="1"/>
  <c r="BA72" i="1"/>
  <c r="BG72" i="1"/>
  <c r="BG48" i="1"/>
  <c r="BG70" i="1" s="1"/>
  <c r="BE72" i="1"/>
  <c r="BE48" i="1"/>
  <c r="BE70" i="1" s="1"/>
  <c r="BC48" i="1"/>
  <c r="BC70" i="1" s="1"/>
  <c r="BC72" i="1"/>
  <c r="H8"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Timothy Coudriet</author>
  </authors>
  <commentList>
    <comment ref="B39" authorId="0" shapeId="0" xr:uid="{685B3F1A-421E-4039-91E7-A06F42198720}">
      <text>
        <r>
          <rPr>
            <b/>
            <sz val="9"/>
            <color indexed="81"/>
            <rFont val="Tahoma"/>
            <family val="2"/>
          </rPr>
          <t xml:space="preserve">Timothy Coudriet:
</t>
        </r>
        <r>
          <rPr>
            <sz val="9"/>
            <color indexed="81"/>
            <rFont val="Tahoma"/>
            <family val="2"/>
          </rPr>
          <t>Balance sheet data should be pulled from the MOST RECENT FILING
Stock price may be pulled from outside sources. 
The yellow cellls are inputs for your TTM calculation</t>
        </r>
      </text>
    </comment>
    <comment ref="O39" authorId="0" shapeId="0" xr:uid="{834F1F95-DDF0-42F7-8337-189360AF632A}">
      <text>
        <r>
          <rPr>
            <b/>
            <sz val="9"/>
            <color indexed="81"/>
            <rFont val="Tahoma"/>
            <family val="2"/>
          </rPr>
          <t>Timothy Coudriet:</t>
        </r>
        <r>
          <rPr>
            <sz val="9"/>
            <color indexed="81"/>
            <rFont val="Tahoma"/>
            <family val="2"/>
          </rPr>
          <t xml:space="preserve">
Should be linked from operating model forecast</t>
        </r>
      </text>
    </comment>
    <comment ref="B40" authorId="0" shapeId="0" xr:uid="{217BBCA5-CA65-42B5-9E3A-EE592C91E7B7}">
      <text>
        <r>
          <rPr>
            <b/>
            <sz val="9"/>
            <color indexed="81"/>
            <rFont val="Tahoma"/>
            <family val="2"/>
          </rPr>
          <t>Timothy Coudriet:</t>
        </r>
        <r>
          <rPr>
            <sz val="9"/>
            <color indexed="81"/>
            <rFont val="Tahoma"/>
            <family val="2"/>
          </rPr>
          <t xml:space="preserve">
Use stock connector API or most recent price close price from Yahoo Finance or Google Finance</t>
        </r>
      </text>
    </comment>
    <comment ref="B41" authorId="0" shapeId="0" xr:uid="{A3BCA7F2-E12F-4459-A39B-9D9626E91A58}">
      <text>
        <r>
          <rPr>
            <b/>
            <sz val="9"/>
            <color indexed="81"/>
            <rFont val="Tahoma"/>
            <family val="2"/>
          </rPr>
          <t>Timothy Coudriet:</t>
        </r>
        <r>
          <rPr>
            <sz val="9"/>
            <color indexed="81"/>
            <rFont val="Tahoma"/>
            <family val="2"/>
          </rPr>
          <t xml:space="preserve">
From most recent balance sheet regardless of 10-K or 10-Q, simply the most recent filing between these two </t>
        </r>
      </text>
    </comment>
    <comment ref="B43" authorId="0" shapeId="0" xr:uid="{45192697-C1A8-4877-8A99-589E51036B62}">
      <text>
        <r>
          <rPr>
            <b/>
            <sz val="9"/>
            <color indexed="81"/>
            <rFont val="Tahoma"/>
            <family val="2"/>
          </rPr>
          <t>Timothy Coudriet:</t>
        </r>
        <r>
          <rPr>
            <sz val="9"/>
            <color indexed="81"/>
            <rFont val="Tahoma"/>
            <family val="2"/>
          </rPr>
          <t xml:space="preserve">
Most recent cash balance from most recent filing </t>
        </r>
      </text>
    </comment>
    <comment ref="B44" authorId="0" shapeId="0" xr:uid="{DEE8291B-9496-4BDB-B26C-2A3067017B01}">
      <text>
        <r>
          <rPr>
            <b/>
            <sz val="9"/>
            <color indexed="81"/>
            <rFont val="Tahoma"/>
            <family val="2"/>
          </rPr>
          <t>Timothy Coudriet:</t>
        </r>
        <r>
          <rPr>
            <sz val="9"/>
            <color indexed="81"/>
            <rFont val="Tahoma"/>
            <family val="2"/>
          </rPr>
          <t xml:space="preserve">
Most recent cash balance from most recent filing (10-Q or 10-K)</t>
        </r>
      </text>
    </comment>
    <comment ref="B46" authorId="0" shapeId="0" xr:uid="{46C60225-99F0-4711-8123-FF40A896EE80}">
      <text>
        <r>
          <rPr>
            <b/>
            <sz val="9"/>
            <color indexed="81"/>
            <rFont val="Tahoma"/>
            <family val="2"/>
          </rPr>
          <t>Timothy Coudriet:</t>
        </r>
        <r>
          <rPr>
            <sz val="9"/>
            <color indexed="81"/>
            <rFont val="Tahoma"/>
            <family val="2"/>
          </rPr>
          <t xml:space="preserve">
Most recent value of shareholder's equity from most recent 10-Q or 10-K (whichever was released most recently)</t>
        </r>
      </text>
    </comment>
    <comment ref="B48" authorId="0" shapeId="0" xr:uid="{36D2D390-604B-4C8E-AE68-73DD8F84D6B2}">
      <text>
        <r>
          <rPr>
            <b/>
            <sz val="9"/>
            <color indexed="81"/>
            <rFont val="Tahoma"/>
            <family val="2"/>
          </rPr>
          <t>Timothy Coudriet:</t>
        </r>
        <r>
          <rPr>
            <sz val="9"/>
            <color indexed="81"/>
            <rFont val="Tahoma"/>
            <family val="2"/>
          </rPr>
          <t xml:space="preserve">
To calculate ttm or "trailing twelve months", we must use the most recent 10-Q and 10-K if the 10-K is NOT the most recent filing. 
1. Pull up most recent 10-Q and 10-K 
2. TTM = This quarter's YTD results - last quarterss results + Last year's full year results
Ex. if the most recent filings is 6- months ended, it is the 2nd quarter. We would subtract last years 6-month's ended results from this years 6 - months ended results then add to FY 2020 results. This would change as applicable for 3-months and 9-months ended results.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Timothy Coudriet</author>
  </authors>
  <commentList>
    <comment ref="B8" authorId="0" shapeId="0" xr:uid="{8F1AFE68-DE24-498B-A5BD-3F373822466D}">
      <text>
        <r>
          <rPr>
            <sz val="9"/>
            <color indexed="81"/>
            <rFont val="Tahoma"/>
            <family val="2"/>
          </rPr>
          <t>Net Operating Profit After Tax</t>
        </r>
      </text>
    </comment>
    <comment ref="B9" authorId="0" shapeId="0" xr:uid="{0E30F2A8-4DE6-462E-9ACF-FA8F1EAC5AA6}">
      <text>
        <r>
          <rPr>
            <sz val="9"/>
            <color indexed="81"/>
            <rFont val="Tahoma"/>
            <family val="2"/>
          </rPr>
          <t>Depreciation and Amortization</t>
        </r>
      </text>
    </comment>
    <comment ref="B10" authorId="0" shapeId="0" xr:uid="{7E941FF9-BACE-4ECE-B220-A9DF27D8D834}">
      <text>
        <r>
          <rPr>
            <sz val="9"/>
            <color indexed="81"/>
            <rFont val="Tahoma"/>
            <family val="2"/>
          </rPr>
          <t>Changes in Net Working Capital</t>
        </r>
      </text>
    </comment>
    <comment ref="B11" authorId="0" shapeId="0" xr:uid="{BC31162F-98A0-4A88-AC8C-381D1F10C135}">
      <text>
        <r>
          <rPr>
            <sz val="9"/>
            <color indexed="81"/>
            <rFont val="Tahoma"/>
            <family val="2"/>
          </rPr>
          <t>Capital Expenditures</t>
        </r>
      </text>
    </comment>
    <comment ref="B12" authorId="0" shapeId="0" xr:uid="{7FC7B3D4-B3C4-4628-BBED-7DBCF9FD613B}">
      <text>
        <r>
          <rPr>
            <sz val="9"/>
            <color indexed="81"/>
            <rFont val="Tahoma"/>
            <family val="2"/>
          </rPr>
          <t>Free Cash Flow to Firm</t>
        </r>
      </text>
    </comment>
    <comment ref="D22" authorId="0" shapeId="0" xr:uid="{1D408846-9E8D-4883-8E46-38C9A049965D}">
      <text>
        <r>
          <rPr>
            <b/>
            <sz val="9"/>
            <color indexed="81"/>
            <rFont val="Tahoma"/>
            <family val="2"/>
          </rPr>
          <t>Timothy Coudriet:</t>
        </r>
        <r>
          <rPr>
            <sz val="9"/>
            <color indexed="81"/>
            <rFont val="Tahoma"/>
            <family val="2"/>
          </rPr>
          <t xml:space="preserve">
Caclulates TV then find present value </t>
        </r>
      </text>
    </comment>
    <comment ref="H22" authorId="0" shapeId="0" xr:uid="{3B487686-9396-4ABD-A70D-207770FD23AB}">
      <text>
        <r>
          <rPr>
            <sz val="9"/>
            <color indexed="81"/>
            <rFont val="Tahoma"/>
            <family val="2"/>
          </rPr>
          <t xml:space="preserve">
Should be rough range of your current EV/EBITDA 
ex. If the EV/EBITDA is 4.78 you could use a range of 3 - 8x or multiples that reflect its historical multiple</t>
        </r>
      </text>
    </comment>
    <comment ref="J27" authorId="0" shapeId="0" xr:uid="{17FCAC81-B2B2-4F31-A62B-17BE16D3E681}">
      <text>
        <r>
          <rPr>
            <b/>
            <sz val="9"/>
            <color indexed="81"/>
            <rFont val="Tahoma"/>
            <family val="2"/>
          </rPr>
          <t>Risk Free Rate</t>
        </r>
        <r>
          <rPr>
            <sz val="9"/>
            <color indexed="81"/>
            <rFont val="Tahoma"/>
            <family val="2"/>
          </rPr>
          <t xml:space="preserve">
Use yield of 10-year treasury note as proxy </t>
        </r>
      </text>
    </comment>
    <comment ref="J28" authorId="0" shapeId="0" xr:uid="{2D3AD3B1-2082-4628-BDE2-AC068C78F12D}">
      <text>
        <r>
          <rPr>
            <sz val="9"/>
            <color indexed="81"/>
            <rFont val="Tahoma"/>
            <family val="2"/>
          </rPr>
          <t>Market risk premium</t>
        </r>
      </text>
    </comment>
    <comment ref="B30" authorId="0" shapeId="0" xr:uid="{F1FD8377-C9A5-46C1-8F88-2410227C0A50}">
      <text>
        <r>
          <rPr>
            <sz val="9"/>
            <color indexed="81"/>
            <rFont val="Tahoma"/>
            <family val="2"/>
          </rPr>
          <t>To get data table:
Data &gt; What-If Analysis &gt; Data Table 
Row Input: WACC under assumptions
Column Input: Terminal Growth Rate from Above</t>
        </r>
      </text>
    </comment>
    <comment ref="F33" authorId="0" shapeId="0" xr:uid="{1803BEA3-F5BF-409D-A5DB-D97BBDAA22DA}">
      <text>
        <r>
          <rPr>
            <sz val="11"/>
            <color theme="1"/>
            <rFont val="Calibri"/>
            <family val="2"/>
            <scheme val="minor"/>
          </rPr>
          <t>WACC mst be hardcoded</t>
        </r>
      </text>
    </comment>
    <comment ref="C36" authorId="0" shapeId="0" xr:uid="{8EFF9ED5-05EE-499A-8642-BE7E3DBC419E}">
      <text>
        <r>
          <rPr>
            <sz val="9"/>
            <color indexed="81"/>
            <rFont val="Tahoma"/>
            <family val="2"/>
          </rPr>
          <t>% TGR MUST be hardcoded</t>
        </r>
      </text>
    </comment>
  </commentList>
</comments>
</file>

<file path=xl/sharedStrings.xml><?xml version="1.0" encoding="utf-8"?>
<sst xmlns="http://schemas.openxmlformats.org/spreadsheetml/2006/main" count="451" uniqueCount="323">
  <si>
    <t>The University at Albany School of Business Investment Group</t>
  </si>
  <si>
    <t>Sector: Industrials</t>
  </si>
  <si>
    <t>Ticker: BLDR</t>
  </si>
  <si>
    <t>Last Updated: 11/3/2021</t>
  </si>
  <si>
    <t>Recommendation:</t>
  </si>
  <si>
    <t>Company Description:</t>
  </si>
  <si>
    <t>Upside:</t>
  </si>
  <si>
    <t>Price Target:</t>
  </si>
  <si>
    <t>Current Price:</t>
  </si>
  <si>
    <t>Stop Loss:</t>
  </si>
  <si>
    <t>Downside:</t>
  </si>
  <si>
    <t xml:space="preserve">Group Buy In Price </t>
  </si>
  <si>
    <t xml:space="preserve">Position Upside </t>
  </si>
  <si>
    <t>Trading Data</t>
  </si>
  <si>
    <t>52-Week High:</t>
  </si>
  <si>
    <t>52-Week Low:</t>
  </si>
  <si>
    <t>Market Cap ($)</t>
  </si>
  <si>
    <t>Investment Thesis</t>
  </si>
  <si>
    <t xml:space="preserve">Plus: Net Debt </t>
  </si>
  <si>
    <t>Enterprise Value ($)</t>
  </si>
  <si>
    <t>Beta Coefficient:</t>
  </si>
  <si>
    <t xml:space="preserve">Valuation Summary </t>
  </si>
  <si>
    <t>PT</t>
  </si>
  <si>
    <t>Weight</t>
  </si>
  <si>
    <t>DCF</t>
  </si>
  <si>
    <t>Comparable</t>
  </si>
  <si>
    <t>Historical</t>
  </si>
  <si>
    <t>Consolidated:</t>
  </si>
  <si>
    <t>CAGR% 2016-2020</t>
  </si>
  <si>
    <t>CAGR% 2021-2025</t>
  </si>
  <si>
    <t>Fundamental Analysis ($k)</t>
  </si>
  <si>
    <t>Fiscal Year:</t>
  </si>
  <si>
    <t>2020A</t>
  </si>
  <si>
    <t>2021E</t>
  </si>
  <si>
    <t>2022E</t>
  </si>
  <si>
    <t>2023E</t>
  </si>
  <si>
    <t>Total Sales</t>
  </si>
  <si>
    <t>% Growth</t>
  </si>
  <si>
    <t>% Gross Margin</t>
  </si>
  <si>
    <t>EBIT</t>
  </si>
  <si>
    <t>% EBIT Margin</t>
  </si>
  <si>
    <t>EBITDA</t>
  </si>
  <si>
    <t>% EBITDA Margin</t>
  </si>
  <si>
    <t>Net Income</t>
  </si>
  <si>
    <t>Catalysts</t>
  </si>
  <si>
    <t>% Net Margin</t>
  </si>
  <si>
    <t>Current Valuation</t>
  </si>
  <si>
    <t>P/E (FY20A)</t>
  </si>
  <si>
    <t>EV/EBIT (FY202A)</t>
  </si>
  <si>
    <t>EV/EBITDA (FY20A)</t>
  </si>
  <si>
    <t>Risks</t>
  </si>
  <si>
    <t>Earnings Estimates (Diluted)</t>
  </si>
  <si>
    <t>FY</t>
  </si>
  <si>
    <t>Consensus Estimates (Diluted)</t>
  </si>
  <si>
    <t>Market Differentiation</t>
  </si>
  <si>
    <t>Current Peer Multiples</t>
  </si>
  <si>
    <t xml:space="preserve">Company </t>
  </si>
  <si>
    <t>Ticker</t>
  </si>
  <si>
    <t>MC</t>
  </si>
  <si>
    <t>P/E</t>
  </si>
  <si>
    <t>P/S</t>
  </si>
  <si>
    <t>EV/EBITDA</t>
  </si>
  <si>
    <t>GMS Inc.</t>
  </si>
  <si>
    <t xml:space="preserve">GMS </t>
  </si>
  <si>
    <t>2.04B</t>
  </si>
  <si>
    <t>Owens Corning</t>
  </si>
  <si>
    <t>OC</t>
  </si>
  <si>
    <t>9.94B</t>
  </si>
  <si>
    <t>JELD-Wen Holding</t>
  </si>
  <si>
    <t>JELD</t>
  </si>
  <si>
    <t>26.40B</t>
  </si>
  <si>
    <t>MASCO Corporation</t>
  </si>
  <si>
    <t xml:space="preserve">MAS </t>
  </si>
  <si>
    <t>14.94B</t>
  </si>
  <si>
    <t>Carlisle Companies</t>
  </si>
  <si>
    <t>CSL</t>
  </si>
  <si>
    <t>11.55B</t>
  </si>
  <si>
    <t>Income Statement is in Thousands of $USD</t>
  </si>
  <si>
    <t>Builders FirstSource</t>
  </si>
  <si>
    <t>Q1</t>
  </si>
  <si>
    <t>Q2</t>
  </si>
  <si>
    <t>Q3</t>
  </si>
  <si>
    <t>Q4</t>
  </si>
  <si>
    <t>FY 2016</t>
  </si>
  <si>
    <t xml:space="preserve"> Q1</t>
  </si>
  <si>
    <t xml:space="preserve"> Q2</t>
  </si>
  <si>
    <t xml:space="preserve"> Q3</t>
  </si>
  <si>
    <t xml:space="preserve"> Q4</t>
  </si>
  <si>
    <t>FY 2017</t>
  </si>
  <si>
    <t>FY 2018</t>
  </si>
  <si>
    <t>FY2019</t>
  </si>
  <si>
    <t>FY 2020</t>
  </si>
  <si>
    <t>FY 2021</t>
  </si>
  <si>
    <t>FY 2022</t>
  </si>
  <si>
    <t>FY 2023</t>
  </si>
  <si>
    <t>FY 2024</t>
  </si>
  <si>
    <t>FY2025</t>
  </si>
  <si>
    <t>FY2026</t>
  </si>
  <si>
    <t>Units: Thousands of $USD</t>
  </si>
  <si>
    <t>Income Statement</t>
  </si>
  <si>
    <t>Net sales</t>
  </si>
  <si>
    <t>Less: COGS</t>
  </si>
  <si>
    <t>Gross profit</t>
  </si>
  <si>
    <t>Gross margin</t>
  </si>
  <si>
    <t>Less: SG&amp;A</t>
  </si>
  <si>
    <t>EBITDA Margin</t>
  </si>
  <si>
    <t>EBIT Margin</t>
  </si>
  <si>
    <t>Less: Interest expense</t>
  </si>
  <si>
    <t>EBT</t>
  </si>
  <si>
    <t>Less: Income tax expense</t>
  </si>
  <si>
    <t>Net income</t>
  </si>
  <si>
    <t>Comprehensive income</t>
  </si>
  <si>
    <t>Tax Rate</t>
  </si>
  <si>
    <t>Net income per share:</t>
  </si>
  <si>
    <t>Basic</t>
  </si>
  <si>
    <t>Diluted</t>
  </si>
  <si>
    <t>Weighted average common shares outstanding:</t>
  </si>
  <si>
    <t>BalanceSheet</t>
  </si>
  <si>
    <t>FY 2016A</t>
  </si>
  <si>
    <t>FY 2017A</t>
  </si>
  <si>
    <t>FY 2018A</t>
  </si>
  <si>
    <t>FY2019A</t>
  </si>
  <si>
    <t>FY 2020A</t>
  </si>
  <si>
    <t>FY 2021E</t>
  </si>
  <si>
    <t>FY 2022E</t>
  </si>
  <si>
    <t>FY 2023E</t>
  </si>
  <si>
    <t>FY 2024E</t>
  </si>
  <si>
    <t>FY2025E</t>
  </si>
  <si>
    <t>FY2026E</t>
  </si>
  <si>
    <t>Current assets:</t>
  </si>
  <si>
    <t>Cash and cash equivalents</t>
  </si>
  <si>
    <t>Accounts receivable</t>
  </si>
  <si>
    <t>Other receivables</t>
  </si>
  <si>
    <t>Inventories, net</t>
  </si>
  <si>
    <t>Other current assets</t>
  </si>
  <si>
    <t>Total current assets</t>
  </si>
  <si>
    <t>Property, plant and equipment, net</t>
  </si>
  <si>
    <t>Assets held for sale</t>
  </si>
  <si>
    <t>Operating lease right-of-use assets, net</t>
  </si>
  <si>
    <t>Goodwill</t>
  </si>
  <si>
    <t>Intangible assets, net</t>
  </si>
  <si>
    <t>Deferred income taxes</t>
  </si>
  <si>
    <t>Other assets, net</t>
  </si>
  <si>
    <t>Total assets</t>
  </si>
  <si>
    <t>Current liabilities:</t>
  </si>
  <si>
    <t>Accounts payable</t>
  </si>
  <si>
    <t>Accrued liabilities</t>
  </si>
  <si>
    <t>Checks outstanding</t>
  </si>
  <si>
    <t>Current portion of operating lease liabilities</t>
  </si>
  <si>
    <t>Current maturities of long-term debt</t>
  </si>
  <si>
    <t>Total current liabilities</t>
  </si>
  <si>
    <t>Noncurrent portion of operating lease liabilities</t>
  </si>
  <si>
    <t>Long-term debt, net of current maturities, debt discount, premium and issuance costs</t>
  </si>
  <si>
    <t>Other long-term liabilities</t>
  </si>
  <si>
    <t>Total liabilities</t>
  </si>
  <si>
    <t xml:space="preserve"> </t>
  </si>
  <si>
    <t>Stockholders’ equity:</t>
  </si>
  <si>
    <t>Preferred stock</t>
  </si>
  <si>
    <t>Common stock</t>
  </si>
  <si>
    <t>Additional paid-in capital</t>
  </si>
  <si>
    <t>Retained earnings</t>
  </si>
  <si>
    <t>Total stockholders’ equity</t>
  </si>
  <si>
    <t>Total liabilities and stockholders’ equity</t>
  </si>
  <si>
    <t>Check</t>
  </si>
  <si>
    <t>NWC</t>
  </si>
  <si>
    <t xml:space="preserve">Builders FirstSource </t>
  </si>
  <si>
    <t>FY 2019A</t>
  </si>
  <si>
    <t>Cash Flow Items</t>
  </si>
  <si>
    <t>Dec. 31, 2016</t>
  </si>
  <si>
    <t>Dec. 31, 2017</t>
  </si>
  <si>
    <t>Dec. 31, 2018</t>
  </si>
  <si>
    <t>Dec. 31, 2019</t>
  </si>
  <si>
    <t>Dec. 31, 2020</t>
  </si>
  <si>
    <t>Depreciation and amortization</t>
  </si>
  <si>
    <t>Purchases of property, plant and equipment</t>
  </si>
  <si>
    <t>Repurchase of common stock</t>
  </si>
  <si>
    <t>Projections</t>
  </si>
  <si>
    <t>% Sales Growth</t>
  </si>
  <si>
    <t xml:space="preserve"> COGS as % Revenue</t>
  </si>
  <si>
    <t>SG&amp;A as % of Revenue</t>
  </si>
  <si>
    <t>D&amp;A as % of Revenue</t>
  </si>
  <si>
    <t>Interest Expense as % of LTD</t>
  </si>
  <si>
    <t>% Income Tax Margin</t>
  </si>
  <si>
    <t>Balance Sheet</t>
  </si>
  <si>
    <t>Days Sales Outstanding (Accounts Receivables, DSO)</t>
  </si>
  <si>
    <t>Days Inventory Outstanding (Inventory, DIO)</t>
  </si>
  <si>
    <t>Days Payable Outstanding (Accounts Payable, DPO)</t>
  </si>
  <si>
    <t>Cash Conversion Cycle</t>
  </si>
  <si>
    <t>Prepaid Expense as % of Revenue</t>
  </si>
  <si>
    <t>PP&amp;E - Beginning</t>
  </si>
  <si>
    <t>Plus: Capex</t>
  </si>
  <si>
    <t>Less: D&amp;A</t>
  </si>
  <si>
    <t>PP&amp;E - Ending</t>
  </si>
  <si>
    <t>Capex as % of Revenue</t>
  </si>
  <si>
    <t>Cash Calculation</t>
  </si>
  <si>
    <t>Cash From Operations (CFO)</t>
  </si>
  <si>
    <t>D&amp;A</t>
  </si>
  <si>
    <t>Accounts Receivable</t>
  </si>
  <si>
    <t>Inventory</t>
  </si>
  <si>
    <t>Prepaid Expenses</t>
  </si>
  <si>
    <t>Accounts Payable</t>
  </si>
  <si>
    <t>Total CFO:</t>
  </si>
  <si>
    <t>Cash From Investing (CFI)</t>
  </si>
  <si>
    <t>Capex</t>
  </si>
  <si>
    <t>Total CFI</t>
  </si>
  <si>
    <t>Total Change in Cash</t>
  </si>
  <si>
    <t>Comparable Company Valuation</t>
  </si>
  <si>
    <t>Target Company</t>
  </si>
  <si>
    <t>Comparable Companies</t>
  </si>
  <si>
    <t>Valuation</t>
  </si>
  <si>
    <t>Company Information</t>
  </si>
  <si>
    <t>Upside</t>
  </si>
  <si>
    <t>Base</t>
  </si>
  <si>
    <t>Downside</t>
  </si>
  <si>
    <t>Company Name</t>
  </si>
  <si>
    <t>GMS Inc</t>
  </si>
  <si>
    <t>Masco Corporation</t>
  </si>
  <si>
    <t xml:space="preserve">Ticker </t>
  </si>
  <si>
    <t>BLDR</t>
  </si>
  <si>
    <t>Market Capitalization ($)</t>
  </si>
  <si>
    <t>Units</t>
  </si>
  <si>
    <t>Millions</t>
  </si>
  <si>
    <t xml:space="preserve">Share Price </t>
  </si>
  <si>
    <t>Book Value / Share (BV/s)</t>
  </si>
  <si>
    <t>EV/EBIT</t>
  </si>
  <si>
    <t>BV/s as % of Share Price</t>
  </si>
  <si>
    <t>Profitability</t>
  </si>
  <si>
    <t>% Net Profit Margin</t>
  </si>
  <si>
    <t xml:space="preserve">Credit </t>
  </si>
  <si>
    <t xml:space="preserve">Leverage </t>
  </si>
  <si>
    <t xml:space="preserve">Net Leverage </t>
  </si>
  <si>
    <t>EBITDA Interest Coverage</t>
  </si>
  <si>
    <t xml:space="preserve">Debt to Equity </t>
  </si>
  <si>
    <t>Debt to Capital</t>
  </si>
  <si>
    <t>Balance Sheet and Other Inputs</t>
  </si>
  <si>
    <t xml:space="preserve">2021 Projected Financial Results </t>
  </si>
  <si>
    <t>2021E EPS</t>
  </si>
  <si>
    <t xml:space="preserve">Diluted Shares </t>
  </si>
  <si>
    <t>2021E EBIT</t>
  </si>
  <si>
    <t>Market Capitalization</t>
  </si>
  <si>
    <t>2021E EBITDA</t>
  </si>
  <si>
    <t>Less: Cash</t>
  </si>
  <si>
    <t xml:space="preserve">2021E Net Income </t>
  </si>
  <si>
    <t xml:space="preserve">Plus: Debt </t>
  </si>
  <si>
    <t>2021E Cash</t>
  </si>
  <si>
    <t xml:space="preserve">Enterprise Value </t>
  </si>
  <si>
    <t>2021E Debt</t>
  </si>
  <si>
    <t xml:space="preserve">Book Value </t>
  </si>
  <si>
    <t xml:space="preserve">2021E Diluted Shares </t>
  </si>
  <si>
    <t>Income Statement Inputs (ttm)</t>
  </si>
  <si>
    <t>Sales (ttm)</t>
  </si>
  <si>
    <t>Gross Profit (ttm)</t>
  </si>
  <si>
    <t>EBIT (ttm)</t>
  </si>
  <si>
    <t>Net Income (ttm)</t>
  </si>
  <si>
    <t>Diluted EPS (ttm)</t>
  </si>
  <si>
    <t>Interest Expense (ttm)</t>
  </si>
  <si>
    <t>D&amp;A (ttm)</t>
  </si>
  <si>
    <t>EBITDA (ttm)</t>
  </si>
  <si>
    <t>Discounted Cash Flow Valuation - SFM</t>
  </si>
  <si>
    <t>Free Cash Flow to Firm</t>
  </si>
  <si>
    <t>FY 2025E</t>
  </si>
  <si>
    <t>FY 2026E</t>
  </si>
  <si>
    <t xml:space="preserve">EBIT </t>
  </si>
  <si>
    <t xml:space="preserve">Tax Rate </t>
  </si>
  <si>
    <t>NOPAT</t>
  </si>
  <si>
    <t>Plus: D&amp;A</t>
  </si>
  <si>
    <t>Less: △ NwC</t>
  </si>
  <si>
    <t xml:space="preserve">Less: Capex </t>
  </si>
  <si>
    <t>FCFF</t>
  </si>
  <si>
    <t xml:space="preserve">Discount Period </t>
  </si>
  <si>
    <t>Present Value of FCFF</t>
  </si>
  <si>
    <t xml:space="preserve">Perpetuity Growth Method </t>
  </si>
  <si>
    <t xml:space="preserve">Exit EBITDA Method </t>
  </si>
  <si>
    <t>Assumptions</t>
  </si>
  <si>
    <t xml:space="preserve">Terminal Growth Rate </t>
  </si>
  <si>
    <t xml:space="preserve">Entry EV/EBITDA </t>
  </si>
  <si>
    <t xml:space="preserve">% Weight Debt </t>
  </si>
  <si>
    <t xml:space="preserve">PV Terminal Value </t>
  </si>
  <si>
    <t xml:space="preserve">Exit EV/EBITDA </t>
  </si>
  <si>
    <t xml:space="preserve">Cost of Debt </t>
  </si>
  <si>
    <t>Cumulative FCFF</t>
  </si>
  <si>
    <t xml:space="preserve">2026 EBITDA </t>
  </si>
  <si>
    <t xml:space="preserve">% 2021 Tax Rate </t>
  </si>
  <si>
    <t xml:space="preserve">% Weight Equity </t>
  </si>
  <si>
    <t xml:space="preserve">Less: Net Debt </t>
  </si>
  <si>
    <t xml:space="preserve">Cost of Equity </t>
  </si>
  <si>
    <t xml:space="preserve">Equity Value </t>
  </si>
  <si>
    <t xml:space="preserve">Beta </t>
  </si>
  <si>
    <t>RFR</t>
  </si>
  <si>
    <t xml:space="preserve">Implied Share Price </t>
  </si>
  <si>
    <t>MRP</t>
  </si>
  <si>
    <t>WACC</t>
  </si>
  <si>
    <t>Sensitivity Analysis</t>
  </si>
  <si>
    <t>2021 Cash</t>
  </si>
  <si>
    <t xml:space="preserve">2021 Debt </t>
  </si>
  <si>
    <t xml:space="preserve">2021 Net Debt </t>
  </si>
  <si>
    <t xml:space="preserve">% Terminal Growth Rate </t>
  </si>
  <si>
    <t xml:space="preserve">Market Cap </t>
  </si>
  <si>
    <t xml:space="preserve">Plus: Net Debt  </t>
  </si>
  <si>
    <t>Enterprise Value</t>
  </si>
  <si>
    <t xml:space="preserve">2020 EBITDA </t>
  </si>
  <si>
    <t>ITOT</t>
  </si>
  <si>
    <t>Date</t>
  </si>
  <si>
    <t>Federal Reserve Economic Data</t>
  </si>
  <si>
    <t>Link: https://fred.stlouisfed.org</t>
  </si>
  <si>
    <t>Economic Research Division</t>
  </si>
  <si>
    <t>Federal Reserve Bank of St. Louis</t>
  </si>
  <si>
    <t>A863RG3A086NBEA</t>
  </si>
  <si>
    <t>Private fixed investment in structures: Residential: Other structures - manufactured homes, dormitories, improvements, brokers' commissions on sales of structures (chain-type price index), Index 2012=100, Annual, Not Seasonally Adjusted</t>
  </si>
  <si>
    <t>Annual</t>
  </si>
  <si>
    <t>Index 2012 = 100</t>
  </si>
  <si>
    <t>Net Margin (%)</t>
  </si>
  <si>
    <t>Spot</t>
  </si>
  <si>
    <t>Return</t>
  </si>
  <si>
    <t>Beta</t>
  </si>
  <si>
    <t>Consolidated</t>
  </si>
  <si>
    <t>Comparable Valuation Method</t>
  </si>
  <si>
    <t xml:space="preserve">Consolidated Upside </t>
  </si>
  <si>
    <t>Price</t>
  </si>
  <si>
    <t>Current Price</t>
  </si>
  <si>
    <t>Revenue Breakdown</t>
  </si>
  <si>
    <t xml:space="preserve">Supporting Trends: </t>
  </si>
  <si>
    <t>Analysts: Amir Khan, Quinnten Chen, David Sanchez, Erica 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</si>
</sst>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quot;$ &quot;#,##0_);_(&quot;$ &quot;\(#,##0\)"/>
    <numFmt numFmtId="165" formatCode="_(* #,##0_);_(* \(#,##0\);_(* &quot;-&quot;??_);_(@_)"/>
    <numFmt numFmtId="166" formatCode="0.0%"/>
    <numFmt numFmtId="167" formatCode="0.0\x"/>
    <numFmt numFmtId="168" formatCode="_(* #,##0.0_);_(* \(#,##0.0\);_(* &quot;-&quot;_);_(@_)"/>
    <numFmt numFmtId="169" formatCode="_(* #,##0.00_);_(* \(#,##0.00\);_(* &quot;-&quot;_);_(@_)"/>
    <numFmt numFmtId="170" formatCode="&quot;$&quot;#,##0"/>
    <numFmt numFmtId="171" formatCode="&quot;$&quot;#,##0.00"/>
    <numFmt numFmtId="172" formatCode="#,##0.00&quot;B&quot;"/>
    <numFmt numFmtId="173" formatCode="0.00&quot;x&quot;"/>
    <numFmt numFmtId="174" formatCode="0.00\x"/>
    <numFmt numFmtId="175" formatCode="&quot;$&quot;#,##0.00_);\(&quot;$&quot;#,##0.00\);@_)"/>
    <numFmt numFmtId="176" formatCode="&quot;$&quot;0.00"/>
    <numFmt numFmtId="177" formatCode="0&quot;E&quot;"/>
    <numFmt numFmtId="178" formatCode="&quot;Q&quot;0"/>
    <numFmt numFmtId="179" formatCode="&quot;+&quot;0\ &quot;bps&quot;"/>
    <numFmt numFmtId="180" formatCode="&quot;$&quot;#,##0_);\(&quot;$&quot;#,##0\);@_)"/>
    <numFmt numFmtId="181" formatCode="0&quot;A&quot;"/>
    <numFmt numFmtId="182" formatCode="0.0000"/>
    <numFmt numFmtId="183" formatCode="0.000"/>
  </numFmts>
  <fonts count="73" x14ac:knownFonts="1">
    <font>
      <sz val="11"/>
      <color theme="1"/>
      <name val="Calibri"/>
      <family val="2"/>
      <scheme val="minor"/>
    </font>
    <font>
      <b/>
      <u/>
      <sz val="11"/>
      <color theme="1"/>
      <name val="Book Antiqua"/>
      <family val="1"/>
    </font>
    <font>
      <sz val="11"/>
      <color theme="1"/>
      <name val="Book Antiqua"/>
      <family val="1"/>
    </font>
    <font>
      <b/>
      <sz val="11"/>
      <name val="Book Antiqua"/>
      <family val="1"/>
    </font>
    <font>
      <sz val="11"/>
      <name val="Book Antiqua"/>
      <family val="1"/>
    </font>
    <font>
      <b/>
      <sz val="11"/>
      <color theme="0"/>
      <name val="Book Antiqua"/>
      <family val="1"/>
    </font>
    <font>
      <b/>
      <sz val="11"/>
      <color rgb="FF0000FF"/>
      <name val="Book Antiqua"/>
      <family val="1"/>
    </font>
    <font>
      <u val="singleAccounting"/>
      <sz val="11"/>
      <color rgb="FF0000FF"/>
      <name val="Book Antiqua"/>
      <family val="1"/>
    </font>
    <font>
      <sz val="11"/>
      <color rgb="FF0000FF"/>
      <name val="Book Antiqua"/>
      <family val="1"/>
    </font>
    <font>
      <b/>
      <sz val="11"/>
      <color rgb="FFFFFFFF"/>
      <name val="Book Antiqua"/>
      <family val="1"/>
    </font>
    <font>
      <sz val="10"/>
      <name val="Arial"/>
      <family val="2"/>
    </font>
    <font>
      <sz val="10"/>
      <name val="Book Antiqua"/>
      <family val="1"/>
    </font>
    <font>
      <sz val="11"/>
      <color theme="1"/>
      <name val="Book Antiqua"/>
      <family val="1"/>
    </font>
    <font>
      <b/>
      <u/>
      <sz val="12"/>
      <color rgb="FF000000"/>
      <name val="Book Antiqua"/>
      <family val="1"/>
    </font>
    <font>
      <sz val="12"/>
      <color rgb="FF0000FF"/>
      <name val="Book Antiqua"/>
      <family val="1"/>
    </font>
    <font>
      <sz val="11"/>
      <color rgb="FF000000"/>
      <name val="Book Antiqua"/>
      <family val="1"/>
    </font>
    <font>
      <u/>
      <sz val="11"/>
      <color rgb="FF0000FF"/>
      <name val="Book Antiqua"/>
      <family val="1"/>
    </font>
    <font>
      <b/>
      <sz val="11"/>
      <color rgb="FF000000"/>
      <name val="Book Antiqua"/>
      <family val="1"/>
    </font>
    <font>
      <b/>
      <i/>
      <sz val="11"/>
      <color theme="1"/>
      <name val="Book Antiqua"/>
      <family val="1"/>
    </font>
    <font>
      <sz val="12"/>
      <color theme="1"/>
      <name val="Book Antiqua"/>
      <family val="1"/>
    </font>
    <font>
      <b/>
      <u/>
      <sz val="12"/>
      <color theme="1"/>
      <name val="Book Antiqua"/>
      <family val="1"/>
    </font>
    <font>
      <b/>
      <sz val="12"/>
      <color theme="0"/>
      <name val="Book Antiqua"/>
      <family val="1"/>
    </font>
    <font>
      <i/>
      <sz val="12"/>
      <color theme="1"/>
      <name val="Book Antiqua"/>
      <family val="1"/>
    </font>
    <font>
      <sz val="11"/>
      <color theme="1"/>
      <name val="Calibri"/>
      <family val="2"/>
      <scheme val="minor"/>
    </font>
    <font>
      <sz val="11"/>
      <color rgb="FFC00000"/>
      <name val="Book Antiqua"/>
      <family val="1"/>
    </font>
    <font>
      <b/>
      <sz val="11"/>
      <color theme="1"/>
      <name val="Book Antiqua"/>
      <family val="1"/>
    </font>
    <font>
      <u/>
      <sz val="11"/>
      <color theme="1"/>
      <name val="Book Antiqua"/>
      <family val="1"/>
    </font>
    <font>
      <sz val="11"/>
      <color theme="0"/>
      <name val="Book Antiqua"/>
      <family val="1"/>
    </font>
    <font>
      <sz val="11"/>
      <color rgb="FFFF0000"/>
      <name val="Book Antiqua"/>
      <family val="1"/>
    </font>
    <font>
      <b/>
      <sz val="11"/>
      <color rgb="FFFF0000"/>
      <name val="Book Antiqua"/>
      <family val="1"/>
    </font>
    <font>
      <u/>
      <sz val="11"/>
      <color theme="10"/>
      <name val="Calibri"/>
      <family val="2"/>
      <scheme val="minor"/>
    </font>
    <font>
      <i/>
      <sz val="11"/>
      <color theme="0"/>
      <name val="Book Antiqua"/>
      <family val="1"/>
    </font>
    <font>
      <b/>
      <sz val="9"/>
      <color indexed="81"/>
      <name val="Tahoma"/>
      <family val="2"/>
    </font>
    <font>
      <sz val="9"/>
      <color indexed="81"/>
      <name val="Tahoma"/>
      <family val="2"/>
    </font>
    <font>
      <sz val="11"/>
      <color rgb="FF000000"/>
      <name val="Calibri"/>
      <family val="2"/>
    </font>
    <font>
      <sz val="11"/>
      <color rgb="FF0000FF"/>
      <name val="Calibri"/>
      <family val="2"/>
    </font>
    <font>
      <sz val="11"/>
      <color rgb="FF0000FF"/>
      <name val="Book Antiqua"/>
      <family val="1"/>
    </font>
    <font>
      <u/>
      <sz val="11"/>
      <color rgb="FF0000FF"/>
      <name val="Book Antiqua"/>
      <family val="1"/>
    </font>
    <font>
      <b/>
      <sz val="11"/>
      <color rgb="FF000000"/>
      <name val="Book Antiqua"/>
      <family val="1"/>
    </font>
    <font>
      <sz val="11"/>
      <color rgb="FF0000FF"/>
      <name val="Calibri"/>
      <family val="2"/>
    </font>
    <font>
      <sz val="12"/>
      <color theme="1"/>
      <name val="Arial"/>
      <family val="2"/>
    </font>
    <font>
      <b/>
      <i/>
      <sz val="12"/>
      <color theme="1"/>
      <name val="Arial"/>
      <family val="2"/>
    </font>
    <font>
      <b/>
      <sz val="12"/>
      <color theme="1"/>
      <name val="Arial"/>
      <family val="2"/>
    </font>
    <font>
      <sz val="11"/>
      <name val="Arial"/>
      <family val="2"/>
    </font>
    <font>
      <sz val="11"/>
      <color theme="1"/>
      <name val="Arial"/>
      <family val="2"/>
    </font>
    <font>
      <b/>
      <sz val="11"/>
      <color theme="1"/>
      <name val="Arial"/>
      <family val="2"/>
    </font>
    <font>
      <u/>
      <sz val="12"/>
      <color theme="1"/>
      <name val="Arial"/>
      <family val="2"/>
    </font>
    <font>
      <b/>
      <sz val="12"/>
      <color theme="0"/>
      <name val="Arial"/>
      <family val="2"/>
    </font>
    <font>
      <b/>
      <u/>
      <sz val="12"/>
      <color theme="1"/>
      <name val="Arial"/>
      <family val="2"/>
    </font>
    <font>
      <sz val="12"/>
      <name val="Arial"/>
      <family val="2"/>
    </font>
    <font>
      <i/>
      <sz val="12"/>
      <color theme="1" tint="0.34998626667073579"/>
      <name val="Arial"/>
      <family val="2"/>
    </font>
    <font>
      <i/>
      <sz val="12"/>
      <color theme="1"/>
      <name val="Arial"/>
      <family val="2"/>
    </font>
    <font>
      <i/>
      <sz val="12"/>
      <color theme="1" tint="0.499984740745262"/>
      <name val="Arial"/>
      <family val="2"/>
    </font>
    <font>
      <i/>
      <sz val="12"/>
      <name val="Arial"/>
      <family val="2"/>
    </font>
    <font>
      <b/>
      <sz val="12"/>
      <name val="Arial"/>
      <family val="2"/>
    </font>
    <font>
      <sz val="12"/>
      <color theme="0"/>
      <name val="Arial"/>
      <family val="2"/>
    </font>
    <font>
      <sz val="12"/>
      <color theme="1" tint="0.499984740745262"/>
      <name val="Arial"/>
      <family val="2"/>
    </font>
    <font>
      <sz val="14"/>
      <color theme="1"/>
      <name val="Arial"/>
      <family val="2"/>
    </font>
    <font>
      <b/>
      <sz val="14"/>
      <color theme="1"/>
      <name val="Arial"/>
      <family val="2"/>
    </font>
    <font>
      <b/>
      <sz val="10"/>
      <color rgb="FFFFFFFF"/>
      <name val="Book Antiqua"/>
      <family val="1"/>
    </font>
    <font>
      <b/>
      <sz val="12"/>
      <color rgb="FF000000"/>
      <name val="Book Antiqua"/>
      <family val="1"/>
    </font>
    <font>
      <sz val="12"/>
      <color rgb="FF000000"/>
      <name val="Book Antiqua"/>
      <family val="1"/>
    </font>
    <font>
      <u/>
      <sz val="11"/>
      <color rgb="FF0000FF"/>
      <name val="Calibri"/>
      <family val="2"/>
    </font>
    <font>
      <sz val="10"/>
      <name val="Arial"/>
      <family val="2"/>
    </font>
    <font>
      <u val="singleAccounting"/>
      <sz val="11"/>
      <color theme="1"/>
      <name val="Book Antiqua"/>
      <family val="1"/>
    </font>
    <font>
      <u val="doubleAccounting"/>
      <sz val="11"/>
      <color theme="1"/>
      <name val="Book Antiqua"/>
      <family val="1"/>
    </font>
    <font>
      <sz val="12"/>
      <color theme="1"/>
      <name val="Arial"/>
      <family val="2"/>
    </font>
    <font>
      <i/>
      <sz val="11"/>
      <name val="Book Antiqua"/>
      <family val="1"/>
    </font>
    <font>
      <i/>
      <sz val="12"/>
      <color theme="1" tint="0.499984740745262"/>
      <name val="Arial"/>
      <family val="2"/>
    </font>
    <font>
      <i/>
      <sz val="12"/>
      <color theme="1" tint="0.34998626667073579"/>
      <name val="Arial"/>
      <family val="2"/>
    </font>
    <font>
      <sz val="11"/>
      <color rgb="FF9C5700"/>
      <name val="Calibri"/>
      <family val="2"/>
      <scheme val="minor"/>
    </font>
    <font>
      <b/>
      <sz val="11"/>
      <color theme="1"/>
      <name val="Calibri"/>
      <family val="2"/>
      <scheme val="minor"/>
    </font>
    <font>
      <b/>
      <sz val="11"/>
      <color rgb="FF000000"/>
      <name val="Calibri"/>
      <family val="2"/>
    </font>
  </fonts>
  <fills count="14">
    <fill>
      <patternFill patternType="none"/>
    </fill>
    <fill>
      <patternFill patternType="gray125"/>
    </fill>
    <fill>
      <patternFill patternType="solid">
        <fgColor rgb="FF00355F"/>
        <bgColor indexed="64"/>
      </patternFill>
    </fill>
    <fill>
      <patternFill patternType="solid">
        <fgColor theme="5" tint="0.79998168889431442"/>
        <bgColor indexed="64"/>
      </patternFill>
    </fill>
    <fill>
      <patternFill patternType="solid">
        <fgColor rgb="FFFCE4D6"/>
        <bgColor indexed="64"/>
      </patternFill>
    </fill>
    <fill>
      <patternFill patternType="solid">
        <fgColor rgb="FFFFFF0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tint="-0.499984740745262"/>
        <bgColor indexed="64"/>
      </patternFill>
    </fill>
    <fill>
      <patternFill patternType="solid">
        <fgColor rgb="FFFFEB9C"/>
      </patternFill>
    </fill>
  </fills>
  <borders count="44">
    <border>
      <left/>
      <right/>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Dashed">
        <color auto="1"/>
      </right>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style="medium">
        <color indexed="64"/>
      </bottom>
      <diagonal/>
    </border>
    <border>
      <left/>
      <right style="mediumDashed">
        <color auto="1"/>
      </right>
      <top/>
      <bottom style="mediumDashed">
        <color auto="1"/>
      </bottom>
      <diagonal/>
    </border>
    <border>
      <left/>
      <right/>
      <top/>
      <bottom style="mediumDashed">
        <color auto="1"/>
      </bottom>
      <diagonal/>
    </border>
    <border>
      <left style="mediumDashed">
        <color auto="1"/>
      </left>
      <right/>
      <top/>
      <bottom style="mediumDashed">
        <color auto="1"/>
      </bottom>
      <diagonal/>
    </border>
    <border>
      <left/>
      <right style="mediumDashed">
        <color auto="1"/>
      </right>
      <top style="mediumDashed">
        <color auto="1"/>
      </top>
      <bottom/>
      <diagonal/>
    </border>
    <border>
      <left/>
      <right/>
      <top style="mediumDashed">
        <color auto="1"/>
      </top>
      <bottom/>
      <diagonal/>
    </border>
    <border>
      <left style="mediumDashed">
        <color auto="1"/>
      </left>
      <right/>
      <top style="mediumDashed">
        <color auto="1"/>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style="thin">
        <color indexed="64"/>
      </top>
      <bottom/>
      <diagonal/>
    </border>
    <border>
      <left style="thin">
        <color indexed="64"/>
      </left>
      <right/>
      <top style="thin">
        <color auto="1"/>
      </top>
      <bottom/>
      <diagonal/>
    </border>
    <border>
      <left/>
      <right/>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medium">
        <color indexed="64"/>
      </left>
      <right/>
      <top style="medium">
        <color indexed="64"/>
      </top>
      <bottom/>
      <diagonal/>
    </border>
    <border>
      <left/>
      <right/>
      <top/>
      <bottom style="thin">
        <color rgb="FF000000"/>
      </bottom>
      <diagonal/>
    </border>
  </borders>
  <cellStyleXfs count="8">
    <xf numFmtId="0" fontId="0" fillId="0" borderId="0"/>
    <xf numFmtId="9" fontId="23" fillId="0" borderId="0" applyFont="0" applyFill="0" applyBorder="0" applyAlignment="0" applyProtection="0"/>
    <xf numFmtId="0" fontId="30" fillId="0" borderId="0" applyNumberFormat="0" applyFill="0" applyBorder="0" applyAlignment="0" applyProtection="0"/>
    <xf numFmtId="43" fontId="23" fillId="0" borderId="0" applyFont="0" applyFill="0" applyBorder="0" applyAlignment="0" applyProtection="0"/>
    <xf numFmtId="44" fontId="23" fillId="0" borderId="0" applyFont="0" applyFill="0" applyBorder="0" applyAlignment="0" applyProtection="0"/>
    <xf numFmtId="44" fontId="23" fillId="0" borderId="0" applyFont="0" applyFill="0" applyBorder="0" applyAlignment="0" applyProtection="0"/>
    <xf numFmtId="0" fontId="63" fillId="0" borderId="0"/>
    <xf numFmtId="0" fontId="70" fillId="13" borderId="0" applyNumberFormat="0" applyBorder="0" applyAlignment="0" applyProtection="0"/>
  </cellStyleXfs>
  <cellXfs count="478">
    <xf numFmtId="0" fontId="0" fillId="0" borderId="0" xfId="0"/>
    <xf numFmtId="0" fontId="1" fillId="0" borderId="0" xfId="0" applyFont="1"/>
    <xf numFmtId="0" fontId="2" fillId="0" borderId="0" xfId="0" applyFont="1"/>
    <xf numFmtId="0" fontId="3" fillId="0" borderId="0" xfId="0" applyFont="1" applyAlignment="1">
      <alignment vertical="center"/>
    </xf>
    <xf numFmtId="0" fontId="4" fillId="0" borderId="0" xfId="0" applyFont="1" applyAlignment="1">
      <alignment vertical="center"/>
    </xf>
    <xf numFmtId="0" fontId="4" fillId="0" borderId="0" xfId="0" applyFont="1" applyAlignment="1">
      <alignment vertical="top"/>
    </xf>
    <xf numFmtId="0" fontId="1" fillId="0" borderId="0" xfId="0" applyFont="1" applyAlignment="1">
      <alignment horizontal="center"/>
    </xf>
    <xf numFmtId="0" fontId="1" fillId="0" borderId="0" xfId="0" applyFont="1" applyAlignment="1">
      <alignment horizontal="center" vertical="center"/>
    </xf>
    <xf numFmtId="0" fontId="3" fillId="0" borderId="0" xfId="0" applyFont="1" applyAlignment="1">
      <alignment vertical="top"/>
    </xf>
    <xf numFmtId="0" fontId="2" fillId="2" borderId="0" xfId="0" applyFont="1" applyFill="1"/>
    <xf numFmtId="0" fontId="5" fillId="2" borderId="0" xfId="0" applyFont="1" applyFill="1" applyAlignment="1">
      <alignment vertical="top"/>
    </xf>
    <xf numFmtId="0" fontId="1" fillId="2" borderId="0" xfId="0" applyFont="1" applyFill="1" applyAlignment="1">
      <alignment horizontal="center"/>
    </xf>
    <xf numFmtId="0" fontId="1" fillId="2" borderId="0" xfId="0" applyFont="1" applyFill="1" applyAlignment="1">
      <alignment horizontal="center" vertical="center"/>
    </xf>
    <xf numFmtId="0" fontId="3" fillId="3" borderId="0" xfId="0" applyFont="1" applyFill="1" applyAlignment="1">
      <alignment vertical="top"/>
    </xf>
    <xf numFmtId="41" fontId="6" fillId="3" borderId="0" xfId="0" applyNumberFormat="1" applyFont="1" applyFill="1" applyAlignment="1">
      <alignment horizontal="right" vertical="top"/>
    </xf>
    <xf numFmtId="41" fontId="2" fillId="0" borderId="0" xfId="0" applyNumberFormat="1" applyFont="1"/>
    <xf numFmtId="41" fontId="4" fillId="0" borderId="0" xfId="0" applyNumberFormat="1" applyFont="1" applyAlignment="1">
      <alignment horizontal="right" vertical="top"/>
    </xf>
    <xf numFmtId="0" fontId="4" fillId="0" borderId="0" xfId="0" applyFont="1" applyAlignment="1">
      <alignment horizontal="left" vertical="top" indent="1"/>
    </xf>
    <xf numFmtId="41" fontId="8" fillId="0" borderId="0" xfId="0" applyNumberFormat="1" applyFont="1" applyAlignment="1">
      <alignment horizontal="right" vertical="top"/>
    </xf>
    <xf numFmtId="41" fontId="8" fillId="0" borderId="0" xfId="0" applyNumberFormat="1" applyFont="1"/>
    <xf numFmtId="39" fontId="8" fillId="0" borderId="0" xfId="0" applyNumberFormat="1" applyFont="1" applyAlignment="1">
      <alignment horizontal="right" vertical="top"/>
    </xf>
    <xf numFmtId="0" fontId="3" fillId="3" borderId="0" xfId="0" applyFont="1" applyFill="1" applyAlignment="1">
      <alignment horizontal="left" vertical="top"/>
    </xf>
    <xf numFmtId="0" fontId="4" fillId="3" borderId="0" xfId="0" applyFont="1" applyFill="1" applyAlignment="1">
      <alignment vertical="top"/>
    </xf>
    <xf numFmtId="39" fontId="8" fillId="0" borderId="0" xfId="0" applyNumberFormat="1" applyFont="1"/>
    <xf numFmtId="7" fontId="8" fillId="0" borderId="0" xfId="0" applyNumberFormat="1" applyFont="1" applyAlignment="1">
      <alignment horizontal="right" vertical="top"/>
    </xf>
    <xf numFmtId="7" fontId="4" fillId="0" borderId="0" xfId="0" applyNumberFormat="1" applyFont="1" applyAlignment="1">
      <alignment horizontal="right" vertical="top"/>
    </xf>
    <xf numFmtId="0" fontId="9" fillId="2" borderId="0" xfId="0" applyFont="1" applyFill="1" applyAlignment="1">
      <alignment horizontal="center"/>
    </xf>
    <xf numFmtId="0" fontId="9" fillId="2" borderId="0" xfId="0" applyFont="1" applyFill="1" applyAlignment="1">
      <alignment horizontal="center" vertical="center"/>
    </xf>
    <xf numFmtId="0" fontId="10" fillId="0" borderId="0" xfId="0" applyFont="1"/>
    <xf numFmtId="0" fontId="11" fillId="0" borderId="0" xfId="0" applyFont="1"/>
    <xf numFmtId="0" fontId="12" fillId="0" borderId="0" xfId="0" applyFont="1"/>
    <xf numFmtId="14" fontId="11" fillId="0" borderId="0" xfId="0" applyNumberFormat="1" applyFont="1"/>
    <xf numFmtId="0" fontId="4" fillId="0" borderId="0" xfId="0" applyFont="1"/>
    <xf numFmtId="3" fontId="8" fillId="0" borderId="0" xfId="0" applyNumberFormat="1" applyFont="1"/>
    <xf numFmtId="0" fontId="9" fillId="2" borderId="0" xfId="0" applyFont="1" applyFill="1" applyAlignment="1">
      <alignment horizontal="left" vertical="center"/>
    </xf>
    <xf numFmtId="0" fontId="15" fillId="0" borderId="0" xfId="0" applyFont="1"/>
    <xf numFmtId="6" fontId="8" fillId="0" borderId="0" xfId="0" applyNumberFormat="1" applyFont="1"/>
    <xf numFmtId="164" fontId="8" fillId="0" borderId="0" xfId="0" applyNumberFormat="1" applyFont="1" applyAlignment="1">
      <alignment horizontal="right" vertical="top"/>
    </xf>
    <xf numFmtId="37" fontId="8" fillId="0" borderId="0" xfId="0" applyNumberFormat="1" applyFont="1" applyAlignment="1">
      <alignment horizontal="right" vertical="top"/>
    </xf>
    <xf numFmtId="3" fontId="17" fillId="0" borderId="0" xfId="0" applyNumberFormat="1" applyFont="1"/>
    <xf numFmtId="0" fontId="8" fillId="0" borderId="0" xfId="0" applyFont="1"/>
    <xf numFmtId="0" fontId="4" fillId="4" borderId="0" xfId="0" applyFont="1" applyFill="1" applyAlignment="1">
      <alignment vertical="top"/>
    </xf>
    <xf numFmtId="3" fontId="17" fillId="4" borderId="0" xfId="0" applyNumberFormat="1" applyFont="1" applyFill="1"/>
    <xf numFmtId="37" fontId="4" fillId="0" borderId="0" xfId="0" applyNumberFormat="1" applyFont="1" applyAlignment="1">
      <alignment horizontal="right" vertical="top"/>
    </xf>
    <xf numFmtId="3" fontId="4" fillId="0" borderId="0" xfId="0" applyNumberFormat="1" applyFont="1"/>
    <xf numFmtId="165" fontId="17" fillId="0" borderId="0" xfId="0" applyNumberFormat="1" applyFont="1" applyAlignment="1">
      <alignment horizontal="right"/>
    </xf>
    <xf numFmtId="0" fontId="18" fillId="0" borderId="0" xfId="0" applyFont="1"/>
    <xf numFmtId="3" fontId="18" fillId="0" borderId="0" xfId="0" applyNumberFormat="1" applyFont="1"/>
    <xf numFmtId="41" fontId="14" fillId="0" borderId="0" xfId="0" applyNumberFormat="1" applyFont="1"/>
    <xf numFmtId="41" fontId="4" fillId="0" borderId="0" xfId="0" applyNumberFormat="1" applyFont="1" applyAlignment="1">
      <alignment horizontal="center" vertical="center"/>
    </xf>
    <xf numFmtId="41" fontId="19" fillId="0" borderId="0" xfId="0" applyNumberFormat="1" applyFont="1"/>
    <xf numFmtId="0" fontId="19" fillId="0" borderId="0" xfId="0" applyFont="1"/>
    <xf numFmtId="0" fontId="20" fillId="2" borderId="0" xfId="0" applyFont="1" applyFill="1" applyAlignment="1">
      <alignment horizontal="center"/>
    </xf>
    <xf numFmtId="0" fontId="21" fillId="2" borderId="0" xfId="0" applyFont="1" applyFill="1"/>
    <xf numFmtId="0" fontId="20" fillId="0" borderId="0" xfId="0" applyFont="1" applyAlignment="1">
      <alignment horizontal="center"/>
    </xf>
    <xf numFmtId="0" fontId="22" fillId="0" borderId="0" xfId="0" applyFont="1"/>
    <xf numFmtId="9" fontId="2" fillId="0" borderId="0" xfId="1" applyFont="1"/>
    <xf numFmtId="166" fontId="2" fillId="0" borderId="0" xfId="1" applyNumberFormat="1" applyFont="1"/>
    <xf numFmtId="166" fontId="2" fillId="0" borderId="0" xfId="0" applyNumberFormat="1" applyFont="1"/>
    <xf numFmtId="9" fontId="2" fillId="0" borderId="0" xfId="0" applyNumberFormat="1" applyFont="1"/>
    <xf numFmtId="9" fontId="8" fillId="0" borderId="0" xfId="0" applyNumberFormat="1" applyFont="1"/>
    <xf numFmtId="166" fontId="8" fillId="0" borderId="0" xfId="1" applyNumberFormat="1" applyFont="1"/>
    <xf numFmtId="166" fontId="8" fillId="0" borderId="0" xfId="0" applyNumberFormat="1" applyFont="1"/>
    <xf numFmtId="37" fontId="2" fillId="0" borderId="0" xfId="0" applyNumberFormat="1" applyFont="1"/>
    <xf numFmtId="43" fontId="2" fillId="0" borderId="0" xfId="0" applyNumberFormat="1" applyFont="1"/>
    <xf numFmtId="167" fontId="2" fillId="0" borderId="0" xfId="0" applyNumberFormat="1" applyFont="1"/>
    <xf numFmtId="167" fontId="25" fillId="0" borderId="0" xfId="0" applyNumberFormat="1" applyFont="1"/>
    <xf numFmtId="0" fontId="25" fillId="0" borderId="0" xfId="0" applyFont="1"/>
    <xf numFmtId="167" fontId="8" fillId="0" borderId="0" xfId="0" applyNumberFormat="1" applyFont="1"/>
    <xf numFmtId="0" fontId="26" fillId="0" borderId="0" xfId="0" applyFont="1"/>
    <xf numFmtId="0" fontId="2" fillId="0" borderId="0" xfId="0" applyFont="1" applyAlignment="1">
      <alignment horizontal="left" indent="1"/>
    </xf>
    <xf numFmtId="3" fontId="2" fillId="0" borderId="0" xfId="0" applyNumberFormat="1" applyFont="1"/>
    <xf numFmtId="3" fontId="25" fillId="0" borderId="0" xfId="0" applyNumberFormat="1" applyFont="1"/>
    <xf numFmtId="0" fontId="27" fillId="2" borderId="0" xfId="0" applyFont="1" applyFill="1"/>
    <xf numFmtId="0" fontId="2" fillId="6" borderId="0" xfId="0" applyFont="1" applyFill="1"/>
    <xf numFmtId="41" fontId="25" fillId="0" borderId="0" xfId="0" applyNumberFormat="1" applyFont="1"/>
    <xf numFmtId="43" fontId="25" fillId="0" borderId="0" xfId="0" applyNumberFormat="1" applyFont="1"/>
    <xf numFmtId="41" fontId="25" fillId="7" borderId="1" xfId="0" applyNumberFormat="1" applyFont="1" applyFill="1" applyBorder="1"/>
    <xf numFmtId="168" fontId="25" fillId="7" borderId="1" xfId="0" applyNumberFormat="1" applyFont="1" applyFill="1" applyBorder="1"/>
    <xf numFmtId="0" fontId="25" fillId="7" borderId="1" xfId="0" applyFont="1" applyFill="1" applyBorder="1"/>
    <xf numFmtId="41" fontId="2" fillId="8" borderId="2" xfId="0" applyNumberFormat="1" applyFont="1" applyFill="1" applyBorder="1"/>
    <xf numFmtId="168" fontId="2" fillId="8" borderId="2" xfId="0" applyNumberFormat="1" applyFont="1" applyFill="1" applyBorder="1"/>
    <xf numFmtId="41" fontId="2" fillId="8" borderId="3" xfId="0" applyNumberFormat="1" applyFont="1" applyFill="1" applyBorder="1"/>
    <xf numFmtId="168" fontId="2" fillId="8" borderId="3" xfId="0" applyNumberFormat="1" applyFont="1" applyFill="1" applyBorder="1"/>
    <xf numFmtId="41" fontId="15" fillId="8" borderId="3" xfId="0" applyNumberFormat="1" applyFont="1" applyFill="1" applyBorder="1"/>
    <xf numFmtId="0" fontId="28" fillId="0" borderId="0" xfId="0" applyFont="1"/>
    <xf numFmtId="169" fontId="2" fillId="8" borderId="3" xfId="0" applyNumberFormat="1" applyFont="1" applyFill="1" applyBorder="1"/>
    <xf numFmtId="169" fontId="2" fillId="0" borderId="0" xfId="0" applyNumberFormat="1" applyFont="1"/>
    <xf numFmtId="41" fontId="2" fillId="9" borderId="4" xfId="0" applyNumberFormat="1" applyFont="1" applyFill="1" applyBorder="1"/>
    <xf numFmtId="0" fontId="2" fillId="9" borderId="1" xfId="0" applyFont="1" applyFill="1" applyBorder="1"/>
    <xf numFmtId="0" fontId="25" fillId="9" borderId="1" xfId="0" applyFont="1" applyFill="1" applyBorder="1"/>
    <xf numFmtId="170" fontId="4" fillId="0" borderId="3" xfId="0" applyNumberFormat="1" applyFont="1" applyBorder="1"/>
    <xf numFmtId="0" fontId="4" fillId="0" borderId="1" xfId="0" applyFont="1" applyBorder="1"/>
    <xf numFmtId="0" fontId="4" fillId="0" borderId="5" xfId="0" applyFont="1" applyBorder="1"/>
    <xf numFmtId="41" fontId="8" fillId="8" borderId="6" xfId="0" applyNumberFormat="1" applyFont="1" applyFill="1" applyBorder="1"/>
    <xf numFmtId="168" fontId="8" fillId="8" borderId="6" xfId="0" applyNumberFormat="1" applyFont="1" applyFill="1" applyBorder="1"/>
    <xf numFmtId="170" fontId="4" fillId="9" borderId="3" xfId="0" applyNumberFormat="1" applyFont="1" applyFill="1" applyBorder="1"/>
    <xf numFmtId="0" fontId="4" fillId="9" borderId="1" xfId="0" applyFont="1" applyFill="1" applyBorder="1"/>
    <xf numFmtId="0" fontId="4" fillId="9" borderId="5" xfId="0" applyFont="1" applyFill="1" applyBorder="1"/>
    <xf numFmtId="0" fontId="2" fillId="0" borderId="5" xfId="0" applyFont="1" applyBorder="1"/>
    <xf numFmtId="41" fontId="7" fillId="8" borderId="2" xfId="0" applyNumberFormat="1" applyFont="1" applyFill="1" applyBorder="1"/>
    <xf numFmtId="168" fontId="7" fillId="8" borderId="2" xfId="0" applyNumberFormat="1" applyFont="1" applyFill="1" applyBorder="1"/>
    <xf numFmtId="41" fontId="7" fillId="0" borderId="0" xfId="0" applyNumberFormat="1" applyFont="1"/>
    <xf numFmtId="170" fontId="28" fillId="9" borderId="3" xfId="0" applyNumberFormat="1" applyFont="1" applyFill="1" applyBorder="1"/>
    <xf numFmtId="170" fontId="28" fillId="0" borderId="3" xfId="0" applyNumberFormat="1" applyFont="1" applyBorder="1"/>
    <xf numFmtId="41" fontId="25" fillId="7" borderId="1" xfId="0" applyNumberFormat="1" applyFont="1" applyFill="1" applyBorder="1" applyAlignment="1">
      <alignment horizontal="right"/>
    </xf>
    <xf numFmtId="41" fontId="7" fillId="0" borderId="0" xfId="0" applyNumberFormat="1" applyFont="1" applyAlignment="1">
      <alignment horizontal="right"/>
    </xf>
    <xf numFmtId="41" fontId="7" fillId="8" borderId="2" xfId="0" applyNumberFormat="1" applyFont="1" applyFill="1" applyBorder="1" applyAlignment="1">
      <alignment horizontal="right"/>
    </xf>
    <xf numFmtId="0" fontId="2" fillId="0" borderId="0" xfId="0" applyFont="1" applyAlignment="1">
      <alignment horizontal="left"/>
    </xf>
    <xf numFmtId="171" fontId="28" fillId="0" borderId="3" xfId="0" applyNumberFormat="1" applyFont="1" applyBorder="1"/>
    <xf numFmtId="0" fontId="2" fillId="0" borderId="1" xfId="0" applyFont="1" applyBorder="1"/>
    <xf numFmtId="171" fontId="8" fillId="8" borderId="3" xfId="0" applyNumberFormat="1" applyFont="1" applyFill="1" applyBorder="1" applyAlignment="1">
      <alignment horizontal="right"/>
    </xf>
    <xf numFmtId="171" fontId="8" fillId="0" borderId="0" xfId="0" applyNumberFormat="1" applyFont="1" applyAlignment="1">
      <alignment horizontal="right"/>
    </xf>
    <xf numFmtId="0" fontId="25" fillId="10" borderId="1" xfId="0" applyFont="1" applyFill="1" applyBorder="1"/>
    <xf numFmtId="0" fontId="25" fillId="10" borderId="4" xfId="0" applyFont="1" applyFill="1" applyBorder="1"/>
    <xf numFmtId="0" fontId="2" fillId="0" borderId="7" xfId="0" applyFont="1" applyBorder="1"/>
    <xf numFmtId="166" fontId="2" fillId="0" borderId="7" xfId="1" applyNumberFormat="1" applyFont="1" applyBorder="1" applyAlignment="1">
      <alignment horizontal="center"/>
    </xf>
    <xf numFmtId="166" fontId="2" fillId="0" borderId="7" xfId="1" applyNumberFormat="1" applyFont="1" applyFill="1" applyBorder="1" applyAlignment="1">
      <alignment horizontal="center"/>
    </xf>
    <xf numFmtId="166" fontId="25" fillId="9" borderId="8" xfId="1" applyNumberFormat="1" applyFont="1" applyFill="1" applyBorder="1" applyAlignment="1">
      <alignment horizontal="center"/>
    </xf>
    <xf numFmtId="0" fontId="2" fillId="0" borderId="9" xfId="0" applyFont="1" applyBorder="1"/>
    <xf numFmtId="166" fontId="2" fillId="0" borderId="0" xfId="0" applyNumberFormat="1" applyFont="1" applyAlignment="1">
      <alignment horizontal="center"/>
    </xf>
    <xf numFmtId="0" fontId="2" fillId="0" borderId="10" xfId="0" applyFont="1" applyBorder="1"/>
    <xf numFmtId="166" fontId="2" fillId="0" borderId="0" xfId="1" applyNumberFormat="1" applyFont="1" applyAlignment="1">
      <alignment horizontal="center"/>
    </xf>
    <xf numFmtId="166" fontId="2" fillId="0" borderId="0" xfId="1" applyNumberFormat="1" applyFont="1" applyFill="1" applyBorder="1" applyAlignment="1">
      <alignment horizontal="center"/>
    </xf>
    <xf numFmtId="166" fontId="25" fillId="9" borderId="11" xfId="1" applyNumberFormat="1" applyFont="1" applyFill="1" applyBorder="1" applyAlignment="1">
      <alignment horizontal="center"/>
    </xf>
    <xf numFmtId="0" fontId="2" fillId="0" borderId="12" xfId="0" applyFont="1" applyBorder="1"/>
    <xf numFmtId="167" fontId="2" fillId="0" borderId="0" xfId="1" applyNumberFormat="1" applyFont="1" applyFill="1" applyBorder="1" applyAlignment="1">
      <alignment horizontal="center"/>
    </xf>
    <xf numFmtId="167" fontId="25" fillId="9" borderId="11" xfId="1" applyNumberFormat="1" applyFont="1" applyFill="1" applyBorder="1" applyAlignment="1">
      <alignment horizontal="center"/>
    </xf>
    <xf numFmtId="166" fontId="2" fillId="0" borderId="7" xfId="0" applyNumberFormat="1" applyFont="1" applyBorder="1" applyAlignment="1">
      <alignment horizontal="center"/>
    </xf>
    <xf numFmtId="166" fontId="2" fillId="0" borderId="13" xfId="1" applyNumberFormat="1" applyFont="1" applyFill="1" applyBorder="1" applyAlignment="1">
      <alignment horizontal="center"/>
    </xf>
    <xf numFmtId="0" fontId="25" fillId="0" borderId="7" xfId="0" applyFont="1" applyBorder="1"/>
    <xf numFmtId="0" fontId="25" fillId="9" borderId="8" xfId="0" applyFont="1" applyFill="1" applyBorder="1"/>
    <xf numFmtId="171" fontId="2" fillId="0" borderId="0" xfId="0" applyNumberFormat="1" applyFont="1"/>
    <xf numFmtId="167" fontId="2" fillId="0" borderId="0" xfId="0" applyNumberFormat="1" applyFont="1" applyAlignment="1">
      <alignment horizontal="center"/>
    </xf>
    <xf numFmtId="167" fontId="25" fillId="9" borderId="11" xfId="0" applyNumberFormat="1" applyFont="1" applyFill="1" applyBorder="1" applyAlignment="1">
      <alignment horizontal="center"/>
    </xf>
    <xf numFmtId="0" fontId="25" fillId="9" borderId="11" xfId="0" applyFont="1" applyFill="1" applyBorder="1"/>
    <xf numFmtId="171" fontId="2" fillId="0" borderId="0" xfId="0" applyNumberFormat="1" applyFont="1" applyAlignment="1">
      <alignment horizontal="center"/>
    </xf>
    <xf numFmtId="171" fontId="25" fillId="9" borderId="11" xfId="0" applyNumberFormat="1" applyFont="1" applyFill="1" applyBorder="1" applyAlignment="1">
      <alignment horizontal="center"/>
    </xf>
    <xf numFmtId="10" fontId="25" fillId="5" borderId="14" xfId="1" applyNumberFormat="1" applyFont="1" applyFill="1" applyBorder="1" applyAlignment="1">
      <alignment horizontal="center"/>
    </xf>
    <xf numFmtId="0" fontId="2" fillId="5" borderId="15" xfId="0" applyFont="1" applyFill="1" applyBorder="1"/>
    <xf numFmtId="0" fontId="25" fillId="5" borderId="16" xfId="0" applyFont="1" applyFill="1" applyBorder="1"/>
    <xf numFmtId="171" fontId="3" fillId="5" borderId="17" xfId="1" applyNumberFormat="1" applyFont="1" applyFill="1" applyBorder="1" applyAlignment="1">
      <alignment horizontal="center" vertical="center"/>
    </xf>
    <xf numFmtId="171" fontId="3" fillId="5" borderId="18" xfId="0" applyNumberFormat="1" applyFont="1" applyFill="1" applyBorder="1" applyAlignment="1">
      <alignment horizontal="center"/>
    </xf>
    <xf numFmtId="0" fontId="25" fillId="5" borderId="19" xfId="0" applyFont="1" applyFill="1" applyBorder="1"/>
    <xf numFmtId="171" fontId="4" fillId="0" borderId="20" xfId="0" applyNumberFormat="1" applyFont="1" applyBorder="1" applyAlignment="1">
      <alignment horizontal="center"/>
    </xf>
    <xf numFmtId="171" fontId="4" fillId="0" borderId="2" xfId="0" applyNumberFormat="1" applyFont="1" applyBorder="1" applyAlignment="1">
      <alignment horizontal="center"/>
    </xf>
    <xf numFmtId="171" fontId="4" fillId="0" borderId="21" xfId="0" applyNumberFormat="1" applyFont="1" applyBorder="1" applyAlignment="1">
      <alignment horizontal="center"/>
    </xf>
    <xf numFmtId="172" fontId="2" fillId="0" borderId="0" xfId="0" applyNumberFormat="1" applyFont="1" applyAlignment="1">
      <alignment horizontal="center"/>
    </xf>
    <xf numFmtId="172" fontId="25" fillId="9" borderId="11" xfId="0" applyNumberFormat="1" applyFont="1" applyFill="1" applyBorder="1" applyAlignment="1">
      <alignment horizontal="center"/>
    </xf>
    <xf numFmtId="171" fontId="4" fillId="0" borderId="22" xfId="0" applyNumberFormat="1" applyFont="1" applyBorder="1" applyAlignment="1">
      <alignment horizontal="center"/>
    </xf>
    <xf numFmtId="171" fontId="4" fillId="0" borderId="3" xfId="0" applyNumberFormat="1" applyFont="1" applyBorder="1" applyAlignment="1">
      <alignment horizontal="center"/>
    </xf>
    <xf numFmtId="171" fontId="4" fillId="0" borderId="23" xfId="0" applyNumberFormat="1" applyFont="1" applyBorder="1" applyAlignment="1">
      <alignment horizontal="center"/>
    </xf>
    <xf numFmtId="0" fontId="15" fillId="0" borderId="0" xfId="0" applyFont="1" applyAlignment="1">
      <alignment horizontal="center"/>
    </xf>
    <xf numFmtId="0" fontId="28" fillId="0" borderId="0" xfId="0" applyFont="1" applyAlignment="1">
      <alignment horizontal="center"/>
    </xf>
    <xf numFmtId="0" fontId="3" fillId="9" borderId="11" xfId="0" applyFont="1" applyFill="1" applyBorder="1" applyAlignment="1">
      <alignment horizontal="center"/>
    </xf>
    <xf numFmtId="171" fontId="4" fillId="0" borderId="24" xfId="0" applyNumberFormat="1" applyFont="1" applyBorder="1" applyAlignment="1">
      <alignment horizontal="center"/>
    </xf>
    <xf numFmtId="171" fontId="4" fillId="0" borderId="25" xfId="0" applyNumberFormat="1" applyFont="1" applyBorder="1" applyAlignment="1">
      <alignment horizontal="center"/>
    </xf>
    <xf numFmtId="171" fontId="4" fillId="0" borderId="26" xfId="0" applyNumberFormat="1" applyFont="1" applyBorder="1" applyAlignment="1">
      <alignment horizontal="center"/>
    </xf>
    <xf numFmtId="0" fontId="29" fillId="0" borderId="0" xfId="0" applyFont="1" applyAlignment="1">
      <alignment horizontal="center" wrapText="1"/>
    </xf>
    <xf numFmtId="0" fontId="3" fillId="9" borderId="11" xfId="0" applyFont="1" applyFill="1" applyBorder="1" applyAlignment="1">
      <alignment horizontal="center" wrapText="1"/>
    </xf>
    <xf numFmtId="0" fontId="25" fillId="0" borderId="0" xfId="0" applyFont="1" applyAlignment="1">
      <alignment horizontal="center"/>
    </xf>
    <xf numFmtId="0" fontId="2" fillId="0" borderId="0" xfId="0" applyFont="1" applyAlignment="1">
      <alignment horizontal="center"/>
    </xf>
    <xf numFmtId="0" fontId="2" fillId="9" borderId="11" xfId="0" applyFont="1" applyFill="1" applyBorder="1"/>
    <xf numFmtId="0" fontId="2" fillId="9" borderId="8" xfId="0" applyFont="1" applyFill="1" applyBorder="1"/>
    <xf numFmtId="0" fontId="30" fillId="0" borderId="0" xfId="2" applyAlignment="1">
      <alignment horizontal="center"/>
    </xf>
    <xf numFmtId="0" fontId="28" fillId="9" borderId="11" xfId="0" applyFont="1" applyFill="1" applyBorder="1" applyAlignment="1">
      <alignment horizontal="center"/>
    </xf>
    <xf numFmtId="0" fontId="2" fillId="9" borderId="27" xfId="0" applyFont="1" applyFill="1" applyBorder="1"/>
    <xf numFmtId="0" fontId="2" fillId="0" borderId="28" xfId="0" applyFont="1" applyBorder="1"/>
    <xf numFmtId="0" fontId="27" fillId="2" borderId="29" xfId="0" applyFont="1" applyFill="1" applyBorder="1" applyAlignment="1">
      <alignment horizontal="centerContinuous"/>
    </xf>
    <xf numFmtId="0" fontId="21" fillId="2" borderId="29" xfId="0" applyFont="1" applyFill="1" applyBorder="1" applyAlignment="1">
      <alignment horizontal="centerContinuous"/>
    </xf>
    <xf numFmtId="0" fontId="2" fillId="0" borderId="0" xfId="0" applyFont="1" applyAlignment="1">
      <alignment horizontal="centerContinuous"/>
    </xf>
    <xf numFmtId="0" fontId="21" fillId="2" borderId="29" xfId="0" applyFont="1" applyFill="1" applyBorder="1" applyAlignment="1">
      <alignment horizontal="center" vertical="center"/>
    </xf>
    <xf numFmtId="0" fontId="31" fillId="0" borderId="0" xfId="0" applyFont="1"/>
    <xf numFmtId="0" fontId="31" fillId="2" borderId="0" xfId="0" applyFont="1" applyFill="1"/>
    <xf numFmtId="8" fontId="4" fillId="0" borderId="0" xfId="0" applyNumberFormat="1" applyFont="1" applyAlignment="1">
      <alignment vertical="top"/>
    </xf>
    <xf numFmtId="6" fontId="8" fillId="0" borderId="0" xfId="0" applyNumberFormat="1" applyFont="1" applyAlignment="1">
      <alignment vertical="top"/>
    </xf>
    <xf numFmtId="8" fontId="34" fillId="0" borderId="0" xfId="0" applyNumberFormat="1" applyFont="1"/>
    <xf numFmtId="3" fontId="34" fillId="0" borderId="0" xfId="0" applyNumberFormat="1" applyFont="1"/>
    <xf numFmtId="41" fontId="16" fillId="0" borderId="0" xfId="0" applyNumberFormat="1" applyFont="1" applyAlignment="1">
      <alignment horizontal="right" vertical="top"/>
    </xf>
    <xf numFmtId="3" fontId="16" fillId="0" borderId="0" xfId="0" applyNumberFormat="1" applyFont="1" applyAlignment="1">
      <alignment vertical="top"/>
    </xf>
    <xf numFmtId="3" fontId="8" fillId="0" borderId="0" xfId="0" applyNumberFormat="1" applyFont="1" applyAlignment="1">
      <alignment vertical="top"/>
    </xf>
    <xf numFmtId="0" fontId="8" fillId="0" borderId="0" xfId="0" applyFont="1" applyAlignment="1">
      <alignment vertical="top"/>
    </xf>
    <xf numFmtId="3" fontId="35" fillId="0" borderId="0" xfId="0" applyNumberFormat="1" applyFont="1"/>
    <xf numFmtId="38" fontId="8" fillId="0" borderId="0" xfId="0" applyNumberFormat="1" applyFont="1" applyAlignment="1">
      <alignment vertical="top"/>
    </xf>
    <xf numFmtId="41" fontId="8" fillId="0" borderId="0" xfId="0" applyNumberFormat="1" applyFont="1" applyAlignment="1">
      <alignment vertical="top"/>
    </xf>
    <xf numFmtId="41" fontId="35" fillId="0" borderId="0" xfId="0" applyNumberFormat="1" applyFont="1"/>
    <xf numFmtId="6" fontId="36" fillId="0" borderId="0" xfId="0" applyNumberFormat="1" applyFont="1" applyAlignment="1">
      <alignment vertical="top"/>
    </xf>
    <xf numFmtId="6" fontId="36" fillId="0" borderId="0" xfId="0" applyNumberFormat="1" applyFont="1"/>
    <xf numFmtId="3" fontId="38" fillId="0" borderId="0" xfId="0" applyNumberFormat="1" applyFont="1"/>
    <xf numFmtId="3" fontId="36" fillId="0" borderId="0" xfId="0" applyNumberFormat="1" applyFont="1"/>
    <xf numFmtId="3" fontId="36" fillId="0" borderId="0" xfId="0" applyNumberFormat="1" applyFont="1" applyAlignment="1">
      <alignment vertical="top"/>
    </xf>
    <xf numFmtId="0" fontId="36" fillId="0" borderId="0" xfId="0" applyFont="1" applyAlignment="1">
      <alignment vertical="top"/>
    </xf>
    <xf numFmtId="3" fontId="38" fillId="4" borderId="0" xfId="0" applyNumberFormat="1" applyFont="1" applyFill="1"/>
    <xf numFmtId="3" fontId="15" fillId="0" borderId="0" xfId="0" applyNumberFormat="1" applyFont="1"/>
    <xf numFmtId="6" fontId="6" fillId="3" borderId="0" xfId="0" applyNumberFormat="1" applyFont="1" applyFill="1" applyAlignment="1">
      <alignment horizontal="right" vertical="top"/>
    </xf>
    <xf numFmtId="0" fontId="36" fillId="0" borderId="0" xfId="0" applyFont="1"/>
    <xf numFmtId="3" fontId="39" fillId="0" borderId="0" xfId="0" applyNumberFormat="1" applyFont="1"/>
    <xf numFmtId="0" fontId="40" fillId="0" borderId="0" xfId="0" applyFont="1"/>
    <xf numFmtId="9" fontId="40" fillId="0" borderId="0" xfId="1" applyFont="1" applyBorder="1" applyAlignment="1">
      <alignment horizontal="right"/>
    </xf>
    <xf numFmtId="0" fontId="40" fillId="0" borderId="4" xfId="0" applyFont="1" applyBorder="1"/>
    <xf numFmtId="9" fontId="40" fillId="0" borderId="4" xfId="1" applyFont="1" applyBorder="1" applyAlignment="1">
      <alignment horizontal="right"/>
    </xf>
    <xf numFmtId="165" fontId="41" fillId="0" borderId="0" xfId="3" applyNumberFormat="1" applyFont="1" applyBorder="1" applyAlignment="1">
      <alignment horizontal="right"/>
    </xf>
    <xf numFmtId="0" fontId="42" fillId="0" borderId="0" xfId="0" applyFont="1" applyAlignment="1">
      <alignment horizontal="left"/>
    </xf>
    <xf numFmtId="0" fontId="40" fillId="0" borderId="30" xfId="0" applyFont="1" applyBorder="1"/>
    <xf numFmtId="173" fontId="43" fillId="0" borderId="31" xfId="0" applyNumberFormat="1" applyFont="1" applyBorder="1" applyAlignment="1">
      <alignment horizontal="center"/>
    </xf>
    <xf numFmtId="0" fontId="44" fillId="0" borderId="31" xfId="0" applyFont="1" applyBorder="1" applyAlignment="1">
      <alignment horizontal="center"/>
    </xf>
    <xf numFmtId="0" fontId="44" fillId="0" borderId="32" xfId="0" applyFont="1" applyBorder="1" applyAlignment="1">
      <alignment horizontal="left"/>
    </xf>
    <xf numFmtId="174" fontId="40" fillId="11" borderId="0" xfId="0" applyNumberFormat="1" applyFont="1" applyFill="1" applyAlignment="1">
      <alignment horizontal="center"/>
    </xf>
    <xf numFmtId="10" fontId="40" fillId="11" borderId="0" xfId="0" applyNumberFormat="1" applyFont="1" applyFill="1" applyAlignment="1">
      <alignment horizontal="center"/>
    </xf>
    <xf numFmtId="0" fontId="44" fillId="0" borderId="0" xfId="0" applyFont="1" applyAlignment="1">
      <alignment horizontal="center"/>
    </xf>
    <xf numFmtId="10" fontId="40" fillId="11" borderId="33" xfId="0" applyNumberFormat="1" applyFont="1" applyFill="1" applyBorder="1"/>
    <xf numFmtId="173" fontId="40" fillId="11" borderId="0" xfId="0" applyNumberFormat="1" applyFont="1" applyFill="1" applyAlignment="1">
      <alignment horizontal="center"/>
    </xf>
    <xf numFmtId="0" fontId="44" fillId="0" borderId="0" xfId="0" applyFont="1"/>
    <xf numFmtId="9" fontId="40" fillId="11" borderId="0" xfId="0" applyNumberFormat="1" applyFont="1" applyFill="1" applyAlignment="1">
      <alignment horizontal="center"/>
    </xf>
    <xf numFmtId="9" fontId="40" fillId="11" borderId="33" xfId="0" applyNumberFormat="1" applyFont="1" applyFill="1" applyBorder="1"/>
    <xf numFmtId="0" fontId="45" fillId="0" borderId="0" xfId="0" applyFont="1" applyAlignment="1">
      <alignment horizontal="center"/>
    </xf>
    <xf numFmtId="0" fontId="40" fillId="0" borderId="0" xfId="0" applyFont="1" applyAlignment="1">
      <alignment horizontal="center"/>
    </xf>
    <xf numFmtId="0" fontId="46" fillId="0" borderId="0" xfId="0" applyFont="1" applyAlignment="1">
      <alignment horizontal="center"/>
    </xf>
    <xf numFmtId="0" fontId="42" fillId="0" borderId="0" xfId="0" applyFont="1" applyAlignment="1">
      <alignment horizontal="center"/>
    </xf>
    <xf numFmtId="0" fontId="46" fillId="0" borderId="33" xfId="0" applyFont="1" applyBorder="1" applyAlignment="1">
      <alignment horizontal="left"/>
    </xf>
    <xf numFmtId="175" fontId="40" fillId="0" borderId="0" xfId="0" applyNumberFormat="1" applyFont="1" applyAlignment="1">
      <alignment horizontal="center"/>
    </xf>
    <xf numFmtId="176" fontId="40" fillId="0" borderId="0" xfId="0" applyNumberFormat="1" applyFont="1" applyAlignment="1">
      <alignment horizontal="center"/>
    </xf>
    <xf numFmtId="177" fontId="42" fillId="0" borderId="0" xfId="0" applyNumberFormat="1" applyFont="1" applyAlignment="1">
      <alignment horizontal="left"/>
    </xf>
    <xf numFmtId="177" fontId="40" fillId="0" borderId="33" xfId="0" applyNumberFormat="1" applyFont="1" applyBorder="1" applyAlignment="1">
      <alignment horizontal="left"/>
    </xf>
    <xf numFmtId="0" fontId="40" fillId="0" borderId="33" xfId="0" applyFont="1" applyBorder="1"/>
    <xf numFmtId="0" fontId="48" fillId="0" borderId="0" xfId="0" applyFont="1" applyAlignment="1">
      <alignment horizontal="center"/>
    </xf>
    <xf numFmtId="178" fontId="46" fillId="0" borderId="0" xfId="0" applyNumberFormat="1" applyFont="1" applyAlignment="1">
      <alignment horizontal="center"/>
    </xf>
    <xf numFmtId="0" fontId="42" fillId="0" borderId="0" xfId="0" applyFont="1"/>
    <xf numFmtId="0" fontId="42" fillId="0" borderId="33" xfId="0" applyFont="1" applyBorder="1"/>
    <xf numFmtId="167" fontId="40" fillId="0" borderId="0" xfId="0" applyNumberFormat="1" applyFont="1"/>
    <xf numFmtId="2" fontId="40" fillId="0" borderId="0" xfId="0" applyNumberFormat="1" applyFont="1"/>
    <xf numFmtId="0" fontId="49" fillId="0" borderId="0" xfId="0" applyFont="1"/>
    <xf numFmtId="0" fontId="49" fillId="0" borderId="30" xfId="0" applyFont="1" applyBorder="1"/>
    <xf numFmtId="9" fontId="40" fillId="0" borderId="0" xfId="1" applyFont="1" applyBorder="1" applyAlignment="1">
      <alignment horizontal="center"/>
    </xf>
    <xf numFmtId="167" fontId="40" fillId="0" borderId="0" xfId="0" applyNumberFormat="1" applyFont="1" applyAlignment="1">
      <alignment horizontal="right"/>
    </xf>
    <xf numFmtId="41" fontId="40" fillId="0" borderId="0" xfId="0" applyNumberFormat="1" applyFont="1" applyAlignment="1">
      <alignment horizontal="right"/>
    </xf>
    <xf numFmtId="179" fontId="40" fillId="0" borderId="0" xfId="0" applyNumberFormat="1" applyFont="1" applyAlignment="1">
      <alignment horizontal="center"/>
    </xf>
    <xf numFmtId="166" fontId="50" fillId="0" borderId="0" xfId="1" applyNumberFormat="1" applyFont="1" applyBorder="1" applyAlignment="1">
      <alignment horizontal="right"/>
    </xf>
    <xf numFmtId="0" fontId="51" fillId="0" borderId="33" xfId="0" applyFont="1" applyBorder="1" applyAlignment="1">
      <alignment horizontal="left" indent="1"/>
    </xf>
    <xf numFmtId="10" fontId="52" fillId="0" borderId="0" xfId="1" applyNumberFormat="1" applyFont="1" applyBorder="1" applyAlignment="1">
      <alignment horizontal="right"/>
    </xf>
    <xf numFmtId="0" fontId="53" fillId="0" borderId="33" xfId="0" applyFont="1" applyBorder="1" applyAlignment="1">
      <alignment horizontal="left" indent="1"/>
    </xf>
    <xf numFmtId="0" fontId="54" fillId="0" borderId="0" xfId="0" applyFont="1" applyAlignment="1">
      <alignment horizontal="center"/>
    </xf>
    <xf numFmtId="166" fontId="40" fillId="0" borderId="0" xfId="1" applyNumberFormat="1" applyFont="1" applyBorder="1" applyAlignment="1">
      <alignment horizontal="center" wrapText="1"/>
    </xf>
    <xf numFmtId="9" fontId="51" fillId="0" borderId="0" xfId="1" applyFont="1" applyBorder="1" applyAlignment="1">
      <alignment horizontal="right"/>
    </xf>
    <xf numFmtId="166" fontId="52" fillId="0" borderId="0" xfId="1" applyNumberFormat="1" applyFont="1" applyBorder="1" applyAlignment="1">
      <alignment horizontal="right"/>
    </xf>
    <xf numFmtId="180" fontId="40" fillId="0" borderId="0" xfId="0" applyNumberFormat="1" applyFont="1" applyAlignment="1">
      <alignment horizontal="right"/>
    </xf>
    <xf numFmtId="0" fontId="49" fillId="0" borderId="0" xfId="0" applyFont="1" applyAlignment="1">
      <alignment horizontal="left" indent="7"/>
    </xf>
    <xf numFmtId="177" fontId="46" fillId="0" borderId="0" xfId="0" applyNumberFormat="1" applyFont="1" applyAlignment="1">
      <alignment horizontal="right"/>
    </xf>
    <xf numFmtId="10" fontId="40" fillId="0" borderId="0" xfId="0" applyNumberFormat="1" applyFont="1" applyAlignment="1">
      <alignment horizontal="center" wrapText="1"/>
    </xf>
    <xf numFmtId="10" fontId="53" fillId="0" borderId="33" xfId="1" applyNumberFormat="1" applyFont="1" applyBorder="1" applyAlignment="1">
      <alignment horizontal="left" indent="1"/>
    </xf>
    <xf numFmtId="0" fontId="42" fillId="0" borderId="0" xfId="0" applyFont="1" applyAlignment="1">
      <alignment horizontal="center" vertical="center" wrapText="1"/>
    </xf>
    <xf numFmtId="177" fontId="46" fillId="0" borderId="0" xfId="0" applyNumberFormat="1" applyFont="1" applyAlignment="1">
      <alignment horizontal="center"/>
    </xf>
    <xf numFmtId="181" fontId="46" fillId="0" borderId="0" xfId="0" applyNumberFormat="1" applyFont="1" applyAlignment="1">
      <alignment horizontal="center"/>
    </xf>
    <xf numFmtId="0" fontId="46" fillId="0" borderId="33" xfId="0" applyFont="1" applyBorder="1"/>
    <xf numFmtId="0" fontId="45" fillId="0" borderId="0" xfId="0" applyFont="1" applyAlignment="1">
      <alignment horizontal="center" vertical="center" wrapText="1"/>
    </xf>
    <xf numFmtId="175" fontId="55" fillId="0" borderId="0" xfId="0" applyNumberFormat="1" applyFont="1" applyAlignment="1">
      <alignment horizontal="center"/>
    </xf>
    <xf numFmtId="9" fontId="40" fillId="0" borderId="0" xfId="0" applyNumberFormat="1" applyFont="1" applyAlignment="1">
      <alignment horizontal="right"/>
    </xf>
    <xf numFmtId="171" fontId="40" fillId="0" borderId="0" xfId="4" applyNumberFormat="1" applyFont="1" applyBorder="1" applyAlignment="1">
      <alignment horizontal="center"/>
    </xf>
    <xf numFmtId="166" fontId="40" fillId="0" borderId="0" xfId="0" applyNumberFormat="1" applyFont="1" applyAlignment="1">
      <alignment horizontal="center"/>
    </xf>
    <xf numFmtId="41" fontId="40" fillId="0" borderId="0" xfId="0" applyNumberFormat="1" applyFont="1" applyAlignment="1">
      <alignment horizontal="center"/>
    </xf>
    <xf numFmtId="0" fontId="40" fillId="0" borderId="33" xfId="0" applyFont="1" applyBorder="1" applyAlignment="1">
      <alignment horizontal="left"/>
    </xf>
    <xf numFmtId="10" fontId="42" fillId="0" borderId="0" xfId="0" applyNumberFormat="1" applyFont="1" applyAlignment="1">
      <alignment horizontal="center" vertical="center" wrapText="1"/>
    </xf>
    <xf numFmtId="166" fontId="40" fillId="0" borderId="0" xfId="0" applyNumberFormat="1" applyFont="1" applyAlignment="1">
      <alignment horizontal="center" vertical="center" wrapText="1"/>
    </xf>
    <xf numFmtId="171" fontId="40" fillId="0" borderId="7" xfId="4" applyNumberFormat="1" applyFont="1" applyBorder="1" applyAlignment="1">
      <alignment horizontal="center"/>
    </xf>
    <xf numFmtId="0" fontId="40" fillId="0" borderId="0" xfId="0" applyFont="1" applyAlignment="1">
      <alignment horizontal="right"/>
    </xf>
    <xf numFmtId="9" fontId="40" fillId="0" borderId="0" xfId="0" applyNumberFormat="1" applyFont="1"/>
    <xf numFmtId="0" fontId="46" fillId="0" borderId="0" xfId="0" applyFont="1" applyAlignment="1">
      <alignment horizontal="right"/>
    </xf>
    <xf numFmtId="0" fontId="42" fillId="0" borderId="33" xfId="0" applyFont="1" applyBorder="1" applyAlignment="1">
      <alignment horizontal="center"/>
    </xf>
    <xf numFmtId="44" fontId="40" fillId="0" borderId="0" xfId="0" applyNumberFormat="1" applyFont="1"/>
    <xf numFmtId="10" fontId="40" fillId="0" borderId="0" xfId="0" applyNumberFormat="1" applyFont="1"/>
    <xf numFmtId="43" fontId="40" fillId="0" borderId="0" xfId="3" applyFont="1" applyBorder="1"/>
    <xf numFmtId="10" fontId="40" fillId="0" borderId="0" xfId="0" applyNumberFormat="1" applyFont="1" applyAlignment="1">
      <alignment horizontal="right"/>
    </xf>
    <xf numFmtId="182" fontId="40" fillId="0" borderId="0" xfId="0" applyNumberFormat="1" applyFont="1" applyAlignment="1">
      <alignment horizontal="right"/>
    </xf>
    <xf numFmtId="37" fontId="40" fillId="0" borderId="0" xfId="0" applyNumberFormat="1" applyFont="1"/>
    <xf numFmtId="165" fontId="40" fillId="0" borderId="0" xfId="3" applyNumberFormat="1" applyFont="1" applyBorder="1" applyAlignment="1"/>
    <xf numFmtId="166" fontId="40" fillId="0" borderId="0" xfId="0" applyNumberFormat="1" applyFont="1"/>
    <xf numFmtId="166" fontId="40" fillId="0" borderId="0" xfId="1" applyNumberFormat="1" applyFont="1" applyFill="1" applyBorder="1"/>
    <xf numFmtId="9" fontId="40" fillId="0" borderId="0" xfId="1" applyFont="1" applyFill="1" applyBorder="1"/>
    <xf numFmtId="165" fontId="40" fillId="0" borderId="0" xfId="3" applyNumberFormat="1" applyFont="1" applyBorder="1"/>
    <xf numFmtId="175" fontId="40" fillId="0" borderId="0" xfId="0" applyNumberFormat="1" applyFont="1"/>
    <xf numFmtId="171" fontId="40" fillId="0" borderId="0" xfId="4" applyNumberFormat="1" applyFont="1" applyBorder="1" applyAlignment="1">
      <alignment horizontal="right"/>
    </xf>
    <xf numFmtId="166" fontId="40" fillId="0" borderId="0" xfId="1" applyNumberFormat="1" applyFont="1" applyBorder="1" applyAlignment="1">
      <alignment horizontal="center"/>
    </xf>
    <xf numFmtId="0" fontId="40" fillId="0" borderId="0" xfId="0" applyFont="1" applyAlignment="1">
      <alignment horizontal="left" indent="1"/>
    </xf>
    <xf numFmtId="0" fontId="46" fillId="0" borderId="0" xfId="0" applyFont="1" applyAlignment="1">
      <alignment horizontal="left"/>
    </xf>
    <xf numFmtId="43" fontId="40" fillId="0" borderId="0" xfId="3" applyFont="1" applyBorder="1" applyAlignment="1">
      <alignment horizontal="right"/>
    </xf>
    <xf numFmtId="166" fontId="47" fillId="0" borderId="0" xfId="1" applyNumberFormat="1" applyFont="1" applyFill="1" applyBorder="1" applyAlignment="1">
      <alignment horizontal="right"/>
    </xf>
    <xf numFmtId="0" fontId="55" fillId="0" borderId="0" xfId="0" applyFont="1"/>
    <xf numFmtId="0" fontId="47" fillId="0" borderId="0" xfId="0" applyFont="1"/>
    <xf numFmtId="0" fontId="47" fillId="0" borderId="33" xfId="0" applyFont="1" applyBorder="1"/>
    <xf numFmtId="8" fontId="55" fillId="0" borderId="0" xfId="3" applyNumberFormat="1" applyFont="1" applyBorder="1" applyAlignment="1">
      <alignment horizontal="right"/>
    </xf>
    <xf numFmtId="0" fontId="55" fillId="0" borderId="33" xfId="0" applyFont="1" applyBorder="1"/>
    <xf numFmtId="10" fontId="49" fillId="0" borderId="0" xfId="1" applyNumberFormat="1" applyFont="1" applyBorder="1"/>
    <xf numFmtId="10" fontId="40" fillId="0" borderId="0" xfId="1" applyNumberFormat="1" applyFont="1" applyBorder="1" applyAlignment="1">
      <alignment horizontal="right"/>
    </xf>
    <xf numFmtId="10" fontId="40" fillId="0" borderId="0" xfId="1" applyNumberFormat="1" applyFont="1" applyBorder="1"/>
    <xf numFmtId="44" fontId="40" fillId="0" borderId="0" xfId="4" applyFont="1" applyBorder="1" applyAlignment="1">
      <alignment horizontal="right"/>
    </xf>
    <xf numFmtId="175" fontId="40" fillId="0" borderId="0" xfId="0" applyNumberFormat="1" applyFont="1" applyAlignment="1">
      <alignment horizontal="right"/>
    </xf>
    <xf numFmtId="166" fontId="56" fillId="0" borderId="0" xfId="1" applyNumberFormat="1" applyFont="1" applyBorder="1" applyAlignment="1">
      <alignment horizontal="center"/>
    </xf>
    <xf numFmtId="0" fontId="56" fillId="0" borderId="0" xfId="0" applyFont="1"/>
    <xf numFmtId="0" fontId="47" fillId="2" borderId="0" xfId="0" applyFont="1" applyFill="1" applyAlignment="1">
      <alignment horizontal="right"/>
    </xf>
    <xf numFmtId="0" fontId="55" fillId="2" borderId="0" xfId="0" applyFont="1" applyFill="1"/>
    <xf numFmtId="0" fontId="55" fillId="2" borderId="0" xfId="0" applyFont="1" applyFill="1" applyAlignment="1">
      <alignment horizontal="fill"/>
    </xf>
    <xf numFmtId="0" fontId="47" fillId="2" borderId="0" xfId="0" applyFont="1" applyFill="1" applyAlignment="1">
      <alignment horizontal="fill"/>
    </xf>
    <xf numFmtId="0" fontId="47" fillId="2" borderId="0" xfId="0" applyFont="1" applyFill="1"/>
    <xf numFmtId="0" fontId="47" fillId="2" borderId="33" xfId="0" applyFont="1" applyFill="1" applyBorder="1"/>
    <xf numFmtId="2" fontId="40" fillId="0" borderId="0" xfId="0" applyNumberFormat="1" applyFont="1" applyAlignment="1">
      <alignment horizontal="center"/>
    </xf>
    <xf numFmtId="0" fontId="40" fillId="0" borderId="36" xfId="0" applyFont="1" applyBorder="1"/>
    <xf numFmtId="0" fontId="40" fillId="0" borderId="37" xfId="0" applyFont="1" applyBorder="1"/>
    <xf numFmtId="0" fontId="11" fillId="2" borderId="0" xfId="0" applyFont="1" applyFill="1"/>
    <xf numFmtId="0" fontId="0" fillId="2" borderId="0" xfId="0" applyFill="1"/>
    <xf numFmtId="0" fontId="59" fillId="2" borderId="0" xfId="0" applyFont="1" applyFill="1"/>
    <xf numFmtId="41" fontId="3" fillId="0" borderId="0" xfId="0" applyNumberFormat="1" applyFont="1" applyAlignment="1">
      <alignment vertical="top"/>
    </xf>
    <xf numFmtId="0" fontId="60" fillId="0" borderId="0" xfId="0" applyFont="1"/>
    <xf numFmtId="0" fontId="61" fillId="0" borderId="0" xfId="0" applyFont="1"/>
    <xf numFmtId="8" fontId="2" fillId="0" borderId="0" xfId="0" applyNumberFormat="1" applyFont="1"/>
    <xf numFmtId="7" fontId="15" fillId="0" borderId="0" xfId="0" applyNumberFormat="1" applyFont="1" applyAlignment="1">
      <alignment horizontal="right" vertical="top"/>
    </xf>
    <xf numFmtId="5" fontId="8" fillId="0" borderId="0" xfId="0" applyNumberFormat="1" applyFont="1" applyAlignment="1">
      <alignment horizontal="right" vertical="top"/>
    </xf>
    <xf numFmtId="6" fontId="6" fillId="3" borderId="0" xfId="0" applyNumberFormat="1" applyFont="1" applyFill="1" applyAlignment="1">
      <alignment vertical="top"/>
    </xf>
    <xf numFmtId="41" fontId="6" fillId="3" borderId="0" xfId="0" applyNumberFormat="1" applyFont="1" applyFill="1" applyAlignment="1">
      <alignment vertical="top"/>
    </xf>
    <xf numFmtId="3" fontId="62" fillId="0" borderId="0" xfId="0" applyNumberFormat="1" applyFont="1"/>
    <xf numFmtId="41" fontId="16" fillId="0" borderId="0" xfId="0" applyNumberFormat="1" applyFont="1"/>
    <xf numFmtId="41" fontId="16" fillId="0" borderId="0" xfId="0" applyNumberFormat="1" applyFont="1" applyAlignment="1">
      <alignment vertical="top"/>
    </xf>
    <xf numFmtId="41" fontId="17" fillId="0" borderId="0" xfId="0" applyNumberFormat="1" applyFont="1" applyAlignment="1">
      <alignment horizontal="right" vertical="top"/>
    </xf>
    <xf numFmtId="41" fontId="17" fillId="0" borderId="0" xfId="0" applyNumberFormat="1" applyFont="1" applyAlignment="1">
      <alignment vertical="top"/>
    </xf>
    <xf numFmtId="3" fontId="17" fillId="0" borderId="0" xfId="0" applyNumberFormat="1" applyFont="1" applyAlignment="1">
      <alignment vertical="top"/>
    </xf>
    <xf numFmtId="41" fontId="17" fillId="3" borderId="0" xfId="0" applyNumberFormat="1" applyFont="1" applyFill="1" applyAlignment="1">
      <alignment horizontal="right" vertical="top"/>
    </xf>
    <xf numFmtId="41" fontId="17" fillId="3" borderId="0" xfId="0" applyNumberFormat="1" applyFont="1" applyFill="1" applyAlignment="1">
      <alignment vertical="top"/>
    </xf>
    <xf numFmtId="0" fontId="25" fillId="0" borderId="0" xfId="0" applyFont="1" applyAlignment="1">
      <alignment horizontal="center" vertical="center"/>
    </xf>
    <xf numFmtId="0" fontId="3" fillId="0" borderId="0" xfId="0" applyFont="1" applyAlignment="1">
      <alignment horizontal="center" vertical="top"/>
    </xf>
    <xf numFmtId="165" fontId="2" fillId="0" borderId="0" xfId="0" applyNumberFormat="1" applyFont="1"/>
    <xf numFmtId="7" fontId="8" fillId="0" borderId="0" xfId="0" applyNumberFormat="1" applyFont="1"/>
    <xf numFmtId="165" fontId="8" fillId="0" borderId="0" xfId="0" applyNumberFormat="1" applyFont="1" applyAlignment="1">
      <alignment horizontal="right" vertical="top"/>
    </xf>
    <xf numFmtId="41" fontId="16" fillId="0" borderId="0" xfId="0" applyNumberFormat="1" applyFont="1" applyAlignment="1">
      <alignment horizontal="right"/>
    </xf>
    <xf numFmtId="41" fontId="8" fillId="0" borderId="0" xfId="0" applyNumberFormat="1" applyFont="1" applyAlignment="1">
      <alignment horizontal="right"/>
    </xf>
    <xf numFmtId="165" fontId="25" fillId="0" borderId="0" xfId="0" applyNumberFormat="1" applyFont="1"/>
    <xf numFmtId="0" fontId="13" fillId="2" borderId="0" xfId="0" applyFont="1" applyFill="1" applyAlignment="1">
      <alignment horizontal="center"/>
    </xf>
    <xf numFmtId="0" fontId="15" fillId="2" borderId="0" xfId="0" applyFont="1" applyFill="1"/>
    <xf numFmtId="174" fontId="2" fillId="0" borderId="0" xfId="0" applyNumberFormat="1" applyFont="1"/>
    <xf numFmtId="43" fontId="25" fillId="7" borderId="1" xfId="0" applyNumberFormat="1" applyFont="1" applyFill="1" applyBorder="1"/>
    <xf numFmtId="0" fontId="2" fillId="7" borderId="1" xfId="0" applyFont="1" applyFill="1" applyBorder="1"/>
    <xf numFmtId="171" fontId="2" fillId="0" borderId="9" xfId="0" applyNumberFormat="1" applyFont="1" applyBorder="1" applyAlignment="1">
      <alignment horizontal="center"/>
    </xf>
    <xf numFmtId="171" fontId="2" fillId="0" borderId="7" xfId="0" applyNumberFormat="1" applyFont="1" applyBorder="1" applyAlignment="1">
      <alignment horizontal="center"/>
    </xf>
    <xf numFmtId="171" fontId="2" fillId="0" borderId="13" xfId="0" applyNumberFormat="1" applyFont="1" applyBorder="1" applyAlignment="1">
      <alignment horizontal="center"/>
    </xf>
    <xf numFmtId="10" fontId="2" fillId="7" borderId="8" xfId="0" applyNumberFormat="1" applyFont="1" applyFill="1" applyBorder="1"/>
    <xf numFmtId="171" fontId="2" fillId="0" borderId="12" xfId="0" applyNumberFormat="1" applyFont="1" applyBorder="1" applyAlignment="1">
      <alignment horizontal="center"/>
    </xf>
    <xf numFmtId="171" fontId="2" fillId="0" borderId="40" xfId="0" applyNumberFormat="1" applyFont="1" applyBorder="1" applyAlignment="1">
      <alignment horizontal="center"/>
    </xf>
    <xf numFmtId="10" fontId="2" fillId="7" borderId="11" xfId="0" applyNumberFormat="1" applyFont="1" applyFill="1" applyBorder="1"/>
    <xf numFmtId="171" fontId="2" fillId="0" borderId="39" xfId="0" applyNumberFormat="1" applyFont="1" applyBorder="1" applyAlignment="1">
      <alignment horizontal="center"/>
    </xf>
    <xf numFmtId="10" fontId="8" fillId="7" borderId="11" xfId="0" applyNumberFormat="1" applyFont="1" applyFill="1" applyBorder="1"/>
    <xf numFmtId="171" fontId="2" fillId="0" borderId="28" xfId="0" applyNumberFormat="1" applyFont="1" applyBorder="1" applyAlignment="1">
      <alignment horizontal="center"/>
    </xf>
    <xf numFmtId="171" fontId="2" fillId="0" borderId="41" xfId="0" applyNumberFormat="1" applyFont="1" applyBorder="1" applyAlignment="1">
      <alignment horizontal="center"/>
    </xf>
    <xf numFmtId="171" fontId="2" fillId="0" borderId="42" xfId="0" applyNumberFormat="1" applyFont="1" applyBorder="1" applyAlignment="1">
      <alignment horizontal="center"/>
    </xf>
    <xf numFmtId="10" fontId="2" fillId="7" borderId="27" xfId="0" applyNumberFormat="1" applyFont="1" applyFill="1" applyBorder="1"/>
    <xf numFmtId="10" fontId="2" fillId="7" borderId="34" xfId="0" applyNumberFormat="1" applyFont="1" applyFill="1" applyBorder="1" applyAlignment="1">
      <alignment horizontal="center"/>
    </xf>
    <xf numFmtId="10" fontId="2" fillId="7" borderId="29" xfId="0" applyNumberFormat="1" applyFont="1" applyFill="1" applyBorder="1" applyAlignment="1">
      <alignment horizontal="center"/>
    </xf>
    <xf numFmtId="10" fontId="8" fillId="7" borderId="29" xfId="0" applyNumberFormat="1" applyFont="1" applyFill="1" applyBorder="1" applyAlignment="1">
      <alignment horizontal="center"/>
    </xf>
    <xf numFmtId="10" fontId="2" fillId="7" borderId="35" xfId="0" applyNumberFormat="1" applyFont="1" applyFill="1" applyBorder="1" applyAlignment="1">
      <alignment horizontal="center"/>
    </xf>
    <xf numFmtId="171" fontId="27" fillId="0" borderId="0" xfId="0" applyNumberFormat="1" applyFont="1"/>
    <xf numFmtId="0" fontId="25" fillId="0" borderId="0" xfId="0" applyFont="1" applyAlignment="1">
      <alignment horizontal="centerContinuous"/>
    </xf>
    <xf numFmtId="10" fontId="25" fillId="7" borderId="1" xfId="0" applyNumberFormat="1" applyFont="1" applyFill="1" applyBorder="1"/>
    <xf numFmtId="10" fontId="8" fillId="0" borderId="0" xfId="0" applyNumberFormat="1" applyFont="1"/>
    <xf numFmtId="171" fontId="25" fillId="7" borderId="1" xfId="5" applyNumberFormat="1" applyFont="1" applyFill="1" applyBorder="1"/>
    <xf numFmtId="2" fontId="4" fillId="0" borderId="0" xfId="0" applyNumberFormat="1" applyFont="1"/>
    <xf numFmtId="10" fontId="2" fillId="0" borderId="0" xfId="0" applyNumberFormat="1" applyFont="1"/>
    <xf numFmtId="41" fontId="64" fillId="0" borderId="0" xfId="0" applyNumberFormat="1" applyFont="1"/>
    <xf numFmtId="174" fontId="8" fillId="0" borderId="0" xfId="0" applyNumberFormat="1" applyFont="1"/>
    <xf numFmtId="41" fontId="2" fillId="0" borderId="1" xfId="0" applyNumberFormat="1" applyFont="1" applyBorder="1"/>
    <xf numFmtId="41" fontId="25" fillId="0" borderId="1" xfId="0" applyNumberFormat="1" applyFont="1" applyBorder="1"/>
    <xf numFmtId="168" fontId="2" fillId="0" borderId="0" xfId="0" applyNumberFormat="1" applyFont="1"/>
    <xf numFmtId="0" fontId="25" fillId="0" borderId="1" xfId="0" applyFont="1" applyBorder="1"/>
    <xf numFmtId="41" fontId="65" fillId="0" borderId="0" xfId="0" applyNumberFormat="1" applyFont="1"/>
    <xf numFmtId="166" fontId="26" fillId="0" borderId="0" xfId="1" applyNumberFormat="1" applyFont="1"/>
    <xf numFmtId="166" fontId="26" fillId="0" borderId="0" xfId="1" applyNumberFormat="1" applyFont="1" applyBorder="1"/>
    <xf numFmtId="0" fontId="1" fillId="0" borderId="0" xfId="0" applyFont="1" applyAlignment="1">
      <alignment horizontal="right"/>
    </xf>
    <xf numFmtId="166" fontId="8" fillId="0" borderId="0" xfId="0" applyNumberFormat="1" applyFont="1" applyAlignment="1">
      <alignment horizontal="right" vertical="top"/>
    </xf>
    <xf numFmtId="41" fontId="15" fillId="0" borderId="0" xfId="0" applyNumberFormat="1" applyFont="1" applyFill="1" applyAlignment="1">
      <alignment horizontal="right" vertical="top"/>
    </xf>
    <xf numFmtId="37" fontId="66" fillId="0" borderId="0" xfId="3" applyNumberFormat="1" applyFont="1" applyAlignment="1">
      <alignment horizontal="right"/>
    </xf>
    <xf numFmtId="9" fontId="66" fillId="11" borderId="33" xfId="0" applyNumberFormat="1" applyFont="1" applyFill="1" applyBorder="1"/>
    <xf numFmtId="0" fontId="66" fillId="0" borderId="0" xfId="0" applyFont="1"/>
    <xf numFmtId="0" fontId="66" fillId="0" borderId="30" xfId="0" applyFont="1" applyBorder="1"/>
    <xf numFmtId="2" fontId="66" fillId="0" borderId="0" xfId="0" applyNumberFormat="1" applyFont="1"/>
    <xf numFmtId="175" fontId="66" fillId="0" borderId="0" xfId="0" applyNumberFormat="1" applyFont="1" applyAlignment="1">
      <alignment horizontal="center"/>
    </xf>
    <xf numFmtId="167" fontId="66" fillId="0" borderId="0" xfId="0" applyNumberFormat="1" applyFont="1"/>
    <xf numFmtId="0" fontId="66" fillId="0" borderId="33" xfId="0" applyFont="1" applyBorder="1"/>
    <xf numFmtId="0" fontId="15" fillId="0" borderId="43" xfId="0" applyFont="1" applyBorder="1" applyAlignment="1">
      <alignment horizontal="center"/>
    </xf>
    <xf numFmtId="0" fontId="67" fillId="0" borderId="0" xfId="0" applyFont="1" applyAlignment="1">
      <alignment horizontal="left" vertical="top" indent="1"/>
    </xf>
    <xf numFmtId="166" fontId="68" fillId="0" borderId="0" xfId="1" applyNumberFormat="1" applyFont="1" applyAlignment="1">
      <alignment horizontal="right"/>
    </xf>
    <xf numFmtId="166" fontId="3" fillId="0" borderId="0" xfId="0" applyNumberFormat="1" applyFont="1" applyAlignment="1">
      <alignment vertical="top"/>
    </xf>
    <xf numFmtId="166" fontId="17" fillId="0" borderId="0" xfId="0" applyNumberFormat="1" applyFont="1" applyAlignment="1">
      <alignment vertical="top"/>
    </xf>
    <xf numFmtId="166" fontId="2" fillId="0" borderId="0" xfId="0" applyNumberFormat="1" applyFont="1" applyFill="1"/>
    <xf numFmtId="166" fontId="4" fillId="0" borderId="0" xfId="0" applyNumberFormat="1" applyFont="1" applyFill="1" applyAlignment="1">
      <alignment horizontal="left" vertical="top"/>
    </xf>
    <xf numFmtId="166" fontId="4" fillId="0" borderId="0" xfId="0" applyNumberFormat="1" applyFont="1" applyFill="1" applyAlignment="1">
      <alignment vertical="top"/>
    </xf>
    <xf numFmtId="166" fontId="17" fillId="0" borderId="0" xfId="0" applyNumberFormat="1" applyFont="1" applyFill="1" applyAlignment="1">
      <alignment horizontal="right" vertical="top"/>
    </xf>
    <xf numFmtId="166" fontId="17" fillId="0" borderId="0" xfId="0" applyNumberFormat="1" applyFont="1" applyAlignment="1">
      <alignment horizontal="right" vertical="top"/>
    </xf>
    <xf numFmtId="166" fontId="69" fillId="0" borderId="0" xfId="1" applyNumberFormat="1" applyFont="1" applyAlignment="1">
      <alignment horizontal="right"/>
    </xf>
    <xf numFmtId="166" fontId="4" fillId="0" borderId="0" xfId="0" applyNumberFormat="1" applyFont="1" applyAlignment="1">
      <alignment horizontal="left" vertical="top" indent="1"/>
    </xf>
    <xf numFmtId="166" fontId="4" fillId="0" borderId="0" xfId="0" applyNumberFormat="1" applyFont="1" applyAlignment="1">
      <alignment vertical="top"/>
    </xf>
    <xf numFmtId="9" fontId="6" fillId="3" borderId="0" xfId="1" applyFont="1" applyFill="1" applyAlignment="1">
      <alignment horizontal="right" vertical="top"/>
    </xf>
    <xf numFmtId="6" fontId="6" fillId="3" borderId="0" xfId="0" applyNumberFormat="1" applyFont="1" applyFill="1"/>
    <xf numFmtId="0" fontId="0" fillId="0" borderId="0" xfId="0" applyAlignment="1">
      <alignment horizontal="center"/>
    </xf>
    <xf numFmtId="171" fontId="0" fillId="0" borderId="0" xfId="0" applyNumberFormat="1" applyAlignment="1">
      <alignment horizontal="center"/>
    </xf>
    <xf numFmtId="166" fontId="0" fillId="0" borderId="0" xfId="1" applyNumberFormat="1" applyFont="1" applyAlignment="1">
      <alignment horizontal="center"/>
    </xf>
    <xf numFmtId="0" fontId="0" fillId="0" borderId="0" xfId="0" applyAlignment="1">
      <alignment horizontal="left"/>
    </xf>
    <xf numFmtId="14" fontId="0" fillId="0" borderId="0" xfId="0" applyNumberFormat="1" applyAlignment="1">
      <alignment horizontal="left"/>
    </xf>
    <xf numFmtId="0" fontId="71" fillId="0" borderId="0" xfId="0" applyFont="1" applyAlignment="1">
      <alignment horizontal="center"/>
    </xf>
    <xf numFmtId="183" fontId="71" fillId="0" borderId="0" xfId="0" applyNumberFormat="1" applyFont="1" applyAlignment="1">
      <alignment horizontal="center"/>
    </xf>
    <xf numFmtId="8" fontId="72" fillId="0" borderId="0" xfId="0" applyNumberFormat="1" applyFont="1"/>
    <xf numFmtId="0" fontId="25" fillId="9" borderId="0" xfId="0" applyFont="1" applyFill="1" applyBorder="1"/>
    <xf numFmtId="0" fontId="2" fillId="9" borderId="0" xfId="0" applyFont="1" applyFill="1" applyBorder="1"/>
    <xf numFmtId="171" fontId="25" fillId="0" borderId="0" xfId="0" applyNumberFormat="1" applyFont="1"/>
    <xf numFmtId="9" fontId="25" fillId="0" borderId="0" xfId="1" applyFont="1"/>
    <xf numFmtId="10" fontId="40" fillId="0" borderId="0" xfId="1" applyNumberFormat="1" applyFont="1" applyAlignment="1">
      <alignment horizontal="center" wrapText="1"/>
    </xf>
    <xf numFmtId="9" fontId="52" fillId="0" borderId="0" xfId="1" applyFont="1" applyAlignment="1">
      <alignment horizontal="right"/>
    </xf>
    <xf numFmtId="0" fontId="70" fillId="0" borderId="0" xfId="7" applyFill="1" applyAlignment="1">
      <alignment horizontal="center" vertical="center"/>
    </xf>
    <xf numFmtId="0" fontId="70" fillId="0" borderId="0" xfId="7" applyFill="1"/>
    <xf numFmtId="41" fontId="70" fillId="0" borderId="0" xfId="7" applyNumberFormat="1" applyFill="1" applyAlignment="1">
      <alignment horizontal="center" vertical="center"/>
    </xf>
    <xf numFmtId="41" fontId="70" fillId="0" borderId="0" xfId="7" applyNumberFormat="1" applyFill="1"/>
    <xf numFmtId="41" fontId="70" fillId="0" borderId="0" xfId="7" applyNumberFormat="1" applyFill="1" applyAlignment="1">
      <alignment horizontal="right" vertical="top"/>
    </xf>
    <xf numFmtId="166" fontId="70" fillId="0" borderId="0" xfId="7" applyNumberFormat="1" applyFill="1" applyAlignment="1">
      <alignment vertical="top"/>
    </xf>
    <xf numFmtId="166" fontId="70" fillId="0" borderId="0" xfId="7" applyNumberFormat="1" applyFill="1" applyAlignment="1">
      <alignment horizontal="right" vertical="top"/>
    </xf>
    <xf numFmtId="9" fontId="70" fillId="0" borderId="0" xfId="7" applyNumberFormat="1" applyFill="1" applyAlignment="1">
      <alignment horizontal="right" vertical="top"/>
    </xf>
    <xf numFmtId="8" fontId="34" fillId="0" borderId="0" xfId="0" applyNumberFormat="1" applyFont="1" applyFill="1"/>
    <xf numFmtId="39" fontId="70" fillId="0" borderId="0" xfId="7" applyNumberFormat="1" applyFill="1" applyAlignment="1">
      <alignment horizontal="right" vertical="top"/>
    </xf>
    <xf numFmtId="165" fontId="70" fillId="0" borderId="0" xfId="7" applyNumberFormat="1" applyFill="1"/>
    <xf numFmtId="165" fontId="70" fillId="0" borderId="0" xfId="7" applyNumberFormat="1" applyFill="1" applyAlignment="1">
      <alignment horizontal="right" vertical="top"/>
    </xf>
    <xf numFmtId="3" fontId="70" fillId="0" borderId="0" xfId="7" applyNumberFormat="1" applyFill="1"/>
    <xf numFmtId="37" fontId="70" fillId="0" borderId="0" xfId="7" applyNumberFormat="1" applyFill="1" applyAlignment="1">
      <alignment horizontal="right" vertical="top"/>
    </xf>
    <xf numFmtId="37" fontId="70" fillId="0" borderId="0" xfId="7" applyNumberFormat="1" applyFill="1"/>
    <xf numFmtId="37" fontId="8" fillId="0" borderId="0" xfId="0" applyNumberFormat="1" applyFont="1" applyFill="1" applyAlignment="1">
      <alignment horizontal="right" vertical="top"/>
    </xf>
    <xf numFmtId="0" fontId="8" fillId="0" borderId="0" xfId="0" applyFont="1" applyFill="1"/>
    <xf numFmtId="0" fontId="70" fillId="0" borderId="0" xfId="7" applyFill="1" applyAlignment="1">
      <alignment vertical="top"/>
    </xf>
    <xf numFmtId="42" fontId="70" fillId="0" borderId="0" xfId="7" applyNumberFormat="1" applyFill="1"/>
    <xf numFmtId="165" fontId="70" fillId="0" borderId="0" xfId="7" applyNumberFormat="1" applyFill="1" applyAlignment="1">
      <alignment horizontal="right"/>
    </xf>
    <xf numFmtId="0" fontId="70" fillId="0" borderId="0" xfId="7" applyFill="1" applyAlignment="1">
      <alignment horizontal="center"/>
    </xf>
    <xf numFmtId="166" fontId="70" fillId="0" borderId="0" xfId="7" applyNumberFormat="1" applyFill="1"/>
    <xf numFmtId="167" fontId="70" fillId="0" borderId="0" xfId="7" applyNumberFormat="1" applyFill="1"/>
    <xf numFmtId="9" fontId="70" fillId="0" borderId="0" xfId="7" applyNumberFormat="1" applyFill="1"/>
    <xf numFmtId="43" fontId="70" fillId="0" borderId="0" xfId="7" applyNumberFormat="1" applyFill="1"/>
    <xf numFmtId="0" fontId="4" fillId="0" borderId="0" xfId="0" applyFont="1" applyFill="1" applyAlignment="1">
      <alignment vertical="top"/>
    </xf>
    <xf numFmtId="3" fontId="36" fillId="0" borderId="0" xfId="0" applyNumberFormat="1" applyFont="1" applyFill="1" applyAlignment="1">
      <alignment vertical="top"/>
    </xf>
    <xf numFmtId="3" fontId="36" fillId="0" borderId="0" xfId="0" applyNumberFormat="1" applyFont="1" applyFill="1"/>
    <xf numFmtId="3" fontId="8" fillId="0" borderId="0" xfId="0" applyNumberFormat="1" applyFont="1" applyFill="1"/>
    <xf numFmtId="165" fontId="2" fillId="0" borderId="0" xfId="0" applyNumberFormat="1" applyFont="1" applyFill="1"/>
    <xf numFmtId="43" fontId="2" fillId="0" borderId="0" xfId="0" applyNumberFormat="1" applyFont="1" applyFill="1"/>
    <xf numFmtId="0" fontId="2" fillId="0" borderId="0" xfId="0" applyFont="1" applyFill="1"/>
    <xf numFmtId="165" fontId="8" fillId="0" borderId="0" xfId="0" applyNumberFormat="1" applyFont="1" applyFill="1" applyAlignment="1">
      <alignment horizontal="right" vertical="top"/>
    </xf>
    <xf numFmtId="3" fontId="37" fillId="0" borderId="0" xfId="0" applyNumberFormat="1" applyFont="1" applyFill="1"/>
    <xf numFmtId="3" fontId="37" fillId="0" borderId="0" xfId="0" applyNumberFormat="1" applyFont="1" applyFill="1" applyAlignment="1">
      <alignment vertical="top"/>
    </xf>
    <xf numFmtId="3" fontId="16" fillId="0" borderId="0" xfId="0" applyNumberFormat="1" applyFont="1" applyFill="1"/>
    <xf numFmtId="37" fontId="16" fillId="0" borderId="0" xfId="0" applyNumberFormat="1" applyFont="1" applyFill="1" applyAlignment="1">
      <alignment horizontal="right" vertical="top"/>
    </xf>
    <xf numFmtId="3" fontId="2" fillId="0" borderId="0" xfId="0" applyNumberFormat="1" applyFont="1" applyFill="1"/>
    <xf numFmtId="3" fontId="8" fillId="0" borderId="0" xfId="0" applyNumberFormat="1" applyFont="1" applyFill="1" applyAlignment="1">
      <alignment vertical="top"/>
    </xf>
    <xf numFmtId="3" fontId="35" fillId="0" borderId="0" xfId="0" applyNumberFormat="1" applyFont="1" applyFill="1"/>
    <xf numFmtId="3" fontId="39" fillId="0" borderId="0" xfId="0" applyNumberFormat="1" applyFont="1" applyFill="1"/>
    <xf numFmtId="41" fontId="2" fillId="0" borderId="0" xfId="0" applyNumberFormat="1" applyFont="1" applyFill="1"/>
    <xf numFmtId="37" fontId="24" fillId="0" borderId="0" xfId="0" applyNumberFormat="1" applyFont="1" applyFill="1"/>
    <xf numFmtId="42" fontId="4" fillId="0" borderId="0" xfId="0" applyNumberFormat="1" applyFont="1" applyFill="1" applyAlignment="1">
      <alignment vertical="top"/>
    </xf>
    <xf numFmtId="42" fontId="8" fillId="0" borderId="0" xfId="0" applyNumberFormat="1" applyFont="1" applyFill="1" applyAlignment="1">
      <alignment vertical="top"/>
    </xf>
    <xf numFmtId="42" fontId="8" fillId="0" borderId="0" xfId="0" applyNumberFormat="1" applyFont="1" applyFill="1"/>
    <xf numFmtId="42" fontId="8" fillId="0" borderId="0" xfId="0" applyNumberFormat="1" applyFont="1" applyFill="1" applyAlignment="1">
      <alignment horizontal="right" vertical="top"/>
    </xf>
    <xf numFmtId="42" fontId="2" fillId="0" borderId="0" xfId="0" applyNumberFormat="1" applyFont="1" applyFill="1"/>
    <xf numFmtId="175" fontId="49" fillId="0" borderId="35" xfId="0" applyNumberFormat="1" applyFont="1" applyBorder="1" applyAlignment="1">
      <alignment horizontal="center"/>
    </xf>
    <xf numFmtId="0" fontId="58" fillId="0" borderId="33" xfId="0" applyFont="1" applyBorder="1" applyAlignment="1">
      <alignment horizontal="center"/>
    </xf>
    <xf numFmtId="0" fontId="57" fillId="0" borderId="33" xfId="0" applyFont="1" applyBorder="1" applyAlignment="1">
      <alignment horizontal="center"/>
    </xf>
    <xf numFmtId="0" fontId="40" fillId="0" borderId="33" xfId="0" applyFont="1" applyBorder="1" applyAlignment="1">
      <alignment horizontal="center"/>
    </xf>
    <xf numFmtId="0" fontId="51" fillId="0" borderId="33" xfId="0" applyFont="1" applyBorder="1" applyAlignment="1">
      <alignment horizontal="center"/>
    </xf>
    <xf numFmtId="11" fontId="47" fillId="2" borderId="0" xfId="0" applyNumberFormat="1" applyFont="1" applyFill="1" applyAlignment="1">
      <alignment horizontal="center"/>
    </xf>
    <xf numFmtId="0" fontId="47" fillId="2" borderId="33" xfId="0" applyFont="1" applyFill="1" applyBorder="1" applyAlignment="1">
      <alignment horizontal="center"/>
    </xf>
    <xf numFmtId="0" fontId="47" fillId="2" borderId="0" xfId="0" applyFont="1" applyFill="1" applyAlignment="1">
      <alignment horizontal="center"/>
    </xf>
    <xf numFmtId="0" fontId="47" fillId="12" borderId="0" xfId="0" applyFont="1" applyFill="1" applyAlignment="1">
      <alignment horizontal="center"/>
    </xf>
    <xf numFmtId="0" fontId="47" fillId="12" borderId="30" xfId="0" applyFont="1" applyFill="1" applyBorder="1" applyAlignment="1">
      <alignment horizontal="center"/>
    </xf>
    <xf numFmtId="0" fontId="47" fillId="2" borderId="30" xfId="0" applyFont="1" applyFill="1" applyBorder="1" applyAlignment="1">
      <alignment horizontal="center"/>
    </xf>
    <xf numFmtId="0" fontId="25" fillId="0" borderId="38" xfId="0" applyFont="1" applyBorder="1" applyAlignment="1">
      <alignment horizontal="center"/>
    </xf>
    <xf numFmtId="0" fontId="3" fillId="0" borderId="38" xfId="0" applyFont="1" applyBorder="1" applyAlignment="1">
      <alignment horizontal="center" vertical="center"/>
    </xf>
    <xf numFmtId="0" fontId="28" fillId="0" borderId="0" xfId="0" applyFont="1" applyAlignment="1">
      <alignment horizontal="center" vertical="top" wrapText="1"/>
    </xf>
    <xf numFmtId="0" fontId="29" fillId="0" borderId="0" xfId="0" applyFont="1" applyAlignment="1">
      <alignment horizontal="center" vertical="top" wrapText="1"/>
    </xf>
    <xf numFmtId="0" fontId="25" fillId="0" borderId="0" xfId="0" applyFont="1" applyAlignment="1">
      <alignment horizontal="center" vertical="center" wrapText="1"/>
    </xf>
    <xf numFmtId="0" fontId="2" fillId="0" borderId="0" xfId="0" applyFont="1" applyAlignment="1">
      <alignment horizontal="center"/>
    </xf>
    <xf numFmtId="0" fontId="0" fillId="0" borderId="0" xfId="0" applyAlignment="1">
      <alignment horizontal="center"/>
    </xf>
  </cellXfs>
  <cellStyles count="8">
    <cellStyle name="Comma 2" xfId="3" xr:uid="{7FBFC811-8EA9-144F-881F-FE667472B425}"/>
    <cellStyle name="Currency" xfId="5" builtinId="4"/>
    <cellStyle name="Currency 2" xfId="4" xr:uid="{B7C3910A-B0A0-D949-8983-F54C7260B4BA}"/>
    <cellStyle name="Hyperlink" xfId="2" builtinId="8"/>
    <cellStyle name="Neutral" xfId="7" builtinId="28"/>
    <cellStyle name="Normal" xfId="0" builtinId="0"/>
    <cellStyle name="Normal 3" xfId="6" xr:uid="{04BB9C40-E21B-4EF9-90EA-CF45BFFE47D4}"/>
    <cellStyle name="Percent" xfId="1" builtinId="5"/>
  </cellStyles>
  <dxfs count="7">
    <dxf>
      <font>
        <color rgb="FF006100"/>
      </font>
      <fill>
        <patternFill>
          <bgColor rgb="FFC6EFCE"/>
        </patternFill>
      </fill>
    </dxf>
    <dxf>
      <font>
        <color rgb="FF9C0006"/>
      </font>
      <fill>
        <patternFill>
          <bgColor rgb="FFFFC7CE"/>
        </patternFill>
      </fill>
    </dxf>
    <dxf>
      <fill>
        <patternFill>
          <bgColor theme="0" tint="-0.24994659260841701"/>
        </patternFill>
      </fill>
    </dxf>
    <dxf>
      <fill>
        <patternFill patternType="none">
          <bgColor auto="1"/>
        </patternFill>
      </fill>
    </dxf>
    <dxf>
      <fill>
        <patternFill>
          <bgColor theme="0"/>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0000FF"/>
      <color rgb="FF00355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6.png"/><Relationship Id="rId7" Type="http://schemas.openxmlformats.org/officeDocument/2006/relationships/image" Target="../media/image3.png"/><Relationship Id="rId12" Type="http://schemas.openxmlformats.org/officeDocument/2006/relationships/image" Target="../media/image14.png"/><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image" Target="../media/image9.svg"/><Relationship Id="rId11" Type="http://schemas.openxmlformats.org/officeDocument/2006/relationships/image" Target="../media/image13.png"/><Relationship Id="rId5" Type="http://schemas.openxmlformats.org/officeDocument/2006/relationships/image" Target="../media/image8.png"/><Relationship Id="rId10" Type="http://schemas.openxmlformats.org/officeDocument/2006/relationships/image" Target="../media/image12.png"/><Relationship Id="rId4" Type="http://schemas.openxmlformats.org/officeDocument/2006/relationships/image" Target="../media/image7.sv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oneCellAnchor>
    <xdr:from>
      <xdr:col>19</xdr:col>
      <xdr:colOff>0</xdr:colOff>
      <xdr:row>5</xdr:row>
      <xdr:rowOff>0</xdr:rowOff>
    </xdr:from>
    <xdr:ext cx="304800" cy="328805"/>
    <xdr:sp macro="" textlink="">
      <xdr:nvSpPr>
        <xdr:cNvPr id="2" name="AutoShape 6" descr="Image result for visa logo">
          <a:extLst>
            <a:ext uri="{FF2B5EF4-FFF2-40B4-BE49-F238E27FC236}">
              <a16:creationId xmlns:a16="http://schemas.microsoft.com/office/drawing/2014/main" id="{3F139853-C937-814E-BC3D-47A48E691FF0}"/>
            </a:ext>
          </a:extLst>
        </xdr:cNvPr>
        <xdr:cNvSpPr>
          <a:spLocks noChangeAspect="1" noChangeArrowheads="1"/>
        </xdr:cNvSpPr>
      </xdr:nvSpPr>
      <xdr:spPr bwMode="auto">
        <a:xfrm>
          <a:off x="12547600" y="952500"/>
          <a:ext cx="304800" cy="32880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19</xdr:col>
      <xdr:colOff>0</xdr:colOff>
      <xdr:row>5</xdr:row>
      <xdr:rowOff>0</xdr:rowOff>
    </xdr:from>
    <xdr:ext cx="304800" cy="328805"/>
    <xdr:sp macro="" textlink="">
      <xdr:nvSpPr>
        <xdr:cNvPr id="3" name="AutoShape 7" descr="Image result for visa logo">
          <a:extLst>
            <a:ext uri="{FF2B5EF4-FFF2-40B4-BE49-F238E27FC236}">
              <a16:creationId xmlns:a16="http://schemas.microsoft.com/office/drawing/2014/main" id="{87366068-56FD-2D4E-9724-9FB601BB14CE}"/>
            </a:ext>
          </a:extLst>
        </xdr:cNvPr>
        <xdr:cNvSpPr>
          <a:spLocks noChangeAspect="1" noChangeArrowheads="1"/>
        </xdr:cNvSpPr>
      </xdr:nvSpPr>
      <xdr:spPr bwMode="auto">
        <a:xfrm>
          <a:off x="12547600" y="952500"/>
          <a:ext cx="304800" cy="32880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275804</xdr:colOff>
      <xdr:row>0</xdr:row>
      <xdr:rowOff>181688</xdr:rowOff>
    </xdr:from>
    <xdr:ext cx="1294660" cy="1211496"/>
    <xdr:pic>
      <xdr:nvPicPr>
        <xdr:cNvPr id="7" name="Picture 3">
          <a:extLst>
            <a:ext uri="{FF2B5EF4-FFF2-40B4-BE49-F238E27FC236}">
              <a16:creationId xmlns:a16="http://schemas.microsoft.com/office/drawing/2014/main" id="{02164CAF-C8D6-A84F-9CAB-8490CC73FA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3072" y="181688"/>
          <a:ext cx="1294660" cy="1211496"/>
        </a:xfrm>
        <a:prstGeom prst="rect">
          <a:avLst/>
        </a:prstGeom>
      </xdr:spPr>
    </xdr:pic>
    <xdr:clientData/>
  </xdr:oneCellAnchor>
  <xdr:twoCellAnchor>
    <xdr:from>
      <xdr:col>9</xdr:col>
      <xdr:colOff>6879</xdr:colOff>
      <xdr:row>8</xdr:row>
      <xdr:rowOff>35955</xdr:rowOff>
    </xdr:from>
    <xdr:to>
      <xdr:col>19</xdr:col>
      <xdr:colOff>560917</xdr:colOff>
      <xdr:row>17</xdr:row>
      <xdr:rowOff>137585</xdr:rowOff>
    </xdr:to>
    <xdr:sp macro="" textlink="">
      <xdr:nvSpPr>
        <xdr:cNvPr id="11" name="TextBox 4">
          <a:extLst>
            <a:ext uri="{FF2B5EF4-FFF2-40B4-BE49-F238E27FC236}">
              <a16:creationId xmlns:a16="http://schemas.microsoft.com/office/drawing/2014/main" id="{722090C8-8A29-2F4A-8B33-1DBF5513ABF5}"/>
            </a:ext>
            <a:ext uri="{147F2762-F138-4A5C-976F-8EAC2B608ADB}">
              <a16:predDERef xmlns:a16="http://schemas.microsoft.com/office/drawing/2014/main" pred="{02164CAF-C8D6-A84F-9CAB-8490CC73FA8A}"/>
            </a:ext>
          </a:extLst>
        </xdr:cNvPr>
        <xdr:cNvSpPr txBox="1"/>
      </xdr:nvSpPr>
      <xdr:spPr>
        <a:xfrm>
          <a:off x="5950479" y="1559955"/>
          <a:ext cx="7158038" cy="1816130"/>
        </a:xfrm>
        <a:prstGeom prst="rect">
          <a:avLst/>
        </a:prstGeom>
        <a:solidFill>
          <a:schemeClr val="lt1"/>
        </a:solidFill>
        <a:ln w="9525" cmpd="sng">
          <a:solidFill>
            <a:srgbClr val="003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dk1"/>
              </a:solidFill>
              <a:latin typeface="Book Antiqua" panose="02040602050305030304" pitchFamily="18" charset="0"/>
            </a:rPr>
            <a:t>Builders FirstSource is the nation's largest supplier of structural building products, value-added components, and services to the professional market for new residential construction, repair, and remodeling. BLDR carries a full line of professional-grade building products from both top local suppliers and national brands. BLDR provides integrated solutions to shorten construction cycle times and reduce construction costs.</a:t>
          </a:r>
        </a:p>
      </xdr:txBody>
    </xdr:sp>
    <xdr:clientData/>
  </xdr:twoCellAnchor>
  <xdr:twoCellAnchor>
    <xdr:from>
      <xdr:col>9</xdr:col>
      <xdr:colOff>21167</xdr:colOff>
      <xdr:row>65</xdr:row>
      <xdr:rowOff>114303</xdr:rowOff>
    </xdr:from>
    <xdr:to>
      <xdr:col>19</xdr:col>
      <xdr:colOff>539747</xdr:colOff>
      <xdr:row>72</xdr:row>
      <xdr:rowOff>137583</xdr:rowOff>
    </xdr:to>
    <xdr:sp macro="" textlink="">
      <xdr:nvSpPr>
        <xdr:cNvPr id="6" name="TextBox 5">
          <a:extLst>
            <a:ext uri="{FF2B5EF4-FFF2-40B4-BE49-F238E27FC236}">
              <a16:creationId xmlns:a16="http://schemas.microsoft.com/office/drawing/2014/main" id="{DC4B54B9-16C0-D74D-87B1-AEC538FEAA7A}"/>
            </a:ext>
          </a:extLst>
        </xdr:cNvPr>
        <xdr:cNvSpPr txBox="1"/>
      </xdr:nvSpPr>
      <xdr:spPr>
        <a:xfrm>
          <a:off x="5964767" y="11544303"/>
          <a:ext cx="7122580" cy="1356780"/>
        </a:xfrm>
        <a:prstGeom prst="rect">
          <a:avLst/>
        </a:prstGeom>
        <a:solidFill>
          <a:schemeClr val="lt1"/>
        </a:solidFill>
        <a:ln w="9525" cmpd="sng">
          <a:solidFill>
            <a:srgbClr val="003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fontAlgn="base"/>
          <a:r>
            <a:rPr lang="en-US" sz="1400" b="0" i="0" u="none" strike="noStrike">
              <a:solidFill>
                <a:schemeClr val="dk1"/>
              </a:solidFill>
              <a:effectLst/>
              <a:latin typeface="Book Antiqua" panose="02040602050305030304" pitchFamily="18" charset="0"/>
              <a:ea typeface="+mn-ea"/>
              <a:cs typeface="+mn-cs"/>
            </a:rPr>
            <a:t>Supply chain bottleneck due to shipping container stalled at U.S. ports </a:t>
          </a:r>
        </a:p>
        <a:p>
          <a:pPr rtl="0" fontAlgn="base"/>
          <a:r>
            <a:rPr lang="en-US" sz="1400" b="0" i="0" u="none" strike="noStrike">
              <a:solidFill>
                <a:schemeClr val="dk1"/>
              </a:solidFill>
              <a:effectLst/>
              <a:latin typeface="Book Antiqua" panose="02040602050305030304" pitchFamily="18" charset="0"/>
              <a:ea typeface="+mn-ea"/>
              <a:cs typeface="+mn-cs"/>
            </a:rPr>
            <a:t>Freight rates continue to increase </a:t>
          </a:r>
          <a:br>
            <a:rPr lang="en-US" sz="1400" b="0" i="0" u="none" strike="noStrike">
              <a:solidFill>
                <a:schemeClr val="dk1"/>
              </a:solidFill>
              <a:effectLst/>
              <a:latin typeface="Book Antiqua" panose="02040602050305030304" pitchFamily="18" charset="0"/>
              <a:ea typeface="+mn-ea"/>
              <a:cs typeface="+mn-cs"/>
            </a:rPr>
          </a:br>
          <a:r>
            <a:rPr lang="en-US" sz="1400" b="0" i="0" u="none" strike="noStrike">
              <a:solidFill>
                <a:schemeClr val="dk1"/>
              </a:solidFill>
              <a:effectLst/>
              <a:latin typeface="Book Antiqua" panose="02040602050305030304" pitchFamily="18" charset="0"/>
              <a:ea typeface="+mn-ea"/>
              <a:cs typeface="+mn-cs"/>
            </a:rPr>
            <a:t>Materials prices</a:t>
          </a:r>
          <a:br>
            <a:rPr lang="en-US" sz="1400" b="0" i="0" u="none" strike="noStrike">
              <a:solidFill>
                <a:schemeClr val="dk1"/>
              </a:solidFill>
              <a:effectLst/>
              <a:latin typeface="Book Antiqua" panose="02040602050305030304" pitchFamily="18" charset="0"/>
              <a:ea typeface="+mn-ea"/>
              <a:cs typeface="+mn-cs"/>
            </a:rPr>
          </a:br>
          <a:br>
            <a:rPr lang="en-US" sz="1400" b="0" i="0" u="none" strike="noStrike">
              <a:solidFill>
                <a:schemeClr val="dk1"/>
              </a:solidFill>
              <a:effectLst/>
              <a:latin typeface="Book Antiqua" panose="02040602050305030304" pitchFamily="18" charset="0"/>
              <a:ea typeface="+mn-ea"/>
              <a:cs typeface="+mn-cs"/>
            </a:rPr>
          </a:br>
          <a:endParaRPr lang="en-US" sz="1400" b="0" i="0" u="none" strike="noStrike">
            <a:solidFill>
              <a:schemeClr val="dk1"/>
            </a:solidFill>
            <a:effectLst/>
            <a:latin typeface="Book Antiqua" panose="02040602050305030304" pitchFamily="18" charset="0"/>
            <a:ea typeface="+mn-ea"/>
            <a:cs typeface="+mn-cs"/>
          </a:endParaRPr>
        </a:p>
        <a:p>
          <a:endParaRPr lang="en-US" sz="1400" b="1" baseline="0">
            <a:latin typeface="Book Antiqua" panose="02040602050305030304" pitchFamily="18" charset="0"/>
            <a:cs typeface="Arial" panose="020B0604020202020204" pitchFamily="34" charset="0"/>
          </a:endParaRPr>
        </a:p>
      </xdr:txBody>
    </xdr:sp>
    <xdr:clientData/>
  </xdr:twoCellAnchor>
  <xdr:twoCellAnchor>
    <xdr:from>
      <xdr:col>9</xdr:col>
      <xdr:colOff>25046</xdr:colOff>
      <xdr:row>54</xdr:row>
      <xdr:rowOff>18586</xdr:rowOff>
    </xdr:from>
    <xdr:to>
      <xdr:col>19</xdr:col>
      <xdr:colOff>549898</xdr:colOff>
      <xdr:row>64</xdr:row>
      <xdr:rowOff>18585</xdr:rowOff>
    </xdr:to>
    <xdr:sp macro="" textlink="">
      <xdr:nvSpPr>
        <xdr:cNvPr id="35" name="TextBox 7">
          <a:extLst>
            <a:ext uri="{FF2B5EF4-FFF2-40B4-BE49-F238E27FC236}">
              <a16:creationId xmlns:a16="http://schemas.microsoft.com/office/drawing/2014/main" id="{7E44F244-0631-D74C-A5AA-CC1B8D8CC86A}"/>
            </a:ext>
          </a:extLst>
        </xdr:cNvPr>
        <xdr:cNvSpPr txBox="1"/>
      </xdr:nvSpPr>
      <xdr:spPr>
        <a:xfrm>
          <a:off x="8462802" y="11996854"/>
          <a:ext cx="6472169" cy="1951463"/>
        </a:xfrm>
        <a:prstGeom prst="rect">
          <a:avLst/>
        </a:prstGeom>
        <a:solidFill>
          <a:schemeClr val="lt1"/>
        </a:solidFill>
        <a:ln w="9525" cmpd="sng">
          <a:solidFill>
            <a:srgbClr val="003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fontAlgn="base"/>
          <a:r>
            <a:rPr lang="en-US" sz="1200" b="0" i="0" u="none" strike="noStrike">
              <a:solidFill>
                <a:schemeClr val="dk1"/>
              </a:solidFill>
              <a:effectLst/>
              <a:latin typeface="Book Antiqua" panose="02040602050305030304" pitchFamily="18" charset="0"/>
              <a:ea typeface="+mn-ea"/>
              <a:cs typeface="+mn-cs"/>
            </a:rPr>
            <a:t>Home purchasing and renovating uptrends should continue to generate increasing demand for home building services and materials. </a:t>
          </a:r>
        </a:p>
        <a:p>
          <a:pPr rtl="0" fontAlgn="base"/>
          <a:r>
            <a:rPr lang="en-US" sz="1200" b="0" i="0" u="none" strike="noStrike">
              <a:solidFill>
                <a:schemeClr val="dk1"/>
              </a:solidFill>
              <a:effectLst/>
              <a:latin typeface="Book Antiqua" panose="02040602050305030304" pitchFamily="18" charset="0"/>
              <a:ea typeface="+mn-ea"/>
              <a:cs typeface="+mn-cs"/>
            </a:rPr>
            <a:t> Large presence in Arizona, holding over 45% of the market share </a:t>
          </a:r>
        </a:p>
        <a:p>
          <a:pPr rtl="0" fontAlgn="base"/>
          <a:r>
            <a:rPr lang="en-US" sz="1200" b="0" i="0" u="none" strike="noStrike">
              <a:solidFill>
                <a:schemeClr val="dk1"/>
              </a:solidFill>
              <a:effectLst/>
              <a:latin typeface="Book Antiqua" panose="02040602050305030304" pitchFamily="18" charset="0"/>
              <a:ea typeface="+mn-ea"/>
              <a:cs typeface="+mn-cs"/>
            </a:rPr>
            <a:t>Merge agreement with BMC Stock Holdings, achieving combined sales of $11 billion. </a:t>
          </a:r>
          <a:br>
            <a:rPr lang="en-US" sz="1200" b="0" i="0" u="none" strike="noStrike">
              <a:solidFill>
                <a:schemeClr val="dk1"/>
              </a:solidFill>
              <a:effectLst/>
              <a:latin typeface="Book Antiqua" panose="02040602050305030304" pitchFamily="18" charset="0"/>
              <a:ea typeface="+mn-ea"/>
              <a:cs typeface="+mn-cs"/>
            </a:rPr>
          </a:br>
          <a:r>
            <a:rPr lang="en-US" sz="1200" b="0" i="0" u="none" strike="noStrike">
              <a:solidFill>
                <a:schemeClr val="dk1"/>
              </a:solidFill>
              <a:effectLst/>
              <a:latin typeface="Book Antiqua" panose="02040602050305030304" pitchFamily="18" charset="0"/>
              <a:ea typeface="+mn-ea"/>
              <a:cs typeface="+mn-cs"/>
            </a:rPr>
            <a:t>Lumber Prices are</a:t>
          </a:r>
          <a:r>
            <a:rPr lang="en-US" sz="1200" b="0" i="0" u="none" strike="noStrike" baseline="0">
              <a:solidFill>
                <a:schemeClr val="dk1"/>
              </a:solidFill>
              <a:effectLst/>
              <a:latin typeface="Book Antiqua" panose="02040602050305030304" pitchFamily="18" charset="0"/>
              <a:ea typeface="+mn-ea"/>
              <a:cs typeface="+mn-cs"/>
            </a:rPr>
            <a:t> high right now; BLDR has a solid supply of Lumber and is not hit hard by the supply chain issues</a:t>
          </a:r>
          <a:br>
            <a:rPr lang="en-US" sz="1200" b="0" i="0" u="none" strike="noStrike" baseline="0">
              <a:solidFill>
                <a:schemeClr val="dk1"/>
              </a:solidFill>
              <a:effectLst/>
              <a:latin typeface="Book Antiqua" panose="02040602050305030304" pitchFamily="18" charset="0"/>
              <a:ea typeface="+mn-ea"/>
              <a:cs typeface="+mn-cs"/>
            </a:rPr>
          </a:br>
          <a:r>
            <a:rPr lang="en-US" sz="1200" b="0" baseline="0">
              <a:latin typeface="Book Antiqua" panose="02040602050305030304" pitchFamily="18" charset="0"/>
              <a:cs typeface="Arial" panose="020B0604020202020204" pitchFamily="34" charset="0"/>
            </a:rPr>
            <a:t>Planning on acquiring more companies - already announced 5 new deals to increase scale and location reach.</a:t>
          </a:r>
        </a:p>
        <a:p>
          <a:r>
            <a:rPr lang="en-US" sz="1200" b="0" baseline="0">
              <a:latin typeface="Book Antiqua" panose="02040602050305030304" pitchFamily="18" charset="0"/>
              <a:cs typeface="Arial" panose="020B0604020202020204" pitchFamily="34" charset="0"/>
            </a:rPr>
            <a:t>Investments in software and technology - Paradigm tackles the complexity of building.</a:t>
          </a:r>
        </a:p>
      </xdr:txBody>
    </xdr:sp>
    <xdr:clientData/>
  </xdr:twoCellAnchor>
  <xdr:twoCellAnchor>
    <xdr:from>
      <xdr:col>9</xdr:col>
      <xdr:colOff>8700</xdr:colOff>
      <xdr:row>74</xdr:row>
      <xdr:rowOff>144103</xdr:rowOff>
    </xdr:from>
    <xdr:to>
      <xdr:col>19</xdr:col>
      <xdr:colOff>529166</xdr:colOff>
      <xdr:row>81</xdr:row>
      <xdr:rowOff>74081</xdr:rowOff>
    </xdr:to>
    <xdr:sp macro="" textlink="">
      <xdr:nvSpPr>
        <xdr:cNvPr id="104" name="TextBox 8">
          <a:extLst>
            <a:ext uri="{FF2B5EF4-FFF2-40B4-BE49-F238E27FC236}">
              <a16:creationId xmlns:a16="http://schemas.microsoft.com/office/drawing/2014/main" id="{674EF9CC-E75C-9544-A046-37894660C0F3}"/>
            </a:ext>
          </a:extLst>
        </xdr:cNvPr>
        <xdr:cNvSpPr txBox="1"/>
      </xdr:nvSpPr>
      <xdr:spPr>
        <a:xfrm>
          <a:off x="5952300" y="13288603"/>
          <a:ext cx="7124466" cy="1263478"/>
        </a:xfrm>
        <a:prstGeom prst="rect">
          <a:avLst/>
        </a:prstGeom>
        <a:solidFill>
          <a:schemeClr val="lt1"/>
        </a:solidFill>
        <a:ln w="9525" cmpd="sng">
          <a:solidFill>
            <a:srgbClr val="003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latin typeface="Arial" panose="020B0604020202020204" pitchFamily="34" charset="0"/>
              <a:cs typeface="Arial" panose="020B0604020202020204" pitchFamily="34" charset="0"/>
            </a:rPr>
            <a:t>Large investments in software, setting them apart from competitors investing in technology that strives to minimize the complexity of building. Construction is not heavily invested in digitization and Builder's FirstSource is making a move towards it. Positioned to lead a transition into digitization in the homebuilding area.  Sourcing material will be easier; crucial in a low supply market. Have a steady hold on lumber supply, less of an issue with the supply chain compared to competitors.</a:t>
          </a:r>
        </a:p>
      </xdr:txBody>
    </xdr:sp>
    <xdr:clientData/>
  </xdr:twoCellAnchor>
  <xdr:twoCellAnchor>
    <xdr:from>
      <xdr:col>9</xdr:col>
      <xdr:colOff>0</xdr:colOff>
      <xdr:row>19</xdr:row>
      <xdr:rowOff>0</xdr:rowOff>
    </xdr:from>
    <xdr:to>
      <xdr:col>19</xdr:col>
      <xdr:colOff>523875</xdr:colOff>
      <xdr:row>52</xdr:row>
      <xdr:rowOff>142875</xdr:rowOff>
    </xdr:to>
    <xdr:sp macro="" textlink="">
      <xdr:nvSpPr>
        <xdr:cNvPr id="23" name="TextBox 9">
          <a:extLst>
            <a:ext uri="{FF2B5EF4-FFF2-40B4-BE49-F238E27FC236}">
              <a16:creationId xmlns:a16="http://schemas.microsoft.com/office/drawing/2014/main" id="{93C05481-0D14-42B8-9E06-48B35F779F11}"/>
            </a:ext>
            <a:ext uri="{147F2762-F138-4A5C-976F-8EAC2B608ADB}">
              <a16:predDERef xmlns:a16="http://schemas.microsoft.com/office/drawing/2014/main" pred="{674EF9CC-E75C-9544-A046-37894660C0F3}"/>
            </a:ext>
          </a:extLst>
        </xdr:cNvPr>
        <xdr:cNvSpPr txBox="1"/>
      </xdr:nvSpPr>
      <xdr:spPr>
        <a:xfrm>
          <a:off x="7839075" y="3848100"/>
          <a:ext cx="6334125" cy="6115050"/>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indent="0" algn="ctr"/>
          <a:r>
            <a:rPr lang="en-US" sz="1200" b="1">
              <a:latin typeface="Book Antiqua" panose="02040602050305030304" pitchFamily="18" charset="0"/>
            </a:rPr>
            <a:t>Well-Positioned to Lead a Digital Transformation in Homebuilding Through Acquisitions</a:t>
          </a:r>
          <a:r>
            <a:rPr lang="en-US" sz="1100" b="1">
              <a:latin typeface="Book Antiqua" panose="02040602050305030304" pitchFamily="18" charset="0"/>
            </a:rPr>
            <a:t> </a:t>
          </a:r>
        </a:p>
        <a:p>
          <a:pPr marL="0" indent="0" algn="ctr"/>
          <a:endParaRPr lang="en-US" sz="1100">
            <a:latin typeface="Book Antiqua" panose="02040602050305030304" pitchFamily="18" charset="0"/>
          </a:endParaRPr>
        </a:p>
        <a:p>
          <a:pPr marL="0" indent="0" algn="ctr"/>
          <a:r>
            <a:rPr lang="en-US" sz="1100">
              <a:latin typeface="Book Antiqua" panose="02040602050305030304" pitchFamily="18" charset="0"/>
            </a:rPr>
            <a:t>Builders FirstSource aims to enhance its digital platform by acquiring several software development companies. Most recently, Builders FirstSource acquired Paradigm, which specializes in software development and consulting. Paradigm seeks to help industry participants such as; home builders, project managers, retailers and manufacturers become more efficient, boost sales, and reduce costs. Builders FirstSource's acquisition of Apollo software builds upon that foundation. Apollo software - a construction automation company -  provides  features such as; construction budgeting, scheduling, design collaboration and workflow, and field task assignments with mobile functionality. Builders FirstSource remains focused on leading the construction industry into a new age of innovation and digital solutions. </a:t>
          </a:r>
        </a:p>
        <a:p>
          <a:pPr marL="0" indent="0" algn="l"/>
          <a:endParaRPr lang="en-US" sz="1100">
            <a:latin typeface="Book Antiqua" panose="02040602050305030304" pitchFamily="18" charset="0"/>
          </a:endParaRPr>
        </a:p>
        <a:p>
          <a:pPr marL="0" indent="0" algn="ctr"/>
          <a:r>
            <a:rPr lang="en-US" sz="1100" b="1">
              <a:latin typeface="Book Antiqua" panose="02040602050305030304" pitchFamily="18" charset="0"/>
            </a:rPr>
            <a:t>Exceptional Geographic Footprint </a:t>
          </a:r>
        </a:p>
        <a:p>
          <a:pPr marL="0" indent="0" algn="l"/>
          <a:endParaRPr lang="en-US" sz="1100">
            <a:latin typeface="Book Antiqua" panose="02040602050305030304" pitchFamily="18" charset="0"/>
          </a:endParaRPr>
        </a:p>
        <a:p>
          <a:pPr marL="0" indent="0" algn="ctr"/>
          <a:r>
            <a:rPr lang="en-US" sz="1100">
              <a:latin typeface="Book Antiqua" panose="02040602050305030304" pitchFamily="18" charset="0"/>
            </a:rPr>
            <a:t>Builders FirstSource strategically aims to broaden its product portfolio in target markets while simultaneously deepening its presence in existing service areas. The acquisition of Cornerstone Building Alliance has increased BFS's dominance nationwide. Alliance has been Arizona's largest supplier of building materials, holding over 45% market share, a market where BFS did not have a significant presence. Builders FirstSource aims to inherent 500 experienced employees to see additional revenue. In recent years Arizona, specifically the metro area, has seen great uptrends. Home prices rose substantially from 2020 to 2021 (18.7%).  Housing market predictions for Arizona show that prices will continue to climb. </a:t>
          </a:r>
        </a:p>
        <a:p>
          <a:pPr marL="0" indent="0" algn="l"/>
          <a:endParaRPr lang="en-US" sz="1100">
            <a:latin typeface="Book Antiqua" panose="02040602050305030304" pitchFamily="18" charset="0"/>
          </a:endParaRPr>
        </a:p>
        <a:p>
          <a:pPr marL="0" indent="0" algn="ctr"/>
          <a:r>
            <a:rPr lang="en-US" sz="1100" b="1">
              <a:latin typeface="Book Antiqua" panose="02040602050305030304" pitchFamily="18" charset="0"/>
            </a:rPr>
            <a:t>Low Mortgage Rates and Remodeling Boom </a:t>
          </a:r>
        </a:p>
        <a:p>
          <a:pPr marL="0" indent="0" algn="ctr"/>
          <a:endParaRPr lang="en-US" sz="1100" b="1">
            <a:latin typeface="Book Antiqua" panose="02040602050305030304" pitchFamily="18" charset="0"/>
          </a:endParaRPr>
        </a:p>
        <a:p>
          <a:pPr marL="0" indent="0" algn="ctr"/>
          <a:r>
            <a:rPr lang="en-US" sz="1100" b="0">
              <a:solidFill>
                <a:srgbClr val="000000"/>
              </a:solidFill>
              <a:latin typeface="Book Antiqua" panose="02040602050305030304" pitchFamily="18" charset="0"/>
            </a:rPr>
            <a:t>COVID-19 has affected the housing market in a plethora of ways, specifically low mortgage rates and the uptrend in home purchases and renovation. Low mortgages and rising home prices are motivating nationwide house hunters to purchase new homes. In the last year, the 30-year fixed has averaged 3.11 percent, 3.94 percent the year prior. Current data shows that millennials are focusing on purchasing old homes and renovating them - also known as “fixer-uppers”. The increase in budget-friendly home purchases widens BLDR's remodeling market. </a:t>
          </a:r>
          <a:endParaRPr lang="en-US" sz="1100" b="1">
            <a:solidFill>
              <a:sysClr val="windowText" lastClr="000000"/>
            </a:solidFill>
            <a:latin typeface="Book Antiqua" panose="02040602050305030304" pitchFamily="18" charset="0"/>
          </a:endParaRPr>
        </a:p>
        <a:p>
          <a:pPr marL="0" indent="0" algn="ctr"/>
          <a:endParaRPr lang="en-US" sz="1100" b="1">
            <a:solidFill>
              <a:sysClr val="windowText" lastClr="000000"/>
            </a:solidFill>
            <a:latin typeface="Book Antiqua" panose="02040602050305030304" pitchFamily="18" charset="0"/>
          </a:endParaRPr>
        </a:p>
        <a:p>
          <a:pPr marL="0" indent="0" algn="l"/>
          <a:r>
            <a:rPr lang="en-US" sz="1100" b="1">
              <a:solidFill>
                <a:sysClr val="windowText" lastClr="000000"/>
              </a:solidFill>
              <a:latin typeface="Book Antiqua" panose="02040602050305030304" pitchFamily="18" charset="0"/>
            </a:rPr>
            <a:t>Builder's FirstSource is in 39 states; and</a:t>
          </a:r>
          <a:r>
            <a:rPr lang="en-US" sz="1100" b="1" baseline="0">
              <a:solidFill>
                <a:sysClr val="windowText" lastClr="000000"/>
              </a:solidFill>
              <a:latin typeface="Book Antiqua" panose="02040602050305030304" pitchFamily="18" charset="0"/>
            </a:rPr>
            <a:t> has 550 locations.</a:t>
          </a:r>
        </a:p>
        <a:p>
          <a:pPr marL="0" indent="0" algn="l"/>
          <a:r>
            <a:rPr lang="en-US" sz="1100" b="1" baseline="0">
              <a:solidFill>
                <a:sysClr val="windowText" lastClr="000000"/>
              </a:solidFill>
              <a:latin typeface="Book Antiqua" panose="02040602050305030304" pitchFamily="18" charset="0"/>
            </a:rPr>
            <a:t>Strong Financials; beaten EPS and revenue estimates for the past 2 years without fail</a:t>
          </a:r>
          <a:br>
            <a:rPr lang="en-US" sz="1100" b="1" baseline="0">
              <a:solidFill>
                <a:sysClr val="windowText" lastClr="000000"/>
              </a:solidFill>
              <a:latin typeface="Book Antiqua" panose="02040602050305030304" pitchFamily="18" charset="0"/>
            </a:rPr>
          </a:br>
          <a:br>
            <a:rPr lang="en-US" sz="1100" b="1" baseline="0">
              <a:solidFill>
                <a:sysClr val="windowText" lastClr="000000"/>
              </a:solidFill>
              <a:latin typeface="Book Antiqua" panose="02040602050305030304" pitchFamily="18" charset="0"/>
            </a:rPr>
          </a:br>
          <a:r>
            <a:rPr lang="en-US" sz="1100" b="0" baseline="0">
              <a:solidFill>
                <a:sysClr val="windowText" lastClr="000000"/>
              </a:solidFill>
              <a:latin typeface="Book Antiqua" panose="02040602050305030304" pitchFamily="18" charset="0"/>
            </a:rPr>
            <a:t>Builders FirstSource is trying to become a leader in a market without a clear one. Construction and Homebuilding is fragmented as an industry and lacks a large player who runs the show. BFS is focused on cost management intiatives that boost efficiency, productivity and margin expansion.</a:t>
          </a:r>
          <a:br>
            <a:rPr lang="en-US" sz="1100" b="0" baseline="0">
              <a:solidFill>
                <a:sysClr val="windowText" lastClr="000000"/>
              </a:solidFill>
              <a:latin typeface="Book Antiqua" panose="02040602050305030304" pitchFamily="18" charset="0"/>
            </a:rPr>
          </a:br>
          <a:br>
            <a:rPr lang="en-US" sz="1100" b="0" baseline="0">
              <a:solidFill>
                <a:sysClr val="windowText" lastClr="000000"/>
              </a:solidFill>
              <a:latin typeface="Book Antiqua" panose="02040602050305030304" pitchFamily="18" charset="0"/>
            </a:rPr>
          </a:br>
          <a:r>
            <a:rPr lang="en-US" sz="1100" b="0" baseline="0">
              <a:solidFill>
                <a:sysClr val="windowText" lastClr="000000"/>
              </a:solidFill>
              <a:latin typeface="Book Antiqua" panose="02040602050305030304" pitchFamily="18" charset="0"/>
            </a:rPr>
            <a:t>Aims to shorten construction time, reduce construction costs and supply essentially everything needed for the successful construction of a home. BFS has strong buying power and is working on growing their incredibly diversified end market.</a:t>
          </a:r>
          <a:endParaRPr lang="en-US" sz="1100" b="1">
            <a:solidFill>
              <a:sysClr val="windowText" lastClr="000000"/>
            </a:solidFill>
            <a:latin typeface="Book Antiqua" panose="02040602050305030304" pitchFamily="18" charset="0"/>
          </a:endParaRPr>
        </a:p>
      </xdr:txBody>
    </xdr:sp>
    <xdr:clientData/>
  </xdr:twoCellAnchor>
  <xdr:twoCellAnchor editAs="oneCell">
    <xdr:from>
      <xdr:col>1</xdr:col>
      <xdr:colOff>66675</xdr:colOff>
      <xdr:row>31</xdr:row>
      <xdr:rowOff>66675</xdr:rowOff>
    </xdr:from>
    <xdr:to>
      <xdr:col>4</xdr:col>
      <xdr:colOff>889635</xdr:colOff>
      <xdr:row>39</xdr:row>
      <xdr:rowOff>97155</xdr:rowOff>
    </xdr:to>
    <xdr:pic>
      <xdr:nvPicPr>
        <xdr:cNvPr id="4" name="Picture 6">
          <a:extLst>
            <a:ext uri="{FF2B5EF4-FFF2-40B4-BE49-F238E27FC236}">
              <a16:creationId xmlns:a16="http://schemas.microsoft.com/office/drawing/2014/main" id="{87BC8130-D129-4124-90B7-9285CA547EFA}"/>
            </a:ext>
            <a:ext uri="{147F2762-F138-4A5C-976F-8EAC2B608ADB}">
              <a16:predDERef xmlns:a16="http://schemas.microsoft.com/office/drawing/2014/main" pred="{93C05481-0D14-42B8-9E06-48B35F779F1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8600" y="6038850"/>
          <a:ext cx="5372100" cy="2781300"/>
        </a:xfrm>
        <a:prstGeom prst="rect">
          <a:avLst/>
        </a:prstGeom>
      </xdr:spPr>
    </xdr:pic>
    <xdr:clientData/>
  </xdr:twoCellAnchor>
  <xdr:oneCellAnchor>
    <xdr:from>
      <xdr:col>12</xdr:col>
      <xdr:colOff>157976</xdr:colOff>
      <xdr:row>1</xdr:row>
      <xdr:rowOff>159648</xdr:rowOff>
    </xdr:from>
    <xdr:ext cx="3647001" cy="964768"/>
    <xdr:pic>
      <xdr:nvPicPr>
        <xdr:cNvPr id="13" name="Picture 12">
          <a:extLst>
            <a:ext uri="{FF2B5EF4-FFF2-40B4-BE49-F238E27FC236}">
              <a16:creationId xmlns:a16="http://schemas.microsoft.com/office/drawing/2014/main" id="{21A2261C-3E1A-4BAF-8740-0D0307336AB0}"/>
            </a:ext>
          </a:extLst>
        </xdr:cNvPr>
        <xdr:cNvPicPr>
          <a:picLocks noChangeAspect="1"/>
        </xdr:cNvPicPr>
      </xdr:nvPicPr>
      <xdr:blipFill>
        <a:blip xmlns:r="http://schemas.openxmlformats.org/officeDocument/2006/relationships" r:embed="rId3"/>
        <a:stretch>
          <a:fillRect/>
        </a:stretch>
      </xdr:blipFill>
      <xdr:spPr>
        <a:xfrm>
          <a:off x="10379927" y="354794"/>
          <a:ext cx="3647001" cy="964768"/>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12</xdr:col>
      <xdr:colOff>309563</xdr:colOff>
      <xdr:row>4</xdr:row>
      <xdr:rowOff>1828</xdr:rowOff>
    </xdr:from>
    <xdr:ext cx="815617" cy="801025"/>
    <xdr:pic>
      <xdr:nvPicPr>
        <xdr:cNvPr id="2" name="Graphic 1" descr="Bull with solid fill">
          <a:extLst>
            <a:ext uri="{FF2B5EF4-FFF2-40B4-BE49-F238E27FC236}">
              <a16:creationId xmlns:a16="http://schemas.microsoft.com/office/drawing/2014/main" id="{6F616D09-179D-4218-A295-CD01E4340A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441883" y="733348"/>
          <a:ext cx="815617" cy="801025"/>
        </a:xfrm>
        <a:prstGeom prst="rect">
          <a:avLst/>
        </a:prstGeom>
      </xdr:spPr>
    </xdr:pic>
    <xdr:clientData/>
  </xdr:oneCellAnchor>
  <xdr:oneCellAnchor>
    <xdr:from>
      <xdr:col>13</xdr:col>
      <xdr:colOff>301631</xdr:colOff>
      <xdr:row>4</xdr:row>
      <xdr:rowOff>1828</xdr:rowOff>
    </xdr:from>
    <xdr:ext cx="815617" cy="801025"/>
    <xdr:pic>
      <xdr:nvPicPr>
        <xdr:cNvPr id="3" name="Graphic 2" descr="Store with solid fill">
          <a:extLst>
            <a:ext uri="{FF2B5EF4-FFF2-40B4-BE49-F238E27FC236}">
              <a16:creationId xmlns:a16="http://schemas.microsoft.com/office/drawing/2014/main" id="{85FD8C9D-EC97-4779-8122-871978B46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28311" y="733348"/>
          <a:ext cx="815617" cy="801025"/>
        </a:xfrm>
        <a:prstGeom prst="rect">
          <a:avLst/>
        </a:prstGeom>
      </xdr:spPr>
    </xdr:pic>
    <xdr:clientData/>
  </xdr:oneCellAnchor>
  <xdr:oneCellAnchor>
    <xdr:from>
      <xdr:col>14</xdr:col>
      <xdr:colOff>317497</xdr:colOff>
      <xdr:row>4</xdr:row>
      <xdr:rowOff>1828</xdr:rowOff>
    </xdr:from>
    <xdr:ext cx="815617" cy="801025"/>
    <xdr:pic>
      <xdr:nvPicPr>
        <xdr:cNvPr id="4" name="Graphic 3" descr="Bear with solid fill">
          <a:extLst>
            <a:ext uri="{FF2B5EF4-FFF2-40B4-BE49-F238E27FC236}">
              <a16:creationId xmlns:a16="http://schemas.microsoft.com/office/drawing/2014/main" id="{591B0A37-80D2-4A93-B3F2-BA68E53320B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638537" y="733348"/>
          <a:ext cx="815617" cy="801025"/>
        </a:xfrm>
        <a:prstGeom prst="rect">
          <a:avLst/>
        </a:prstGeom>
      </xdr:spPr>
    </xdr:pic>
    <xdr:clientData/>
  </xdr:oneCellAnchor>
  <xdr:oneCellAnchor>
    <xdr:from>
      <xdr:col>3</xdr:col>
      <xdr:colOff>44823</xdr:colOff>
      <xdr:row>6</xdr:row>
      <xdr:rowOff>33619</xdr:rowOff>
    </xdr:from>
    <xdr:ext cx="1314819" cy="324970"/>
    <xdr:pic>
      <xdr:nvPicPr>
        <xdr:cNvPr id="5" name="Picture 4">
          <a:extLst>
            <a:ext uri="{FF2B5EF4-FFF2-40B4-BE49-F238E27FC236}">
              <a16:creationId xmlns:a16="http://schemas.microsoft.com/office/drawing/2014/main" id="{C5F47EEC-0B37-4D3B-9BA0-6D75014953DB}"/>
            </a:ext>
          </a:extLst>
        </xdr:cNvPr>
        <xdr:cNvPicPr>
          <a:picLocks noChangeAspect="1"/>
        </xdr:cNvPicPr>
      </xdr:nvPicPr>
      <xdr:blipFill>
        <a:blip xmlns:r="http://schemas.openxmlformats.org/officeDocument/2006/relationships" r:embed="rId7"/>
        <a:stretch>
          <a:fillRect/>
        </a:stretch>
      </xdr:blipFill>
      <xdr:spPr>
        <a:xfrm>
          <a:off x="1827903" y="1130899"/>
          <a:ext cx="1314819" cy="324970"/>
        </a:xfrm>
        <a:prstGeom prst="rect">
          <a:avLst/>
        </a:prstGeom>
      </xdr:spPr>
    </xdr:pic>
    <xdr:clientData/>
  </xdr:oneCellAnchor>
  <xdr:oneCellAnchor>
    <xdr:from>
      <xdr:col>6</xdr:col>
      <xdr:colOff>238125</xdr:colOff>
      <xdr:row>4</xdr:row>
      <xdr:rowOff>28575</xdr:rowOff>
    </xdr:from>
    <xdr:ext cx="838200" cy="753035"/>
    <xdr:pic>
      <xdr:nvPicPr>
        <xdr:cNvPr id="6" name="Picture 2">
          <a:extLst>
            <a:ext uri="{FF2B5EF4-FFF2-40B4-BE49-F238E27FC236}">
              <a16:creationId xmlns:a16="http://schemas.microsoft.com/office/drawing/2014/main" id="{FCDD6E79-34BC-4775-AC55-D616545164D0}"/>
            </a:ext>
            <a:ext uri="{147F2762-F138-4A5C-976F-8EAC2B608ADB}">
              <a16:predDERef xmlns:a16="http://schemas.microsoft.com/office/drawing/2014/main" pred="{8E581C6B-51CF-4FFA-95D7-5B039694F75C}"/>
            </a:ext>
          </a:extLst>
        </xdr:cNvPr>
        <xdr:cNvPicPr>
          <a:picLocks noChangeAspect="1"/>
        </xdr:cNvPicPr>
      </xdr:nvPicPr>
      <xdr:blipFill>
        <a:blip xmlns:r="http://schemas.openxmlformats.org/officeDocument/2006/relationships" r:embed="rId8"/>
        <a:stretch>
          <a:fillRect/>
        </a:stretch>
      </xdr:blipFill>
      <xdr:spPr>
        <a:xfrm>
          <a:off x="3804285" y="760095"/>
          <a:ext cx="838200" cy="753035"/>
        </a:xfrm>
        <a:prstGeom prst="rect">
          <a:avLst/>
        </a:prstGeom>
      </xdr:spPr>
    </xdr:pic>
    <xdr:clientData/>
  </xdr:oneCellAnchor>
  <xdr:oneCellAnchor>
    <xdr:from>
      <xdr:col>4</xdr:col>
      <xdr:colOff>85725</xdr:colOff>
      <xdr:row>5</xdr:row>
      <xdr:rowOff>142875</xdr:rowOff>
    </xdr:from>
    <xdr:ext cx="1581710" cy="452158"/>
    <xdr:pic>
      <xdr:nvPicPr>
        <xdr:cNvPr id="7" name="Picture 3">
          <a:extLst>
            <a:ext uri="{FF2B5EF4-FFF2-40B4-BE49-F238E27FC236}">
              <a16:creationId xmlns:a16="http://schemas.microsoft.com/office/drawing/2014/main" id="{3BA6456A-FCD4-4B05-B51E-D0291C665D6E}"/>
            </a:ext>
            <a:ext uri="{147F2762-F138-4A5C-976F-8EAC2B608ADB}">
              <a16:predDERef xmlns:a16="http://schemas.microsoft.com/office/drawing/2014/main" pred="{40C2635E-AEE5-43F9-B4CA-CFF911080539}"/>
            </a:ext>
          </a:extLst>
        </xdr:cNvPr>
        <xdr:cNvPicPr>
          <a:picLocks noChangeAspect="1"/>
        </xdr:cNvPicPr>
      </xdr:nvPicPr>
      <xdr:blipFill>
        <a:blip xmlns:r="http://schemas.openxmlformats.org/officeDocument/2006/relationships" r:embed="rId9"/>
        <a:stretch>
          <a:fillRect/>
        </a:stretch>
      </xdr:blipFill>
      <xdr:spPr>
        <a:xfrm>
          <a:off x="2463165" y="1057275"/>
          <a:ext cx="1581710" cy="452158"/>
        </a:xfrm>
        <a:prstGeom prst="rect">
          <a:avLst/>
        </a:prstGeom>
      </xdr:spPr>
    </xdr:pic>
    <xdr:clientData/>
  </xdr:oneCellAnchor>
  <xdr:oneCellAnchor>
    <xdr:from>
      <xdr:col>8</xdr:col>
      <xdr:colOff>57150</xdr:colOff>
      <xdr:row>5</xdr:row>
      <xdr:rowOff>38100</xdr:rowOff>
    </xdr:from>
    <xdr:ext cx="1257300" cy="614083"/>
    <xdr:pic>
      <xdr:nvPicPr>
        <xdr:cNvPr id="8" name="Picture 4">
          <a:extLst>
            <a:ext uri="{FF2B5EF4-FFF2-40B4-BE49-F238E27FC236}">
              <a16:creationId xmlns:a16="http://schemas.microsoft.com/office/drawing/2014/main" id="{3447E2F4-2D81-4754-B346-51E44C5E74E4}"/>
            </a:ext>
            <a:ext uri="{147F2762-F138-4A5C-976F-8EAC2B608ADB}">
              <a16:predDERef xmlns:a16="http://schemas.microsoft.com/office/drawing/2014/main" pred="{1CBEDE6D-C0FE-4F12-AA50-0837446A8938}"/>
            </a:ext>
          </a:extLst>
        </xdr:cNvPr>
        <xdr:cNvPicPr>
          <a:picLocks noChangeAspect="1"/>
        </xdr:cNvPicPr>
      </xdr:nvPicPr>
      <xdr:blipFill>
        <a:blip xmlns:r="http://schemas.openxmlformats.org/officeDocument/2006/relationships" r:embed="rId10"/>
        <a:stretch>
          <a:fillRect/>
        </a:stretch>
      </xdr:blipFill>
      <xdr:spPr>
        <a:xfrm>
          <a:off x="4812030" y="952500"/>
          <a:ext cx="1257300" cy="614083"/>
        </a:xfrm>
        <a:prstGeom prst="rect">
          <a:avLst/>
        </a:prstGeom>
      </xdr:spPr>
    </xdr:pic>
    <xdr:clientData/>
  </xdr:oneCellAnchor>
  <xdr:oneCellAnchor>
    <xdr:from>
      <xdr:col>7</xdr:col>
      <xdr:colOff>76200</xdr:colOff>
      <xdr:row>4</xdr:row>
      <xdr:rowOff>28575</xdr:rowOff>
    </xdr:from>
    <xdr:ext cx="1009650" cy="743510"/>
    <xdr:pic>
      <xdr:nvPicPr>
        <xdr:cNvPr id="9" name="Picture 24">
          <a:extLst>
            <a:ext uri="{FF2B5EF4-FFF2-40B4-BE49-F238E27FC236}">
              <a16:creationId xmlns:a16="http://schemas.microsoft.com/office/drawing/2014/main" id="{B85D5DF7-1063-465C-9966-E5EC9739A273}"/>
            </a:ext>
            <a:ext uri="{147F2762-F138-4A5C-976F-8EAC2B608ADB}">
              <a16:predDERef xmlns:a16="http://schemas.microsoft.com/office/drawing/2014/main" pred="{A3B66FB3-8E83-49C2-99DE-4AC52C7316E5}"/>
            </a:ext>
          </a:extLst>
        </xdr:cNvPr>
        <xdr:cNvPicPr>
          <a:picLocks noChangeAspect="1"/>
        </xdr:cNvPicPr>
      </xdr:nvPicPr>
      <xdr:blipFill>
        <a:blip xmlns:r="http://schemas.openxmlformats.org/officeDocument/2006/relationships" r:embed="rId11"/>
        <a:stretch>
          <a:fillRect/>
        </a:stretch>
      </xdr:blipFill>
      <xdr:spPr>
        <a:xfrm>
          <a:off x="4236720" y="760095"/>
          <a:ext cx="1009650" cy="743510"/>
        </a:xfrm>
        <a:prstGeom prst="rect">
          <a:avLst/>
        </a:prstGeom>
      </xdr:spPr>
    </xdr:pic>
    <xdr:clientData/>
  </xdr:oneCellAnchor>
  <xdr:oneCellAnchor>
    <xdr:from>
      <xdr:col>9</xdr:col>
      <xdr:colOff>114300</xdr:colOff>
      <xdr:row>6</xdr:row>
      <xdr:rowOff>76200</xdr:rowOff>
    </xdr:from>
    <xdr:ext cx="1247775" cy="236444"/>
    <xdr:pic>
      <xdr:nvPicPr>
        <xdr:cNvPr id="10" name="Picture 25">
          <a:extLst>
            <a:ext uri="{FF2B5EF4-FFF2-40B4-BE49-F238E27FC236}">
              <a16:creationId xmlns:a16="http://schemas.microsoft.com/office/drawing/2014/main" id="{234D9AA4-5012-4C51-A760-22CB9EEC5A7C}"/>
            </a:ext>
            <a:ext uri="{147F2762-F138-4A5C-976F-8EAC2B608ADB}">
              <a16:predDERef xmlns:a16="http://schemas.microsoft.com/office/drawing/2014/main" pred="{CEAFCE1D-0BB5-4697-AF52-7972D67B2E46}"/>
            </a:ext>
          </a:extLst>
        </xdr:cNvPr>
        <xdr:cNvPicPr>
          <a:picLocks noChangeAspect="1"/>
        </xdr:cNvPicPr>
      </xdr:nvPicPr>
      <xdr:blipFill>
        <a:blip xmlns:r="http://schemas.openxmlformats.org/officeDocument/2006/relationships" r:embed="rId12"/>
        <a:stretch>
          <a:fillRect/>
        </a:stretch>
      </xdr:blipFill>
      <xdr:spPr>
        <a:xfrm>
          <a:off x="5463540" y="1173480"/>
          <a:ext cx="1247775" cy="236444"/>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428625</xdr:colOff>
      <xdr:row>8</xdr:row>
      <xdr:rowOff>85725</xdr:rowOff>
    </xdr:from>
    <xdr:to>
      <xdr:col>10</xdr:col>
      <xdr:colOff>152400</xdr:colOff>
      <xdr:row>26</xdr:row>
      <xdr:rowOff>0</xdr:rowOff>
    </xdr:to>
    <xdr:pic>
      <xdr:nvPicPr>
        <xdr:cNvPr id="2" name="Picture 1">
          <a:extLst>
            <a:ext uri="{FF2B5EF4-FFF2-40B4-BE49-F238E27FC236}">
              <a16:creationId xmlns:a16="http://schemas.microsoft.com/office/drawing/2014/main" id="{EAB5BAE8-8F9F-467A-82BE-6CC57FE82488}"/>
            </a:ext>
          </a:extLst>
        </xdr:cNvPr>
        <xdr:cNvPicPr>
          <a:picLocks noChangeAspect="1"/>
        </xdr:cNvPicPr>
      </xdr:nvPicPr>
      <xdr:blipFill>
        <a:blip xmlns:r="http://schemas.openxmlformats.org/officeDocument/2006/relationships" r:embed="rId1"/>
        <a:stretch>
          <a:fillRect/>
        </a:stretch>
      </xdr:blipFill>
      <xdr:spPr>
        <a:xfrm>
          <a:off x="1638300" y="1638300"/>
          <a:ext cx="4448175" cy="3333750"/>
        </a:xfrm>
        <a:prstGeom prst="rect">
          <a:avLst/>
        </a:prstGeom>
      </xdr:spPr>
    </xdr:pic>
    <xdr:clientData/>
  </xdr:twoCellAnchor>
  <xdr:twoCellAnchor editAs="oneCell">
    <xdr:from>
      <xdr:col>2</xdr:col>
      <xdr:colOff>219075</xdr:colOff>
      <xdr:row>26</xdr:row>
      <xdr:rowOff>28575</xdr:rowOff>
    </xdr:from>
    <xdr:to>
      <xdr:col>7</xdr:col>
      <xdr:colOff>66675</xdr:colOff>
      <xdr:row>42</xdr:row>
      <xdr:rowOff>57150</xdr:rowOff>
    </xdr:to>
    <xdr:pic>
      <xdr:nvPicPr>
        <xdr:cNvPr id="4" name="Picture 3">
          <a:extLst>
            <a:ext uri="{FF2B5EF4-FFF2-40B4-BE49-F238E27FC236}">
              <a16:creationId xmlns:a16="http://schemas.microsoft.com/office/drawing/2014/main" id="{BB78B6EE-4DFA-4AA2-90AD-E41DD272EFE4}"/>
            </a:ext>
            <a:ext uri="{147F2762-F138-4A5C-976F-8EAC2B608ADB}">
              <a16:predDERef xmlns:a16="http://schemas.microsoft.com/office/drawing/2014/main" pred="{EAB5BAE8-8F9F-467A-82BE-6CC57FE82488}"/>
            </a:ext>
          </a:extLst>
        </xdr:cNvPr>
        <xdr:cNvPicPr>
          <a:picLocks noChangeAspect="1"/>
        </xdr:cNvPicPr>
      </xdr:nvPicPr>
      <xdr:blipFill>
        <a:blip xmlns:r="http://schemas.openxmlformats.org/officeDocument/2006/relationships" r:embed="rId2"/>
        <a:stretch>
          <a:fillRect/>
        </a:stretch>
      </xdr:blipFill>
      <xdr:spPr>
        <a:xfrm>
          <a:off x="1428750" y="5010150"/>
          <a:ext cx="2800350" cy="3076575"/>
        </a:xfrm>
        <a:prstGeom prst="rect">
          <a:avLst/>
        </a:prstGeom>
      </xdr:spPr>
    </xdr:pic>
    <xdr:clientData/>
  </xdr:twoCellAnchor>
  <xdr:twoCellAnchor editAs="oneCell">
    <xdr:from>
      <xdr:col>7</xdr:col>
      <xdr:colOff>171450</xdr:colOff>
      <xdr:row>26</xdr:row>
      <xdr:rowOff>85725</xdr:rowOff>
    </xdr:from>
    <xdr:to>
      <xdr:col>19</xdr:col>
      <xdr:colOff>323850</xdr:colOff>
      <xdr:row>43</xdr:row>
      <xdr:rowOff>133350</xdr:rowOff>
    </xdr:to>
    <xdr:pic>
      <xdr:nvPicPr>
        <xdr:cNvPr id="5" name="Picture 4">
          <a:extLst>
            <a:ext uri="{FF2B5EF4-FFF2-40B4-BE49-F238E27FC236}">
              <a16:creationId xmlns:a16="http://schemas.microsoft.com/office/drawing/2014/main" id="{1A8CEA44-DF87-4D1B-9745-15983635583F}"/>
            </a:ext>
            <a:ext uri="{147F2762-F138-4A5C-976F-8EAC2B608ADB}">
              <a16:predDERef xmlns:a16="http://schemas.microsoft.com/office/drawing/2014/main" pred="{BB78B6EE-4DFA-4AA2-90AD-E41DD272EFE4}"/>
            </a:ext>
          </a:extLst>
        </xdr:cNvPr>
        <xdr:cNvPicPr>
          <a:picLocks noChangeAspect="1"/>
        </xdr:cNvPicPr>
      </xdr:nvPicPr>
      <xdr:blipFill>
        <a:blip xmlns:r="http://schemas.openxmlformats.org/officeDocument/2006/relationships" r:embed="rId3"/>
        <a:stretch>
          <a:fillRect/>
        </a:stretch>
      </xdr:blipFill>
      <xdr:spPr>
        <a:xfrm>
          <a:off x="4333875" y="5067300"/>
          <a:ext cx="7239000" cy="3286125"/>
        </a:xfrm>
        <a:prstGeom prst="rect">
          <a:avLst/>
        </a:prstGeom>
      </xdr:spPr>
    </xdr:pic>
    <xdr:clientData/>
  </xdr:twoCellAnchor>
  <xdr:twoCellAnchor editAs="oneCell">
    <xdr:from>
      <xdr:col>10</xdr:col>
      <xdr:colOff>142875</xdr:colOff>
      <xdr:row>8</xdr:row>
      <xdr:rowOff>38100</xdr:rowOff>
    </xdr:from>
    <xdr:to>
      <xdr:col>21</xdr:col>
      <xdr:colOff>571500</xdr:colOff>
      <xdr:row>25</xdr:row>
      <xdr:rowOff>95250</xdr:rowOff>
    </xdr:to>
    <xdr:pic>
      <xdr:nvPicPr>
        <xdr:cNvPr id="6" name="Picture 5">
          <a:extLst>
            <a:ext uri="{FF2B5EF4-FFF2-40B4-BE49-F238E27FC236}">
              <a16:creationId xmlns:a16="http://schemas.microsoft.com/office/drawing/2014/main" id="{4C186CC7-4BE8-472E-9BDE-3C405C5FCC31}"/>
            </a:ext>
            <a:ext uri="{147F2762-F138-4A5C-976F-8EAC2B608ADB}">
              <a16:predDERef xmlns:a16="http://schemas.microsoft.com/office/drawing/2014/main" pred="{1A8CEA44-DF87-4D1B-9745-15983635583F}"/>
            </a:ext>
          </a:extLst>
        </xdr:cNvPr>
        <xdr:cNvPicPr>
          <a:picLocks noChangeAspect="1"/>
        </xdr:cNvPicPr>
      </xdr:nvPicPr>
      <xdr:blipFill>
        <a:blip xmlns:r="http://schemas.openxmlformats.org/officeDocument/2006/relationships" r:embed="rId4"/>
        <a:stretch>
          <a:fillRect/>
        </a:stretch>
      </xdr:blipFill>
      <xdr:spPr>
        <a:xfrm>
          <a:off x="6076950" y="1590675"/>
          <a:ext cx="6924675" cy="3295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8FD17-39D4-4C46-9B81-D37892B3E47C}">
  <sheetPr>
    <pageSetUpPr autoPageBreaks="0"/>
  </sheetPr>
  <dimension ref="B2:AZ84"/>
  <sheetViews>
    <sheetView showGridLines="0" tabSelected="1" zoomScale="82" zoomScaleNormal="55" workbookViewId="0"/>
  </sheetViews>
  <sheetFormatPr baseColWidth="10" defaultColWidth="8.6640625" defaultRowHeight="16" x14ac:dyDescent="0.2"/>
  <cols>
    <col min="1" max="1" width="2.5" style="197" customWidth="1"/>
    <col min="2" max="2" width="40.1640625" style="197" bestFit="1" customWidth="1"/>
    <col min="3" max="3" width="12.5" style="197" bestFit="1" customWidth="1"/>
    <col min="4" max="6" width="13.83203125" style="197" bestFit="1" customWidth="1"/>
    <col min="7" max="7" width="11.5" style="197" customWidth="1"/>
    <col min="8" max="8" width="13.6640625" style="197" bestFit="1" customWidth="1"/>
    <col min="9" max="9" width="1.5" style="197" customWidth="1"/>
    <col min="10" max="20" width="8.6640625" style="197"/>
    <col min="21" max="21" width="2.5" style="197" customWidth="1"/>
    <col min="22" max="23" width="8.6640625" style="197"/>
    <col min="24" max="24" width="23.5" style="197" bestFit="1" customWidth="1"/>
    <col min="25" max="27" width="8.6640625" style="197" hidden="1" customWidth="1"/>
    <col min="28" max="28" width="7.33203125" style="197" bestFit="1" customWidth="1"/>
    <col min="29" max="29" width="12.5" style="197" bestFit="1" customWidth="1"/>
    <col min="30" max="30" width="2.5" style="197" hidden="1" customWidth="1"/>
    <col min="31" max="31" width="88.1640625" style="197" bestFit="1" customWidth="1"/>
    <col min="32" max="32" width="6.1640625" style="197" bestFit="1" customWidth="1"/>
    <col min="33" max="40" width="7.5" style="197" bestFit="1" customWidth="1"/>
    <col min="41" max="41" width="6.83203125" style="197" bestFit="1" customWidth="1"/>
    <col min="42" max="51" width="6.1640625" style="197" bestFit="1" customWidth="1"/>
    <col min="52" max="56" width="7.5" style="197" bestFit="1" customWidth="1"/>
    <col min="57" max="57" width="6.1640625" style="197" bestFit="1" customWidth="1"/>
    <col min="58" max="16384" width="8.6640625" style="197"/>
  </cols>
  <sheetData>
    <row r="2" spans="2:51" x14ac:dyDescent="0.2">
      <c r="B2" s="306"/>
      <c r="C2" s="199"/>
      <c r="D2" s="199"/>
      <c r="E2" s="199"/>
      <c r="F2" s="199"/>
      <c r="G2" s="199"/>
      <c r="H2" s="199"/>
      <c r="I2" s="199"/>
      <c r="J2" s="199"/>
      <c r="K2" s="199"/>
      <c r="L2" s="199"/>
      <c r="M2" s="199"/>
      <c r="N2" s="199"/>
      <c r="O2" s="199"/>
      <c r="P2" s="199"/>
      <c r="Q2" s="199"/>
      <c r="R2" s="199"/>
      <c r="S2" s="199"/>
      <c r="T2" s="305"/>
    </row>
    <row r="3" spans="2:51" ht="18" x14ac:dyDescent="0.2">
      <c r="B3" s="461" t="s">
        <v>0</v>
      </c>
      <c r="C3" s="461"/>
      <c r="D3" s="461"/>
      <c r="E3" s="461"/>
      <c r="F3" s="461"/>
      <c r="G3" s="461"/>
      <c r="H3" s="461"/>
      <c r="I3" s="461"/>
      <c r="J3" s="461"/>
      <c r="K3" s="461"/>
      <c r="L3" s="461"/>
      <c r="M3" s="461"/>
      <c r="N3" s="461"/>
      <c r="O3" s="461"/>
      <c r="P3" s="461"/>
      <c r="Q3" s="461"/>
      <c r="R3" s="461"/>
      <c r="S3" s="461"/>
      <c r="T3" s="461"/>
      <c r="U3" s="227"/>
      <c r="V3" s="227"/>
      <c r="X3" s="227"/>
      <c r="Y3" s="227"/>
      <c r="Z3" s="227"/>
      <c r="AA3" s="227"/>
      <c r="AB3" s="227"/>
      <c r="AC3" s="227"/>
      <c r="AD3" s="227"/>
      <c r="AE3" s="227"/>
      <c r="AF3" s="227"/>
      <c r="AG3" s="227"/>
      <c r="AH3" s="227"/>
      <c r="AI3" s="227"/>
      <c r="AJ3" s="227"/>
      <c r="AK3" s="227"/>
      <c r="AL3" s="227"/>
      <c r="AM3" s="227"/>
    </row>
    <row r="4" spans="2:51" ht="18" x14ac:dyDescent="0.2">
      <c r="B4" s="462" t="s">
        <v>322</v>
      </c>
      <c r="C4" s="462"/>
      <c r="D4" s="462"/>
      <c r="E4" s="462"/>
      <c r="F4" s="462"/>
      <c r="G4" s="462"/>
      <c r="H4" s="462"/>
      <c r="I4" s="462"/>
      <c r="J4" s="462"/>
      <c r="K4" s="462"/>
      <c r="L4" s="462"/>
      <c r="M4" s="462"/>
      <c r="N4" s="462"/>
      <c r="O4" s="462"/>
      <c r="P4" s="462"/>
      <c r="Q4" s="462"/>
      <c r="R4" s="462"/>
      <c r="S4" s="462"/>
      <c r="T4" s="462"/>
    </row>
    <row r="5" spans="2:51" x14ac:dyDescent="0.2">
      <c r="B5" s="463" t="s">
        <v>1</v>
      </c>
      <c r="C5" s="463"/>
      <c r="D5" s="463"/>
      <c r="E5" s="463"/>
      <c r="F5" s="463"/>
      <c r="G5" s="463"/>
      <c r="H5" s="463"/>
      <c r="I5" s="463"/>
      <c r="J5" s="463"/>
      <c r="K5" s="463"/>
      <c r="L5" s="463"/>
      <c r="M5" s="463"/>
      <c r="N5" s="463"/>
      <c r="O5" s="463"/>
      <c r="P5" s="463"/>
      <c r="Q5" s="463"/>
      <c r="R5" s="463"/>
      <c r="S5" s="463"/>
      <c r="T5" s="463"/>
      <c r="X5" s="227"/>
      <c r="AB5" s="216"/>
      <c r="AC5" s="216"/>
    </row>
    <row r="6" spans="2:51" x14ac:dyDescent="0.2">
      <c r="B6" s="463" t="s">
        <v>2</v>
      </c>
      <c r="C6" s="463"/>
      <c r="D6" s="463"/>
      <c r="E6" s="463"/>
      <c r="F6" s="463"/>
      <c r="G6" s="463"/>
      <c r="H6" s="463"/>
      <c r="I6" s="463"/>
      <c r="J6" s="463"/>
      <c r="K6" s="463"/>
      <c r="L6" s="463"/>
      <c r="M6" s="463"/>
      <c r="N6" s="463"/>
      <c r="O6" s="463"/>
      <c r="P6" s="463"/>
      <c r="Q6" s="463"/>
      <c r="R6" s="463"/>
      <c r="S6" s="463"/>
      <c r="T6" s="463"/>
      <c r="X6" s="282"/>
      <c r="AB6" s="216"/>
      <c r="AC6" s="281"/>
      <c r="AF6" s="225"/>
      <c r="AG6" s="225"/>
      <c r="AH6" s="225"/>
      <c r="AI6" s="225"/>
      <c r="AJ6" s="225"/>
      <c r="AK6" s="225"/>
      <c r="AL6" s="225"/>
      <c r="AM6" s="225"/>
      <c r="AN6" s="225"/>
      <c r="AO6" s="225"/>
      <c r="AP6" s="225"/>
      <c r="AQ6" s="225"/>
      <c r="AR6" s="225"/>
      <c r="AS6" s="225"/>
      <c r="AT6" s="225"/>
      <c r="AU6" s="225"/>
      <c r="AV6" s="225"/>
      <c r="AW6" s="225"/>
      <c r="AX6" s="225"/>
      <c r="AY6" s="225"/>
    </row>
    <row r="7" spans="2:51" x14ac:dyDescent="0.2">
      <c r="B7" s="464" t="s">
        <v>3</v>
      </c>
      <c r="C7" s="464"/>
      <c r="D7" s="464"/>
      <c r="E7" s="464"/>
      <c r="F7" s="464"/>
      <c r="G7" s="464"/>
      <c r="H7" s="464"/>
      <c r="I7" s="464"/>
      <c r="J7" s="464"/>
      <c r="K7" s="464"/>
      <c r="L7" s="464"/>
      <c r="M7" s="464"/>
      <c r="N7" s="464"/>
      <c r="O7" s="464"/>
      <c r="P7" s="464"/>
      <c r="Q7" s="464"/>
      <c r="R7" s="464"/>
      <c r="S7" s="464"/>
      <c r="T7" s="464"/>
      <c r="X7" s="282"/>
      <c r="AB7" s="216"/>
      <c r="AC7" s="281"/>
      <c r="AF7" s="304"/>
      <c r="AG7" s="304"/>
      <c r="AH7" s="304"/>
      <c r="AI7" s="304"/>
      <c r="AJ7" s="304"/>
      <c r="AK7" s="304"/>
      <c r="AL7" s="304"/>
      <c r="AM7" s="304"/>
      <c r="AN7" s="304"/>
      <c r="AO7" s="304"/>
      <c r="AP7" s="304"/>
      <c r="AQ7" s="304"/>
      <c r="AR7" s="304"/>
      <c r="AS7" s="304"/>
      <c r="AT7" s="304"/>
      <c r="AU7" s="304"/>
      <c r="AV7" s="304"/>
      <c r="AW7" s="304"/>
      <c r="AX7" s="304"/>
      <c r="AY7" s="304"/>
    </row>
    <row r="8" spans="2:51" x14ac:dyDescent="0.2">
      <c r="B8" s="303" t="s">
        <v>4</v>
      </c>
      <c r="C8" s="302"/>
      <c r="D8" s="301"/>
      <c r="E8" s="300"/>
      <c r="F8" s="300"/>
      <c r="G8" s="299"/>
      <c r="H8" s="298" t="str">
        <f>+IF(H9&gt;=20%,"BUY",IF(H9&gt;=0%,"HOLD","SELL"))</f>
        <v>BUY</v>
      </c>
      <c r="J8" s="465" t="s">
        <v>5</v>
      </c>
      <c r="K8" s="465"/>
      <c r="L8" s="465"/>
      <c r="M8" s="465"/>
      <c r="N8" s="465"/>
      <c r="O8" s="465"/>
      <c r="P8" s="465"/>
      <c r="Q8" s="465"/>
      <c r="R8" s="465"/>
      <c r="S8" s="465"/>
      <c r="T8" s="465"/>
      <c r="X8" s="283"/>
      <c r="AB8" s="216"/>
      <c r="AC8" s="281"/>
      <c r="AE8" s="297"/>
      <c r="AG8" s="296"/>
      <c r="AH8" s="296"/>
      <c r="AI8" s="296"/>
      <c r="AJ8" s="296"/>
      <c r="AK8" s="296"/>
      <c r="AL8" s="296"/>
      <c r="AM8" s="296"/>
      <c r="AN8" s="296"/>
      <c r="AO8" s="296"/>
      <c r="AP8" s="296"/>
      <c r="AQ8" s="296"/>
      <c r="AR8" s="296"/>
      <c r="AS8" s="296"/>
      <c r="AT8" s="296"/>
      <c r="AU8" s="296"/>
      <c r="AV8" s="296"/>
      <c r="AW8" s="296"/>
      <c r="AX8" s="296"/>
      <c r="AY8" s="296"/>
    </row>
    <row r="9" spans="2:51" x14ac:dyDescent="0.2">
      <c r="B9" s="224" t="s">
        <v>6</v>
      </c>
      <c r="H9" s="292">
        <v>0.52</v>
      </c>
      <c r="I9" s="292"/>
      <c r="T9" s="203"/>
      <c r="X9" s="282"/>
      <c r="AB9" s="216"/>
      <c r="AC9" s="281"/>
    </row>
    <row r="10" spans="2:51" x14ac:dyDescent="0.2">
      <c r="B10" s="224" t="s">
        <v>7</v>
      </c>
      <c r="H10" s="280">
        <v>91.67</v>
      </c>
      <c r="I10" s="295"/>
      <c r="T10" s="203"/>
      <c r="X10" s="282"/>
      <c r="AB10" s="216"/>
      <c r="AC10" s="281"/>
      <c r="AG10" s="293"/>
    </row>
    <row r="11" spans="2:51" x14ac:dyDescent="0.2">
      <c r="B11" s="224" t="s">
        <v>8</v>
      </c>
      <c r="H11" s="280">
        <v>60.26</v>
      </c>
      <c r="I11" s="294"/>
      <c r="T11" s="203"/>
      <c r="X11" s="282"/>
      <c r="AB11" s="216"/>
      <c r="AC11" s="281"/>
      <c r="AG11" s="293"/>
    </row>
    <row r="12" spans="2:51" x14ac:dyDescent="0.2">
      <c r="B12" s="224" t="s">
        <v>9</v>
      </c>
      <c r="H12" s="292">
        <v>-0.15</v>
      </c>
      <c r="I12" s="198"/>
      <c r="T12" s="203"/>
      <c r="X12" s="282"/>
      <c r="AB12" s="216"/>
      <c r="AC12" s="281"/>
      <c r="AG12" s="291"/>
    </row>
    <row r="13" spans="2:51" x14ac:dyDescent="0.2">
      <c r="B13" s="224" t="s">
        <v>10</v>
      </c>
      <c r="H13" s="284">
        <f>H11*(1+H12)</f>
        <v>51.220999999999997</v>
      </c>
      <c r="I13" s="284"/>
      <c r="T13" s="203"/>
      <c r="X13" s="283"/>
      <c r="AB13" s="216"/>
      <c r="AC13" s="281"/>
    </row>
    <row r="14" spans="2:51" x14ac:dyDescent="0.2">
      <c r="B14" s="290" t="s">
        <v>11</v>
      </c>
      <c r="C14" s="286"/>
      <c r="D14" s="286"/>
      <c r="E14" s="286"/>
      <c r="F14" s="286"/>
      <c r="G14" s="286"/>
      <c r="H14" s="289">
        <v>19.920000000000002</v>
      </c>
      <c r="I14" s="284"/>
      <c r="T14" s="203"/>
      <c r="X14" s="283"/>
      <c r="AB14" s="216"/>
      <c r="AC14" s="281"/>
    </row>
    <row r="15" spans="2:51" x14ac:dyDescent="0.2">
      <c r="B15" s="288" t="s">
        <v>12</v>
      </c>
      <c r="C15" s="287"/>
      <c r="D15" s="286"/>
      <c r="E15" s="286"/>
      <c r="F15" s="286"/>
      <c r="G15" s="286"/>
      <c r="H15" s="285">
        <f>H11/H14-1</f>
        <v>2.0251004016064251</v>
      </c>
      <c r="I15" s="284"/>
      <c r="T15" s="203"/>
      <c r="X15" s="283"/>
      <c r="AB15" s="216"/>
      <c r="AC15" s="281"/>
    </row>
    <row r="16" spans="2:51" x14ac:dyDescent="0.2">
      <c r="B16" s="466" t="s">
        <v>13</v>
      </c>
      <c r="C16" s="466"/>
      <c r="D16" s="466"/>
      <c r="E16" s="466"/>
      <c r="F16" s="466"/>
      <c r="G16" s="466"/>
      <c r="H16" s="466"/>
      <c r="I16" s="218"/>
      <c r="T16" s="203"/>
      <c r="X16" s="282"/>
      <c r="AB16" s="216"/>
      <c r="AC16" s="281"/>
      <c r="AE16" s="227"/>
    </row>
    <row r="17" spans="2:52" x14ac:dyDescent="0.2">
      <c r="B17" s="224" t="s">
        <v>14</v>
      </c>
      <c r="H17" s="280">
        <v>60.51</v>
      </c>
      <c r="I17" s="279"/>
      <c r="T17" s="203"/>
      <c r="X17" s="282"/>
      <c r="AB17" s="216"/>
      <c r="AC17" s="281"/>
    </row>
    <row r="18" spans="2:52" x14ac:dyDescent="0.2">
      <c r="B18" s="224" t="s">
        <v>15</v>
      </c>
      <c r="H18" s="280">
        <v>32.14</v>
      </c>
      <c r="I18" s="279"/>
      <c r="T18" s="203"/>
    </row>
    <row r="19" spans="2:52" ht="15.5" customHeight="1" x14ac:dyDescent="0.2">
      <c r="B19" s="224" t="s">
        <v>16</v>
      </c>
      <c r="H19" s="375">
        <v>9831117.6999999993</v>
      </c>
      <c r="I19" s="278"/>
      <c r="J19" s="467" t="s">
        <v>17</v>
      </c>
      <c r="K19" s="467"/>
      <c r="L19" s="467"/>
      <c r="M19" s="467"/>
      <c r="N19" s="467"/>
      <c r="O19" s="467"/>
      <c r="P19" s="467"/>
      <c r="Q19" s="467"/>
      <c r="R19" s="467"/>
      <c r="S19" s="467"/>
      <c r="T19" s="467"/>
      <c r="AG19" s="277"/>
      <c r="AH19" s="276"/>
      <c r="AY19" s="275"/>
    </row>
    <row r="20" spans="2:52" ht="15.5" customHeight="1" x14ac:dyDescent="0.2">
      <c r="B20" s="224" t="s">
        <v>18</v>
      </c>
      <c r="H20" s="375">
        <v>1173099</v>
      </c>
      <c r="I20" s="274"/>
      <c r="T20" s="203"/>
    </row>
    <row r="21" spans="2:52" ht="15.5" customHeight="1" x14ac:dyDescent="0.2">
      <c r="B21" s="224" t="s">
        <v>19</v>
      </c>
      <c r="H21" s="375">
        <v>11004216.699999999</v>
      </c>
      <c r="I21" s="273"/>
      <c r="T21" s="203"/>
    </row>
    <row r="22" spans="2:52" x14ac:dyDescent="0.2">
      <c r="B22" s="224" t="s">
        <v>20</v>
      </c>
      <c r="H22" s="272">
        <v>1.597</v>
      </c>
      <c r="I22" s="230"/>
      <c r="T22" s="203"/>
    </row>
    <row r="23" spans="2:52" x14ac:dyDescent="0.2">
      <c r="B23" s="224"/>
      <c r="H23" s="269"/>
      <c r="I23" s="270"/>
      <c r="L23" s="311"/>
      <c r="T23" s="203"/>
    </row>
    <row r="24" spans="2:52" x14ac:dyDescent="0.2">
      <c r="B24" s="224"/>
      <c r="D24" s="227"/>
      <c r="E24" s="227"/>
      <c r="F24" s="227"/>
      <c r="G24" s="227"/>
      <c r="H24" s="271"/>
      <c r="I24" s="269"/>
      <c r="L24" s="312"/>
      <c r="T24" s="203"/>
    </row>
    <row r="25" spans="2:52" x14ac:dyDescent="0.2">
      <c r="B25" s="466" t="s">
        <v>21</v>
      </c>
      <c r="C25" s="466"/>
      <c r="D25" s="466"/>
      <c r="E25" s="466"/>
      <c r="F25" s="466"/>
      <c r="G25" s="466"/>
      <c r="H25" s="466"/>
      <c r="I25" s="268"/>
      <c r="L25" s="312"/>
      <c r="T25" s="203"/>
    </row>
    <row r="26" spans="2:52" x14ac:dyDescent="0.2">
      <c r="B26" s="267"/>
      <c r="C26" s="218"/>
      <c r="D26" s="218"/>
      <c r="G26" s="217" t="s">
        <v>22</v>
      </c>
      <c r="H26" s="266" t="s">
        <v>23</v>
      </c>
      <c r="I26" s="218"/>
      <c r="L26" s="312"/>
      <c r="T26" s="203"/>
      <c r="U26" s="231"/>
      <c r="V26" s="231"/>
      <c r="AZ26" s="265"/>
    </row>
    <row r="27" spans="2:52" x14ac:dyDescent="0.2">
      <c r="B27" s="224" t="s">
        <v>24</v>
      </c>
      <c r="G27" s="257">
        <f>'DCF Valuation '!D28</f>
        <v>86.452663007317042</v>
      </c>
      <c r="H27" s="256">
        <v>0.33300000000000002</v>
      </c>
      <c r="I27" s="264"/>
      <c r="L27" s="312"/>
      <c r="T27" s="203"/>
    </row>
    <row r="28" spans="2:52" x14ac:dyDescent="0.2">
      <c r="B28" s="224" t="s">
        <v>25</v>
      </c>
      <c r="G28" s="257">
        <v>104.16</v>
      </c>
      <c r="H28" s="256">
        <v>0.33</v>
      </c>
      <c r="I28" s="256"/>
      <c r="L28" s="312"/>
      <c r="T28" s="203"/>
    </row>
    <row r="29" spans="2:52" ht="17" thickBot="1" x14ac:dyDescent="0.25">
      <c r="B29" s="224" t="s">
        <v>26</v>
      </c>
      <c r="G29" s="263">
        <v>87.18</v>
      </c>
      <c r="H29" s="256">
        <v>0.33300000000000002</v>
      </c>
      <c r="I29" s="256"/>
      <c r="K29" s="231"/>
      <c r="L29" s="231"/>
      <c r="M29" s="231"/>
      <c r="N29" s="231"/>
      <c r="O29" s="231"/>
      <c r="P29" s="231"/>
      <c r="Q29" s="231"/>
      <c r="R29" s="231"/>
      <c r="S29" s="231"/>
      <c r="T29" s="232"/>
    </row>
    <row r="30" spans="2:52" ht="17" thickBot="1" x14ac:dyDescent="0.25">
      <c r="B30" s="228" t="s">
        <v>27</v>
      </c>
      <c r="C30" s="227"/>
      <c r="F30" s="220"/>
      <c r="G30" s="460">
        <f>SUMPRODUCT(G27:G29,H27:H29)</f>
        <v>92.192476781436582</v>
      </c>
      <c r="H30" s="460"/>
      <c r="I30" s="256"/>
      <c r="T30" s="203"/>
    </row>
    <row r="31" spans="2:52" x14ac:dyDescent="0.2">
      <c r="B31" s="466" t="s">
        <v>320</v>
      </c>
      <c r="C31" s="466"/>
      <c r="D31" s="466"/>
      <c r="E31" s="466"/>
      <c r="F31" s="466"/>
      <c r="G31" s="466"/>
      <c r="H31" s="466"/>
      <c r="I31" s="256"/>
      <c r="T31" s="203"/>
    </row>
    <row r="32" spans="2:52" x14ac:dyDescent="0.2">
      <c r="B32" s="260"/>
      <c r="C32" s="217"/>
      <c r="D32" s="217"/>
      <c r="E32" s="217"/>
      <c r="F32" s="217"/>
      <c r="G32" s="254"/>
      <c r="H32" s="254"/>
      <c r="I32" s="256"/>
      <c r="T32" s="203"/>
    </row>
    <row r="33" spans="2:22" x14ac:dyDescent="0.2">
      <c r="B33" s="260"/>
      <c r="C33" s="217"/>
      <c r="D33" s="217"/>
      <c r="E33" s="217"/>
      <c r="F33" s="217"/>
      <c r="G33" s="254"/>
      <c r="H33" s="254"/>
      <c r="I33" s="256"/>
      <c r="T33" s="203"/>
    </row>
    <row r="34" spans="2:22" ht="111" customHeight="1" x14ac:dyDescent="0.2">
      <c r="B34" s="260"/>
      <c r="C34" s="217"/>
      <c r="D34" s="217"/>
      <c r="E34" s="217"/>
      <c r="F34" s="217"/>
      <c r="G34" s="254"/>
      <c r="H34" s="254"/>
      <c r="I34" s="256"/>
      <c r="T34" s="203"/>
    </row>
    <row r="35" spans="2:22" x14ac:dyDescent="0.2">
      <c r="B35" s="260"/>
      <c r="C35" s="217"/>
      <c r="D35" s="217"/>
      <c r="E35" s="217"/>
      <c r="F35" s="217"/>
      <c r="G35" s="254"/>
      <c r="H35" s="254"/>
      <c r="I35" s="256"/>
      <c r="T35" s="203"/>
    </row>
    <row r="36" spans="2:22" x14ac:dyDescent="0.2">
      <c r="B36" s="260"/>
      <c r="C36" s="217"/>
      <c r="D36" s="217"/>
      <c r="E36" s="217"/>
      <c r="F36" s="217"/>
      <c r="G36" s="254"/>
      <c r="H36" s="254"/>
      <c r="I36" s="256"/>
      <c r="T36" s="203"/>
    </row>
    <row r="37" spans="2:22" x14ac:dyDescent="0.2">
      <c r="B37" s="260"/>
      <c r="C37" s="217"/>
      <c r="D37" s="217"/>
      <c r="E37" s="217"/>
      <c r="F37" s="217"/>
      <c r="G37" s="254"/>
      <c r="H37" s="254"/>
      <c r="I37" s="256"/>
      <c r="T37" s="203"/>
    </row>
    <row r="38" spans="2:22" x14ac:dyDescent="0.2">
      <c r="B38" s="260"/>
      <c r="C38" s="259"/>
      <c r="D38" s="259"/>
      <c r="E38" s="259"/>
      <c r="F38" s="259"/>
      <c r="G38" s="262"/>
      <c r="H38" s="262"/>
      <c r="I38" s="261"/>
      <c r="T38" s="203"/>
    </row>
    <row r="39" spans="2:22" x14ac:dyDescent="0.2">
      <c r="B39" s="260"/>
      <c r="C39" s="259"/>
      <c r="D39" s="259"/>
      <c r="E39" s="259"/>
      <c r="F39" s="259"/>
      <c r="G39" s="259"/>
      <c r="H39" s="258"/>
      <c r="I39" s="256"/>
      <c r="T39" s="203"/>
    </row>
    <row r="40" spans="2:22" x14ac:dyDescent="0.2">
      <c r="B40" s="224"/>
      <c r="H40" s="257"/>
      <c r="I40" s="256"/>
      <c r="T40" s="203"/>
    </row>
    <row r="41" spans="2:22" x14ac:dyDescent="0.2">
      <c r="B41" s="466" t="s">
        <v>30</v>
      </c>
      <c r="C41" s="466"/>
      <c r="D41" s="466"/>
      <c r="E41" s="466"/>
      <c r="F41" s="466"/>
      <c r="G41" s="466"/>
      <c r="H41" s="466"/>
      <c r="I41" s="255"/>
      <c r="T41" s="203"/>
    </row>
    <row r="42" spans="2:22" ht="30" x14ac:dyDescent="0.2">
      <c r="B42" s="253" t="s">
        <v>31</v>
      </c>
      <c r="C42" s="217" t="s">
        <v>32</v>
      </c>
      <c r="D42" s="217" t="s">
        <v>33</v>
      </c>
      <c r="E42" s="252" t="s">
        <v>34</v>
      </c>
      <c r="F42" s="251" t="s">
        <v>35</v>
      </c>
      <c r="G42" s="254" t="s">
        <v>28</v>
      </c>
      <c r="H42" s="254" t="s">
        <v>29</v>
      </c>
      <c r="T42" s="203"/>
    </row>
    <row r="43" spans="2:22" x14ac:dyDescent="0.2">
      <c r="B43" s="253"/>
      <c r="C43" s="217"/>
      <c r="D43" s="217"/>
      <c r="E43" s="252"/>
      <c r="F43" s="251"/>
      <c r="G43" s="250"/>
      <c r="H43" s="250"/>
      <c r="T43" s="203"/>
    </row>
    <row r="44" spans="2:22" x14ac:dyDescent="0.2">
      <c r="B44" s="224" t="s">
        <v>36</v>
      </c>
      <c r="C44" s="235">
        <f>'Operating Model'!AE8</f>
        <v>8558874</v>
      </c>
      <c r="D44" s="235">
        <f>'Operating Model'!AJ8</f>
        <v>14427753.524170544</v>
      </c>
      <c r="E44" s="235">
        <f>'Operating Model'!AO8</f>
        <v>16388188.932603782</v>
      </c>
      <c r="F44" s="235">
        <f>'Operating Model'!AT8</f>
        <v>32965619.549597412</v>
      </c>
      <c r="G44" s="242">
        <f>('Operating Model'!AE8/'Operating Model'!K8)^(1/4)-1</f>
        <v>7.6751791337222874E-2</v>
      </c>
      <c r="H44" s="242">
        <f>('Operating Model'!AF8/'Operating Model'!L8)^(1/4)-1</f>
        <v>0.28452389339281914</v>
      </c>
      <c r="I44" s="218"/>
      <c r="T44" s="203"/>
    </row>
    <row r="45" spans="2:22" x14ac:dyDescent="0.2">
      <c r="B45" s="249" t="s">
        <v>37</v>
      </c>
      <c r="C45" s="244"/>
      <c r="D45" s="244">
        <f>D44/C44-1</f>
        <v>0.68570696614654492</v>
      </c>
      <c r="E45" s="244">
        <f t="shared" ref="E45:F45" si="0">E44/D44-1</f>
        <v>0.13587946350406921</v>
      </c>
      <c r="F45" s="244">
        <f t="shared" si="0"/>
        <v>1.011547443415993</v>
      </c>
      <c r="G45" s="410"/>
      <c r="H45" s="248"/>
      <c r="I45" s="247"/>
      <c r="Q45" s="246"/>
      <c r="R45" s="246"/>
      <c r="T45" s="203"/>
    </row>
    <row r="46" spans="2:22" x14ac:dyDescent="0.2">
      <c r="B46" s="238" t="s">
        <v>38</v>
      </c>
      <c r="C46" s="244">
        <f>'Operating Model'!AE11</f>
        <v>0.25968182263227618</v>
      </c>
      <c r="D46" s="385">
        <v>0.26</v>
      </c>
      <c r="E46" s="385">
        <v>0.26</v>
      </c>
      <c r="F46" s="385">
        <v>0.26</v>
      </c>
      <c r="G46" s="236"/>
      <c r="H46" s="236"/>
      <c r="I46" s="245"/>
      <c r="Q46" s="246"/>
      <c r="R46" s="246"/>
      <c r="T46" s="203"/>
    </row>
    <row r="47" spans="2:22" x14ac:dyDescent="0.2">
      <c r="B47" s="224" t="s">
        <v>39</v>
      </c>
      <c r="C47" s="235">
        <f>'Operating Model'!AE15</f>
        <v>543854</v>
      </c>
      <c r="D47" s="235">
        <f>'Operating Model'!AJ15</f>
        <v>865665.15145023214</v>
      </c>
      <c r="E47" s="235">
        <f>'Operating Model'!AO15</f>
        <v>983291.27595622698</v>
      </c>
      <c r="F47" s="235">
        <f>'Operating Model'!AT15</f>
        <v>1977937.1129758446</v>
      </c>
      <c r="G47" s="242">
        <f>('Operating Model'!AE15/'Operating Model'!K15)^(1/4)-1</f>
        <v>0.23165226987782894</v>
      </c>
      <c r="H47" s="242">
        <f>('Operating Model'!AF15/'Operating Model'!L15)^(1/4)-1</f>
        <v>0.57517731080926615</v>
      </c>
      <c r="I47" s="243"/>
      <c r="T47" s="203"/>
    </row>
    <row r="48" spans="2:22" x14ac:dyDescent="0.2">
      <c r="B48" s="240" t="s">
        <v>37</v>
      </c>
      <c r="C48" s="244"/>
      <c r="D48" s="244">
        <f>D47/C47-1</f>
        <v>0.59172342476148398</v>
      </c>
      <c r="E48" s="244">
        <f t="shared" ref="E48:F48" si="1">E47/D47-1</f>
        <v>0.13587947292199298</v>
      </c>
      <c r="F48" s="244">
        <f t="shared" si="1"/>
        <v>1.0115475051401717</v>
      </c>
      <c r="G48" s="411"/>
      <c r="H48" s="411"/>
      <c r="T48" s="203"/>
      <c r="U48" s="231"/>
      <c r="V48" s="231"/>
    </row>
    <row r="49" spans="2:22" x14ac:dyDescent="0.2">
      <c r="B49" s="238" t="s">
        <v>40</v>
      </c>
      <c r="C49" s="385">
        <v>6.4000000000000001E-2</v>
      </c>
      <c r="D49" s="385">
        <v>0.06</v>
      </c>
      <c r="E49" s="393">
        <v>0.06</v>
      </c>
      <c r="F49" s="393">
        <v>0.06</v>
      </c>
      <c r="G49" s="236"/>
      <c r="H49" s="236"/>
      <c r="I49" s="245"/>
      <c r="T49" s="203"/>
      <c r="U49" s="231"/>
      <c r="V49" s="231"/>
    </row>
    <row r="50" spans="2:22" x14ac:dyDescent="0.2">
      <c r="B50" s="224" t="s">
        <v>41</v>
      </c>
      <c r="C50" s="235">
        <f>'Operating Model'!AE13</f>
        <v>543854</v>
      </c>
      <c r="D50" s="235">
        <f>'Operating Model'!AJ13</f>
        <v>865665.21145023219</v>
      </c>
      <c r="E50" s="235">
        <f>'Operating Model'!AO13</f>
        <v>983291.33595622703</v>
      </c>
      <c r="F50" s="235">
        <f>'Operating Model'!AT13</f>
        <v>1977937.1729758447</v>
      </c>
      <c r="G50" s="242">
        <f>('Operating Model'!AE13/'Operating Model'!K13)^(1/4)-1</f>
        <v>0.23165226987782894</v>
      </c>
      <c r="H50" s="242">
        <f>('Operating Model'!AF13/'Operating Model'!L13)^(1/4)-1</f>
        <v>0.57517705394169627</v>
      </c>
      <c r="I50" s="245"/>
      <c r="T50" s="203"/>
      <c r="U50" s="231"/>
      <c r="V50" s="231"/>
    </row>
    <row r="51" spans="2:22" x14ac:dyDescent="0.2">
      <c r="B51" s="238" t="s">
        <v>37</v>
      </c>
      <c r="C51" s="244"/>
      <c r="D51" s="244">
        <f>D50/C50-1</f>
        <v>0.59172353508521081</v>
      </c>
      <c r="E51" s="244">
        <f t="shared" ref="E51:F51" si="2">E50/D50-1</f>
        <v>0.13587946350406988</v>
      </c>
      <c r="F51" s="244">
        <f t="shared" si="2"/>
        <v>1.011547443415993</v>
      </c>
      <c r="G51" s="410"/>
      <c r="H51" s="410"/>
      <c r="I51" s="245"/>
      <c r="K51" s="231"/>
      <c r="L51" s="231"/>
      <c r="M51" s="231"/>
      <c r="N51" s="231"/>
      <c r="O51" s="231"/>
      <c r="P51" s="231"/>
      <c r="Q51" s="231"/>
      <c r="R51" s="231"/>
      <c r="S51" s="231"/>
      <c r="T51" s="232"/>
    </row>
    <row r="52" spans="2:22" x14ac:dyDescent="0.2">
      <c r="B52" s="238" t="s">
        <v>42</v>
      </c>
      <c r="C52" s="244">
        <v>6.4000000000000001E-2</v>
      </c>
      <c r="D52" s="244">
        <v>0.06</v>
      </c>
      <c r="E52" s="393">
        <v>0.06</v>
      </c>
      <c r="F52" s="393">
        <v>0.06</v>
      </c>
      <c r="G52" s="236"/>
      <c r="H52" s="236"/>
      <c r="I52" s="243"/>
      <c r="K52" s="231"/>
      <c r="L52" s="231"/>
      <c r="M52" s="231"/>
      <c r="N52" s="231"/>
      <c r="O52" s="231"/>
      <c r="P52" s="231"/>
      <c r="Q52" s="231"/>
      <c r="R52" s="231"/>
      <c r="S52" s="231"/>
      <c r="T52" s="232"/>
    </row>
    <row r="53" spans="2:22" ht="15.75" customHeight="1" x14ac:dyDescent="0.2">
      <c r="B53" s="224" t="s">
        <v>43</v>
      </c>
      <c r="C53" s="235">
        <f>'Operating Model'!AE20</f>
        <v>313537</v>
      </c>
      <c r="D53" s="235">
        <f>'Operating Model'!AJ20</f>
        <v>569344.016631181</v>
      </c>
      <c r="E53" s="235">
        <f>'Operating Model'!AO20</f>
        <v>661092.39374585706</v>
      </c>
      <c r="F53" s="235">
        <f>'Operating Model'!AT20</f>
        <v>1436916.1466211588</v>
      </c>
      <c r="G53" s="242">
        <f>('Operating Model'!AE20/'Operating Model'!K20)^(1/4)-1</f>
        <v>0.21401701104580328</v>
      </c>
      <c r="H53" s="242">
        <f>('Operating Model'!AF20/'Operating Model'!L20)^(1/4)-1</f>
        <v>1.5922428890838254</v>
      </c>
      <c r="I53" s="241"/>
      <c r="K53" s="231"/>
      <c r="L53" s="231"/>
      <c r="M53" s="231"/>
      <c r="N53" s="231"/>
      <c r="O53" s="231"/>
      <c r="P53" s="231"/>
      <c r="Q53" s="231"/>
      <c r="R53" s="231"/>
      <c r="S53" s="231"/>
      <c r="T53" s="232"/>
    </row>
    <row r="54" spans="2:22" x14ac:dyDescent="0.2">
      <c r="B54" s="240" t="s">
        <v>37</v>
      </c>
      <c r="C54" s="239"/>
      <c r="D54" s="239">
        <f>D53/C53-1</f>
        <v>0.81587505344243594</v>
      </c>
      <c r="E54" s="239">
        <f t="shared" ref="E54:F54" si="3">E53/D53-1</f>
        <v>0.16114752141868971</v>
      </c>
      <c r="F54" s="239">
        <f t="shared" si="3"/>
        <v>1.1735481457884549</v>
      </c>
      <c r="G54" s="411"/>
      <c r="H54" s="411"/>
      <c r="J54" s="467" t="s">
        <v>44</v>
      </c>
      <c r="K54" s="467"/>
      <c r="L54" s="467"/>
      <c r="M54" s="467"/>
      <c r="N54" s="467"/>
      <c r="O54" s="467"/>
      <c r="P54" s="467"/>
      <c r="Q54" s="467"/>
      <c r="R54" s="467"/>
      <c r="S54" s="467"/>
      <c r="T54" s="467"/>
    </row>
    <row r="55" spans="2:22" x14ac:dyDescent="0.2">
      <c r="B55" s="238" t="s">
        <v>45</v>
      </c>
      <c r="C55" s="237">
        <v>0.04</v>
      </c>
      <c r="D55" s="237">
        <v>0.04</v>
      </c>
      <c r="E55" s="237">
        <v>0.04</v>
      </c>
      <c r="F55" s="237">
        <v>0.04</v>
      </c>
      <c r="G55" s="236"/>
      <c r="H55" s="236"/>
      <c r="T55" s="203"/>
    </row>
    <row r="56" spans="2:22" x14ac:dyDescent="0.2">
      <c r="B56" s="224"/>
      <c r="C56" s="235"/>
      <c r="D56" s="235"/>
      <c r="E56" s="235"/>
      <c r="F56" s="235"/>
      <c r="T56" s="203"/>
    </row>
    <row r="57" spans="2:22" x14ac:dyDescent="0.2">
      <c r="B57" s="224"/>
      <c r="C57" s="234"/>
      <c r="D57" s="234"/>
      <c r="E57" s="234"/>
      <c r="F57" s="234"/>
      <c r="T57" s="203"/>
    </row>
    <row r="58" spans="2:22" x14ac:dyDescent="0.2">
      <c r="B58" s="224"/>
      <c r="C58" s="234"/>
      <c r="D58" s="234"/>
      <c r="E58" s="234"/>
      <c r="F58" s="234"/>
      <c r="T58" s="203"/>
    </row>
    <row r="59" spans="2:22" x14ac:dyDescent="0.2">
      <c r="B59" s="466" t="s">
        <v>46</v>
      </c>
      <c r="C59" s="466"/>
      <c r="D59" s="466"/>
      <c r="E59" s="466"/>
      <c r="F59" s="466"/>
      <c r="G59" s="466"/>
      <c r="H59" s="466"/>
      <c r="I59" s="233"/>
      <c r="J59" s="231"/>
      <c r="K59" s="231"/>
      <c r="L59" s="231"/>
      <c r="M59" s="231"/>
      <c r="N59" s="231"/>
      <c r="O59" s="231"/>
      <c r="P59" s="231"/>
      <c r="Q59" s="231"/>
      <c r="R59" s="231"/>
      <c r="S59" s="231"/>
      <c r="T59" s="232"/>
    </row>
    <row r="60" spans="2:22" x14ac:dyDescent="0.2">
      <c r="B60" s="224" t="s">
        <v>47</v>
      </c>
      <c r="H60" s="229">
        <f>'Comparable Valuation'!D20</f>
        <v>11.146484375</v>
      </c>
      <c r="I60" s="218"/>
      <c r="T60" s="203"/>
      <c r="U60" s="231"/>
      <c r="V60" s="231"/>
    </row>
    <row r="61" spans="2:22" x14ac:dyDescent="0.2">
      <c r="B61" s="224" t="s">
        <v>48</v>
      </c>
      <c r="H61" s="229">
        <f>'Comparable Valuation'!D21</f>
        <v>10.797395272642172</v>
      </c>
      <c r="T61" s="203"/>
    </row>
    <row r="62" spans="2:22" x14ac:dyDescent="0.2">
      <c r="B62" s="224" t="s">
        <v>49</v>
      </c>
      <c r="H62" s="229">
        <f>'Comparable Valuation'!D22</f>
        <v>8.6200292707230499</v>
      </c>
      <c r="T62" s="203"/>
    </row>
    <row r="63" spans="2:22" s="377" customFormat="1" x14ac:dyDescent="0.2">
      <c r="B63" s="382"/>
      <c r="H63" s="381"/>
      <c r="I63" s="380"/>
      <c r="J63" s="379"/>
      <c r="T63" s="378"/>
    </row>
    <row r="64" spans="2:22" s="377" customFormat="1" x14ac:dyDescent="0.2">
      <c r="B64" s="382"/>
      <c r="H64" s="381"/>
      <c r="I64" s="380"/>
      <c r="J64" s="379"/>
      <c r="T64" s="378"/>
    </row>
    <row r="65" spans="2:22" x14ac:dyDescent="0.2">
      <c r="B65" s="224"/>
      <c r="H65" s="229"/>
      <c r="I65" s="218"/>
      <c r="J65" s="467" t="s">
        <v>50</v>
      </c>
      <c r="K65" s="467"/>
      <c r="L65" s="467"/>
      <c r="M65" s="467"/>
      <c r="N65" s="467"/>
      <c r="O65" s="467"/>
      <c r="P65" s="467"/>
      <c r="Q65" s="467"/>
      <c r="R65" s="467"/>
      <c r="S65" s="467"/>
      <c r="T65" s="470"/>
    </row>
    <row r="66" spans="2:22" x14ac:dyDescent="0.2">
      <c r="B66" s="466" t="s">
        <v>51</v>
      </c>
      <c r="C66" s="467"/>
      <c r="D66" s="467"/>
      <c r="E66" s="467"/>
      <c r="F66" s="467"/>
      <c r="G66" s="467"/>
      <c r="H66" s="467"/>
      <c r="I66" s="225"/>
      <c r="T66" s="203"/>
    </row>
    <row r="67" spans="2:22" ht="15.75" customHeight="1" x14ac:dyDescent="0.2">
      <c r="B67" s="228"/>
      <c r="C67" s="227"/>
      <c r="D67" s="226">
        <v>1</v>
      </c>
      <c r="E67" s="226">
        <f>+D67+1</f>
        <v>2</v>
      </c>
      <c r="F67" s="226">
        <f>+E67+1</f>
        <v>3</v>
      </c>
      <c r="G67" s="226">
        <f>+F67+1</f>
        <v>4</v>
      </c>
      <c r="H67" s="225" t="s">
        <v>52</v>
      </c>
      <c r="T67" s="203"/>
    </row>
    <row r="68" spans="2:22" ht="14.5" customHeight="1" x14ac:dyDescent="0.2">
      <c r="B68" s="224" t="s">
        <v>34</v>
      </c>
      <c r="D68" s="220">
        <f>'Operating Model'!AK26</f>
        <v>0.41208535027799204</v>
      </c>
      <c r="E68" s="220">
        <f>'Operating Model'!AL26</f>
        <v>0.66694414452328443</v>
      </c>
      <c r="F68" s="220">
        <f>'Operating Model'!AM26</f>
        <v>-1.089409695379133E-2</v>
      </c>
      <c r="G68" s="220">
        <f>'Operating Model'!AN26</f>
        <v>3.5518785195516287</v>
      </c>
      <c r="H68" s="220">
        <f>'Operating Model'!AO26</f>
        <v>4.6200139173991133</v>
      </c>
      <c r="T68" s="203"/>
    </row>
    <row r="69" spans="2:22" x14ac:dyDescent="0.2">
      <c r="B69" s="223" t="s">
        <v>33</v>
      </c>
      <c r="C69" s="222"/>
      <c r="D69" s="220">
        <f>'Operating Model'!AF26</f>
        <v>0.82722984891479412</v>
      </c>
      <c r="E69" s="220">
        <f>'Operating Model'!AG26</f>
        <v>2.3869036761105615</v>
      </c>
      <c r="F69" s="220">
        <f>'Operating Model'!AH26</f>
        <v>0.7701355710062856</v>
      </c>
      <c r="G69" s="220">
        <f>'Operating Model'!AI26</f>
        <v>0.91390645276999327</v>
      </c>
      <c r="H69" s="220">
        <f>'Operating Model'!AJ26</f>
        <v>4.8981755488016345</v>
      </c>
      <c r="T69" s="203"/>
    </row>
    <row r="70" spans="2:22" x14ac:dyDescent="0.2">
      <c r="B70" s="223" t="s">
        <v>32</v>
      </c>
      <c r="C70" s="222"/>
      <c r="D70" s="220">
        <f>'Operating Model'!AA26</f>
        <v>7.4616576165591433E-2</v>
      </c>
      <c r="E70" s="220">
        <f>'Operating Model'!AB26</f>
        <v>0.67142504700247563</v>
      </c>
      <c r="F70" s="220">
        <f>'Operating Model'!AC26</f>
        <v>0.7280768644197041</v>
      </c>
      <c r="G70" s="220">
        <f>'Operating Model'!AD26</f>
        <v>1.186546469126589</v>
      </c>
      <c r="H70" s="220">
        <f>'Operating Model'!AE26</f>
        <v>2.6606649567143603</v>
      </c>
      <c r="T70" s="203"/>
    </row>
    <row r="71" spans="2:22" x14ac:dyDescent="0.2">
      <c r="B71" s="466" t="s">
        <v>53</v>
      </c>
      <c r="C71" s="467"/>
      <c r="D71" s="467"/>
      <c r="E71" s="467"/>
      <c r="F71" s="467"/>
      <c r="G71" s="467"/>
      <c r="H71" s="467"/>
      <c r="T71" s="203"/>
    </row>
    <row r="72" spans="2:22" x14ac:dyDescent="0.2">
      <c r="B72" s="228"/>
      <c r="C72" s="227"/>
      <c r="D72" s="226">
        <v>1</v>
      </c>
      <c r="E72" s="226">
        <f>+D72+1</f>
        <v>2</v>
      </c>
      <c r="F72" s="226">
        <f>+E72+1</f>
        <v>3</v>
      </c>
      <c r="G72" s="226">
        <f>+F72+1</f>
        <v>4</v>
      </c>
      <c r="H72" s="225" t="s">
        <v>52</v>
      </c>
      <c r="T72" s="203"/>
    </row>
    <row r="73" spans="2:22" x14ac:dyDescent="0.2">
      <c r="B73" s="224" t="s">
        <v>34</v>
      </c>
      <c r="D73" s="221">
        <v>0.83</v>
      </c>
      <c r="E73" s="221">
        <v>1.46</v>
      </c>
      <c r="F73" s="221">
        <v>1.32</v>
      </c>
      <c r="G73" s="221">
        <v>1.05</v>
      </c>
      <c r="H73" s="220">
        <v>4.5</v>
      </c>
      <c r="T73" s="203"/>
    </row>
    <row r="74" spans="2:22" x14ac:dyDescent="0.2">
      <c r="B74" s="223">
        <v>2021</v>
      </c>
      <c r="C74" s="222"/>
      <c r="D74" s="221">
        <v>1.1000000000000001</v>
      </c>
      <c r="E74" s="221">
        <v>2.76</v>
      </c>
      <c r="F74" s="221">
        <v>1.6</v>
      </c>
      <c r="G74" s="221">
        <v>0.97</v>
      </c>
      <c r="H74" s="220">
        <v>6.41</v>
      </c>
      <c r="J74" s="468" t="s">
        <v>54</v>
      </c>
      <c r="K74" s="468"/>
      <c r="L74" s="468"/>
      <c r="M74" s="468"/>
      <c r="N74" s="468"/>
      <c r="O74" s="468"/>
      <c r="P74" s="468"/>
      <c r="Q74" s="468"/>
      <c r="R74" s="468"/>
      <c r="S74" s="468"/>
      <c r="T74" s="469"/>
    </row>
    <row r="75" spans="2:22" x14ac:dyDescent="0.2">
      <c r="B75" s="223" t="s">
        <v>32</v>
      </c>
      <c r="C75" s="222"/>
      <c r="D75" s="221">
        <v>0.34</v>
      </c>
      <c r="E75" s="220">
        <v>0.67</v>
      </c>
      <c r="F75" s="221">
        <v>0.82</v>
      </c>
      <c r="G75" s="221">
        <v>1.2</v>
      </c>
      <c r="H75" s="220">
        <v>3.01</v>
      </c>
      <c r="T75" s="203"/>
    </row>
    <row r="76" spans="2:22" x14ac:dyDescent="0.2">
      <c r="B76" s="466" t="s">
        <v>55</v>
      </c>
      <c r="C76" s="467"/>
      <c r="D76" s="467"/>
      <c r="E76" s="467"/>
      <c r="F76" s="467"/>
      <c r="G76" s="467"/>
      <c r="H76" s="467"/>
      <c r="I76" s="211"/>
      <c r="T76" s="203"/>
      <c r="U76" s="216"/>
      <c r="V76" s="216"/>
    </row>
    <row r="77" spans="2:22" x14ac:dyDescent="0.2">
      <c r="B77" s="219" t="s">
        <v>56</v>
      </c>
      <c r="C77" s="217" t="s">
        <v>57</v>
      </c>
      <c r="D77" s="215"/>
      <c r="E77" s="217" t="s">
        <v>58</v>
      </c>
      <c r="F77" s="217" t="s">
        <v>59</v>
      </c>
      <c r="G77" s="217" t="s">
        <v>60</v>
      </c>
      <c r="H77" s="217" t="s">
        <v>61</v>
      </c>
      <c r="I77" s="211"/>
      <c r="T77" s="203"/>
      <c r="U77" s="216"/>
      <c r="V77" s="216"/>
    </row>
    <row r="78" spans="2:22" x14ac:dyDescent="0.2">
      <c r="B78" s="214" t="s">
        <v>62</v>
      </c>
      <c r="C78" s="152" t="s">
        <v>63</v>
      </c>
      <c r="E78" s="213" t="s">
        <v>64</v>
      </c>
      <c r="F78" s="207">
        <f>'Comparable Valuation'!F20</f>
        <v>14.496875000000001</v>
      </c>
      <c r="G78" s="207">
        <f>'Comparable Valuation'!F16</f>
        <v>46.39</v>
      </c>
      <c r="H78" s="207">
        <f>'Comparable Valuation'!F22</f>
        <v>8.7733915574963621</v>
      </c>
      <c r="I78" s="211"/>
      <c r="T78" s="203"/>
    </row>
    <row r="79" spans="2:22" x14ac:dyDescent="0.2">
      <c r="B79" s="376" t="s">
        <v>65</v>
      </c>
      <c r="C79" s="152" t="s">
        <v>66</v>
      </c>
      <c r="D79" s="212"/>
      <c r="E79" s="213" t="s">
        <v>67</v>
      </c>
      <c r="F79" s="207">
        <f>'Comparable Valuation'!G20</f>
        <v>10.373015873015872</v>
      </c>
      <c r="G79" s="207">
        <f>'Comparable Valuation'!G16</f>
        <v>91.49</v>
      </c>
      <c r="H79" s="207">
        <f>'Comparable Valuation'!G22</f>
        <v>6.7657125416204211</v>
      </c>
      <c r="I79" s="211"/>
      <c r="T79" s="203"/>
    </row>
    <row r="80" spans="2:22" x14ac:dyDescent="0.2">
      <c r="B80" s="210" t="s">
        <v>68</v>
      </c>
      <c r="C80" s="152" t="s">
        <v>69</v>
      </c>
      <c r="D80" s="212"/>
      <c r="E80" s="208" t="s">
        <v>70</v>
      </c>
      <c r="F80" s="207">
        <f>'Comparable Valuation'!H20</f>
        <v>17.078947368421051</v>
      </c>
      <c r="G80" s="207">
        <f>'Comparable Valuation'!H16</f>
        <v>25.96</v>
      </c>
      <c r="H80" s="207">
        <f>'Comparable Valuation'!H22</f>
        <v>33.436739077373694</v>
      </c>
      <c r="I80" s="211"/>
      <c r="T80" s="203"/>
    </row>
    <row r="81" spans="2:20" x14ac:dyDescent="0.2">
      <c r="B81" s="210" t="s">
        <v>71</v>
      </c>
      <c r="C81" s="152" t="s">
        <v>72</v>
      </c>
      <c r="D81" s="209"/>
      <c r="E81" s="208" t="s">
        <v>73</v>
      </c>
      <c r="F81" s="207">
        <f>'Comparable Valuation'!I20</f>
        <v>30.086294416243657</v>
      </c>
      <c r="G81" s="207">
        <f>'Comparable Valuation'!I16</f>
        <v>59.27</v>
      </c>
      <c r="H81" s="207">
        <f>'Comparable Valuation'!I22</f>
        <v>10.274333733493398</v>
      </c>
      <c r="I81" s="198"/>
      <c r="T81" s="203"/>
    </row>
    <row r="82" spans="2:20" x14ac:dyDescent="0.2">
      <c r="B82" s="206" t="s">
        <v>74</v>
      </c>
      <c r="C82" s="383" t="s">
        <v>75</v>
      </c>
      <c r="D82" s="205"/>
      <c r="E82" s="205" t="s">
        <v>76</v>
      </c>
      <c r="F82" s="204">
        <f>'Comparable Valuation'!J20</f>
        <v>35.205169628432955</v>
      </c>
      <c r="G82" s="204">
        <f>'Comparable Valuation'!J16</f>
        <v>217.92</v>
      </c>
      <c r="H82" s="204">
        <f>'Comparable Valuation'!J22</f>
        <v>18.237512537612837</v>
      </c>
      <c r="I82" s="198"/>
      <c r="T82" s="203"/>
    </row>
    <row r="83" spans="2:20" x14ac:dyDescent="0.2">
      <c r="B83" s="202"/>
      <c r="C83" s="202"/>
      <c r="E83" s="201"/>
      <c r="F83" s="201"/>
      <c r="G83" s="198"/>
      <c r="H83" s="198"/>
      <c r="I83" s="200"/>
      <c r="J83" s="199"/>
      <c r="K83" s="199"/>
      <c r="L83" s="199"/>
      <c r="M83" s="199"/>
      <c r="N83" s="199"/>
      <c r="O83" s="199"/>
      <c r="P83" s="199"/>
      <c r="Q83" s="199"/>
      <c r="R83" s="199"/>
      <c r="S83" s="199"/>
      <c r="T83" s="199"/>
    </row>
    <row r="84" spans="2:20" x14ac:dyDescent="0.2">
      <c r="I84" s="198"/>
    </row>
  </sheetData>
  <mergeCells count="19">
    <mergeCell ref="B71:H71"/>
    <mergeCell ref="B76:H76"/>
    <mergeCell ref="J74:T74"/>
    <mergeCell ref="B31:H31"/>
    <mergeCell ref="B41:H41"/>
    <mergeCell ref="J54:T54"/>
    <mergeCell ref="B59:H59"/>
    <mergeCell ref="B66:H66"/>
    <mergeCell ref="J65:T65"/>
    <mergeCell ref="G30:H30"/>
    <mergeCell ref="B3:T3"/>
    <mergeCell ref="B4:T4"/>
    <mergeCell ref="B5:T5"/>
    <mergeCell ref="B6:T6"/>
    <mergeCell ref="B7:T7"/>
    <mergeCell ref="J8:T8"/>
    <mergeCell ref="B16:H16"/>
    <mergeCell ref="J19:T19"/>
    <mergeCell ref="B25:H25"/>
  </mergeCells>
  <printOptions gridLines="1"/>
  <pageMargins left="0.7" right="0.7" top="0.75" bottom="0.75" header="0.3" footer="0.3"/>
  <pageSetup scale="5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70D30-3DA8-494E-A693-2AC7D016F7CC}">
  <sheetPr>
    <pageSetUpPr autoPageBreaks="0"/>
  </sheetPr>
  <dimension ref="A1:BP123"/>
  <sheetViews>
    <sheetView showGridLines="0" zoomScale="80" zoomScaleNormal="80" workbookViewId="0">
      <pane xSplit="6" ySplit="4" topLeftCell="G5" activePane="bottomRight" state="frozen"/>
      <selection pane="topRight"/>
      <selection pane="bottomLeft"/>
      <selection pane="bottomRight"/>
    </sheetView>
  </sheetViews>
  <sheetFormatPr baseColWidth="10" defaultColWidth="8.83203125" defaultRowHeight="15" x14ac:dyDescent="0.2"/>
  <cols>
    <col min="1" max="1" width="1.6640625" style="2" customWidth="1"/>
    <col min="2" max="2" width="107.5" style="2" bestFit="1" customWidth="1"/>
    <col min="3" max="6" width="1.6640625" style="2" customWidth="1"/>
    <col min="7" max="7" width="12.1640625" style="2" customWidth="1"/>
    <col min="8" max="10" width="11.83203125" style="2" customWidth="1"/>
    <col min="11" max="30" width="12" style="2" customWidth="1"/>
    <col min="31" max="31" width="12" style="2" bestFit="1" customWidth="1"/>
    <col min="32" max="32" width="12" style="2" customWidth="1"/>
    <col min="33" max="33" width="13.6640625" style="2" customWidth="1"/>
    <col min="34" max="34" width="11.83203125" style="413" customWidth="1"/>
    <col min="35" max="35" width="11.83203125" style="2" customWidth="1"/>
    <col min="36" max="36" width="14.1640625" style="2" bestFit="1" customWidth="1"/>
    <col min="37" max="40" width="12.33203125" style="2" customWidth="1"/>
    <col min="41" max="41" width="14.1640625" style="2" bestFit="1" customWidth="1"/>
    <col min="42" max="45" width="14.1640625" style="2" customWidth="1"/>
    <col min="46" max="46" width="14.1640625" style="2" bestFit="1" customWidth="1"/>
    <col min="47" max="48" width="12.1640625" style="2" customWidth="1"/>
    <col min="49" max="49" width="12" style="2" customWidth="1"/>
    <col min="50" max="50" width="12.33203125" style="2" customWidth="1"/>
    <col min="51" max="51" width="12.5" style="2" customWidth="1"/>
    <col min="52" max="55" width="12.1640625" style="2" customWidth="1"/>
    <col min="56" max="56" width="14.5" style="2" bestFit="1" customWidth="1"/>
    <col min="57" max="60" width="14.1640625" style="2" customWidth="1"/>
    <col min="61" max="61" width="14.5" style="2" bestFit="1" customWidth="1"/>
    <col min="62" max="16384" width="8.83203125" style="2"/>
  </cols>
  <sheetData>
    <row r="1" spans="1:68" x14ac:dyDescent="0.2">
      <c r="A1" s="1" t="s">
        <v>77</v>
      </c>
    </row>
    <row r="2" spans="1:68" x14ac:dyDescent="0.2">
      <c r="B2" s="3"/>
      <c r="C2" s="3"/>
      <c r="D2" s="3"/>
      <c r="E2" s="3"/>
      <c r="F2" s="3"/>
      <c r="G2" s="3"/>
      <c r="H2" s="3"/>
      <c r="I2" s="3"/>
      <c r="J2" s="3"/>
      <c r="AJ2" s="4"/>
      <c r="AK2" s="4"/>
      <c r="AL2" s="4"/>
      <c r="AM2" s="4"/>
      <c r="AN2" s="4"/>
    </row>
    <row r="3" spans="1:68" ht="16" thickBot="1" x14ac:dyDescent="0.25">
      <c r="G3" s="471">
        <v>2016</v>
      </c>
      <c r="H3" s="471"/>
      <c r="I3" s="471"/>
      <c r="J3" s="471"/>
      <c r="K3" s="471"/>
      <c r="L3" s="472">
        <v>2017</v>
      </c>
      <c r="M3" s="472"/>
      <c r="N3" s="472"/>
      <c r="O3" s="472"/>
      <c r="P3" s="472"/>
      <c r="Q3" s="472">
        <v>2018</v>
      </c>
      <c r="R3" s="472"/>
      <c r="S3" s="472"/>
      <c r="T3" s="472"/>
      <c r="U3" s="472"/>
      <c r="V3" s="472">
        <v>2019</v>
      </c>
      <c r="W3" s="472"/>
      <c r="X3" s="472"/>
      <c r="Y3" s="472"/>
      <c r="Z3" s="472"/>
      <c r="AA3" s="472">
        <v>2020</v>
      </c>
      <c r="AB3" s="472"/>
      <c r="AC3" s="472"/>
      <c r="AD3" s="472"/>
      <c r="AE3" s="472"/>
      <c r="AF3" s="472">
        <v>2021</v>
      </c>
      <c r="AG3" s="472"/>
      <c r="AH3" s="472"/>
      <c r="AI3" s="472"/>
      <c r="AJ3" s="472"/>
      <c r="AK3" s="471">
        <v>2022</v>
      </c>
      <c r="AL3" s="471"/>
      <c r="AM3" s="471"/>
      <c r="AN3" s="471"/>
      <c r="AO3" s="471"/>
      <c r="AP3" s="472">
        <v>2023</v>
      </c>
      <c r="AQ3" s="472"/>
      <c r="AR3" s="472"/>
      <c r="AS3" s="472"/>
      <c r="AT3" s="472"/>
      <c r="AU3" s="472">
        <v>2024</v>
      </c>
      <c r="AV3" s="472"/>
      <c r="AW3" s="472"/>
      <c r="AX3" s="472"/>
      <c r="AY3" s="472"/>
      <c r="AZ3" s="472">
        <v>2025</v>
      </c>
      <c r="BA3" s="472"/>
      <c r="BB3" s="472"/>
      <c r="BC3" s="472"/>
      <c r="BD3" s="472"/>
      <c r="BE3" s="472">
        <v>2026</v>
      </c>
      <c r="BF3" s="472"/>
      <c r="BG3" s="472"/>
      <c r="BH3" s="472"/>
      <c r="BI3" s="472"/>
    </row>
    <row r="4" spans="1:68" x14ac:dyDescent="0.2">
      <c r="B4" s="5" t="s">
        <v>78</v>
      </c>
      <c r="C4" s="5"/>
      <c r="D4" s="5"/>
      <c r="E4" s="5"/>
      <c r="F4" s="5"/>
      <c r="G4" s="327" t="s">
        <v>79</v>
      </c>
      <c r="H4" s="327" t="s">
        <v>80</v>
      </c>
      <c r="I4" s="327" t="s">
        <v>81</v>
      </c>
      <c r="J4" s="327" t="s">
        <v>82</v>
      </c>
      <c r="K4" s="160" t="s">
        <v>83</v>
      </c>
      <c r="L4" s="160" t="s">
        <v>84</v>
      </c>
      <c r="M4" s="160" t="s">
        <v>85</v>
      </c>
      <c r="N4" s="160" t="s">
        <v>86</v>
      </c>
      <c r="O4" s="160" t="s">
        <v>87</v>
      </c>
      <c r="P4" s="326" t="s">
        <v>88</v>
      </c>
      <c r="Q4" s="326" t="s">
        <v>79</v>
      </c>
      <c r="R4" s="326" t="s">
        <v>80</v>
      </c>
      <c r="S4" s="326" t="s">
        <v>81</v>
      </c>
      <c r="T4" s="326" t="s">
        <v>82</v>
      </c>
      <c r="U4" s="326" t="s">
        <v>89</v>
      </c>
      <c r="V4" s="326" t="s">
        <v>79</v>
      </c>
      <c r="W4" s="326" t="s">
        <v>80</v>
      </c>
      <c r="X4" s="326" t="s">
        <v>81</v>
      </c>
      <c r="Y4" s="326" t="s">
        <v>82</v>
      </c>
      <c r="Z4" s="326" t="s">
        <v>90</v>
      </c>
      <c r="AA4" s="326" t="s">
        <v>79</v>
      </c>
      <c r="AB4" s="326" t="s">
        <v>80</v>
      </c>
      <c r="AC4" s="326" t="s">
        <v>81</v>
      </c>
      <c r="AD4" s="326" t="s">
        <v>82</v>
      </c>
      <c r="AE4" s="326" t="s">
        <v>91</v>
      </c>
      <c r="AF4" s="326" t="s">
        <v>79</v>
      </c>
      <c r="AG4" s="326" t="s">
        <v>80</v>
      </c>
      <c r="AH4" s="412" t="s">
        <v>81</v>
      </c>
      <c r="AI4" s="326" t="s">
        <v>82</v>
      </c>
      <c r="AJ4" s="160" t="s">
        <v>92</v>
      </c>
      <c r="AK4" s="160" t="s">
        <v>79</v>
      </c>
      <c r="AL4" s="160" t="s">
        <v>80</v>
      </c>
      <c r="AM4" s="160" t="s">
        <v>81</v>
      </c>
      <c r="AN4" s="160" t="s">
        <v>82</v>
      </c>
      <c r="AO4" s="160" t="s">
        <v>93</v>
      </c>
      <c r="AP4" s="160" t="s">
        <v>79</v>
      </c>
      <c r="AQ4" s="160" t="s">
        <v>80</v>
      </c>
      <c r="AR4" s="160" t="s">
        <v>81</v>
      </c>
      <c r="AS4" s="160" t="s">
        <v>82</v>
      </c>
      <c r="AT4" s="160" t="s">
        <v>94</v>
      </c>
      <c r="AU4" s="160" t="s">
        <v>79</v>
      </c>
      <c r="AV4" s="160" t="s">
        <v>80</v>
      </c>
      <c r="AW4" s="160" t="s">
        <v>81</v>
      </c>
      <c r="AX4" s="160" t="s">
        <v>82</v>
      </c>
      <c r="AY4" s="160" t="s">
        <v>95</v>
      </c>
      <c r="AZ4" s="160" t="s">
        <v>79</v>
      </c>
      <c r="BA4" s="160" t="s">
        <v>80</v>
      </c>
      <c r="BB4" s="160" t="s">
        <v>81</v>
      </c>
      <c r="BC4" s="160" t="s">
        <v>82</v>
      </c>
      <c r="BD4" s="160" t="s">
        <v>96</v>
      </c>
      <c r="BE4" s="160" t="s">
        <v>79</v>
      </c>
      <c r="BF4" s="160" t="s">
        <v>80</v>
      </c>
      <c r="BG4" s="160" t="s">
        <v>81</v>
      </c>
      <c r="BH4" s="160" t="s">
        <v>82</v>
      </c>
      <c r="BI4" s="160" t="s">
        <v>97</v>
      </c>
    </row>
    <row r="5" spans="1:68" x14ac:dyDescent="0.2">
      <c r="B5" s="8" t="s">
        <v>98</v>
      </c>
      <c r="C5" s="8"/>
      <c r="D5" s="8"/>
      <c r="E5" s="8"/>
      <c r="F5" s="8"/>
      <c r="G5" s="8"/>
      <c r="H5" s="8"/>
      <c r="I5" s="8"/>
      <c r="J5" s="8"/>
      <c r="K5" s="6"/>
      <c r="L5" s="6"/>
      <c r="M5" s="6"/>
      <c r="N5" s="6"/>
      <c r="O5" s="6"/>
      <c r="P5" s="7"/>
      <c r="Q5" s="7"/>
      <c r="R5" s="7"/>
      <c r="S5" s="7"/>
      <c r="T5" s="7"/>
      <c r="U5" s="7"/>
      <c r="V5" s="7"/>
      <c r="W5" s="7"/>
      <c r="X5" s="7"/>
      <c r="Y5" s="7"/>
      <c r="Z5" s="7"/>
      <c r="AA5" s="7"/>
      <c r="AB5" s="7"/>
      <c r="AC5" s="7"/>
      <c r="AD5" s="7"/>
      <c r="AE5" s="7"/>
      <c r="AF5" s="7"/>
      <c r="AG5" s="7"/>
      <c r="AH5" s="412"/>
      <c r="AI5" s="7"/>
    </row>
    <row r="6" spans="1:68" x14ac:dyDescent="0.2">
      <c r="B6" s="8"/>
      <c r="C6" s="8"/>
      <c r="D6" s="8"/>
      <c r="E6" s="8"/>
      <c r="F6" s="8"/>
      <c r="G6" s="8"/>
      <c r="H6" s="8"/>
      <c r="I6" s="8"/>
      <c r="J6" s="8"/>
      <c r="K6" s="6"/>
      <c r="L6" s="6"/>
      <c r="M6" s="6"/>
      <c r="N6" s="6"/>
      <c r="O6" s="6"/>
      <c r="P6" s="7"/>
      <c r="Q6" s="7"/>
      <c r="R6" s="7"/>
      <c r="S6" s="7"/>
      <c r="T6" s="7"/>
      <c r="U6" s="7"/>
      <c r="V6" s="7"/>
      <c r="W6" s="7"/>
      <c r="X6" s="7"/>
      <c r="Y6" s="7"/>
      <c r="Z6" s="7"/>
      <c r="AA6" s="7"/>
      <c r="AB6" s="7"/>
      <c r="AC6" s="7"/>
      <c r="AD6" s="7"/>
      <c r="AE6" s="7"/>
      <c r="AF6" s="7"/>
      <c r="AG6" s="7"/>
      <c r="AH6" s="412"/>
      <c r="AI6" s="7"/>
    </row>
    <row r="7" spans="1:68" x14ac:dyDescent="0.2">
      <c r="A7" s="9"/>
      <c r="B7" s="10" t="s">
        <v>99</v>
      </c>
      <c r="C7" s="10"/>
      <c r="D7" s="10"/>
      <c r="E7" s="10"/>
      <c r="F7" s="10"/>
      <c r="G7" s="10"/>
      <c r="H7" s="10"/>
      <c r="I7" s="10"/>
      <c r="J7" s="10"/>
      <c r="K7" s="11"/>
      <c r="L7" s="11"/>
      <c r="M7" s="11"/>
      <c r="N7" s="11"/>
      <c r="O7" s="11"/>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row>
    <row r="8" spans="1:68" x14ac:dyDescent="0.2">
      <c r="B8" s="13" t="s">
        <v>100</v>
      </c>
      <c r="C8" s="13"/>
      <c r="D8" s="13"/>
      <c r="E8" s="13"/>
      <c r="F8" s="13"/>
      <c r="G8" s="316">
        <v>1397114</v>
      </c>
      <c r="H8" s="316">
        <v>1677300</v>
      </c>
      <c r="I8" s="316">
        <v>1745958</v>
      </c>
      <c r="J8" s="317">
        <f>K8-(I8+H8+G8)</f>
        <v>1546912</v>
      </c>
      <c r="K8" s="14">
        <v>6367284</v>
      </c>
      <c r="L8" s="194">
        <v>1533064</v>
      </c>
      <c r="M8" s="194">
        <v>1843297</v>
      </c>
      <c r="N8" s="194">
        <v>1878909</v>
      </c>
      <c r="O8" s="14">
        <f>P8-(L8+M8+N8)</f>
        <v>1778939</v>
      </c>
      <c r="P8" s="14">
        <v>7034209</v>
      </c>
      <c r="Q8" s="194">
        <v>1700436</v>
      </c>
      <c r="R8" s="194">
        <v>2089888</v>
      </c>
      <c r="S8" s="194">
        <v>2118467</v>
      </c>
      <c r="T8" s="14">
        <f>U8-(S8+R8+Q8)</f>
        <v>1815980</v>
      </c>
      <c r="U8" s="14">
        <v>7724771</v>
      </c>
      <c r="V8" s="194">
        <v>1631300</v>
      </c>
      <c r="W8" s="194">
        <v>1904523</v>
      </c>
      <c r="X8" s="194">
        <v>1981035</v>
      </c>
      <c r="Y8" s="14">
        <f>Z8-(X8+W8+V8)</f>
        <v>1763573</v>
      </c>
      <c r="Z8" s="14">
        <v>7280431</v>
      </c>
      <c r="AA8" s="194">
        <v>1787021</v>
      </c>
      <c r="AB8" s="194">
        <v>1945643</v>
      </c>
      <c r="AC8" s="194">
        <v>2295450</v>
      </c>
      <c r="AD8" s="14">
        <f>AE8-(AC8+AB8+AA8)</f>
        <v>2530760</v>
      </c>
      <c r="AE8" s="14">
        <v>8558874</v>
      </c>
      <c r="AF8" s="194">
        <v>4173775</v>
      </c>
      <c r="AG8" s="194">
        <v>5576682</v>
      </c>
      <c r="AH8" s="414">
        <f t="shared" ref="AH8:AI8" si="0">AC8*(1+X86)</f>
        <v>2146536.524170544</v>
      </c>
      <c r="AI8" s="414">
        <f t="shared" si="0"/>
        <v>2530760</v>
      </c>
      <c r="AJ8" s="397">
        <f>SUM(AF8:AI8)</f>
        <v>14427753.524170544</v>
      </c>
      <c r="AK8" s="414">
        <f t="shared" ref="AK8" si="1">AF8*(1+AA86)</f>
        <v>4572196.146800098</v>
      </c>
      <c r="AL8" s="414">
        <f t="shared" ref="AL8" si="2">AG8*(1+AB86)</f>
        <v>5697086.5127520123</v>
      </c>
      <c r="AM8" s="414">
        <f t="shared" ref="AM8" si="3">AH8*(1+AC86)</f>
        <v>2487218.6833686815</v>
      </c>
      <c r="AN8" s="414">
        <f t="shared" ref="AN8" si="4">AI8*(1+AD86)</f>
        <v>3631687.5896829902</v>
      </c>
      <c r="AO8" s="397">
        <f>SUM(AK8:AN8)</f>
        <v>16388188.932603782</v>
      </c>
      <c r="AP8" s="414">
        <f t="shared" ref="AP8" si="5">AK8*(1+AF86)</f>
        <v>10678843.713985778</v>
      </c>
      <c r="AQ8" s="414">
        <f t="shared" ref="AQ8" si="6">AL8*(1+AG86)</f>
        <v>16329223.710674014</v>
      </c>
      <c r="AR8" s="414">
        <f t="shared" ref="AR8" si="7">AM8*(1+AH86)</f>
        <v>2325864.5352546326</v>
      </c>
      <c r="AS8" s="414">
        <f t="shared" ref="AS8" si="8">AN8*(1+AI86)</f>
        <v>3631687.5896829902</v>
      </c>
      <c r="AT8" s="397">
        <f>SUM(AP8:AS8)</f>
        <v>32965619.549597412</v>
      </c>
      <c r="AU8" s="414">
        <f t="shared" ref="AU8" si="9">AP8*(1+AK86)</f>
        <v>11698227.163986133</v>
      </c>
      <c r="AV8" s="414">
        <f t="shared" ref="AV8" si="10">AQ8*(1+AL86)</f>
        <v>16681783.211915489</v>
      </c>
      <c r="AW8" s="414">
        <f t="shared" ref="AW8" si="11">AR8*(1+AM86)</f>
        <v>2695008.2898334693</v>
      </c>
      <c r="AX8" s="414">
        <f t="shared" ref="AX8" si="12">AS8*(1+AN86)</f>
        <v>5211539.1222626586</v>
      </c>
      <c r="AY8" s="397">
        <f>SUM(AU8:AX8)</f>
        <v>36286557.787997752</v>
      </c>
      <c r="AZ8" s="414">
        <f t="shared" ref="AZ8" si="13">AU8*(1+AP86)</f>
        <v>12283138.522185441</v>
      </c>
      <c r="BA8" s="414">
        <f t="shared" ref="BA8" si="14">AV8*(1+AQ86)</f>
        <v>17515872.372511264</v>
      </c>
      <c r="BB8" s="414">
        <f t="shared" ref="BB8" si="15">AW8*(1+AR86)</f>
        <v>2829758.7043251428</v>
      </c>
      <c r="BC8" s="414">
        <f t="shared" ref="BC8" si="16">AX8*(1+AS86)</f>
        <v>5472116.0783757921</v>
      </c>
      <c r="BD8" s="397">
        <f>SUM(AZ8:BC8)</f>
        <v>38100885.677397639</v>
      </c>
      <c r="BE8" s="414">
        <f t="shared" ref="BE8" si="17">AZ8*(1+AU86)</f>
        <v>12897295.448294714</v>
      </c>
      <c r="BF8" s="414">
        <f t="shared" ref="BF8" si="18">BA8*(1+AV86)</f>
        <v>18391665.991136827</v>
      </c>
      <c r="BG8" s="414">
        <f t="shared" ref="BG8" si="19">BB8*(1+AW86)</f>
        <v>2942949.0524981488</v>
      </c>
      <c r="BH8" s="414">
        <f t="shared" ref="BH8" si="20">BC8*(1+AX86)</f>
        <v>5745721.8822945822</v>
      </c>
      <c r="BI8" s="397">
        <f>SUM(BE8:BH8)</f>
        <v>39977632.374224268</v>
      </c>
      <c r="BJ8" s="15"/>
      <c r="BK8" s="15"/>
      <c r="BL8" s="15"/>
      <c r="BM8" s="15"/>
      <c r="BN8" s="15"/>
      <c r="BO8" s="15"/>
      <c r="BP8" s="15"/>
    </row>
    <row r="9" spans="1:68" x14ac:dyDescent="0.2">
      <c r="B9" s="17" t="s">
        <v>101</v>
      </c>
      <c r="C9" s="5"/>
      <c r="D9" s="5"/>
      <c r="E9" s="5"/>
      <c r="F9" s="5"/>
      <c r="G9" s="179">
        <v>1047366</v>
      </c>
      <c r="H9" s="179">
        <v>1258969</v>
      </c>
      <c r="I9" s="179">
        <v>1308864</v>
      </c>
      <c r="J9" s="320">
        <f>K9-(I9+H9+G9)</f>
        <v>1155337</v>
      </c>
      <c r="K9" s="178">
        <v>4770536</v>
      </c>
      <c r="L9" s="178">
        <v>1157012</v>
      </c>
      <c r="M9" s="178">
        <v>1382500</v>
      </c>
      <c r="N9" s="178">
        <v>1419587</v>
      </c>
      <c r="O9" s="178">
        <f>P9-(L9+M9+N9)</f>
        <v>1347719</v>
      </c>
      <c r="P9" s="178">
        <v>5306818</v>
      </c>
      <c r="Q9" s="178">
        <v>1289384</v>
      </c>
      <c r="R9" s="178">
        <v>1593560</v>
      </c>
      <c r="S9" s="178">
        <v>1595686</v>
      </c>
      <c r="T9" s="178">
        <f>U9-(S9+R9+Q9)</f>
        <v>1323201</v>
      </c>
      <c r="U9" s="178">
        <v>5801831</v>
      </c>
      <c r="V9" s="178">
        <v>1189325</v>
      </c>
      <c r="W9" s="178">
        <v>1387367</v>
      </c>
      <c r="X9" s="178">
        <v>1439893</v>
      </c>
      <c r="Y9" s="178">
        <f>Z9-(X9+W9+V9)</f>
        <v>1287017</v>
      </c>
      <c r="Z9" s="178">
        <v>5303602</v>
      </c>
      <c r="AA9" s="178">
        <v>1321608</v>
      </c>
      <c r="AB9" s="178">
        <v>1428311</v>
      </c>
      <c r="AC9" s="178">
        <v>1724799</v>
      </c>
      <c r="AD9" s="178">
        <f>AE9-(AC9+AB9+AA9)</f>
        <v>1861572</v>
      </c>
      <c r="AE9" s="178">
        <v>6336290</v>
      </c>
      <c r="AF9" s="178">
        <v>3104221</v>
      </c>
      <c r="AG9" s="178">
        <v>3993531</v>
      </c>
      <c r="AH9" s="415">
        <f>AH8-AH10</f>
        <v>1604173.8268427583</v>
      </c>
      <c r="AI9" s="415">
        <f>AI8-AI10</f>
        <v>1871984.4716023838</v>
      </c>
      <c r="AJ9" s="319">
        <f t="shared" ref="AJ9" si="21">AJ8*AJ87</f>
        <v>10676537.607886203</v>
      </c>
      <c r="AK9" s="415">
        <f>AK8-AK10</f>
        <v>3406598.5024873782</v>
      </c>
      <c r="AL9" s="415">
        <f>AL8-AL10</f>
        <v>4205821.0235720314</v>
      </c>
      <c r="AM9" s="415">
        <f t="shared" ref="AM9:AN9" si="22">AM8-AM10</f>
        <v>1857620.9280322928</v>
      </c>
      <c r="AN9" s="415">
        <f t="shared" si="22"/>
        <v>2681121.6929657706</v>
      </c>
      <c r="AO9" s="319">
        <f t="shared" ref="AO9" si="23">AO8*AO87</f>
        <v>12127259.810126798</v>
      </c>
      <c r="AP9" s="415">
        <f>AP8-AP10</f>
        <v>7956468.147111454</v>
      </c>
      <c r="AQ9" s="415">
        <f>AQ8-AQ10</f>
        <v>12054897.222859347</v>
      </c>
      <c r="AR9" s="415">
        <f t="shared" ref="AR9" si="24">AR8-AR10</f>
        <v>1737110.8802565499</v>
      </c>
      <c r="AS9" s="415">
        <f t="shared" ref="AS9" si="25">AS8-AS10</f>
        <v>2681121.6929657706</v>
      </c>
      <c r="AT9" s="319">
        <f t="shared" ref="AT9" si="26">AT8*AT87</f>
        <v>24394558.466702085</v>
      </c>
      <c r="AU9" s="415">
        <f>AU8-AU10</f>
        <v>8715978.4617907554</v>
      </c>
      <c r="AV9" s="415">
        <f>AV8-AV10</f>
        <v>12315170.988943547</v>
      </c>
      <c r="AW9" s="415">
        <f t="shared" ref="AW9" si="27">AW8-AW10</f>
        <v>2012812.0755488412</v>
      </c>
      <c r="AX9" s="415">
        <f t="shared" ref="AX9" si="28">AX8-AX10</f>
        <v>3847459.4109175252</v>
      </c>
      <c r="AY9" s="319">
        <f t="shared" ref="AY9" si="29">AY8*AY87</f>
        <v>26852052.763118338</v>
      </c>
      <c r="AZ9" s="415">
        <f>AZ8-AZ10</f>
        <v>9151777.3848802932</v>
      </c>
      <c r="BA9" s="415">
        <f>BA8-BA10</f>
        <v>12930929.538390724</v>
      </c>
      <c r="BB9" s="415">
        <f t="shared" ref="BB9" si="30">BB8-BB10</f>
        <v>2113452.6793262828</v>
      </c>
      <c r="BC9" s="415">
        <f t="shared" ref="BC9" si="31">BC8-BC10</f>
        <v>4039832.381463402</v>
      </c>
      <c r="BD9" s="319">
        <f t="shared" ref="BD9" si="32">BD8*BD87</f>
        <v>28194655.401274253</v>
      </c>
      <c r="BE9" s="415">
        <f>BE8-BE10</f>
        <v>9609366.254124308</v>
      </c>
      <c r="BF9" s="415">
        <f>BF8-BF10</f>
        <v>13577476.015310261</v>
      </c>
      <c r="BG9" s="415">
        <f t="shared" ref="BG9" si="33">BG8-BG10</f>
        <v>2197990.7864993345</v>
      </c>
      <c r="BH9" s="415">
        <f t="shared" ref="BH9" si="34">BH8-BH10</f>
        <v>4241824.0005365722</v>
      </c>
      <c r="BI9" s="319">
        <f t="shared" ref="BI9" si="35">BI8*BI87</f>
        <v>29583447.956925958</v>
      </c>
      <c r="BJ9" s="15"/>
      <c r="BK9" s="15"/>
      <c r="BL9" s="15"/>
      <c r="BM9" s="15"/>
      <c r="BN9" s="15"/>
      <c r="BO9" s="15"/>
      <c r="BP9" s="15"/>
    </row>
    <row r="10" spans="1:68" x14ac:dyDescent="0.2">
      <c r="B10" s="8" t="s">
        <v>102</v>
      </c>
      <c r="C10" s="8"/>
      <c r="D10" s="8"/>
      <c r="E10" s="8"/>
      <c r="F10" s="8"/>
      <c r="G10" s="323">
        <f>G8-G9</f>
        <v>349748</v>
      </c>
      <c r="H10" s="323">
        <f t="shared" ref="H10:AG10" si="36">H8-H9</f>
        <v>418331</v>
      </c>
      <c r="I10" s="323">
        <f t="shared" si="36"/>
        <v>437094</v>
      </c>
      <c r="J10" s="323">
        <f t="shared" si="36"/>
        <v>391575</v>
      </c>
      <c r="K10" s="323">
        <f t="shared" si="36"/>
        <v>1596748</v>
      </c>
      <c r="L10" s="323">
        <f t="shared" si="36"/>
        <v>376052</v>
      </c>
      <c r="M10" s="323">
        <f t="shared" si="36"/>
        <v>460797</v>
      </c>
      <c r="N10" s="323">
        <f t="shared" si="36"/>
        <v>459322</v>
      </c>
      <c r="O10" s="323">
        <f t="shared" si="36"/>
        <v>431220</v>
      </c>
      <c r="P10" s="323">
        <f t="shared" si="36"/>
        <v>1727391</v>
      </c>
      <c r="Q10" s="323">
        <f t="shared" si="36"/>
        <v>411052</v>
      </c>
      <c r="R10" s="323">
        <f t="shared" si="36"/>
        <v>496328</v>
      </c>
      <c r="S10" s="323">
        <f t="shared" si="36"/>
        <v>522781</v>
      </c>
      <c r="T10" s="323">
        <f t="shared" si="36"/>
        <v>492779</v>
      </c>
      <c r="U10" s="323">
        <f t="shared" si="36"/>
        <v>1922940</v>
      </c>
      <c r="V10" s="323">
        <f t="shared" si="36"/>
        <v>441975</v>
      </c>
      <c r="W10" s="323">
        <f t="shared" si="36"/>
        <v>517156</v>
      </c>
      <c r="X10" s="323">
        <f t="shared" si="36"/>
        <v>541142</v>
      </c>
      <c r="Y10" s="323">
        <f t="shared" si="36"/>
        <v>476556</v>
      </c>
      <c r="Z10" s="323">
        <f t="shared" si="36"/>
        <v>1976829</v>
      </c>
      <c r="AA10" s="323">
        <f t="shared" si="36"/>
        <v>465413</v>
      </c>
      <c r="AB10" s="323">
        <f t="shared" si="36"/>
        <v>517332</v>
      </c>
      <c r="AC10" s="323">
        <f t="shared" si="36"/>
        <v>570651</v>
      </c>
      <c r="AD10" s="323">
        <f t="shared" si="36"/>
        <v>669188</v>
      </c>
      <c r="AE10" s="323">
        <f t="shared" si="36"/>
        <v>2222584</v>
      </c>
      <c r="AF10" s="323">
        <f t="shared" si="36"/>
        <v>1069554</v>
      </c>
      <c r="AG10" s="323">
        <f t="shared" si="36"/>
        <v>1583151</v>
      </c>
      <c r="AH10" s="416">
        <f>AH8*AH11</f>
        <v>542362.69732778554</v>
      </c>
      <c r="AI10" s="416">
        <f>AI8*AI11</f>
        <v>658775.52839761623</v>
      </c>
      <c r="AJ10" s="321">
        <f t="shared" ref="AJ10" si="37">AJ8-AJ9</f>
        <v>3751215.9162843414</v>
      </c>
      <c r="AK10" s="416">
        <f>AK8*AK11</f>
        <v>1165597.6443127198</v>
      </c>
      <c r="AL10" s="416">
        <f>AL8*AL11</f>
        <v>1491265.4891799805</v>
      </c>
      <c r="AM10" s="416">
        <f t="shared" ref="AM10:AN10" si="38">AM8*AM11</f>
        <v>629597.75533638871</v>
      </c>
      <c r="AN10" s="416">
        <f t="shared" si="38"/>
        <v>950565.89671721961</v>
      </c>
      <c r="AO10" s="321">
        <f t="shared" ref="AO10" si="39">AO8-AO9</f>
        <v>4260929.1224769838</v>
      </c>
      <c r="AP10" s="416">
        <f>AP8*AP11</f>
        <v>2722375.5668743243</v>
      </c>
      <c r="AQ10" s="416">
        <f>AQ8*AQ11</f>
        <v>4274326.4878146667</v>
      </c>
      <c r="AR10" s="416">
        <f t="shared" ref="AR10" si="40">AR8*AR11</f>
        <v>588753.65499808255</v>
      </c>
      <c r="AS10" s="416">
        <f t="shared" ref="AS10" si="41">AS8*AS11</f>
        <v>950565.89671721961</v>
      </c>
      <c r="AT10" s="321">
        <f t="shared" ref="AT10" si="42">AT8-AT9</f>
        <v>8571061.0828953274</v>
      </c>
      <c r="AU10" s="416">
        <f>AU8*AU11</f>
        <v>2982248.702195379</v>
      </c>
      <c r="AV10" s="416">
        <f>AV8*AV11</f>
        <v>4366612.2229719423</v>
      </c>
      <c r="AW10" s="416">
        <f t="shared" ref="AW10" si="43">AW8*AW11</f>
        <v>682196.21428462828</v>
      </c>
      <c r="AX10" s="416">
        <f t="shared" ref="AX10" si="44">AX8*AX11</f>
        <v>1364079.7113451331</v>
      </c>
      <c r="AY10" s="321">
        <f t="shared" ref="AY10" si="45">AY8-AY9</f>
        <v>9434505.0248794146</v>
      </c>
      <c r="AZ10" s="416">
        <f>AZ8*AZ11</f>
        <v>3131361.1373051484</v>
      </c>
      <c r="BA10" s="416">
        <f>BA8*BA11</f>
        <v>4584942.8341205399</v>
      </c>
      <c r="BB10" s="416">
        <f t="shared" ref="BB10" si="46">BB8*BB11</f>
        <v>716306.02499885974</v>
      </c>
      <c r="BC10" s="416">
        <f t="shared" ref="BC10" si="47">BC8*BC11</f>
        <v>1432283.6969123899</v>
      </c>
      <c r="BD10" s="321">
        <f t="shared" ref="BD10" si="48">BD8-BD9</f>
        <v>9906230.2761233859</v>
      </c>
      <c r="BE10" s="416">
        <f>BE8*BE11</f>
        <v>3287929.1941704061</v>
      </c>
      <c r="BF10" s="416">
        <f>BF8*BF11</f>
        <v>4814189.9758265661</v>
      </c>
      <c r="BG10" s="416">
        <f t="shared" ref="BG10" si="49">BG8*BG11</f>
        <v>744958.26599881414</v>
      </c>
      <c r="BH10" s="416">
        <f t="shared" ref="BH10" si="50">BH8*BH11</f>
        <v>1503897.8817580095</v>
      </c>
      <c r="BI10" s="321">
        <f t="shared" ref="BI10" si="51">BI8-BI9</f>
        <v>10394184.41729831</v>
      </c>
      <c r="BJ10" s="15"/>
      <c r="BK10" s="15"/>
      <c r="BL10" s="15"/>
      <c r="BM10" s="15"/>
      <c r="BN10" s="15"/>
      <c r="BO10" s="15"/>
      <c r="BP10" s="15"/>
    </row>
    <row r="11" spans="1:68" s="58" customFormat="1" x14ac:dyDescent="0.2">
      <c r="B11" s="386" t="s">
        <v>103</v>
      </c>
      <c r="C11" s="386"/>
      <c r="D11" s="386"/>
      <c r="E11" s="386"/>
      <c r="F11" s="386"/>
      <c r="G11" s="387">
        <f t="shared" ref="G11:AJ11" si="52">G10/G8</f>
        <v>0.25033604988569291</v>
      </c>
      <c r="H11" s="387">
        <f t="shared" si="52"/>
        <v>0.2494073809097955</v>
      </c>
      <c r="I11" s="387">
        <f t="shared" si="52"/>
        <v>0.25034622825978631</v>
      </c>
      <c r="J11" s="387">
        <f t="shared" si="52"/>
        <v>0.25313333919447262</v>
      </c>
      <c r="K11" s="387">
        <f t="shared" si="52"/>
        <v>0.2507737993153753</v>
      </c>
      <c r="L11" s="387">
        <f t="shared" si="52"/>
        <v>0.24529439084082597</v>
      </c>
      <c r="M11" s="387">
        <f t="shared" si="52"/>
        <v>0.24998521670680307</v>
      </c>
      <c r="N11" s="387">
        <f t="shared" si="52"/>
        <v>0.24446207879146889</v>
      </c>
      <c r="O11" s="387">
        <f t="shared" si="52"/>
        <v>0.24240291544566733</v>
      </c>
      <c r="P11" s="387">
        <f t="shared" si="52"/>
        <v>0.24557004206158789</v>
      </c>
      <c r="Q11" s="387">
        <f t="shared" si="52"/>
        <v>0.24173329663686255</v>
      </c>
      <c r="R11" s="387">
        <f t="shared" si="52"/>
        <v>0.23749023871135677</v>
      </c>
      <c r="S11" s="387">
        <f t="shared" si="52"/>
        <v>0.24677325632167035</v>
      </c>
      <c r="T11" s="387">
        <f t="shared" si="52"/>
        <v>0.27135706340378196</v>
      </c>
      <c r="U11" s="387">
        <f t="shared" si="52"/>
        <v>0.24893165117775012</v>
      </c>
      <c r="V11" s="387">
        <f t="shared" si="52"/>
        <v>0.27093422423833752</v>
      </c>
      <c r="W11" s="387">
        <f t="shared" si="52"/>
        <v>0.27154095802466022</v>
      </c>
      <c r="X11" s="387">
        <f t="shared" si="52"/>
        <v>0.27316125156799348</v>
      </c>
      <c r="Y11" s="387">
        <f t="shared" si="52"/>
        <v>0.2702218734353497</v>
      </c>
      <c r="Z11" s="387">
        <f t="shared" si="52"/>
        <v>0.27152636979871109</v>
      </c>
      <c r="AA11" s="387">
        <f t="shared" si="52"/>
        <v>0.26044069991343133</v>
      </c>
      <c r="AB11" s="387">
        <f t="shared" si="52"/>
        <v>0.26589256096827629</v>
      </c>
      <c r="AC11" s="387">
        <f t="shared" si="52"/>
        <v>0.24860092792262956</v>
      </c>
      <c r="AD11" s="387">
        <f t="shared" si="52"/>
        <v>0.2644217547298045</v>
      </c>
      <c r="AE11" s="387">
        <f t="shared" si="52"/>
        <v>0.25968182263227618</v>
      </c>
      <c r="AF11" s="387">
        <f t="shared" si="52"/>
        <v>0.25625578762630952</v>
      </c>
      <c r="AG11" s="387">
        <f t="shared" si="52"/>
        <v>0.28388762350085589</v>
      </c>
      <c r="AH11" s="417">
        <f>AVERAGE(AC11,X11,S11,N11,I11)</f>
        <v>0.25266874857270977</v>
      </c>
      <c r="AI11" s="417">
        <f>AVERAGE(AD11,Y11,T11,O11,J11)</f>
        <v>0.26030738924181518</v>
      </c>
      <c r="AJ11" s="387">
        <f t="shared" si="52"/>
        <v>0.26</v>
      </c>
      <c r="AK11" s="417">
        <f>AVERAGE(AF11,AA11,V11,Q11,L11)</f>
        <v>0.25493167985115339</v>
      </c>
      <c r="AL11" s="417">
        <f>AVERAGE(AG11,AB11,W11,R11,M11)</f>
        <v>0.26175931958239046</v>
      </c>
      <c r="AM11" s="417">
        <f t="shared" ref="AM11:AN11" si="53">AVERAGE(AH11,AC11,X11,S11,N11)</f>
        <v>0.2531332526352944</v>
      </c>
      <c r="AN11" s="417">
        <f t="shared" si="53"/>
        <v>0.26174219925128372</v>
      </c>
      <c r="AO11" s="387">
        <f t="shared" ref="AO11" si="54">AO10/AO8</f>
        <v>0.26</v>
      </c>
      <c r="AP11" s="387">
        <f>AK11</f>
        <v>0.25493167985115339</v>
      </c>
      <c r="AQ11" s="387">
        <f>AL11</f>
        <v>0.26175931958239046</v>
      </c>
      <c r="AR11" s="387">
        <f>AM11</f>
        <v>0.2531332526352944</v>
      </c>
      <c r="AS11" s="387">
        <f>AN11</f>
        <v>0.26174219925128372</v>
      </c>
      <c r="AT11" s="387">
        <f t="shared" ref="AT11:BI11" si="55">AT10/AT8</f>
        <v>0.26</v>
      </c>
      <c r="AU11" s="387">
        <f>AP11</f>
        <v>0.25493167985115339</v>
      </c>
      <c r="AV11" s="387">
        <f t="shared" ref="AV11:AX11" si="56">AQ11</f>
        <v>0.26175931958239046</v>
      </c>
      <c r="AW11" s="387">
        <f t="shared" si="56"/>
        <v>0.2531332526352944</v>
      </c>
      <c r="AX11" s="387">
        <f t="shared" si="56"/>
        <v>0.26174219925128372</v>
      </c>
      <c r="AY11" s="387">
        <f t="shared" si="55"/>
        <v>0.25999999999999995</v>
      </c>
      <c r="AZ11" s="387">
        <f>AU11</f>
        <v>0.25493167985115339</v>
      </c>
      <c r="BA11" s="387">
        <f t="shared" ref="BA11" si="57">AV11</f>
        <v>0.26175931958239046</v>
      </c>
      <c r="BB11" s="387">
        <f t="shared" ref="BB11" si="58">AW11</f>
        <v>0.2531332526352944</v>
      </c>
      <c r="BC11" s="387">
        <f t="shared" ref="BC11" si="59">AX11</f>
        <v>0.26174219925128372</v>
      </c>
      <c r="BD11" s="387">
        <f t="shared" si="55"/>
        <v>0.26</v>
      </c>
      <c r="BE11" s="387">
        <f>AZ11</f>
        <v>0.25493167985115339</v>
      </c>
      <c r="BF11" s="387">
        <f t="shared" ref="BF11" si="60">BA11</f>
        <v>0.26175931958239046</v>
      </c>
      <c r="BG11" s="387">
        <f t="shared" ref="BG11" si="61">BB11</f>
        <v>0.2531332526352944</v>
      </c>
      <c r="BH11" s="387">
        <f t="shared" ref="BH11" si="62">BC11</f>
        <v>0.26174219925128372</v>
      </c>
      <c r="BI11" s="387">
        <f t="shared" si="55"/>
        <v>0.26</v>
      </c>
    </row>
    <row r="12" spans="1:68" x14ac:dyDescent="0.2">
      <c r="B12" s="384" t="s">
        <v>104</v>
      </c>
      <c r="C12" s="5"/>
      <c r="D12" s="5"/>
      <c r="E12" s="5"/>
      <c r="F12" s="5"/>
      <c r="G12" s="179">
        <v>326969</v>
      </c>
      <c r="H12" s="179">
        <v>341909</v>
      </c>
      <c r="I12" s="179">
        <v>350837</v>
      </c>
      <c r="J12" s="320">
        <f>K12-(I12+H12+G12)</f>
        <v>340697</v>
      </c>
      <c r="K12" s="178">
        <v>1360412</v>
      </c>
      <c r="L12" s="178">
        <v>335775</v>
      </c>
      <c r="M12" s="178">
        <v>369456</v>
      </c>
      <c r="N12" s="178">
        <v>370638</v>
      </c>
      <c r="O12" s="178">
        <f>P12-(L12+M12+N12)</f>
        <v>366419</v>
      </c>
      <c r="P12" s="178">
        <v>1442288</v>
      </c>
      <c r="Q12" s="178">
        <v>358908</v>
      </c>
      <c r="R12" s="178">
        <v>391769</v>
      </c>
      <c r="S12" s="178">
        <v>400993</v>
      </c>
      <c r="T12" s="178">
        <f>U12-(S12+R12+Q12)</f>
        <v>402302</v>
      </c>
      <c r="U12" s="178">
        <v>1553972</v>
      </c>
      <c r="V12" s="178">
        <v>370084</v>
      </c>
      <c r="W12" s="178">
        <v>401511</v>
      </c>
      <c r="X12" s="178">
        <v>411510</v>
      </c>
      <c r="Y12" s="178">
        <f>Z12-(X12+W12+V12)</f>
        <v>401418</v>
      </c>
      <c r="Z12" s="178">
        <v>1584523</v>
      </c>
      <c r="AA12" s="178">
        <v>404466</v>
      </c>
      <c r="AB12" s="178">
        <v>388077</v>
      </c>
      <c r="AC12" s="178">
        <v>430893</v>
      </c>
      <c r="AD12" s="178">
        <f>AE12-(AC12+AB12+AA12)</f>
        <v>455294</v>
      </c>
      <c r="AE12" s="178">
        <v>1678730</v>
      </c>
      <c r="AF12" s="178">
        <v>821598</v>
      </c>
      <c r="AG12" s="178">
        <v>902913</v>
      </c>
      <c r="AH12" s="416">
        <f>AH8*AH89</f>
        <v>386376.57435069792</v>
      </c>
      <c r="AI12" s="319">
        <f>AI8*AI89</f>
        <v>480844.4</v>
      </c>
      <c r="AJ12" s="319">
        <f>AJ8*AJ89</f>
        <v>2885550.7048341092</v>
      </c>
      <c r="AK12" s="319">
        <f t="shared" ref="AK12:AM12" si="63">AK8*AK89</f>
        <v>914439.22936001967</v>
      </c>
      <c r="AL12" s="319">
        <f t="shared" si="63"/>
        <v>1139417.3025504025</v>
      </c>
      <c r="AM12" s="319">
        <f t="shared" si="63"/>
        <v>497443.7366737363</v>
      </c>
      <c r="AN12" s="319">
        <f>AN8*AN89</f>
        <v>726337.51793659804</v>
      </c>
      <c r="AO12" s="319">
        <f t="shared" ref="AO12" si="64">AO8*AO89</f>
        <v>3277637.7865207568</v>
      </c>
      <c r="AP12" s="319">
        <f t="shared" ref="AP12:BI12" si="65">AP8*AP89</f>
        <v>2135768.7427971559</v>
      </c>
      <c r="AQ12" s="319">
        <f t="shared" si="65"/>
        <v>3265844.742134803</v>
      </c>
      <c r="AR12" s="319">
        <f t="shared" si="65"/>
        <v>465172.90705092653</v>
      </c>
      <c r="AS12" s="319">
        <f t="shared" si="65"/>
        <v>726337.51793659804</v>
      </c>
      <c r="AT12" s="319">
        <f t="shared" si="65"/>
        <v>6593123.9099194827</v>
      </c>
      <c r="AU12" s="331">
        <f t="shared" si="65"/>
        <v>2339645.4327972266</v>
      </c>
      <c r="AV12" s="331">
        <f t="shared" si="65"/>
        <v>3336356.6423830981</v>
      </c>
      <c r="AW12" s="331">
        <f t="shared" si="65"/>
        <v>539001.65796669386</v>
      </c>
      <c r="AX12" s="331">
        <f t="shared" si="65"/>
        <v>1042307.8244525318</v>
      </c>
      <c r="AY12" s="331">
        <f t="shared" si="65"/>
        <v>7257311.557599551</v>
      </c>
      <c r="AZ12" s="331">
        <f t="shared" si="65"/>
        <v>2456627.7044370882</v>
      </c>
      <c r="BA12" s="331">
        <f t="shared" si="65"/>
        <v>3503174.4745022529</v>
      </c>
      <c r="BB12" s="331">
        <f t="shared" si="65"/>
        <v>565951.74086502858</v>
      </c>
      <c r="BC12" s="331">
        <f t="shared" si="65"/>
        <v>1094423.2156751584</v>
      </c>
      <c r="BD12" s="331">
        <f t="shared" si="65"/>
        <v>7620177.1354795285</v>
      </c>
      <c r="BE12" s="331">
        <f t="shared" si="65"/>
        <v>2579459.089658943</v>
      </c>
      <c r="BF12" s="331">
        <f t="shared" si="65"/>
        <v>3678333.1982273655</v>
      </c>
      <c r="BG12" s="331">
        <f t="shared" si="65"/>
        <v>588589.81049962982</v>
      </c>
      <c r="BH12" s="331">
        <f t="shared" si="65"/>
        <v>1149144.3764589166</v>
      </c>
      <c r="BI12" s="331">
        <f t="shared" si="65"/>
        <v>7995526.4748448543</v>
      </c>
      <c r="BJ12" s="15"/>
      <c r="BK12" s="15"/>
      <c r="BL12" s="15"/>
      <c r="BM12" s="15"/>
      <c r="BN12" s="15"/>
      <c r="BO12" s="15"/>
      <c r="BP12" s="15"/>
    </row>
    <row r="13" spans="1:68" x14ac:dyDescent="0.2">
      <c r="B13" s="21" t="s">
        <v>41</v>
      </c>
      <c r="C13" s="22"/>
      <c r="D13" s="22"/>
      <c r="E13" s="22"/>
      <c r="F13" s="22"/>
      <c r="G13" s="324">
        <f>G10-G12</f>
        <v>22779</v>
      </c>
      <c r="H13" s="324">
        <f>H10-H12</f>
        <v>76422</v>
      </c>
      <c r="I13" s="324">
        <f>I10-I12</f>
        <v>86257</v>
      </c>
      <c r="J13" s="325">
        <f>K13-(I13+H13+G13)</f>
        <v>50878</v>
      </c>
      <c r="K13" s="324">
        <f>K10-K12</f>
        <v>236336</v>
      </c>
      <c r="L13" s="324">
        <f>L10-L12</f>
        <v>40277</v>
      </c>
      <c r="M13" s="324">
        <f>M10-M12</f>
        <v>91341</v>
      </c>
      <c r="N13" s="324">
        <f>N10-N12</f>
        <v>88684</v>
      </c>
      <c r="O13" s="324">
        <f>P13-(L13+M13+N13)</f>
        <v>64801</v>
      </c>
      <c r="P13" s="324">
        <f>P10-P12</f>
        <v>285103</v>
      </c>
      <c r="Q13" s="324">
        <f>Q10-Q12</f>
        <v>52144</v>
      </c>
      <c r="R13" s="324">
        <f>R10-R12</f>
        <v>104559</v>
      </c>
      <c r="S13" s="324">
        <f>S10-S12</f>
        <v>121788</v>
      </c>
      <c r="T13" s="324">
        <f>U13-(S13+R13+Q13)</f>
        <v>90477</v>
      </c>
      <c r="U13" s="324">
        <f>U10-U12</f>
        <v>368968</v>
      </c>
      <c r="V13" s="324">
        <f>V10-V12</f>
        <v>71891</v>
      </c>
      <c r="W13" s="324">
        <f>W10-W12</f>
        <v>115645</v>
      </c>
      <c r="X13" s="324">
        <f>X10-X12</f>
        <v>129632</v>
      </c>
      <c r="Y13" s="324">
        <f>Z13-(X13+W13+V13)</f>
        <v>75138</v>
      </c>
      <c r="Z13" s="324">
        <f>Z10-Z12</f>
        <v>392306</v>
      </c>
      <c r="AA13" s="324">
        <f>AA10-AA12</f>
        <v>60947</v>
      </c>
      <c r="AB13" s="324">
        <f>AB10-AB12</f>
        <v>129255</v>
      </c>
      <c r="AC13" s="324">
        <f>AC10-AC12</f>
        <v>139758</v>
      </c>
      <c r="AD13" s="324">
        <f>AE13-(AC13+AB13+AA13)</f>
        <v>213894</v>
      </c>
      <c r="AE13" s="324">
        <f>AE10-AE12</f>
        <v>543854</v>
      </c>
      <c r="AF13" s="324">
        <f>AF10-AF12</f>
        <v>247956</v>
      </c>
      <c r="AG13" s="324">
        <f>AG10-AG12</f>
        <v>680238</v>
      </c>
      <c r="AH13" s="416">
        <f>AH10-AH12</f>
        <v>155986.12297708762</v>
      </c>
      <c r="AI13" s="324">
        <f>AI10-AI12</f>
        <v>177931.12839761621</v>
      </c>
      <c r="AJ13" s="324">
        <f t="shared" ref="AJ13" si="66">AJ10-AJ12</f>
        <v>865665.21145023219</v>
      </c>
      <c r="AK13" s="324">
        <f>AK10-AK12</f>
        <v>251158.41495270014</v>
      </c>
      <c r="AL13" s="324">
        <f>AL10-AL12</f>
        <v>351848.18662957801</v>
      </c>
      <c r="AM13" s="324">
        <f>AM10-AM12</f>
        <v>132154.01866265241</v>
      </c>
      <c r="AN13" s="324">
        <f>AN10-AN12</f>
        <v>224228.37878062157</v>
      </c>
      <c r="AO13" s="324">
        <f t="shared" ref="AO13" si="67">AO10-AO12</f>
        <v>983291.33595622703</v>
      </c>
      <c r="AP13" s="324">
        <f t="shared" ref="AP13:BI13" si="68">AP10-AP12</f>
        <v>586606.82407716848</v>
      </c>
      <c r="AQ13" s="324">
        <f t="shared" si="68"/>
        <v>1008481.7456798637</v>
      </c>
      <c r="AR13" s="324">
        <f t="shared" si="68"/>
        <v>123580.74794715602</v>
      </c>
      <c r="AS13" s="324">
        <f t="shared" si="68"/>
        <v>224228.37878062157</v>
      </c>
      <c r="AT13" s="324">
        <f t="shared" si="68"/>
        <v>1977937.1729758447</v>
      </c>
      <c r="AU13" s="324">
        <f t="shared" si="68"/>
        <v>642603.26939815236</v>
      </c>
      <c r="AV13" s="324">
        <f t="shared" si="68"/>
        <v>1030255.5805888441</v>
      </c>
      <c r="AW13" s="324">
        <f t="shared" si="68"/>
        <v>143194.55631793442</v>
      </c>
      <c r="AX13" s="324">
        <f t="shared" si="68"/>
        <v>321771.88689260138</v>
      </c>
      <c r="AY13" s="324">
        <f t="shared" si="68"/>
        <v>2177193.4672798635</v>
      </c>
      <c r="AZ13" s="324">
        <f t="shared" si="68"/>
        <v>674733.43286806019</v>
      </c>
      <c r="BA13" s="324">
        <f t="shared" si="68"/>
        <v>1081768.3596182871</v>
      </c>
      <c r="BB13" s="324">
        <f t="shared" si="68"/>
        <v>150354.28413383116</v>
      </c>
      <c r="BC13" s="324">
        <f t="shared" si="68"/>
        <v>337860.48123723152</v>
      </c>
      <c r="BD13" s="324">
        <f t="shared" si="68"/>
        <v>2286053.1406438574</v>
      </c>
      <c r="BE13" s="324">
        <f t="shared" si="68"/>
        <v>708470.10451146308</v>
      </c>
      <c r="BF13" s="324">
        <f t="shared" si="68"/>
        <v>1135856.7775992006</v>
      </c>
      <c r="BG13" s="324">
        <f t="shared" si="68"/>
        <v>156368.45549918432</v>
      </c>
      <c r="BH13" s="324">
        <f t="shared" si="68"/>
        <v>354753.50529909297</v>
      </c>
      <c r="BI13" s="324">
        <f t="shared" si="68"/>
        <v>2398657.9424534552</v>
      </c>
      <c r="BJ13" s="15"/>
      <c r="BK13" s="15"/>
      <c r="BL13" s="15"/>
      <c r="BM13" s="15"/>
      <c r="BN13" s="15"/>
      <c r="BO13" s="15"/>
      <c r="BP13" s="15"/>
    </row>
    <row r="14" spans="1:68" s="58" customFormat="1" x14ac:dyDescent="0.2">
      <c r="B14" s="394" t="s">
        <v>105</v>
      </c>
      <c r="C14" s="395"/>
      <c r="D14" s="395"/>
      <c r="E14" s="395"/>
      <c r="F14" s="395"/>
      <c r="G14" s="395">
        <f t="shared" ref="G14:AL14" si="69">G13/G8</f>
        <v>1.6304324486047666E-2</v>
      </c>
      <c r="H14" s="395">
        <f t="shared" si="69"/>
        <v>4.5562511178680022E-2</v>
      </c>
      <c r="I14" s="395">
        <f t="shared" si="69"/>
        <v>4.9403823001469678E-2</v>
      </c>
      <c r="J14" s="395">
        <f t="shared" si="69"/>
        <v>3.2890041579611506E-2</v>
      </c>
      <c r="K14" s="395">
        <f t="shared" si="69"/>
        <v>3.7117238684500328E-2</v>
      </c>
      <c r="L14" s="395">
        <f t="shared" si="69"/>
        <v>2.6272223468818003E-2</v>
      </c>
      <c r="M14" s="395">
        <f t="shared" si="69"/>
        <v>4.9553056289897937E-2</v>
      </c>
      <c r="N14" s="395">
        <f t="shared" si="69"/>
        <v>4.719973133344936E-2</v>
      </c>
      <c r="O14" s="395">
        <f t="shared" si="69"/>
        <v>3.6426768989830452E-2</v>
      </c>
      <c r="P14" s="395">
        <f t="shared" si="69"/>
        <v>4.0530925367727913E-2</v>
      </c>
      <c r="Q14" s="395">
        <f t="shared" si="69"/>
        <v>3.0665076486265874E-2</v>
      </c>
      <c r="R14" s="395">
        <f t="shared" si="69"/>
        <v>5.0030910747370191E-2</v>
      </c>
      <c r="S14" s="395">
        <f t="shared" si="69"/>
        <v>5.7488740678990985E-2</v>
      </c>
      <c r="T14" s="395">
        <f t="shared" si="69"/>
        <v>4.9822685271864231E-2</v>
      </c>
      <c r="U14" s="395">
        <f t="shared" si="69"/>
        <v>4.7764263820895145E-2</v>
      </c>
      <c r="V14" s="395">
        <f t="shared" si="69"/>
        <v>4.4069760313860111E-2</v>
      </c>
      <c r="W14" s="395">
        <f t="shared" si="69"/>
        <v>6.0721240961647611E-2</v>
      </c>
      <c r="X14" s="395">
        <f t="shared" si="69"/>
        <v>6.5436501626674942E-2</v>
      </c>
      <c r="Y14" s="395">
        <f t="shared" si="69"/>
        <v>4.2605551343777658E-2</v>
      </c>
      <c r="Z14" s="395">
        <f t="shared" si="69"/>
        <v>5.3884996643742661E-2</v>
      </c>
      <c r="AA14" s="395">
        <f t="shared" si="69"/>
        <v>3.4105363059527563E-2</v>
      </c>
      <c r="AB14" s="395">
        <f t="shared" si="69"/>
        <v>6.6433050667568508E-2</v>
      </c>
      <c r="AC14" s="395">
        <f t="shared" si="69"/>
        <v>6.0884793831274917E-2</v>
      </c>
      <c r="AD14" s="395">
        <f t="shared" si="69"/>
        <v>8.4517694289462458E-2</v>
      </c>
      <c r="AE14" s="395">
        <f t="shared" si="69"/>
        <v>6.3542704332368957E-2</v>
      </c>
      <c r="AF14" s="395">
        <f t="shared" si="69"/>
        <v>5.9408089798803243E-2</v>
      </c>
      <c r="AG14" s="395">
        <f t="shared" si="69"/>
        <v>0.12197898320183938</v>
      </c>
      <c r="AH14" s="417">
        <f t="shared" si="69"/>
        <v>7.2668748572709774E-2</v>
      </c>
      <c r="AI14" s="395">
        <f t="shared" si="69"/>
        <v>7.0307389241815191E-2</v>
      </c>
      <c r="AJ14" s="395">
        <f t="shared" si="69"/>
        <v>5.999999999999997E-2</v>
      </c>
      <c r="AK14" s="395">
        <f t="shared" si="69"/>
        <v>5.4931679851153395E-2</v>
      </c>
      <c r="AL14" s="395">
        <f t="shared" si="69"/>
        <v>6.1759319582390469E-2</v>
      </c>
      <c r="AM14" s="395">
        <f t="shared" ref="AM14:BI14" si="70">AM13/AM8</f>
        <v>5.3133252635294378E-2</v>
      </c>
      <c r="AN14" s="395">
        <f t="shared" si="70"/>
        <v>6.1742199251283741E-2</v>
      </c>
      <c r="AO14" s="395">
        <f t="shared" si="70"/>
        <v>6.0000000000000005E-2</v>
      </c>
      <c r="AP14" s="395">
        <f t="shared" si="70"/>
        <v>5.4931679851153374E-2</v>
      </c>
      <c r="AQ14" s="395">
        <f t="shared" si="70"/>
        <v>6.1759319582390428E-2</v>
      </c>
      <c r="AR14" s="395">
        <f t="shared" si="70"/>
        <v>5.3133252635294413E-2</v>
      </c>
      <c r="AS14" s="395">
        <f t="shared" si="70"/>
        <v>6.1742199251283741E-2</v>
      </c>
      <c r="AT14" s="395">
        <f t="shared" si="70"/>
        <v>0.06</v>
      </c>
      <c r="AU14" s="395">
        <f t="shared" si="70"/>
        <v>5.4931679851153388E-2</v>
      </c>
      <c r="AV14" s="395">
        <f t="shared" si="70"/>
        <v>6.1759319582390428E-2</v>
      </c>
      <c r="AW14" s="395">
        <f t="shared" si="70"/>
        <v>5.3133252635294392E-2</v>
      </c>
      <c r="AX14" s="395">
        <f t="shared" si="70"/>
        <v>6.1742199251283728E-2</v>
      </c>
      <c r="AY14" s="395">
        <f t="shared" si="70"/>
        <v>5.9999999999999956E-2</v>
      </c>
      <c r="AZ14" s="395">
        <f t="shared" si="70"/>
        <v>5.4931679851153402E-2</v>
      </c>
      <c r="BA14" s="395">
        <f t="shared" si="70"/>
        <v>6.1759319582390469E-2</v>
      </c>
      <c r="BB14" s="395">
        <f t="shared" si="70"/>
        <v>5.3133252635294399E-2</v>
      </c>
      <c r="BC14" s="395">
        <f t="shared" si="70"/>
        <v>6.1742199251283734E-2</v>
      </c>
      <c r="BD14" s="395">
        <f t="shared" si="70"/>
        <v>5.9999999999999977E-2</v>
      </c>
      <c r="BE14" s="395">
        <f t="shared" si="70"/>
        <v>5.4931679851153388E-2</v>
      </c>
      <c r="BF14" s="395">
        <f t="shared" si="70"/>
        <v>6.1759319582390428E-2</v>
      </c>
      <c r="BG14" s="395">
        <f t="shared" si="70"/>
        <v>5.3133252635294365E-2</v>
      </c>
      <c r="BH14" s="395">
        <f t="shared" si="70"/>
        <v>6.1742199251283707E-2</v>
      </c>
      <c r="BI14" s="395">
        <f t="shared" si="70"/>
        <v>5.9999999999999977E-2</v>
      </c>
    </row>
    <row r="15" spans="1:68" x14ac:dyDescent="0.2">
      <c r="B15" s="21" t="s">
        <v>39</v>
      </c>
      <c r="C15" s="22"/>
      <c r="D15" s="22"/>
      <c r="E15" s="22"/>
      <c r="F15" s="22"/>
      <c r="G15" s="324">
        <f t="shared" ref="G15:I15" si="71">G13-G14</f>
        <v>22778.983695675513</v>
      </c>
      <c r="H15" s="324">
        <f t="shared" si="71"/>
        <v>76421.954437488821</v>
      </c>
      <c r="I15" s="324">
        <f t="shared" si="71"/>
        <v>86256.950596177005</v>
      </c>
      <c r="J15" s="325">
        <f t="shared" ref="J15:J22" si="72">K15-(I15+H15+G15)</f>
        <v>50878.111270658672</v>
      </c>
      <c r="K15" s="324">
        <v>236336</v>
      </c>
      <c r="L15" s="324">
        <f t="shared" ref="L15" si="73">L13-L14</f>
        <v>40276.973727776531</v>
      </c>
      <c r="M15" s="324">
        <f t="shared" ref="M15" si="74">M13-M14</f>
        <v>91340.950446943709</v>
      </c>
      <c r="N15" s="324">
        <f t="shared" ref="N15" si="75">N13-N14</f>
        <v>88683.952800268671</v>
      </c>
      <c r="O15" s="324">
        <f t="shared" ref="O15:O22" si="76">P15-(L15+M15+N15)</f>
        <v>64801.123025011097</v>
      </c>
      <c r="P15" s="324">
        <v>285103</v>
      </c>
      <c r="Q15" s="324">
        <v>52144</v>
      </c>
      <c r="R15" s="324">
        <f t="shared" ref="R15:V15" si="77">R13-R14</f>
        <v>104558.94996908926</v>
      </c>
      <c r="S15" s="324">
        <f t="shared" si="77"/>
        <v>121787.94251125932</v>
      </c>
      <c r="T15" s="324">
        <f t="shared" ref="T15:T22" si="78">U15-(S15+R15+Q15)</f>
        <v>90477.107519651414</v>
      </c>
      <c r="U15" s="324">
        <v>368968</v>
      </c>
      <c r="V15" s="324">
        <f t="shared" si="77"/>
        <v>71890.955930239681</v>
      </c>
      <c r="W15" s="324">
        <v>115645</v>
      </c>
      <c r="X15" s="324">
        <v>129632</v>
      </c>
      <c r="Y15" s="324">
        <f t="shared" ref="Y15:Y22" si="79">Z15-(X15+W15+V15)</f>
        <v>75138.044069760304</v>
      </c>
      <c r="Z15" s="324">
        <v>392306</v>
      </c>
      <c r="AA15" s="324">
        <v>60947</v>
      </c>
      <c r="AB15" s="324">
        <v>129255</v>
      </c>
      <c r="AC15" s="324">
        <v>139758</v>
      </c>
      <c r="AD15" s="324">
        <f t="shared" ref="AD15:AD22" si="80">AE15-(AC15+AB15+AA15)</f>
        <v>213894</v>
      </c>
      <c r="AE15" s="324">
        <v>543854</v>
      </c>
      <c r="AF15" s="324">
        <v>247956</v>
      </c>
      <c r="AG15" s="324">
        <v>680238</v>
      </c>
      <c r="AH15" s="416">
        <f>AH13-AH14</f>
        <v>155986.05030833906</v>
      </c>
      <c r="AI15" s="324">
        <f>AI13-AI14</f>
        <v>177931.05809022696</v>
      </c>
      <c r="AJ15" s="324">
        <f t="shared" ref="AJ15" si="81">AJ13-AJ14</f>
        <v>865665.15145023214</v>
      </c>
      <c r="AK15" s="324">
        <f>AK13-AK14</f>
        <v>251158.36002102029</v>
      </c>
      <c r="AL15" s="324">
        <f>AL13-AL14</f>
        <v>351848.12487025844</v>
      </c>
      <c r="AM15" s="324">
        <f>AM13-AM14</f>
        <v>132153.96552939978</v>
      </c>
      <c r="AN15" s="324">
        <f>AN13-AN14</f>
        <v>224228.3170384223</v>
      </c>
      <c r="AO15" s="324">
        <f t="shared" ref="AO15" si="82">AO13-AO14</f>
        <v>983291.27595622698</v>
      </c>
      <c r="AP15" s="324">
        <f t="shared" ref="AP15:BH15" si="83">AP13-AP14</f>
        <v>586606.76914548862</v>
      </c>
      <c r="AQ15" s="324">
        <f t="shared" si="83"/>
        <v>1008481.6839205441</v>
      </c>
      <c r="AR15" s="324">
        <f t="shared" si="83"/>
        <v>123580.69481390339</v>
      </c>
      <c r="AS15" s="324">
        <f t="shared" si="83"/>
        <v>224228.3170384223</v>
      </c>
      <c r="AT15" s="324">
        <f t="shared" si="83"/>
        <v>1977937.1129758446</v>
      </c>
      <c r="AU15" s="324">
        <f t="shared" si="83"/>
        <v>642603.21446647251</v>
      </c>
      <c r="AV15" s="324">
        <f t="shared" si="83"/>
        <v>1030255.5188295245</v>
      </c>
      <c r="AW15" s="324">
        <f t="shared" si="83"/>
        <v>143194.50318468179</v>
      </c>
      <c r="AX15" s="324">
        <f t="shared" si="83"/>
        <v>321771.82515040215</v>
      </c>
      <c r="AY15" s="324">
        <f t="shared" si="83"/>
        <v>2177193.4072798635</v>
      </c>
      <c r="AZ15" s="324">
        <f t="shared" si="83"/>
        <v>674733.37793638033</v>
      </c>
      <c r="BA15" s="324">
        <f t="shared" si="83"/>
        <v>1081768.2978589674</v>
      </c>
      <c r="BB15" s="324">
        <f t="shared" si="83"/>
        <v>150354.23100057853</v>
      </c>
      <c r="BC15" s="324">
        <f t="shared" si="83"/>
        <v>337860.41949503229</v>
      </c>
      <c r="BD15" s="324">
        <f t="shared" si="83"/>
        <v>2286053.0806438574</v>
      </c>
      <c r="BE15" s="324">
        <f t="shared" si="83"/>
        <v>708470.04957978323</v>
      </c>
      <c r="BF15" s="324">
        <f t="shared" si="83"/>
        <v>1135856.715839881</v>
      </c>
      <c r="BG15" s="324">
        <f t="shared" si="83"/>
        <v>156368.40236593169</v>
      </c>
      <c r="BH15" s="324">
        <f t="shared" si="83"/>
        <v>354753.44355689373</v>
      </c>
      <c r="BI15" s="324">
        <f>BI13-BI14</f>
        <v>2398657.8824534551</v>
      </c>
      <c r="BJ15" s="15"/>
      <c r="BK15" s="15"/>
      <c r="BL15" s="15"/>
      <c r="BM15" s="15"/>
      <c r="BN15" s="15"/>
      <c r="BO15" s="15"/>
      <c r="BP15" s="15"/>
    </row>
    <row r="16" spans="1:68" s="388" customFormat="1" x14ac:dyDescent="0.2">
      <c r="B16" s="389" t="s">
        <v>106</v>
      </c>
      <c r="C16" s="390"/>
      <c r="D16" s="390"/>
      <c r="E16" s="390"/>
      <c r="F16" s="390"/>
      <c r="G16" s="391">
        <f t="shared" ref="G16:AL16" si="84">G15/G8</f>
        <v>1.6304312816044726E-2</v>
      </c>
      <c r="H16" s="391">
        <f t="shared" si="84"/>
        <v>4.5562484014480903E-2</v>
      </c>
      <c r="I16" s="391">
        <f t="shared" si="84"/>
        <v>4.9403794705357752E-2</v>
      </c>
      <c r="J16" s="392">
        <f t="shared" si="84"/>
        <v>3.2890113510438003E-2</v>
      </c>
      <c r="K16" s="391">
        <f t="shared" si="84"/>
        <v>3.7117238684500328E-2</v>
      </c>
      <c r="L16" s="391">
        <f t="shared" si="84"/>
        <v>2.6272206331749055E-2</v>
      </c>
      <c r="M16" s="391">
        <f t="shared" si="84"/>
        <v>4.9553029407059038E-2</v>
      </c>
      <c r="N16" s="391">
        <f t="shared" si="84"/>
        <v>4.7199706212631198E-2</v>
      </c>
      <c r="O16" s="391">
        <f t="shared" si="84"/>
        <v>3.6426838146227103E-2</v>
      </c>
      <c r="P16" s="391">
        <f t="shared" si="84"/>
        <v>4.0530925367727913E-2</v>
      </c>
      <c r="Q16" s="391">
        <f t="shared" si="84"/>
        <v>3.0665076486265874E-2</v>
      </c>
      <c r="R16" s="391">
        <f t="shared" si="84"/>
        <v>5.0030886807852504E-2</v>
      </c>
      <c r="S16" s="391">
        <f t="shared" si="84"/>
        <v>5.7488713542037384E-2</v>
      </c>
      <c r="T16" s="391">
        <f t="shared" si="84"/>
        <v>4.9822744479372801E-2</v>
      </c>
      <c r="U16" s="391">
        <f t="shared" si="84"/>
        <v>4.7764263820895145E-2</v>
      </c>
      <c r="V16" s="391">
        <f t="shared" si="84"/>
        <v>4.4069733298743141E-2</v>
      </c>
      <c r="W16" s="391">
        <f t="shared" si="84"/>
        <v>6.0721240961647611E-2</v>
      </c>
      <c r="X16" s="391">
        <f t="shared" si="84"/>
        <v>6.5436501626674942E-2</v>
      </c>
      <c r="Y16" s="391">
        <f t="shared" si="84"/>
        <v>4.260557633268388E-2</v>
      </c>
      <c r="Z16" s="391">
        <f t="shared" si="84"/>
        <v>5.3884996643742661E-2</v>
      </c>
      <c r="AA16" s="391">
        <f t="shared" si="84"/>
        <v>3.4105363059527563E-2</v>
      </c>
      <c r="AB16" s="391">
        <f t="shared" si="84"/>
        <v>6.6433050667568508E-2</v>
      </c>
      <c r="AC16" s="391">
        <f t="shared" si="84"/>
        <v>6.0884793831274917E-2</v>
      </c>
      <c r="AD16" s="391">
        <f t="shared" si="84"/>
        <v>8.4517694289462458E-2</v>
      </c>
      <c r="AE16" s="391">
        <f t="shared" si="84"/>
        <v>6.3542704332368957E-2</v>
      </c>
      <c r="AF16" s="391">
        <f t="shared" si="84"/>
        <v>5.9408089798803243E-2</v>
      </c>
      <c r="AG16" s="391">
        <f t="shared" si="84"/>
        <v>0.12197898320183938</v>
      </c>
      <c r="AH16" s="418">
        <f t="shared" si="84"/>
        <v>7.266871471875587E-2</v>
      </c>
      <c r="AI16" s="391">
        <f t="shared" si="84"/>
        <v>7.0307361460678591E-2</v>
      </c>
      <c r="AJ16" s="391">
        <f t="shared" si="84"/>
        <v>5.9999995841348387E-2</v>
      </c>
      <c r="AK16" s="391">
        <f t="shared" si="84"/>
        <v>5.4931667836865712E-2</v>
      </c>
      <c r="AL16" s="391">
        <f t="shared" si="84"/>
        <v>6.1759308741881132E-2</v>
      </c>
      <c r="AM16" s="391">
        <f t="shared" ref="AM16:BI16" si="85">AM15/AM8</f>
        <v>5.3133231272776887E-2</v>
      </c>
      <c r="AN16" s="391">
        <f t="shared" si="85"/>
        <v>6.1742182250317183E-2</v>
      </c>
      <c r="AO16" s="391">
        <f t="shared" si="85"/>
        <v>5.9999996338826689E-2</v>
      </c>
      <c r="AP16" s="391">
        <f t="shared" si="85"/>
        <v>5.4931674707180737E-2</v>
      </c>
      <c r="AQ16" s="391">
        <f t="shared" si="85"/>
        <v>6.1759315800255975E-2</v>
      </c>
      <c r="AR16" s="391">
        <f t="shared" si="85"/>
        <v>5.3133229790777108E-2</v>
      </c>
      <c r="AS16" s="391">
        <f t="shared" si="85"/>
        <v>6.1742182250317183E-2</v>
      </c>
      <c r="AT16" s="391">
        <f t="shared" si="85"/>
        <v>5.9999998179921965E-2</v>
      </c>
      <c r="AU16" s="391">
        <f t="shared" si="85"/>
        <v>5.4931675155426504E-2</v>
      </c>
      <c r="AV16" s="391">
        <f t="shared" si="85"/>
        <v>6.1759315880189118E-2</v>
      </c>
      <c r="AW16" s="391">
        <f t="shared" si="85"/>
        <v>5.3133232919862411E-2</v>
      </c>
      <c r="AX16" s="391">
        <f t="shared" si="85"/>
        <v>6.174218740407357E-2</v>
      </c>
      <c r="AY16" s="391">
        <f t="shared" si="85"/>
        <v>5.9999998346495081E-2</v>
      </c>
      <c r="AZ16" s="391">
        <f t="shared" si="85"/>
        <v>5.4931675379032555E-2</v>
      </c>
      <c r="BA16" s="391">
        <f t="shared" si="85"/>
        <v>6.1759316056484458E-2</v>
      </c>
      <c r="BB16" s="391">
        <f t="shared" si="85"/>
        <v>5.3133233858692508E-2</v>
      </c>
      <c r="BC16" s="391">
        <f t="shared" si="85"/>
        <v>6.174218796822644E-2</v>
      </c>
      <c r="BD16" s="391">
        <f t="shared" si="85"/>
        <v>5.9999998425233431E-2</v>
      </c>
      <c r="BE16" s="391">
        <f t="shared" si="85"/>
        <v>5.4931675591990678E-2</v>
      </c>
      <c r="BF16" s="391">
        <f t="shared" si="85"/>
        <v>6.17593162243847E-2</v>
      </c>
      <c r="BG16" s="391">
        <f t="shared" si="85"/>
        <v>5.3133234580869472E-2</v>
      </c>
      <c r="BH16" s="391">
        <f t="shared" si="85"/>
        <v>6.1742188505514856E-2</v>
      </c>
      <c r="BI16" s="391">
        <f t="shared" si="85"/>
        <v>5.9999998499160719E-2</v>
      </c>
    </row>
    <row r="17" spans="2:68" x14ac:dyDescent="0.2">
      <c r="B17" s="5" t="s">
        <v>107</v>
      </c>
      <c r="C17" s="5"/>
      <c r="D17" s="5"/>
      <c r="E17" s="5"/>
      <c r="F17" s="5"/>
      <c r="G17" s="179">
        <v>35224</v>
      </c>
      <c r="H17" s="318">
        <v>42802</v>
      </c>
      <c r="I17" s="179">
        <v>92290</v>
      </c>
      <c r="J17" s="320">
        <f t="shared" si="72"/>
        <v>44351</v>
      </c>
      <c r="K17" s="178">
        <v>214667</v>
      </c>
      <c r="L17" s="178">
        <v>36157</v>
      </c>
      <c r="M17" s="178">
        <v>33710</v>
      </c>
      <c r="N17" s="178">
        <v>33836</v>
      </c>
      <c r="O17" s="178">
        <f t="shared" si="76"/>
        <v>89471</v>
      </c>
      <c r="P17" s="178">
        <v>193174</v>
      </c>
      <c r="Q17" s="178">
        <v>26742</v>
      </c>
      <c r="R17" s="178">
        <v>28957</v>
      </c>
      <c r="S17" s="178">
        <v>29106</v>
      </c>
      <c r="T17" s="178">
        <f t="shared" si="78"/>
        <v>23408</v>
      </c>
      <c r="U17" s="178">
        <v>108213</v>
      </c>
      <c r="V17" s="178">
        <v>24901</v>
      </c>
      <c r="W17" s="178">
        <v>29382</v>
      </c>
      <c r="X17" s="178">
        <v>27788</v>
      </c>
      <c r="Y17" s="178">
        <f t="shared" si="79"/>
        <v>27480</v>
      </c>
      <c r="Z17" s="178">
        <v>109551</v>
      </c>
      <c r="AA17" s="178">
        <v>51931</v>
      </c>
      <c r="AB17" s="318">
        <v>26812</v>
      </c>
      <c r="AC17" s="178">
        <v>28043</v>
      </c>
      <c r="AD17" s="178">
        <f t="shared" si="80"/>
        <v>28902</v>
      </c>
      <c r="AE17" s="178">
        <v>135688</v>
      </c>
      <c r="AF17" s="178">
        <v>31844</v>
      </c>
      <c r="AG17" s="178">
        <v>27795</v>
      </c>
      <c r="AH17" s="416">
        <f t="shared" ref="AH17:AM17" si="86">AH58*AH91</f>
        <v>40927.795999999995</v>
      </c>
      <c r="AI17" s="319">
        <f t="shared" si="86"/>
        <v>41519.53</v>
      </c>
      <c r="AJ17" s="319">
        <f t="shared" si="86"/>
        <v>135736.92500000002</v>
      </c>
      <c r="AK17" s="319">
        <f t="shared" si="86"/>
        <v>140939.26500000001</v>
      </c>
      <c r="AL17" s="319">
        <f t="shared" si="86"/>
        <v>173724.44500000001</v>
      </c>
      <c r="AM17" s="319">
        <f t="shared" si="86"/>
        <v>133802.41</v>
      </c>
      <c r="AN17" s="319">
        <f>AO17-(AK17+AL17+AM17)</f>
        <v>-312729.19499999995</v>
      </c>
      <c r="AO17" s="319">
        <f t="shared" ref="AO17" si="87">AO58*AO91</f>
        <v>135736.92500000002</v>
      </c>
      <c r="AP17" s="319">
        <f t="shared" ref="AP17:BI17" si="88">AP58*AP91</f>
        <v>140939.26500000001</v>
      </c>
      <c r="AQ17" s="319">
        <f t="shared" si="88"/>
        <v>173724.44500000001</v>
      </c>
      <c r="AR17" s="319">
        <f t="shared" si="88"/>
        <v>133802.41</v>
      </c>
      <c r="AS17" s="319">
        <f t="shared" si="88"/>
        <v>135736.92500000002</v>
      </c>
      <c r="AT17" s="319">
        <f t="shared" si="88"/>
        <v>135736.92500000002</v>
      </c>
      <c r="AU17" s="331">
        <f t="shared" si="88"/>
        <v>140939.26500000001</v>
      </c>
      <c r="AV17" s="331">
        <f t="shared" si="88"/>
        <v>173724.44500000001</v>
      </c>
      <c r="AW17" s="331">
        <f t="shared" si="88"/>
        <v>133802.41</v>
      </c>
      <c r="AX17" s="331">
        <f t="shared" si="88"/>
        <v>135736.92500000002</v>
      </c>
      <c r="AY17" s="331">
        <f t="shared" si="88"/>
        <v>135736.92500000002</v>
      </c>
      <c r="AZ17" s="331">
        <f t="shared" si="88"/>
        <v>140939.26500000001</v>
      </c>
      <c r="BA17" s="331">
        <f t="shared" si="88"/>
        <v>173724.44500000001</v>
      </c>
      <c r="BB17" s="331">
        <f t="shared" si="88"/>
        <v>133802.41</v>
      </c>
      <c r="BC17" s="331">
        <f t="shared" si="88"/>
        <v>135736.92500000002</v>
      </c>
      <c r="BD17" s="331">
        <f t="shared" si="88"/>
        <v>135736.92500000002</v>
      </c>
      <c r="BE17" s="331">
        <f t="shared" si="88"/>
        <v>140939.26500000001</v>
      </c>
      <c r="BF17" s="331">
        <f t="shared" si="88"/>
        <v>173724.44500000001</v>
      </c>
      <c r="BG17" s="331">
        <f t="shared" si="88"/>
        <v>133802.41</v>
      </c>
      <c r="BH17" s="331">
        <f t="shared" si="88"/>
        <v>135736.92500000002</v>
      </c>
      <c r="BI17" s="331">
        <f t="shared" si="88"/>
        <v>135736.92500000002</v>
      </c>
      <c r="BJ17" s="15"/>
      <c r="BK17" s="15"/>
      <c r="BL17" s="15"/>
      <c r="BM17" s="15"/>
      <c r="BN17" s="15"/>
      <c r="BO17" s="15"/>
      <c r="BP17" s="15"/>
    </row>
    <row r="18" spans="2:68" x14ac:dyDescent="0.2">
      <c r="B18" s="8" t="s">
        <v>108</v>
      </c>
      <c r="C18" s="8"/>
      <c r="D18" s="8"/>
      <c r="E18" s="8"/>
      <c r="F18" s="8"/>
      <c r="G18" s="321">
        <f t="shared" ref="G18:I18" si="89">G15-G17</f>
        <v>-12445.016304324487</v>
      </c>
      <c r="H18" s="321">
        <f t="shared" si="89"/>
        <v>33619.954437488821</v>
      </c>
      <c r="I18" s="321">
        <f t="shared" si="89"/>
        <v>-6033.0494038229954</v>
      </c>
      <c r="J18" s="322">
        <f t="shared" si="72"/>
        <v>6527.1112706586609</v>
      </c>
      <c r="K18" s="321">
        <f>K15-K17</f>
        <v>21669</v>
      </c>
      <c r="L18" s="321">
        <f t="shared" ref="L18:N18" si="90">L15-L17</f>
        <v>4119.9737277765307</v>
      </c>
      <c r="M18" s="321">
        <f t="shared" si="90"/>
        <v>57630.950446943709</v>
      </c>
      <c r="N18" s="321">
        <f t="shared" si="90"/>
        <v>54847.952800268671</v>
      </c>
      <c r="O18" s="321">
        <f t="shared" si="76"/>
        <v>-24669.876974988903</v>
      </c>
      <c r="P18" s="321">
        <f t="shared" ref="P18:AG18" si="91">P15-P17</f>
        <v>91929</v>
      </c>
      <c r="Q18" s="321">
        <f t="shared" si="91"/>
        <v>25402</v>
      </c>
      <c r="R18" s="321">
        <f t="shared" si="91"/>
        <v>75601.949969089255</v>
      </c>
      <c r="S18" s="321">
        <f t="shared" si="91"/>
        <v>92681.942511259316</v>
      </c>
      <c r="T18" s="321">
        <f t="shared" si="78"/>
        <v>67069.107519651414</v>
      </c>
      <c r="U18" s="321">
        <f t="shared" si="91"/>
        <v>260755</v>
      </c>
      <c r="V18" s="321">
        <f t="shared" si="91"/>
        <v>46989.955930239681</v>
      </c>
      <c r="W18" s="321">
        <f t="shared" si="91"/>
        <v>86263</v>
      </c>
      <c r="X18" s="321">
        <f t="shared" si="91"/>
        <v>101844</v>
      </c>
      <c r="Y18" s="321">
        <f t="shared" si="79"/>
        <v>47658.044069760304</v>
      </c>
      <c r="Z18" s="321">
        <f t="shared" si="91"/>
        <v>282755</v>
      </c>
      <c r="AA18" s="321">
        <f t="shared" si="91"/>
        <v>9016</v>
      </c>
      <c r="AB18" s="321">
        <f t="shared" si="91"/>
        <v>102443</v>
      </c>
      <c r="AC18" s="321">
        <f t="shared" si="91"/>
        <v>111715</v>
      </c>
      <c r="AD18" s="321">
        <f t="shared" si="80"/>
        <v>184992</v>
      </c>
      <c r="AE18" s="321">
        <f t="shared" si="91"/>
        <v>408166</v>
      </c>
      <c r="AF18" s="321">
        <f t="shared" si="91"/>
        <v>216112</v>
      </c>
      <c r="AG18" s="321">
        <f t="shared" si="91"/>
        <v>652443</v>
      </c>
      <c r="AH18" s="416">
        <f>AH15-AH17</f>
        <v>115058.25430833906</v>
      </c>
      <c r="AI18" s="321">
        <f>AI15-AI17</f>
        <v>136411.52809022696</v>
      </c>
      <c r="AJ18" s="321">
        <f t="shared" ref="AJ18" si="92">AJ15-AJ17</f>
        <v>729928.22645023209</v>
      </c>
      <c r="AK18" s="321">
        <f>AK15-AK17</f>
        <v>110219.09502102027</v>
      </c>
      <c r="AL18" s="321">
        <f>AL15-AL17</f>
        <v>178123.67987025843</v>
      </c>
      <c r="AM18" s="321">
        <f>AM15-AM17</f>
        <v>-1648.444470600225</v>
      </c>
      <c r="AN18" s="321">
        <f>AN15-AN17</f>
        <v>536957.51203842228</v>
      </c>
      <c r="AO18" s="321">
        <f t="shared" ref="AO18" si="93">AO15-AO17</f>
        <v>847554.35095622693</v>
      </c>
      <c r="AP18" s="321">
        <f t="shared" ref="AP18:BI18" si="94">AP15-AP17</f>
        <v>445667.50414548861</v>
      </c>
      <c r="AQ18" s="321">
        <f t="shared" si="94"/>
        <v>834757.23892054404</v>
      </c>
      <c r="AR18" s="321">
        <f t="shared" si="94"/>
        <v>-10221.715186096611</v>
      </c>
      <c r="AS18" s="321">
        <f t="shared" si="94"/>
        <v>88491.392038422287</v>
      </c>
      <c r="AT18" s="321">
        <f t="shared" si="94"/>
        <v>1842200.1879758446</v>
      </c>
      <c r="AU18" s="321">
        <f t="shared" si="94"/>
        <v>501663.94946647249</v>
      </c>
      <c r="AV18" s="321">
        <f t="shared" si="94"/>
        <v>856531.07382952445</v>
      </c>
      <c r="AW18" s="321">
        <f t="shared" si="94"/>
        <v>9392.0931846817839</v>
      </c>
      <c r="AX18" s="321">
        <f t="shared" si="94"/>
        <v>186034.90015040213</v>
      </c>
      <c r="AY18" s="321">
        <f t="shared" si="94"/>
        <v>2041456.4822798634</v>
      </c>
      <c r="AZ18" s="321">
        <f t="shared" si="94"/>
        <v>533794.11293638032</v>
      </c>
      <c r="BA18" s="321">
        <f t="shared" si="94"/>
        <v>908043.85285896738</v>
      </c>
      <c r="BB18" s="321">
        <f t="shared" si="94"/>
        <v>16551.821000578522</v>
      </c>
      <c r="BC18" s="321">
        <f t="shared" si="94"/>
        <v>202123.49449503227</v>
      </c>
      <c r="BD18" s="321">
        <f t="shared" si="94"/>
        <v>2150316.1556438575</v>
      </c>
      <c r="BE18" s="321">
        <f t="shared" si="94"/>
        <v>567530.78457978321</v>
      </c>
      <c r="BF18" s="321">
        <f t="shared" si="94"/>
        <v>962132.27083988092</v>
      </c>
      <c r="BG18" s="321">
        <f t="shared" si="94"/>
        <v>22565.992365931685</v>
      </c>
      <c r="BH18" s="321">
        <f t="shared" si="94"/>
        <v>219016.51855689372</v>
      </c>
      <c r="BI18" s="321">
        <f t="shared" si="94"/>
        <v>2262920.9574534553</v>
      </c>
      <c r="BJ18" s="15"/>
      <c r="BK18" s="15"/>
      <c r="BL18" s="15"/>
      <c r="BM18" s="15"/>
      <c r="BN18" s="15"/>
      <c r="BO18" s="15"/>
      <c r="BP18" s="15"/>
    </row>
    <row r="19" spans="2:68" x14ac:dyDescent="0.2">
      <c r="B19" s="5" t="s">
        <v>109</v>
      </c>
      <c r="C19" s="5"/>
      <c r="D19" s="5"/>
      <c r="E19" s="5"/>
      <c r="F19" s="5"/>
      <c r="G19" s="184">
        <v>4535</v>
      </c>
      <c r="H19" s="196">
        <v>4179</v>
      </c>
      <c r="I19" s="184">
        <v>-131502</v>
      </c>
      <c r="J19" s="184">
        <f t="shared" si="72"/>
        <v>116</v>
      </c>
      <c r="K19" s="18">
        <v>-122672</v>
      </c>
      <c r="L19" s="18">
        <v>298</v>
      </c>
      <c r="M19" s="18">
        <v>19721</v>
      </c>
      <c r="N19" s="18">
        <v>15098</v>
      </c>
      <c r="O19" s="18">
        <f t="shared" si="76"/>
        <v>18031</v>
      </c>
      <c r="P19" s="18">
        <v>53148</v>
      </c>
      <c r="Q19" s="18">
        <v>2182</v>
      </c>
      <c r="R19" s="18">
        <v>18980</v>
      </c>
      <c r="S19" s="18">
        <v>19354</v>
      </c>
      <c r="T19" s="18">
        <f t="shared" si="78"/>
        <v>15048</v>
      </c>
      <c r="U19" s="18">
        <v>55564</v>
      </c>
      <c r="V19" s="18">
        <v>11282</v>
      </c>
      <c r="W19" s="18">
        <v>19659</v>
      </c>
      <c r="X19" s="18">
        <v>23714</v>
      </c>
      <c r="Y19" s="18">
        <f t="shared" si="79"/>
        <v>6291</v>
      </c>
      <c r="Z19" s="18">
        <v>60946</v>
      </c>
      <c r="AA19" s="18">
        <v>249</v>
      </c>
      <c r="AB19" s="18">
        <v>23519</v>
      </c>
      <c r="AC19" s="18">
        <v>25783</v>
      </c>
      <c r="AD19" s="18">
        <f t="shared" si="80"/>
        <v>45078</v>
      </c>
      <c r="AE19" s="18">
        <v>94629</v>
      </c>
      <c r="AF19" s="18">
        <v>43532</v>
      </c>
      <c r="AG19" s="18">
        <v>155208</v>
      </c>
      <c r="AH19" s="416">
        <f t="shared" ref="AH19:AN19" si="95">AH18*AH92</f>
        <v>24162.233404751201</v>
      </c>
      <c r="AI19" s="19">
        <f t="shared" si="95"/>
        <v>28646.420898947661</v>
      </c>
      <c r="AJ19" s="19">
        <f t="shared" si="95"/>
        <v>160584.20981905106</v>
      </c>
      <c r="AK19" s="19">
        <f t="shared" si="95"/>
        <v>24248.20090462446</v>
      </c>
      <c r="AL19" s="19">
        <f t="shared" si="95"/>
        <v>39187.209571456857</v>
      </c>
      <c r="AM19" s="19">
        <f t="shared" si="95"/>
        <v>-362.65778353204951</v>
      </c>
      <c r="AN19" s="19">
        <f t="shared" si="95"/>
        <v>118130.6526484529</v>
      </c>
      <c r="AO19" s="19">
        <f t="shared" ref="AO19" si="96">AO18*AO92</f>
        <v>186461.95721036993</v>
      </c>
      <c r="AP19" s="19">
        <f t="shared" ref="AP19:BI19" si="97">AP18*AP92</f>
        <v>98046.850912007489</v>
      </c>
      <c r="AQ19" s="19">
        <f t="shared" si="97"/>
        <v>183646.59256251968</v>
      </c>
      <c r="AR19" s="19">
        <f t="shared" si="97"/>
        <v>-2248.7773409412544</v>
      </c>
      <c r="AS19" s="19">
        <f t="shared" si="97"/>
        <v>19468.106248452903</v>
      </c>
      <c r="AT19" s="19">
        <f t="shared" si="97"/>
        <v>405284.04135468579</v>
      </c>
      <c r="AU19" s="332">
        <f t="shared" si="97"/>
        <v>110366.06888262395</v>
      </c>
      <c r="AV19" s="332">
        <f t="shared" si="97"/>
        <v>188436.83624249537</v>
      </c>
      <c r="AW19" s="332">
        <f t="shared" si="97"/>
        <v>2066.2605006299923</v>
      </c>
      <c r="AX19" s="332">
        <f t="shared" si="97"/>
        <v>40927.678033088472</v>
      </c>
      <c r="AY19" s="332">
        <f t="shared" si="97"/>
        <v>449120.42610156996</v>
      </c>
      <c r="AZ19" s="332">
        <f t="shared" si="97"/>
        <v>117434.70484600367</v>
      </c>
      <c r="BA19" s="332">
        <f t="shared" si="97"/>
        <v>199769.64762897283</v>
      </c>
      <c r="BB19" s="332">
        <f t="shared" si="97"/>
        <v>3641.400620127275</v>
      </c>
      <c r="BC19" s="332">
        <f t="shared" si="97"/>
        <v>44467.168788907096</v>
      </c>
      <c r="BD19" s="332">
        <f t="shared" si="97"/>
        <v>473069.55424164864</v>
      </c>
      <c r="BE19" s="332">
        <f t="shared" si="97"/>
        <v>124856.77260755231</v>
      </c>
      <c r="BF19" s="332">
        <f t="shared" si="97"/>
        <v>211669.09958477379</v>
      </c>
      <c r="BG19" s="332">
        <f t="shared" si="97"/>
        <v>4964.5183205049707</v>
      </c>
      <c r="BH19" s="332">
        <f t="shared" si="97"/>
        <v>48183.634082516619</v>
      </c>
      <c r="BI19" s="332">
        <f t="shared" si="97"/>
        <v>497842.61063976015</v>
      </c>
      <c r="BJ19" s="15"/>
      <c r="BK19" s="15"/>
      <c r="BL19" s="15"/>
      <c r="BM19" s="15"/>
      <c r="BN19" s="15"/>
      <c r="BO19" s="15"/>
      <c r="BP19" s="15"/>
    </row>
    <row r="20" spans="2:68" x14ac:dyDescent="0.2">
      <c r="B20" s="13" t="s">
        <v>110</v>
      </c>
      <c r="C20" s="13"/>
      <c r="D20" s="13"/>
      <c r="E20" s="13"/>
      <c r="F20" s="13"/>
      <c r="G20" s="14">
        <f t="shared" ref="G20:I20" si="98">G18-G19</f>
        <v>-16980.016304324487</v>
      </c>
      <c r="H20" s="14">
        <f t="shared" si="98"/>
        <v>29440.954437488821</v>
      </c>
      <c r="I20" s="14">
        <f t="shared" si="98"/>
        <v>125468.950596177</v>
      </c>
      <c r="J20" s="317">
        <f t="shared" si="72"/>
        <v>6411.1112706586719</v>
      </c>
      <c r="K20" s="14">
        <f>K18-K19</f>
        <v>144341</v>
      </c>
      <c r="L20" s="14">
        <f t="shared" ref="L20:N20" si="99">L18-L19</f>
        <v>3821.9737277765307</v>
      </c>
      <c r="M20" s="14">
        <f t="shared" si="99"/>
        <v>37909.950446943709</v>
      </c>
      <c r="N20" s="14">
        <f t="shared" si="99"/>
        <v>39749.952800268671</v>
      </c>
      <c r="O20" s="14">
        <f t="shared" si="76"/>
        <v>-42700.876974988903</v>
      </c>
      <c r="P20" s="14">
        <f t="shared" ref="P20:AG20" si="100">P18-P19</f>
        <v>38781</v>
      </c>
      <c r="Q20" s="14">
        <f t="shared" si="100"/>
        <v>23220</v>
      </c>
      <c r="R20" s="14">
        <f t="shared" si="100"/>
        <v>56621.949969089255</v>
      </c>
      <c r="S20" s="14">
        <f t="shared" si="100"/>
        <v>73327.942511259316</v>
      </c>
      <c r="T20" s="14">
        <f t="shared" si="78"/>
        <v>52021.107519651414</v>
      </c>
      <c r="U20" s="14">
        <f t="shared" si="100"/>
        <v>205191</v>
      </c>
      <c r="V20" s="14">
        <f t="shared" si="100"/>
        <v>35707.955930239681</v>
      </c>
      <c r="W20" s="14">
        <f t="shared" si="100"/>
        <v>66604</v>
      </c>
      <c r="X20" s="14">
        <f t="shared" si="100"/>
        <v>78130</v>
      </c>
      <c r="Y20" s="14">
        <f t="shared" si="79"/>
        <v>41367.044069760304</v>
      </c>
      <c r="Z20" s="14">
        <f t="shared" si="100"/>
        <v>221809</v>
      </c>
      <c r="AA20" s="14">
        <f t="shared" si="100"/>
        <v>8767</v>
      </c>
      <c r="AB20" s="14">
        <f t="shared" si="100"/>
        <v>78924</v>
      </c>
      <c r="AC20" s="14">
        <f t="shared" si="100"/>
        <v>85932</v>
      </c>
      <c r="AD20" s="14">
        <f t="shared" si="80"/>
        <v>139914</v>
      </c>
      <c r="AE20" s="14">
        <f t="shared" si="100"/>
        <v>313537</v>
      </c>
      <c r="AF20" s="14">
        <f t="shared" si="100"/>
        <v>172580</v>
      </c>
      <c r="AG20" s="14">
        <f t="shared" si="100"/>
        <v>497235</v>
      </c>
      <c r="AH20" s="416">
        <f>AH18-AH19</f>
        <v>90896.020903587865</v>
      </c>
      <c r="AI20" s="14">
        <f>AI18-AI19</f>
        <v>107765.1071912793</v>
      </c>
      <c r="AJ20" s="14">
        <f t="shared" ref="AJ20" si="101">AJ18-AJ19</f>
        <v>569344.016631181</v>
      </c>
      <c r="AK20" s="14">
        <f>AK18-AK19</f>
        <v>85970.894116395808</v>
      </c>
      <c r="AL20" s="14">
        <f>AL18-AL19</f>
        <v>138936.47029880158</v>
      </c>
      <c r="AM20" s="14">
        <f>AM18-AM19</f>
        <v>-1285.7866870681755</v>
      </c>
      <c r="AN20" s="14">
        <f>AN18-AN19</f>
        <v>418826.85938996938</v>
      </c>
      <c r="AO20" s="14">
        <f t="shared" ref="AO20" si="102">AO18-AO19</f>
        <v>661092.39374585706</v>
      </c>
      <c r="AP20" s="14">
        <f t="shared" ref="AP20:BI20" si="103">AP18-AP19</f>
        <v>347620.65323348111</v>
      </c>
      <c r="AQ20" s="14">
        <f t="shared" si="103"/>
        <v>651110.64635802433</v>
      </c>
      <c r="AR20" s="14">
        <f t="shared" si="103"/>
        <v>-7972.9378451553566</v>
      </c>
      <c r="AS20" s="14">
        <f t="shared" si="103"/>
        <v>69023.285789969377</v>
      </c>
      <c r="AT20" s="14">
        <f t="shared" si="103"/>
        <v>1436916.1466211588</v>
      </c>
      <c r="AU20" s="14">
        <f t="shared" si="103"/>
        <v>391297.88058384857</v>
      </c>
      <c r="AV20" s="14">
        <f t="shared" si="103"/>
        <v>668094.23758702911</v>
      </c>
      <c r="AW20" s="14">
        <f t="shared" si="103"/>
        <v>7325.8326840517911</v>
      </c>
      <c r="AX20" s="14">
        <f t="shared" si="103"/>
        <v>145107.22211731365</v>
      </c>
      <c r="AY20" s="14">
        <f t="shared" si="103"/>
        <v>1592336.0561782934</v>
      </c>
      <c r="AZ20" s="14">
        <f t="shared" si="103"/>
        <v>416359.40809037664</v>
      </c>
      <c r="BA20" s="14">
        <f t="shared" si="103"/>
        <v>708274.20522999461</v>
      </c>
      <c r="BB20" s="14">
        <f t="shared" si="103"/>
        <v>12910.420380451247</v>
      </c>
      <c r="BC20" s="14">
        <f t="shared" si="103"/>
        <v>157656.32570612518</v>
      </c>
      <c r="BD20" s="14">
        <f t="shared" si="103"/>
        <v>1677246.6014022089</v>
      </c>
      <c r="BE20" s="14">
        <f t="shared" si="103"/>
        <v>442674.01197223092</v>
      </c>
      <c r="BF20" s="14">
        <f t="shared" si="103"/>
        <v>750463.17125510715</v>
      </c>
      <c r="BG20" s="14">
        <f t="shared" si="103"/>
        <v>17601.474045426716</v>
      </c>
      <c r="BH20" s="14">
        <f t="shared" si="103"/>
        <v>170832.88447437709</v>
      </c>
      <c r="BI20" s="14">
        <f t="shared" si="103"/>
        <v>1765078.346813695</v>
      </c>
      <c r="BJ20" s="15"/>
      <c r="BK20" s="15"/>
      <c r="BL20" s="15"/>
      <c r="BM20" s="15"/>
      <c r="BN20" s="15"/>
      <c r="BO20" s="15"/>
      <c r="BP20" s="15"/>
    </row>
    <row r="21" spans="2:68" x14ac:dyDescent="0.2">
      <c r="B21" s="13" t="s">
        <v>311</v>
      </c>
      <c r="C21" s="13"/>
      <c r="D21" s="13"/>
      <c r="E21" s="13"/>
      <c r="F21" s="13"/>
      <c r="G21" s="396">
        <f>G20/G8</f>
        <v>-1.2153636928929555E-2</v>
      </c>
      <c r="H21" s="396">
        <f t="shared" ref="H21:K21" si="104">H20/H8</f>
        <v>1.7552587156435234E-2</v>
      </c>
      <c r="I21" s="396">
        <f t="shared" si="104"/>
        <v>7.1862525098643271E-2</v>
      </c>
      <c r="J21" s="396">
        <f t="shared" si="104"/>
        <v>4.1444576489539624E-3</v>
      </c>
      <c r="K21" s="396">
        <f t="shared" si="104"/>
        <v>2.2669163178523213E-2</v>
      </c>
      <c r="L21" s="396">
        <f>L20/L8</f>
        <v>2.4930294676390099E-3</v>
      </c>
      <c r="M21" s="396">
        <f t="shared" ref="M21" si="105">M20/M8</f>
        <v>2.0566382111479434E-2</v>
      </c>
      <c r="N21" s="396">
        <f t="shared" ref="N21" si="106">N20/N8</f>
        <v>2.1155869070970799E-2</v>
      </c>
      <c r="O21" s="396">
        <f t="shared" ref="O21" si="107">O20/O8</f>
        <v>-2.4003564470163902E-2</v>
      </c>
      <c r="P21" s="396">
        <f t="shared" ref="P21" si="108">P20/P8</f>
        <v>5.5131998494784562E-3</v>
      </c>
      <c r="Q21" s="396">
        <f>Q20/Q8</f>
        <v>1.3655321341114867E-2</v>
      </c>
      <c r="R21" s="396">
        <f t="shared" ref="R21" si="109">R20/R8</f>
        <v>2.7093293979911486E-2</v>
      </c>
      <c r="S21" s="396">
        <f t="shared" ref="S21" si="110">S20/S8</f>
        <v>3.4613681738379365E-2</v>
      </c>
      <c r="T21" s="396">
        <f t="shared" ref="T21" si="111">T20/T8</f>
        <v>2.8646299804871978E-2</v>
      </c>
      <c r="U21" s="396">
        <f t="shared" ref="U21" si="112">U20/U8</f>
        <v>2.6562729173460288E-2</v>
      </c>
      <c r="V21" s="396">
        <f>V20/V8</f>
        <v>2.1889263734591848E-2</v>
      </c>
      <c r="W21" s="396">
        <f t="shared" ref="W21" si="113">W20/W8</f>
        <v>3.4971486298669009E-2</v>
      </c>
      <c r="X21" s="396">
        <f t="shared" ref="X21" si="114">X20/X8</f>
        <v>3.9438980129073944E-2</v>
      </c>
      <c r="Y21" s="396">
        <f t="shared" ref="Y21" si="115">Y20/Y8</f>
        <v>2.3456383188992066E-2</v>
      </c>
      <c r="Z21" s="396">
        <f t="shared" ref="Z21" si="116">Z20/Z8</f>
        <v>3.0466465515571813E-2</v>
      </c>
      <c r="AA21" s="396">
        <f>AA20/AA8</f>
        <v>4.9059300366363912E-3</v>
      </c>
      <c r="AB21" s="396">
        <f t="shared" ref="AB21" si="117">AB20/AB8</f>
        <v>4.0564481767724092E-2</v>
      </c>
      <c r="AC21" s="396">
        <f t="shared" ref="AC21" si="118">AC20/AC8</f>
        <v>3.7435796902568125E-2</v>
      </c>
      <c r="AD21" s="396">
        <f t="shared" ref="AD21" si="119">AD20/AD8</f>
        <v>5.5285368822013937E-2</v>
      </c>
      <c r="AE21" s="396">
        <f t="shared" ref="AE21" si="120">AE20/AE8</f>
        <v>3.6632972982193687E-2</v>
      </c>
      <c r="AF21" s="396">
        <f>AF20/AF8</f>
        <v>4.1348659187426251E-2</v>
      </c>
      <c r="AG21" s="396">
        <f t="shared" ref="AG21" si="121">AG20/AG8</f>
        <v>8.916323362171269E-2</v>
      </c>
      <c r="AH21" s="419">
        <f t="shared" ref="AH21" si="122">AH20/AH8</f>
        <v>4.2345434088856951E-2</v>
      </c>
      <c r="AI21" s="396">
        <f t="shared" ref="AI21" si="123">AI20/AI8</f>
        <v>4.2582112563530047E-2</v>
      </c>
      <c r="AJ21" s="396">
        <f t="shared" ref="AJ21" si="124">AJ20/AJ8</f>
        <v>3.9461723245921114E-2</v>
      </c>
      <c r="AK21" s="396">
        <f>AK20/AK8</f>
        <v>1.8802975934565602E-2</v>
      </c>
      <c r="AL21" s="396">
        <f t="shared" ref="AL21" si="125">AL20/AL8</f>
        <v>2.4387284621326114E-2</v>
      </c>
      <c r="AM21" s="396">
        <f t="shared" ref="AM21" si="126">AM20/AM8</f>
        <v>-5.1695763451194002E-4</v>
      </c>
      <c r="AN21" s="396">
        <f t="shared" ref="AN21" si="127">AN20/AN8</f>
        <v>0.11532568511118237</v>
      </c>
      <c r="AO21" s="396">
        <f t="shared" ref="AO21" si="128">AO20/AO8</f>
        <v>4.0339563844704933E-2</v>
      </c>
      <c r="AP21" s="396">
        <f t="shared" ref="AP21" si="129">AP20/AP8</f>
        <v>3.2552274622973665E-2</v>
      </c>
      <c r="AQ21" s="396">
        <f t="shared" ref="AQ21" si="130">AQ20/AQ8</f>
        <v>3.9873949790546946E-2</v>
      </c>
      <c r="AR21" s="396">
        <f t="shared" ref="AR21" si="131">AR20/AR8</f>
        <v>-3.4279459204542579E-3</v>
      </c>
      <c r="AS21" s="396">
        <f t="shared" ref="AS21" si="132">AS20/AS8</f>
        <v>1.9005843450315731E-2</v>
      </c>
      <c r="AT21" s="396">
        <f t="shared" ref="AT21" si="133">AT20/AT8</f>
        <v>4.3588325238641146E-2</v>
      </c>
      <c r="AU21" s="396">
        <f t="shared" ref="AU21" si="134">AU20/AU8</f>
        <v>3.3449331689205726E-2</v>
      </c>
      <c r="AV21" s="396">
        <f t="shared" ref="AV21" si="135">AV20/AV8</f>
        <v>4.0049329804850944E-2</v>
      </c>
      <c r="AW21" s="396">
        <f t="shared" ref="AW21" si="136">AW20/AW8</f>
        <v>2.7182969016041397E-3</v>
      </c>
      <c r="AX21" s="396">
        <f t="shared" ref="AX21" si="137">AX20/AX8</f>
        <v>2.7843448684371275E-2</v>
      </c>
      <c r="AY21" s="396">
        <f t="shared" ref="AY21" si="138">AY20/AY8</f>
        <v>4.3882257046298813E-2</v>
      </c>
      <c r="AZ21" s="396">
        <f t="shared" ref="AZ21" si="139">AZ20/AZ8</f>
        <v>3.389682590800068E-2</v>
      </c>
      <c r="BA21" s="396">
        <f t="shared" ref="BA21" si="140">BA20/BA8</f>
        <v>4.0436136446251623E-2</v>
      </c>
      <c r="BB21" s="396">
        <f t="shared" ref="BB21" si="141">BB20/BB8</f>
        <v>4.5623750041720252E-3</v>
      </c>
      <c r="BC21" s="396">
        <f t="shared" ref="BC21" si="142">BC20/BC8</f>
        <v>2.8810851862067954E-2</v>
      </c>
      <c r="BD21" s="396">
        <f t="shared" ref="BD21" si="143">BD20/BD8</f>
        <v>4.4021197186951272E-2</v>
      </c>
      <c r="BE21" s="396">
        <f t="shared" ref="BE21" si="144">BE20/BE8</f>
        <v>3.4323010878281573E-2</v>
      </c>
      <c r="BF21" s="396">
        <f t="shared" ref="BF21" si="145">BF20/BF8</f>
        <v>4.0804523723776014E-2</v>
      </c>
      <c r="BG21" s="396">
        <f t="shared" ref="BG21" si="146">BG20/BG8</f>
        <v>5.9808966215319104E-3</v>
      </c>
      <c r="BH21" s="396">
        <f t="shared" ref="BH21" si="147">BH20/BH8</f>
        <v>2.9732188221779043E-2</v>
      </c>
      <c r="BI21" s="396">
        <f t="shared" ref="BI21" si="148">BI20/BI8</f>
        <v>4.4151647858759545E-2</v>
      </c>
      <c r="BJ21" s="15"/>
      <c r="BK21" s="15"/>
      <c r="BL21" s="15"/>
      <c r="BM21" s="15"/>
      <c r="BN21" s="15"/>
      <c r="BO21" s="15"/>
      <c r="BP21" s="15"/>
    </row>
    <row r="22" spans="2:68" x14ac:dyDescent="0.2">
      <c r="B22" s="5" t="s">
        <v>111</v>
      </c>
      <c r="C22" s="5"/>
      <c r="D22" s="5"/>
      <c r="E22" s="5"/>
      <c r="F22" s="5"/>
      <c r="G22" s="175">
        <v>-16980</v>
      </c>
      <c r="H22" s="182">
        <v>29441</v>
      </c>
      <c r="I22" s="184">
        <v>125469</v>
      </c>
      <c r="J22" s="184">
        <f t="shared" si="72"/>
        <v>6411</v>
      </c>
      <c r="K22" s="18">
        <v>144341</v>
      </c>
      <c r="L22" s="18">
        <v>3822</v>
      </c>
      <c r="M22" s="18">
        <v>37910</v>
      </c>
      <c r="N22" s="18">
        <v>39750</v>
      </c>
      <c r="O22" s="18">
        <f t="shared" si="76"/>
        <v>-42701</v>
      </c>
      <c r="P22" s="18">
        <v>38781</v>
      </c>
      <c r="Q22" s="18">
        <v>23220</v>
      </c>
      <c r="R22" s="18">
        <v>56622</v>
      </c>
      <c r="S22" s="18">
        <v>73328</v>
      </c>
      <c r="T22" s="18">
        <f t="shared" si="78"/>
        <v>52021</v>
      </c>
      <c r="U22" s="18">
        <v>205191</v>
      </c>
      <c r="V22" s="18">
        <v>35708</v>
      </c>
      <c r="W22" s="18">
        <v>66604</v>
      </c>
      <c r="X22" s="18">
        <v>78130</v>
      </c>
      <c r="Y22" s="18">
        <f t="shared" si="79"/>
        <v>41367</v>
      </c>
      <c r="Z22" s="18">
        <v>221809</v>
      </c>
      <c r="AA22" s="18">
        <v>8767</v>
      </c>
      <c r="AB22" s="18">
        <v>78924</v>
      </c>
      <c r="AC22" s="18">
        <v>85932</v>
      </c>
      <c r="AD22" s="18">
        <f t="shared" si="80"/>
        <v>139914</v>
      </c>
      <c r="AE22" s="18">
        <v>313537</v>
      </c>
      <c r="AF22" s="18">
        <v>172580</v>
      </c>
      <c r="AG22" s="18">
        <f t="shared" ref="AG22:BI22" si="149">AG20</f>
        <v>497235</v>
      </c>
      <c r="AH22" s="416">
        <f t="shared" si="149"/>
        <v>90896.020903587865</v>
      </c>
      <c r="AI22" s="19">
        <f t="shared" si="149"/>
        <v>107765.1071912793</v>
      </c>
      <c r="AJ22" s="19">
        <f t="shared" si="149"/>
        <v>569344.016631181</v>
      </c>
      <c r="AK22" s="19">
        <f t="shared" si="149"/>
        <v>85970.894116395808</v>
      </c>
      <c r="AL22" s="19">
        <f t="shared" si="149"/>
        <v>138936.47029880158</v>
      </c>
      <c r="AM22" s="19">
        <f t="shared" si="149"/>
        <v>-1285.7866870681755</v>
      </c>
      <c r="AN22" s="19">
        <f t="shared" si="149"/>
        <v>418826.85938996938</v>
      </c>
      <c r="AO22" s="19">
        <f t="shared" si="149"/>
        <v>661092.39374585706</v>
      </c>
      <c r="AP22" s="19">
        <f t="shared" si="149"/>
        <v>347620.65323348111</v>
      </c>
      <c r="AQ22" s="19">
        <f t="shared" si="149"/>
        <v>651110.64635802433</v>
      </c>
      <c r="AR22" s="19">
        <f t="shared" si="149"/>
        <v>-7972.9378451553566</v>
      </c>
      <c r="AS22" s="19">
        <f t="shared" si="149"/>
        <v>69023.285789969377</v>
      </c>
      <c r="AT22" s="19">
        <f t="shared" si="149"/>
        <v>1436916.1466211588</v>
      </c>
      <c r="AU22" s="332">
        <f t="shared" si="149"/>
        <v>391297.88058384857</v>
      </c>
      <c r="AV22" s="332">
        <f t="shared" si="149"/>
        <v>668094.23758702911</v>
      </c>
      <c r="AW22" s="332">
        <f t="shared" si="149"/>
        <v>7325.8326840517911</v>
      </c>
      <c r="AX22" s="332">
        <f t="shared" si="149"/>
        <v>145107.22211731365</v>
      </c>
      <c r="AY22" s="332">
        <f t="shared" si="149"/>
        <v>1592336.0561782934</v>
      </c>
      <c r="AZ22" s="332">
        <f t="shared" si="149"/>
        <v>416359.40809037664</v>
      </c>
      <c r="BA22" s="332">
        <f t="shared" si="149"/>
        <v>708274.20522999461</v>
      </c>
      <c r="BB22" s="332">
        <f t="shared" si="149"/>
        <v>12910.420380451247</v>
      </c>
      <c r="BC22" s="332">
        <f t="shared" si="149"/>
        <v>157656.32570612518</v>
      </c>
      <c r="BD22" s="332">
        <f t="shared" si="149"/>
        <v>1677246.6014022089</v>
      </c>
      <c r="BE22" s="332">
        <f t="shared" si="149"/>
        <v>442674.01197223092</v>
      </c>
      <c r="BF22" s="332">
        <f t="shared" si="149"/>
        <v>750463.17125510715</v>
      </c>
      <c r="BG22" s="332">
        <f t="shared" si="149"/>
        <v>17601.474045426716</v>
      </c>
      <c r="BH22" s="332">
        <f t="shared" si="149"/>
        <v>170832.88447437709</v>
      </c>
      <c r="BI22" s="332">
        <f t="shared" si="149"/>
        <v>1765078.346813695</v>
      </c>
      <c r="BJ22" s="15"/>
      <c r="BK22" s="15"/>
      <c r="BL22" s="15"/>
      <c r="BM22" s="15"/>
      <c r="BN22" s="15"/>
      <c r="BO22" s="15"/>
      <c r="BP22" s="15"/>
    </row>
    <row r="23" spans="2:68" x14ac:dyDescent="0.2">
      <c r="B23" s="5" t="s">
        <v>112</v>
      </c>
      <c r="C23" s="5"/>
      <c r="D23" s="5"/>
      <c r="E23" s="5"/>
      <c r="F23" s="5"/>
      <c r="G23" s="174"/>
      <c r="H23" s="5"/>
      <c r="I23" s="5"/>
      <c r="J23" s="310"/>
      <c r="K23" s="20"/>
      <c r="L23" s="20"/>
      <c r="M23" s="20"/>
      <c r="N23" s="20"/>
      <c r="O23" s="20"/>
      <c r="P23" s="18"/>
      <c r="Q23" s="18"/>
      <c r="R23" s="18"/>
      <c r="S23" s="18"/>
      <c r="T23" s="18"/>
      <c r="U23" s="373">
        <f>U19/U18</f>
        <v>0.21308891488178558</v>
      </c>
      <c r="V23" s="373"/>
      <c r="W23" s="373"/>
      <c r="X23" s="373"/>
      <c r="Y23" s="373"/>
      <c r="Z23" s="373">
        <f>Z19/Z18</f>
        <v>0.21554349171544271</v>
      </c>
      <c r="AA23" s="373"/>
      <c r="AB23" s="373"/>
      <c r="AC23" s="373"/>
      <c r="AD23" s="373"/>
      <c r="AE23" s="373">
        <f>AE19/AE18</f>
        <v>0.23183949667537226</v>
      </c>
      <c r="AF23" s="373"/>
      <c r="AG23" s="373"/>
      <c r="AH23" s="418"/>
      <c r="AI23" s="373"/>
      <c r="AJ23" s="373">
        <f>AJ19/AJ18</f>
        <v>0.22</v>
      </c>
      <c r="AK23" s="373"/>
      <c r="AL23" s="373"/>
      <c r="AM23" s="373"/>
      <c r="AN23" s="373"/>
      <c r="AO23" s="373">
        <f>AO19/AO18</f>
        <v>0.22</v>
      </c>
      <c r="AP23" s="373"/>
      <c r="AQ23" s="373"/>
      <c r="AR23" s="373"/>
      <c r="AS23" s="373"/>
      <c r="AT23" s="373">
        <f>AT19/AT18</f>
        <v>0.22</v>
      </c>
      <c r="AU23" s="373"/>
      <c r="AV23" s="373"/>
      <c r="AW23" s="373"/>
      <c r="AX23" s="373"/>
      <c r="AY23" s="373">
        <f>AY19/AY18</f>
        <v>0.22</v>
      </c>
      <c r="AZ23" s="373"/>
      <c r="BA23" s="373"/>
      <c r="BB23" s="373"/>
      <c r="BC23" s="373"/>
      <c r="BD23" s="373">
        <f>BD19/BD18</f>
        <v>0.22</v>
      </c>
      <c r="BE23" s="373"/>
      <c r="BF23" s="373"/>
      <c r="BG23" s="373"/>
      <c r="BH23" s="373"/>
      <c r="BI23" s="373">
        <f>BI19/BI18</f>
        <v>0.22</v>
      </c>
      <c r="BJ23" s="15"/>
      <c r="BK23" s="15"/>
      <c r="BL23" s="15"/>
      <c r="BM23" s="15"/>
      <c r="BN23" s="15"/>
      <c r="BO23" s="15"/>
      <c r="BP23" s="15"/>
    </row>
    <row r="24" spans="2:68" x14ac:dyDescent="0.2">
      <c r="B24" s="8" t="s">
        <v>113</v>
      </c>
      <c r="C24" s="8"/>
      <c r="D24" s="8"/>
      <c r="E24" s="8"/>
      <c r="F24" s="8"/>
      <c r="G24" s="8"/>
      <c r="H24" s="8"/>
      <c r="I24" s="8"/>
      <c r="J24" s="310"/>
      <c r="K24" s="23"/>
      <c r="L24" s="23"/>
      <c r="M24" s="23"/>
      <c r="N24" s="23"/>
      <c r="O24" s="23"/>
      <c r="P24" s="19"/>
      <c r="Q24" s="19"/>
      <c r="R24" s="19"/>
      <c r="S24" s="19"/>
      <c r="T24" s="19"/>
      <c r="U24" s="19"/>
      <c r="V24" s="19"/>
      <c r="W24" s="19"/>
      <c r="X24" s="19"/>
      <c r="Y24" s="19"/>
      <c r="Z24" s="19"/>
      <c r="AA24" s="19"/>
      <c r="AB24" s="19"/>
      <c r="AC24" s="19"/>
      <c r="AD24" s="19"/>
      <c r="AE24" s="19"/>
      <c r="AF24" s="19"/>
      <c r="AG24" s="19"/>
      <c r="AH24" s="415"/>
      <c r="AI24" s="19"/>
      <c r="AJ24" s="15"/>
      <c r="AK24" s="15"/>
      <c r="AL24" s="15"/>
      <c r="AM24" s="15"/>
      <c r="AN24" s="15"/>
      <c r="AO24" s="16"/>
      <c r="AP24" s="16"/>
      <c r="AQ24" s="16"/>
      <c r="AR24" s="16"/>
      <c r="AS24" s="16"/>
      <c r="AT24" s="15"/>
      <c r="AU24" s="15"/>
      <c r="AV24" s="15"/>
      <c r="AW24" s="15"/>
      <c r="AX24" s="15"/>
      <c r="AY24" s="15"/>
      <c r="AZ24" s="15"/>
      <c r="BA24" s="15"/>
      <c r="BB24" s="15"/>
      <c r="BC24" s="15"/>
      <c r="BD24" s="15"/>
      <c r="BE24" s="15"/>
      <c r="BF24" s="15"/>
      <c r="BG24" s="15"/>
      <c r="BH24" s="15"/>
      <c r="BI24" s="15"/>
      <c r="BJ24" s="15"/>
      <c r="BK24" s="15"/>
      <c r="BL24" s="15"/>
      <c r="BM24" s="15"/>
      <c r="BN24" s="15"/>
      <c r="BO24" s="15"/>
      <c r="BP24" s="15"/>
    </row>
    <row r="25" spans="2:68" x14ac:dyDescent="0.2">
      <c r="B25" s="5" t="s">
        <v>114</v>
      </c>
      <c r="C25" s="5"/>
      <c r="D25" s="5"/>
      <c r="E25" s="5"/>
      <c r="F25" s="5"/>
      <c r="G25" s="176">
        <f>G20/G29</f>
        <v>-0.15448596894202221</v>
      </c>
      <c r="H25" s="176">
        <f t="shared" ref="H25:BH25" si="150">H20/H29</f>
        <v>0.26682274116576027</v>
      </c>
      <c r="I25" s="176">
        <f t="shared" si="150"/>
        <v>1.1284498241357084</v>
      </c>
      <c r="J25" s="176">
        <f t="shared" si="150"/>
        <v>5.7886047191601855E-2</v>
      </c>
      <c r="K25" s="405">
        <f>SUM(G25:J25)</f>
        <v>1.2986726435510483</v>
      </c>
      <c r="L25" s="176">
        <f t="shared" si="150"/>
        <v>3.4135737627956582E-2</v>
      </c>
      <c r="M25" s="176">
        <f t="shared" si="150"/>
        <v>0.33714815904007994</v>
      </c>
      <c r="N25" s="176">
        <f t="shared" si="150"/>
        <v>0.35274344029771287</v>
      </c>
      <c r="O25" s="176">
        <f t="shared" si="150"/>
        <v>-0.37927004871778186</v>
      </c>
      <c r="P25" s="405">
        <f>SUM(L25:O25)</f>
        <v>0.34475728824796753</v>
      </c>
      <c r="Q25" s="176">
        <f t="shared" si="150"/>
        <v>0.20352353405206416</v>
      </c>
      <c r="R25" s="176">
        <f t="shared" si="150"/>
        <v>0.49392817238118264</v>
      </c>
      <c r="S25" s="176">
        <f t="shared" si="150"/>
        <v>0.63926301368930682</v>
      </c>
      <c r="T25" s="176">
        <f t="shared" si="150"/>
        <v>0.45399182727079584</v>
      </c>
      <c r="U25" s="405">
        <f>SUM(Q25:T25)</f>
        <v>1.7907065473933497</v>
      </c>
      <c r="V25" s="176">
        <f t="shared" si="150"/>
        <v>0.30936067515910487</v>
      </c>
      <c r="W25" s="176">
        <f t="shared" si="150"/>
        <v>0.57537773093635802</v>
      </c>
      <c r="X25" s="176">
        <f t="shared" si="150"/>
        <v>0.67509418311270863</v>
      </c>
      <c r="Y25" s="176">
        <f t="shared" si="150"/>
        <v>0.35749694563065776</v>
      </c>
      <c r="Z25" s="405">
        <f>SUM(V25:Y25)</f>
        <v>1.9173295348388293</v>
      </c>
      <c r="AA25" s="176">
        <f t="shared" si="150"/>
        <v>7.5409864267405258E-2</v>
      </c>
      <c r="AB25" s="176">
        <f t="shared" si="150"/>
        <v>0.67668089922321106</v>
      </c>
      <c r="AC25" s="176">
        <f t="shared" si="150"/>
        <v>0.73615406361634872</v>
      </c>
      <c r="AD25" s="176">
        <f t="shared" si="150"/>
        <v>1.1998353500098617</v>
      </c>
      <c r="AE25" s="405">
        <f>SUM(AA25:AD25)</f>
        <v>2.6880801771168268</v>
      </c>
      <c r="AF25" s="176">
        <f t="shared" si="150"/>
        <v>0.8354512492072943</v>
      </c>
      <c r="AG25" s="176">
        <f t="shared" si="150"/>
        <v>2.4007792809756947</v>
      </c>
      <c r="AH25" s="420">
        <f t="shared" si="150"/>
        <v>0.77867936455258557</v>
      </c>
      <c r="AI25" s="176">
        <f t="shared" si="150"/>
        <v>0.92414186647296825</v>
      </c>
      <c r="AJ25" s="405">
        <f>SUM(AF25:AI25)</f>
        <v>4.9390517612085434</v>
      </c>
      <c r="AK25" s="176">
        <f t="shared" si="150"/>
        <v>0.41618084879482509</v>
      </c>
      <c r="AL25" s="176">
        <f t="shared" si="150"/>
        <v>0.67082123998764731</v>
      </c>
      <c r="AM25" s="176">
        <f t="shared" si="150"/>
        <v>-1.1014954785516919E-2</v>
      </c>
      <c r="AN25" s="176">
        <f t="shared" si="150"/>
        <v>3.5916582431328896</v>
      </c>
      <c r="AO25" s="405">
        <f>SUM(AK25:AN25)</f>
        <v>4.667645377129845</v>
      </c>
      <c r="AP25" s="176">
        <f t="shared" si="150"/>
        <v>1.6828143990854529</v>
      </c>
      <c r="AQ25" s="176">
        <f t="shared" si="150"/>
        <v>3.1437307297335009</v>
      </c>
      <c r="AR25" s="176">
        <f t="shared" si="150"/>
        <v>-6.8301803678160522E-2</v>
      </c>
      <c r="AS25" s="176">
        <f t="shared" si="150"/>
        <v>0.591910589824025</v>
      </c>
      <c r="AT25" s="405">
        <f>SUM(AP25:AS25)</f>
        <v>5.3501539149648183</v>
      </c>
      <c r="AU25" s="176">
        <f t="shared" si="150"/>
        <v>1.894253697681904</v>
      </c>
      <c r="AV25" s="176">
        <f t="shared" si="150"/>
        <v>3.2257319041060919</v>
      </c>
      <c r="AW25" s="176">
        <f t="shared" si="150"/>
        <v>6.2758244888262676E-2</v>
      </c>
      <c r="AX25" s="176">
        <f t="shared" si="150"/>
        <v>1.2443699318015766</v>
      </c>
      <c r="AY25" s="405">
        <f>SUM(AU25:AX25)</f>
        <v>6.4271137784778354</v>
      </c>
      <c r="AZ25" s="176">
        <f t="shared" si="150"/>
        <v>2.0155753135259871</v>
      </c>
      <c r="BA25" s="176">
        <f t="shared" si="150"/>
        <v>3.4197311877999295</v>
      </c>
      <c r="BB25" s="176">
        <f t="shared" si="150"/>
        <v>0.11059975825146059</v>
      </c>
      <c r="BC25" s="176">
        <f t="shared" si="150"/>
        <v>1.3519850246213923</v>
      </c>
      <c r="BD25" s="405">
        <f>SUM(AZ25:BC25)</f>
        <v>6.897891284198769</v>
      </c>
      <c r="BE25" s="176">
        <f t="shared" si="150"/>
        <v>2.1429630101622732</v>
      </c>
      <c r="BF25" s="176">
        <f t="shared" si="150"/>
        <v>3.6234304356784532</v>
      </c>
      <c r="BG25" s="176">
        <f t="shared" si="150"/>
        <v>0.15078662947654622</v>
      </c>
      <c r="BH25" s="176">
        <f t="shared" si="150"/>
        <v>1.4649808720821971</v>
      </c>
      <c r="BI25" s="405">
        <f>SUM(BE25:BH25)</f>
        <v>7.3821609473994707</v>
      </c>
      <c r="BJ25" s="15"/>
      <c r="BK25" s="15"/>
      <c r="BL25" s="15"/>
      <c r="BM25" s="15"/>
      <c r="BN25" s="15"/>
      <c r="BO25" s="15"/>
      <c r="BP25" s="15"/>
    </row>
    <row r="26" spans="2:68" x14ac:dyDescent="0.2">
      <c r="B26" s="5" t="s">
        <v>115</v>
      </c>
      <c r="C26" s="5"/>
      <c r="D26" s="5"/>
      <c r="E26" s="5"/>
      <c r="F26" s="5"/>
      <c r="G26" s="176">
        <f>G20/G30</f>
        <v>-0.15448596894202221</v>
      </c>
      <c r="H26" s="176">
        <f t="shared" ref="H26:BH26" si="151">H20/H30</f>
        <v>0.2593825278183044</v>
      </c>
      <c r="I26" s="176">
        <f t="shared" si="151"/>
        <v>1.0979754674873068</v>
      </c>
      <c r="J26" s="176">
        <f t="shared" si="151"/>
        <v>5.6443291549576724E-2</v>
      </c>
      <c r="K26" s="405">
        <f>SUM(G26:J26)</f>
        <v>1.2593153179131658</v>
      </c>
      <c r="L26" s="176">
        <f t="shared" si="151"/>
        <v>3.3356377446120883E-2</v>
      </c>
      <c r="M26" s="176">
        <f t="shared" si="151"/>
        <v>0.32832417136745951</v>
      </c>
      <c r="N26" s="176">
        <f t="shared" si="151"/>
        <v>0.34305350605646512</v>
      </c>
      <c r="O26" s="176">
        <f t="shared" si="151"/>
        <v>-0.36939433527677107</v>
      </c>
      <c r="P26" s="405">
        <f>SUM(L26:O26)</f>
        <v>0.33533971959327441</v>
      </c>
      <c r="Q26" s="176">
        <f t="shared" si="151"/>
        <v>0.1989785425378762</v>
      </c>
      <c r="R26" s="176">
        <f t="shared" si="151"/>
        <v>0.48522147831565954</v>
      </c>
      <c r="S26" s="176">
        <f t="shared" si="151"/>
        <v>0.62966221157569657</v>
      </c>
      <c r="T26" s="176">
        <f t="shared" si="151"/>
        <v>0.44632623092859458</v>
      </c>
      <c r="U26" s="405">
        <f>SUM(Q26:T26)</f>
        <v>1.7601884633578266</v>
      </c>
      <c r="V26" s="176">
        <f t="shared" si="151"/>
        <v>0.30642452163149447</v>
      </c>
      <c r="W26" s="176">
        <f t="shared" si="151"/>
        <v>0.56965933680582281</v>
      </c>
      <c r="X26" s="176">
        <f t="shared" si="151"/>
        <v>0.66689997780698906</v>
      </c>
      <c r="Y26" s="176">
        <f t="shared" si="151"/>
        <v>0.35348894740235254</v>
      </c>
      <c r="Z26" s="405">
        <f>SUM(V26:Y26)</f>
        <v>1.8964727836466588</v>
      </c>
      <c r="AA26" s="176">
        <f t="shared" si="151"/>
        <v>7.4616576165591433E-2</v>
      </c>
      <c r="AB26" s="176">
        <f t="shared" si="151"/>
        <v>0.67142504700247563</v>
      </c>
      <c r="AC26" s="176">
        <f t="shared" si="151"/>
        <v>0.7280768644197041</v>
      </c>
      <c r="AD26" s="176">
        <f t="shared" si="151"/>
        <v>1.186546469126589</v>
      </c>
      <c r="AE26" s="405">
        <f>SUM(AA26:AD26)</f>
        <v>2.6606649567143603</v>
      </c>
      <c r="AF26" s="176">
        <f t="shared" si="151"/>
        <v>0.82722984891479412</v>
      </c>
      <c r="AG26" s="176">
        <f t="shared" si="151"/>
        <v>2.3869036761105615</v>
      </c>
      <c r="AH26" s="420">
        <f t="shared" si="151"/>
        <v>0.7701355710062856</v>
      </c>
      <c r="AI26" s="176">
        <f t="shared" si="151"/>
        <v>0.91390645276999327</v>
      </c>
      <c r="AJ26" s="405">
        <f>SUM(AF26:AI26)</f>
        <v>4.8981755488016345</v>
      </c>
      <c r="AK26" s="176">
        <f t="shared" si="151"/>
        <v>0.41208535027799204</v>
      </c>
      <c r="AL26" s="176">
        <f t="shared" si="151"/>
        <v>0.66694414452328443</v>
      </c>
      <c r="AM26" s="176">
        <f t="shared" si="151"/>
        <v>-1.089409695379133E-2</v>
      </c>
      <c r="AN26" s="176">
        <f t="shared" si="151"/>
        <v>3.5518785195516287</v>
      </c>
      <c r="AO26" s="405">
        <f>SUM(AK26:AN26)</f>
        <v>4.6200139173991133</v>
      </c>
      <c r="AP26" s="176">
        <f t="shared" si="151"/>
        <v>1.6662543774133423</v>
      </c>
      <c r="AQ26" s="176">
        <f t="shared" si="151"/>
        <v>3.1255611438187016</v>
      </c>
      <c r="AR26" s="176">
        <f t="shared" si="151"/>
        <v>-6.7552385450285163E-2</v>
      </c>
      <c r="AS26" s="176">
        <f t="shared" si="151"/>
        <v>0.58535483255145038</v>
      </c>
      <c r="AT26" s="405">
        <f>SUM(AP26:AS26)</f>
        <v>5.3096179683332094</v>
      </c>
      <c r="AU26" s="176">
        <f t="shared" si="151"/>
        <v>1.8756129715845185</v>
      </c>
      <c r="AV26" s="176">
        <f t="shared" si="151"/>
        <v>3.2070883821226639</v>
      </c>
      <c r="AW26" s="176">
        <f t="shared" si="151"/>
        <v>6.2069651467064807E-2</v>
      </c>
      <c r="AX26" s="176">
        <f t="shared" si="151"/>
        <v>1.2305878042802449</v>
      </c>
      <c r="AY26" s="405">
        <f>SUM(AU26:AX26)</f>
        <v>6.3753588094544922</v>
      </c>
      <c r="AZ26" s="176">
        <f t="shared" si="151"/>
        <v>1.9957407014072046</v>
      </c>
      <c r="BA26" s="176">
        <f t="shared" si="151"/>
        <v>3.39996642263268</v>
      </c>
      <c r="BB26" s="176">
        <f t="shared" si="151"/>
        <v>0.10938624015429861</v>
      </c>
      <c r="BC26" s="176">
        <f t="shared" si="151"/>
        <v>1.3370109967699753</v>
      </c>
      <c r="BD26" s="405">
        <f>SUM(AZ26:BC26)</f>
        <v>6.842104360964159</v>
      </c>
      <c r="BE26" s="176">
        <f t="shared" si="151"/>
        <v>2.1218748177210238</v>
      </c>
      <c r="BF26" s="176">
        <f t="shared" si="151"/>
        <v>3.6024883651681909</v>
      </c>
      <c r="BG26" s="176">
        <f t="shared" si="151"/>
        <v>0.14913217465157436</v>
      </c>
      <c r="BH26" s="176">
        <f t="shared" si="151"/>
        <v>1.4487553488841904</v>
      </c>
      <c r="BI26" s="405">
        <f>SUM(BE26:BH26)</f>
        <v>7.3222507064249802</v>
      </c>
      <c r="BJ26" s="15"/>
      <c r="BK26" s="15"/>
      <c r="BL26" s="15"/>
      <c r="BM26" s="15"/>
      <c r="BN26" s="15"/>
      <c r="BO26" s="15"/>
      <c r="BP26" s="15"/>
    </row>
    <row r="27" spans="2:68" x14ac:dyDescent="0.2">
      <c r="B27" s="5"/>
      <c r="C27" s="5"/>
      <c r="D27" s="5"/>
      <c r="E27" s="5"/>
      <c r="F27" s="5"/>
      <c r="G27" s="5"/>
      <c r="H27" s="5"/>
      <c r="I27" s="5"/>
      <c r="J27" s="20"/>
      <c r="K27" s="313"/>
      <c r="L27" s="20"/>
      <c r="M27" s="20"/>
      <c r="N27" s="20"/>
      <c r="O27" s="20"/>
      <c r="P27" s="314"/>
      <c r="Q27" s="20"/>
      <c r="R27" s="20"/>
      <c r="S27" s="20"/>
      <c r="T27" s="20"/>
      <c r="U27" s="314"/>
      <c r="V27" s="20"/>
      <c r="W27" s="20"/>
      <c r="X27" s="20"/>
      <c r="Y27" s="20"/>
      <c r="Z27" s="314"/>
      <c r="AA27" s="20"/>
      <c r="AB27" s="20"/>
      <c r="AC27" s="20"/>
      <c r="AD27" s="20"/>
      <c r="AE27" s="314"/>
      <c r="AF27" s="20"/>
      <c r="AG27" s="20"/>
      <c r="AH27" s="421"/>
      <c r="AI27" s="20"/>
      <c r="AJ27" s="24"/>
      <c r="AK27" s="15"/>
      <c r="AL27" s="15"/>
      <c r="AM27" s="15"/>
      <c r="AN27" s="15"/>
      <c r="AO27" s="25"/>
      <c r="AP27" s="16"/>
      <c r="AQ27" s="16"/>
      <c r="AR27" s="16"/>
      <c r="AS27" s="15"/>
      <c r="AT27" s="329"/>
      <c r="AU27" s="15"/>
      <c r="AV27" s="15"/>
      <c r="AW27" s="15"/>
      <c r="AX27" s="15"/>
      <c r="AY27" s="15"/>
      <c r="AZ27" s="15"/>
      <c r="BA27" s="15"/>
      <c r="BB27" s="15"/>
      <c r="BC27" s="15"/>
      <c r="BD27" s="15"/>
      <c r="BE27" s="15"/>
      <c r="BF27" s="15"/>
      <c r="BG27" s="15"/>
      <c r="BH27" s="15"/>
      <c r="BI27" s="15"/>
      <c r="BJ27" s="15"/>
      <c r="BK27" s="15"/>
      <c r="BL27" s="15"/>
      <c r="BM27" s="15"/>
      <c r="BN27" s="15"/>
      <c r="BO27" s="15"/>
      <c r="BP27" s="15"/>
    </row>
    <row r="28" spans="2:68" x14ac:dyDescent="0.2">
      <c r="B28" s="8" t="s">
        <v>116</v>
      </c>
      <c r="C28" s="8"/>
      <c r="D28" s="8"/>
      <c r="E28" s="8"/>
      <c r="F28" s="8"/>
      <c r="G28" s="8"/>
      <c r="H28" s="8"/>
      <c r="I28" s="8"/>
      <c r="J28" s="19"/>
      <c r="K28" s="313"/>
      <c r="L28" s="19"/>
      <c r="M28" s="19"/>
      <c r="N28" s="19"/>
      <c r="O28" s="19"/>
      <c r="P28" s="314"/>
      <c r="Q28" s="19"/>
      <c r="R28" s="19"/>
      <c r="S28" s="19"/>
      <c r="T28" s="19"/>
      <c r="U28" s="314"/>
      <c r="V28" s="19"/>
      <c r="W28" s="19"/>
      <c r="X28" s="19"/>
      <c r="Y28" s="19"/>
      <c r="Z28" s="314"/>
      <c r="AA28" s="19"/>
      <c r="AB28" s="19"/>
      <c r="AC28" s="19"/>
      <c r="AD28" s="19"/>
      <c r="AE28" s="314"/>
      <c r="AF28" s="19"/>
      <c r="AG28" s="19"/>
      <c r="AH28" s="415"/>
      <c r="AI28" s="19"/>
      <c r="AJ28" s="24"/>
      <c r="AK28" s="15"/>
      <c r="AL28" s="15"/>
      <c r="AM28" s="15"/>
      <c r="AN28" s="15"/>
      <c r="AO28" s="25"/>
      <c r="AP28" s="16"/>
      <c r="AQ28" s="16"/>
      <c r="AR28" s="16"/>
      <c r="AS28" s="15"/>
      <c r="AT28" s="329"/>
      <c r="AU28" s="15"/>
      <c r="AV28" s="15"/>
      <c r="AW28" s="15"/>
      <c r="AX28" s="15"/>
      <c r="AY28" s="15"/>
      <c r="AZ28" s="15"/>
      <c r="BA28" s="15"/>
      <c r="BB28" s="15"/>
      <c r="BC28" s="15"/>
      <c r="BD28" s="15"/>
      <c r="BE28" s="15"/>
      <c r="BF28" s="15"/>
      <c r="BG28" s="15"/>
      <c r="BH28" s="15"/>
      <c r="BI28" s="15"/>
      <c r="BJ28" s="15"/>
      <c r="BK28" s="15"/>
      <c r="BL28" s="15"/>
      <c r="BM28" s="15"/>
      <c r="BN28" s="15"/>
      <c r="BO28" s="15"/>
      <c r="BP28" s="15"/>
    </row>
    <row r="29" spans="2:68" x14ac:dyDescent="0.2">
      <c r="B29" s="5" t="s">
        <v>114</v>
      </c>
      <c r="C29" s="5"/>
      <c r="D29" s="5"/>
      <c r="E29" s="5"/>
      <c r="F29" s="5"/>
      <c r="G29" s="182">
        <v>109913</v>
      </c>
      <c r="H29" s="182">
        <v>110339</v>
      </c>
      <c r="I29" s="180">
        <v>111187</v>
      </c>
      <c r="J29" s="18">
        <v>110754</v>
      </c>
      <c r="K29" s="36">
        <f>SUM(G29,H29,I29,J29)/4</f>
        <v>110548.25</v>
      </c>
      <c r="L29" s="18">
        <v>111964</v>
      </c>
      <c r="M29" s="18">
        <v>112443</v>
      </c>
      <c r="N29" s="189">
        <v>112688</v>
      </c>
      <c r="O29" s="18">
        <v>112587</v>
      </c>
      <c r="P29" s="315">
        <f>SUM(L29,M29,N29,O29)/4</f>
        <v>112420.5</v>
      </c>
      <c r="Q29" s="18">
        <v>114090</v>
      </c>
      <c r="R29" s="18">
        <v>114636</v>
      </c>
      <c r="S29" s="18">
        <v>114707</v>
      </c>
      <c r="T29" s="18">
        <v>114586</v>
      </c>
      <c r="U29" s="315">
        <f>SUM(Q29,R29,S29,T29)/4</f>
        <v>114504.75</v>
      </c>
      <c r="V29" s="18">
        <v>115425</v>
      </c>
      <c r="W29" s="18">
        <v>115757</v>
      </c>
      <c r="X29" s="18">
        <v>115732</v>
      </c>
      <c r="Y29" s="18">
        <v>115713</v>
      </c>
      <c r="Z29" s="315">
        <f>SUM(V29,W29,X29,Y29)/4</f>
        <v>115656.75</v>
      </c>
      <c r="AA29" s="18">
        <v>116258</v>
      </c>
      <c r="AB29" s="18">
        <v>116634</v>
      </c>
      <c r="AC29" s="18">
        <v>116731</v>
      </c>
      <c r="AD29" s="18">
        <v>116611</v>
      </c>
      <c r="AE29" s="315">
        <f>SUM(AD29,AC29,AB29,AB29)/4</f>
        <v>116652.5</v>
      </c>
      <c r="AF29" s="18">
        <v>206571</v>
      </c>
      <c r="AG29" s="18">
        <v>207114</v>
      </c>
      <c r="AH29" s="415">
        <f>AC29</f>
        <v>116731</v>
      </c>
      <c r="AI29" s="19">
        <f>AD29</f>
        <v>116611</v>
      </c>
      <c r="AJ29" s="330">
        <f>SUM(AI29,AH29,AG29,AG29)/4</f>
        <v>161892.5</v>
      </c>
      <c r="AK29" s="19">
        <f t="shared" ref="AK29:AN30" si="152">AF29</f>
        <v>206571</v>
      </c>
      <c r="AL29" s="19">
        <f t="shared" si="152"/>
        <v>207114</v>
      </c>
      <c r="AM29" s="19">
        <f t="shared" si="152"/>
        <v>116731</v>
      </c>
      <c r="AN29" s="19">
        <f t="shared" si="152"/>
        <v>116611</v>
      </c>
      <c r="AO29" s="315">
        <f>SUM(AN29,AM29,AL29,AL29)/4</f>
        <v>161892.5</v>
      </c>
      <c r="AP29" s="18">
        <v>206571</v>
      </c>
      <c r="AQ29" s="18">
        <v>207114</v>
      </c>
      <c r="AR29" s="19">
        <f>AM29</f>
        <v>116731</v>
      </c>
      <c r="AS29" s="19">
        <f>AN29</f>
        <v>116611</v>
      </c>
      <c r="AT29" s="330">
        <f>SUM(AS29,AR29,AQ29,AQ29)/4</f>
        <v>161892.5</v>
      </c>
      <c r="AU29" s="18">
        <v>206571</v>
      </c>
      <c r="AV29" s="18">
        <v>207114</v>
      </c>
      <c r="AW29" s="19">
        <f>AR29</f>
        <v>116731</v>
      </c>
      <c r="AX29" s="19">
        <f>AS29</f>
        <v>116611</v>
      </c>
      <c r="AY29" s="330">
        <f>SUM(AX29,AW29,AV29,AV29)/4</f>
        <v>161892.5</v>
      </c>
      <c r="AZ29" s="18">
        <v>206571</v>
      </c>
      <c r="BA29" s="18">
        <v>207114</v>
      </c>
      <c r="BB29" s="19">
        <f>AW29</f>
        <v>116731</v>
      </c>
      <c r="BC29" s="19">
        <f>AX29</f>
        <v>116611</v>
      </c>
      <c r="BD29" s="330">
        <f>SUM(BC29,BB29,BA29,BA29)/4</f>
        <v>161892.5</v>
      </c>
      <c r="BE29" s="18">
        <v>206571</v>
      </c>
      <c r="BF29" s="18">
        <v>207114</v>
      </c>
      <c r="BG29" s="19">
        <f>BB29</f>
        <v>116731</v>
      </c>
      <c r="BH29" s="19">
        <f>BC29</f>
        <v>116611</v>
      </c>
      <c r="BI29" s="330">
        <f>SUM(BH29,BG29,BF29,BF29)/4</f>
        <v>161892.5</v>
      </c>
      <c r="BJ29" s="15"/>
      <c r="BK29" s="15"/>
      <c r="BL29" s="15"/>
      <c r="BM29" s="15"/>
      <c r="BN29" s="15"/>
      <c r="BO29" s="15"/>
      <c r="BP29" s="15"/>
    </row>
    <row r="30" spans="2:68" x14ac:dyDescent="0.2">
      <c r="B30" s="5" t="s">
        <v>115</v>
      </c>
      <c r="C30" s="5"/>
      <c r="D30" s="5"/>
      <c r="E30" s="5"/>
      <c r="F30" s="5"/>
      <c r="G30" s="182">
        <v>109913</v>
      </c>
      <c r="H30" s="182">
        <v>113504</v>
      </c>
      <c r="I30" s="180">
        <v>114273</v>
      </c>
      <c r="J30" s="18">
        <v>113585</v>
      </c>
      <c r="K30" s="36">
        <f>SUM(G30,H30,I30,J30)/4</f>
        <v>112818.75</v>
      </c>
      <c r="L30" s="18">
        <v>114580</v>
      </c>
      <c r="M30" s="18">
        <v>115465</v>
      </c>
      <c r="N30" s="18">
        <v>115871</v>
      </c>
      <c r="O30" s="18">
        <v>115597</v>
      </c>
      <c r="P30" s="315">
        <f>SUM(L30,M30,N30,O30)/4</f>
        <v>115378.25</v>
      </c>
      <c r="Q30" s="18">
        <v>116696</v>
      </c>
      <c r="R30" s="18">
        <v>116693</v>
      </c>
      <c r="S30" s="18">
        <v>116456</v>
      </c>
      <c r="T30" s="18">
        <v>116554</v>
      </c>
      <c r="U30" s="315">
        <f>SUM(Q30,R30,S30,T30)/4</f>
        <v>116599.75</v>
      </c>
      <c r="V30" s="18">
        <v>116531</v>
      </c>
      <c r="W30" s="18">
        <v>116919</v>
      </c>
      <c r="X30" s="18">
        <v>117154</v>
      </c>
      <c r="Y30" s="18">
        <v>117025</v>
      </c>
      <c r="Z30" s="315">
        <f>SUM(V30,W30,X30,Y30)/4</f>
        <v>116907.25</v>
      </c>
      <c r="AA30" s="18">
        <v>117494</v>
      </c>
      <c r="AB30" s="18">
        <v>117547</v>
      </c>
      <c r="AC30" s="18">
        <v>118026</v>
      </c>
      <c r="AD30" s="18">
        <v>117917</v>
      </c>
      <c r="AE30" s="315">
        <f>SUM(AD30,AC30,AB30,AB30)/4</f>
        <v>117759.25</v>
      </c>
      <c r="AF30" s="18">
        <v>208624</v>
      </c>
      <c r="AG30" s="18">
        <v>208318</v>
      </c>
      <c r="AH30" s="415">
        <f>AC30</f>
        <v>118026</v>
      </c>
      <c r="AI30" s="19">
        <f>AD30</f>
        <v>117917</v>
      </c>
      <c r="AJ30" s="330">
        <f>SUM(AI30,AH30,AG30,AG30)/4</f>
        <v>163144.75</v>
      </c>
      <c r="AK30" s="19">
        <f t="shared" si="152"/>
        <v>208624</v>
      </c>
      <c r="AL30" s="19">
        <f t="shared" si="152"/>
        <v>208318</v>
      </c>
      <c r="AM30" s="19">
        <f t="shared" si="152"/>
        <v>118026</v>
      </c>
      <c r="AN30" s="19">
        <f t="shared" si="152"/>
        <v>117917</v>
      </c>
      <c r="AO30" s="315">
        <f>SUM(AN30,AM30,AL30,AL30)/4</f>
        <v>163144.75</v>
      </c>
      <c r="AP30" s="18">
        <v>208624</v>
      </c>
      <c r="AQ30" s="18">
        <v>208318</v>
      </c>
      <c r="AR30" s="19">
        <f>AM30</f>
        <v>118026</v>
      </c>
      <c r="AS30" s="19">
        <f>AN30</f>
        <v>117917</v>
      </c>
      <c r="AT30" s="330">
        <f>SUM(AS30,AR30,AQ30,AQ30)/4</f>
        <v>163144.75</v>
      </c>
      <c r="AU30" s="18">
        <v>208624</v>
      </c>
      <c r="AV30" s="18">
        <v>208318</v>
      </c>
      <c r="AW30" s="19">
        <f>AR30</f>
        <v>118026</v>
      </c>
      <c r="AX30" s="19">
        <f>AS30</f>
        <v>117917</v>
      </c>
      <c r="AY30" s="330">
        <f>SUM(AX30,AW30,AV30,AV30)/4</f>
        <v>163144.75</v>
      </c>
      <c r="AZ30" s="18">
        <v>208624</v>
      </c>
      <c r="BA30" s="18">
        <v>208318</v>
      </c>
      <c r="BB30" s="19">
        <f>AW30</f>
        <v>118026</v>
      </c>
      <c r="BC30" s="19">
        <f>AX30</f>
        <v>117917</v>
      </c>
      <c r="BD30" s="330">
        <f>SUM(BC30,BB30,BA30,BA30)/4</f>
        <v>163144.75</v>
      </c>
      <c r="BE30" s="18">
        <v>208624</v>
      </c>
      <c r="BF30" s="18">
        <v>208318</v>
      </c>
      <c r="BG30" s="19">
        <f>BB30</f>
        <v>118026</v>
      </c>
      <c r="BH30" s="19">
        <f>BC30</f>
        <v>117917</v>
      </c>
      <c r="BI30" s="330">
        <f>SUM(BH30,BG30,BF30,BF30)/4</f>
        <v>163144.75</v>
      </c>
      <c r="BJ30" s="15"/>
      <c r="BK30" s="15"/>
      <c r="BL30" s="15"/>
      <c r="BM30" s="15"/>
      <c r="BN30" s="15"/>
      <c r="BO30" s="15"/>
      <c r="BP30" s="15"/>
    </row>
    <row r="31" spans="2:68" x14ac:dyDescent="0.2">
      <c r="AJ31" s="15"/>
      <c r="AK31" s="15"/>
      <c r="AL31" s="15"/>
      <c r="AM31" s="15"/>
      <c r="AN31" s="15"/>
      <c r="AO31" s="16"/>
      <c r="AP31" s="16"/>
      <c r="AQ31" s="16"/>
      <c r="AR31" s="16"/>
      <c r="AS31" s="16"/>
      <c r="AT31" s="15"/>
      <c r="AU31" s="15"/>
      <c r="AV31" s="15"/>
      <c r="AW31" s="15"/>
      <c r="AX31" s="15"/>
      <c r="AY31" s="15"/>
      <c r="AZ31" s="15"/>
      <c r="BA31" s="15"/>
      <c r="BB31" s="15"/>
      <c r="BC31" s="15"/>
      <c r="BD31" s="15"/>
      <c r="BE31" s="15"/>
      <c r="BF31" s="15"/>
      <c r="BG31" s="15"/>
      <c r="BH31" s="15"/>
      <c r="BI31" s="15"/>
      <c r="BJ31" s="15"/>
      <c r="BK31" s="15"/>
      <c r="BL31" s="15"/>
      <c r="BM31" s="15"/>
      <c r="BN31" s="15"/>
      <c r="BO31" s="15"/>
      <c r="BP31" s="15"/>
    </row>
    <row r="33" spans="2:61" x14ac:dyDescent="0.2">
      <c r="B33" s="34" t="s">
        <v>117</v>
      </c>
      <c r="C33" s="34"/>
      <c r="D33" s="34"/>
      <c r="E33" s="34"/>
      <c r="F33" s="34"/>
      <c r="G33" s="34"/>
      <c r="H33" s="34"/>
      <c r="I33" s="34"/>
      <c r="J33" s="34"/>
      <c r="K33" s="26" t="s">
        <v>118</v>
      </c>
      <c r="L33" s="26"/>
      <c r="M33" s="26"/>
      <c r="N33" s="26"/>
      <c r="O33" s="26"/>
      <c r="P33" s="27" t="s">
        <v>119</v>
      </c>
      <c r="Q33" s="27"/>
      <c r="R33" s="27"/>
      <c r="S33" s="27"/>
      <c r="T33" s="27"/>
      <c r="U33" s="27" t="s">
        <v>120</v>
      </c>
      <c r="V33" s="27"/>
      <c r="W33" s="27"/>
      <c r="X33" s="27"/>
      <c r="Y33" s="27"/>
      <c r="Z33" s="27" t="s">
        <v>121</v>
      </c>
      <c r="AA33" s="27"/>
      <c r="AB33" s="27"/>
      <c r="AC33" s="27"/>
      <c r="AD33" s="27"/>
      <c r="AE33" s="27" t="s">
        <v>122</v>
      </c>
      <c r="AF33" s="27"/>
      <c r="AG33" s="27"/>
      <c r="AH33" s="12"/>
      <c r="AI33" s="27"/>
      <c r="AJ33" s="26" t="s">
        <v>123</v>
      </c>
      <c r="AK33" s="26"/>
      <c r="AL33" s="26"/>
      <c r="AM33" s="26"/>
      <c r="AN33" s="26"/>
      <c r="AO33" s="26" t="s">
        <v>124</v>
      </c>
      <c r="AP33" s="26"/>
      <c r="AQ33" s="26"/>
      <c r="AR33" s="26"/>
      <c r="AS33" s="26"/>
      <c r="AT33" s="26" t="s">
        <v>125</v>
      </c>
      <c r="AU33" s="26"/>
      <c r="AV33" s="26"/>
      <c r="AW33" s="26"/>
      <c r="AX33" s="26"/>
      <c r="AY33" s="26" t="s">
        <v>126</v>
      </c>
      <c r="AZ33" s="26"/>
      <c r="BA33" s="26"/>
      <c r="BB33" s="26"/>
      <c r="BC33" s="26"/>
      <c r="BD33" s="26" t="s">
        <v>127</v>
      </c>
      <c r="BE33" s="26"/>
      <c r="BF33" s="26"/>
      <c r="BG33" s="26"/>
      <c r="BH33" s="26"/>
      <c r="BI33" s="26" t="s">
        <v>128</v>
      </c>
    </row>
    <row r="34" spans="2:61" x14ac:dyDescent="0.2">
      <c r="B34" s="8" t="s">
        <v>129</v>
      </c>
      <c r="C34" s="8"/>
      <c r="D34" s="8"/>
      <c r="E34" s="8"/>
      <c r="F34" s="8"/>
      <c r="G34" s="8"/>
      <c r="H34" s="8"/>
      <c r="I34" s="8"/>
      <c r="J34" s="8"/>
      <c r="K34" s="35"/>
      <c r="L34" s="35"/>
      <c r="M34" s="35"/>
      <c r="N34" s="35"/>
      <c r="O34" s="35"/>
      <c r="P34" s="35"/>
      <c r="Q34" s="35"/>
      <c r="R34" s="35"/>
      <c r="S34" s="35"/>
      <c r="T34" s="35"/>
    </row>
    <row r="35" spans="2:61" x14ac:dyDescent="0.2">
      <c r="B35" s="5" t="s">
        <v>130</v>
      </c>
      <c r="C35" s="5"/>
      <c r="D35" s="5"/>
      <c r="E35" s="5"/>
      <c r="F35" s="5"/>
      <c r="G35" s="186">
        <v>3728</v>
      </c>
      <c r="H35" s="187">
        <v>6192</v>
      </c>
      <c r="I35" s="186">
        <v>5850</v>
      </c>
      <c r="J35" s="187">
        <v>14449</v>
      </c>
      <c r="K35" s="187">
        <v>14449</v>
      </c>
      <c r="L35" s="36">
        <v>4515</v>
      </c>
      <c r="M35" s="36">
        <v>6931</v>
      </c>
      <c r="N35" s="36">
        <v>9337</v>
      </c>
      <c r="O35" s="36">
        <v>57533</v>
      </c>
      <c r="P35" s="36">
        <v>57533</v>
      </c>
      <c r="Q35" s="36">
        <v>10069</v>
      </c>
      <c r="R35" s="36">
        <v>13196</v>
      </c>
      <c r="S35" s="36">
        <v>34446</v>
      </c>
      <c r="T35" s="37">
        <v>10127</v>
      </c>
      <c r="U35" s="37">
        <v>10127</v>
      </c>
      <c r="V35" s="37">
        <v>11724</v>
      </c>
      <c r="W35" s="37">
        <v>10552</v>
      </c>
      <c r="X35" s="37">
        <v>43271</v>
      </c>
      <c r="Y35" s="37">
        <v>14096</v>
      </c>
      <c r="Z35" s="37">
        <v>14096</v>
      </c>
      <c r="AA35" s="37">
        <v>163872</v>
      </c>
      <c r="AB35" s="37">
        <v>385461</v>
      </c>
      <c r="AC35" s="37">
        <v>340927</v>
      </c>
      <c r="AD35" s="37">
        <v>423806</v>
      </c>
      <c r="AE35" s="37">
        <v>423806</v>
      </c>
      <c r="AF35" s="37">
        <v>19118</v>
      </c>
      <c r="AG35" s="37">
        <v>90266</v>
      </c>
      <c r="AH35" s="422">
        <f t="shared" ref="AH35:BI35" si="153">AC35+AH121</f>
        <v>1209382.386220871</v>
      </c>
      <c r="AI35" s="328">
        <f t="shared" si="153"/>
        <v>1386670.8907529232</v>
      </c>
      <c r="AJ35" s="328">
        <f t="shared" si="153"/>
        <v>239439.21573359895</v>
      </c>
      <c r="AK35" s="328">
        <f t="shared" si="153"/>
        <v>1886516.1390719151</v>
      </c>
      <c r="AL35" s="328">
        <f t="shared" si="153"/>
        <v>2914335.056921077</v>
      </c>
      <c r="AM35" s="328">
        <f t="shared" si="153"/>
        <v>1136396.0188509698</v>
      </c>
      <c r="AN35" s="328">
        <f t="shared" si="153"/>
        <v>1637501.303041501</v>
      </c>
      <c r="AO35" s="328">
        <f t="shared" si="153"/>
        <v>501236.339464024</v>
      </c>
      <c r="AP35" s="328">
        <f t="shared" si="153"/>
        <v>1500243.5978284234</v>
      </c>
      <c r="AQ35" s="328">
        <f t="shared" si="153"/>
        <v>2289074.0975402063</v>
      </c>
      <c r="AR35" s="328">
        <f t="shared" si="153"/>
        <v>1147820.0896607137</v>
      </c>
      <c r="AS35" s="328">
        <f t="shared" si="153"/>
        <v>1706524.5888314703</v>
      </c>
      <c r="AT35" s="328">
        <f t="shared" si="153"/>
        <v>-382157.91199388966</v>
      </c>
      <c r="AU35" s="328">
        <f t="shared" si="153"/>
        <v>1769032.5947266039</v>
      </c>
      <c r="AV35" s="328">
        <f t="shared" si="153"/>
        <v>2914844.1129749818</v>
      </c>
      <c r="AW35" s="328">
        <f t="shared" si="153"/>
        <v>1110769.7182858118</v>
      </c>
      <c r="AX35" s="328">
        <f t="shared" si="153"/>
        <v>1661972.5622916156</v>
      </c>
      <c r="AY35" s="328">
        <f t="shared" si="153"/>
        <v>448527.02386857179</v>
      </c>
      <c r="AZ35" s="328">
        <f t="shared" si="153"/>
        <v>2115097.7111566244</v>
      </c>
      <c r="BA35" s="328">
        <f t="shared" si="153"/>
        <v>3522987.2061415329</v>
      </c>
      <c r="BB35" s="328">
        <f t="shared" si="153"/>
        <v>1107481.268127783</v>
      </c>
      <c r="BC35" s="328">
        <f t="shared" si="153"/>
        <v>1788346.942387895</v>
      </c>
      <c r="BD35" s="328">
        <f t="shared" si="153"/>
        <v>1526896.2989285935</v>
      </c>
      <c r="BE35" s="328">
        <f t="shared" si="153"/>
        <v>2483962.7168854815</v>
      </c>
      <c r="BF35" s="328">
        <f t="shared" si="153"/>
        <v>4168312.7097300244</v>
      </c>
      <c r="BG35" s="328">
        <f t="shared" si="153"/>
        <v>1111475.6909208864</v>
      </c>
      <c r="BH35" s="328">
        <f t="shared" si="153"/>
        <v>1926333.7839719339</v>
      </c>
      <c r="BI35" s="328">
        <f t="shared" si="153"/>
        <v>2666834.4652276863</v>
      </c>
    </row>
    <row r="36" spans="2:61" s="443" customFormat="1" x14ac:dyDescent="0.2">
      <c r="B36" s="437" t="s">
        <v>131</v>
      </c>
      <c r="C36" s="437"/>
      <c r="D36" s="437"/>
      <c r="E36" s="437"/>
      <c r="F36" s="437"/>
      <c r="G36" s="438">
        <v>590057</v>
      </c>
      <c r="H36" s="439">
        <v>667905</v>
      </c>
      <c r="I36" s="438">
        <v>677171</v>
      </c>
      <c r="J36" s="439">
        <v>569208</v>
      </c>
      <c r="K36" s="439">
        <v>569208</v>
      </c>
      <c r="L36" s="440">
        <v>622580</v>
      </c>
      <c r="M36" s="440">
        <v>720639</v>
      </c>
      <c r="N36" s="440">
        <v>724007</v>
      </c>
      <c r="O36" s="440">
        <v>631992</v>
      </c>
      <c r="P36" s="440">
        <v>631992</v>
      </c>
      <c r="Q36" s="440">
        <v>710448</v>
      </c>
      <c r="R36" s="440">
        <v>820396</v>
      </c>
      <c r="S36" s="440">
        <v>805317</v>
      </c>
      <c r="T36" s="427">
        <v>654170</v>
      </c>
      <c r="U36" s="427">
        <v>654170</v>
      </c>
      <c r="V36" s="427">
        <v>648942</v>
      </c>
      <c r="W36" s="427">
        <v>715405</v>
      </c>
      <c r="X36" s="427">
        <v>721134</v>
      </c>
      <c r="Y36" s="427">
        <v>614946</v>
      </c>
      <c r="Z36" s="427">
        <v>614946</v>
      </c>
      <c r="AA36" s="427">
        <v>702192</v>
      </c>
      <c r="AB36" s="427">
        <v>719684</v>
      </c>
      <c r="AC36" s="427">
        <v>860842</v>
      </c>
      <c r="AD36" s="427">
        <v>880018</v>
      </c>
      <c r="AE36" s="427">
        <v>880018</v>
      </c>
      <c r="AF36" s="427">
        <v>1749650</v>
      </c>
      <c r="AG36" s="427">
        <v>2174674</v>
      </c>
      <c r="AH36" s="422">
        <f>(AH8/365)*AH95</f>
        <v>205832.26944101107</v>
      </c>
      <c r="AI36" s="441">
        <f t="shared" ref="AI36:AN36" si="154">(AI8/365)*AI95</f>
        <v>242675.61643835614</v>
      </c>
      <c r="AJ36" s="441">
        <f t="shared" si="154"/>
        <v>1383483.2146464905</v>
      </c>
      <c r="AK36" s="441">
        <f t="shared" si="154"/>
        <v>438429.76750137925</v>
      </c>
      <c r="AL36" s="441">
        <f t="shared" si="154"/>
        <v>546295.96697622037</v>
      </c>
      <c r="AM36" s="442">
        <f t="shared" si="154"/>
        <v>238500.42169288726</v>
      </c>
      <c r="AN36" s="442">
        <f t="shared" si="154"/>
        <v>348244.01544905384</v>
      </c>
      <c r="AO36" s="441">
        <f t="shared" ref="AO36:BI36" si="155">(AO8/365)*AO95</f>
        <v>1571470.1716195408</v>
      </c>
      <c r="AP36" s="441">
        <f>(AP8/365)*AP95</f>
        <v>1023998.7123000062</v>
      </c>
      <c r="AQ36" s="441">
        <f>(AQ8/365)*AQ95</f>
        <v>1565815.9722564123</v>
      </c>
      <c r="AR36" s="441">
        <f>(AR8/365)*AR95</f>
        <v>223028.10612030723</v>
      </c>
      <c r="AS36" s="441">
        <f>(AS8/365)*AS95</f>
        <v>348244.01544905384</v>
      </c>
      <c r="AT36" s="441">
        <f t="shared" si="155"/>
        <v>3161086.8061257792</v>
      </c>
      <c r="AU36" s="441">
        <f>(AU8/365)*AU95</f>
        <v>1121747.8102452457</v>
      </c>
      <c r="AV36" s="441">
        <f>(AV8/365)*AV95</f>
        <v>1599623.0477179235</v>
      </c>
      <c r="AW36" s="441">
        <f>(AW8/365)*AW95</f>
        <v>258425.45244978473</v>
      </c>
      <c r="AX36" s="441">
        <f>(AX8/365)*AX95</f>
        <v>499736.62816217274</v>
      </c>
      <c r="AY36" s="441">
        <f t="shared" si="155"/>
        <v>3479532.9385751272</v>
      </c>
      <c r="AZ36" s="441">
        <f>(AZ8/365)*AZ95</f>
        <v>1177835.2007575082</v>
      </c>
      <c r="BA36" s="441">
        <f>(BA8/365)*BA95</f>
        <v>1679604.2001038198</v>
      </c>
      <c r="BB36" s="441">
        <f>(BB8/365)*BB95</f>
        <v>271346.72507227398</v>
      </c>
      <c r="BC36" s="441">
        <f>(BC8/365)*BC95</f>
        <v>524723.45957028144</v>
      </c>
      <c r="BD36" s="441">
        <f t="shared" si="155"/>
        <v>3653509.5855038832</v>
      </c>
      <c r="BE36" s="441">
        <f>(BE8/365)*BE95</f>
        <v>1236726.9607953834</v>
      </c>
      <c r="BF36" s="441">
        <f>(BF8/365)*BF95</f>
        <v>1763584.4101090108</v>
      </c>
      <c r="BG36" s="441">
        <f>(BG8/365)*BG95</f>
        <v>282200.59407516493</v>
      </c>
      <c r="BH36" s="441">
        <f>(BH8/365)*BH95</f>
        <v>550959.63254879555</v>
      </c>
      <c r="BI36" s="441">
        <f t="shared" si="155"/>
        <v>3833471.5975283547</v>
      </c>
    </row>
    <row r="37" spans="2:61" s="443" customFormat="1" x14ac:dyDescent="0.2">
      <c r="B37" s="437" t="s">
        <v>132</v>
      </c>
      <c r="C37" s="437"/>
      <c r="D37" s="437"/>
      <c r="E37" s="437"/>
      <c r="F37" s="437"/>
      <c r="G37" s="438">
        <v>34720</v>
      </c>
      <c r="H37" s="439">
        <v>37583</v>
      </c>
      <c r="I37" s="438">
        <v>47904</v>
      </c>
      <c r="J37" s="439">
        <v>55781</v>
      </c>
      <c r="K37" s="439">
        <v>55781</v>
      </c>
      <c r="L37" s="440">
        <v>43587</v>
      </c>
      <c r="M37" s="440">
        <v>52519</v>
      </c>
      <c r="N37" s="440">
        <v>62128</v>
      </c>
      <c r="O37" s="440">
        <v>71232</v>
      </c>
      <c r="P37" s="440">
        <v>71232</v>
      </c>
      <c r="Q37" s="440">
        <v>60762</v>
      </c>
      <c r="R37" s="440">
        <v>71345</v>
      </c>
      <c r="S37" s="440">
        <v>59389</v>
      </c>
      <c r="T37" s="427">
        <v>68637</v>
      </c>
      <c r="U37" s="427">
        <v>68637</v>
      </c>
      <c r="V37" s="427">
        <v>50833</v>
      </c>
      <c r="W37" s="427">
        <v>54257</v>
      </c>
      <c r="X37" s="427">
        <v>49526</v>
      </c>
      <c r="Y37" s="427">
        <v>77447</v>
      </c>
      <c r="Z37" s="427">
        <v>77447</v>
      </c>
      <c r="AA37" s="427">
        <v>54647</v>
      </c>
      <c r="AB37" s="427">
        <v>45164</v>
      </c>
      <c r="AC37" s="427">
        <v>64626</v>
      </c>
      <c r="AD37" s="427">
        <v>76436</v>
      </c>
      <c r="AE37" s="427">
        <v>76436</v>
      </c>
      <c r="AF37" s="427">
        <v>96835</v>
      </c>
      <c r="AG37" s="427">
        <v>137304</v>
      </c>
      <c r="AH37" s="423">
        <v>815467</v>
      </c>
      <c r="AI37" s="444">
        <v>825566</v>
      </c>
      <c r="AJ37" s="441">
        <f>76436+61447</f>
        <v>137883</v>
      </c>
      <c r="AK37" s="441">
        <v>1394591</v>
      </c>
      <c r="AL37" s="441"/>
      <c r="AO37" s="441">
        <f>137883</f>
        <v>137883</v>
      </c>
      <c r="AP37" s="441"/>
      <c r="AQ37" s="441"/>
      <c r="AR37" s="441"/>
      <c r="AS37" s="441"/>
      <c r="AT37" s="441">
        <f>137883</f>
        <v>137883</v>
      </c>
      <c r="AU37" s="441"/>
      <c r="AV37" s="441"/>
      <c r="AW37" s="441"/>
      <c r="AX37" s="441"/>
      <c r="AY37" s="441">
        <f>137883</f>
        <v>137883</v>
      </c>
      <c r="AZ37" s="441"/>
      <c r="BA37" s="441"/>
      <c r="BB37" s="441"/>
      <c r="BC37" s="441"/>
      <c r="BD37" s="441">
        <f>137883</f>
        <v>137883</v>
      </c>
      <c r="BE37" s="441"/>
      <c r="BF37" s="441"/>
      <c r="BG37" s="441"/>
      <c r="BH37" s="441"/>
      <c r="BI37" s="441">
        <f>137883</f>
        <v>137883</v>
      </c>
    </row>
    <row r="38" spans="2:61" s="443" customFormat="1" x14ac:dyDescent="0.2">
      <c r="B38" s="437" t="s">
        <v>133</v>
      </c>
      <c r="C38" s="437"/>
      <c r="D38" s="437"/>
      <c r="E38" s="437"/>
      <c r="F38" s="437"/>
      <c r="G38" s="438">
        <v>536922</v>
      </c>
      <c r="H38" s="439">
        <v>578776</v>
      </c>
      <c r="I38" s="438">
        <v>570582</v>
      </c>
      <c r="J38" s="439">
        <v>541771</v>
      </c>
      <c r="K38" s="439">
        <v>541771</v>
      </c>
      <c r="L38" s="440">
        <v>618014</v>
      </c>
      <c r="M38" s="440">
        <v>651041</v>
      </c>
      <c r="N38" s="440">
        <v>627238</v>
      </c>
      <c r="O38" s="440">
        <v>601547</v>
      </c>
      <c r="P38" s="440">
        <v>601547</v>
      </c>
      <c r="Q38" s="440">
        <v>678790</v>
      </c>
      <c r="R38" s="440">
        <v>782757</v>
      </c>
      <c r="S38" s="440">
        <v>679471</v>
      </c>
      <c r="T38" s="427">
        <v>596896</v>
      </c>
      <c r="U38" s="427">
        <v>596896</v>
      </c>
      <c r="V38" s="427">
        <v>635499</v>
      </c>
      <c r="W38" s="427">
        <v>617527</v>
      </c>
      <c r="X38" s="427">
        <v>581543</v>
      </c>
      <c r="Y38" s="427">
        <v>561255</v>
      </c>
      <c r="Z38" s="427">
        <v>561255</v>
      </c>
      <c r="AA38" s="427">
        <v>640048</v>
      </c>
      <c r="AB38" s="427">
        <v>615142</v>
      </c>
      <c r="AC38" s="427">
        <v>751149</v>
      </c>
      <c r="AD38" s="427">
        <v>784527</v>
      </c>
      <c r="AE38" s="427">
        <v>784527</v>
      </c>
      <c r="AF38" s="427">
        <v>1585612</v>
      </c>
      <c r="AG38" s="427">
        <v>2074448</v>
      </c>
      <c r="AH38" s="422">
        <f t="shared" ref="AH38:AN38" si="156">(AH9/365)*AH96</f>
        <v>153824.88750546996</v>
      </c>
      <c r="AI38" s="441">
        <f t="shared" si="156"/>
        <v>179505.36029063954</v>
      </c>
      <c r="AJ38" s="441">
        <f t="shared" si="156"/>
        <v>1228533.0946060836</v>
      </c>
      <c r="AK38" s="441">
        <f t="shared" si="156"/>
        <v>391992.1564506024</v>
      </c>
      <c r="AL38" s="441">
        <f t="shared" si="156"/>
        <v>483957.48764390498</v>
      </c>
      <c r="AM38" s="441">
        <f t="shared" si="156"/>
        <v>213753.64103385285</v>
      </c>
      <c r="AN38" s="441">
        <f t="shared" si="156"/>
        <v>308512.63316318457</v>
      </c>
      <c r="AO38" s="441">
        <f t="shared" ref="AO38:BI38" si="157">(AO9/365)*AO96</f>
        <v>1395465.5123981521</v>
      </c>
      <c r="AP38" s="441">
        <f>(AP9/365)*AP96</f>
        <v>915538.80048953719</v>
      </c>
      <c r="AQ38" s="441">
        <f>(AQ9/365)*AQ96</f>
        <v>1387138.8585208016</v>
      </c>
      <c r="AR38" s="441">
        <f>(AR9/365)*AR96</f>
        <v>199886.73142678107</v>
      </c>
      <c r="AS38" s="441">
        <f>(AS9/365)*AS96</f>
        <v>308512.63316318457</v>
      </c>
      <c r="AT38" s="441">
        <f t="shared" si="157"/>
        <v>2807045.0838396922</v>
      </c>
      <c r="AU38" s="441">
        <f>(AU9/365)*AU96</f>
        <v>1002934.5079320869</v>
      </c>
      <c r="AV38" s="441">
        <f>(AV9/365)*AV96</f>
        <v>1417088.1685907643</v>
      </c>
      <c r="AW38" s="441">
        <f>(AW9/365)*AW96</f>
        <v>231611.25252890773</v>
      </c>
      <c r="AX38" s="441">
        <f>(AX9/365)*AX96</f>
        <v>442721.35687270149</v>
      </c>
      <c r="AY38" s="441">
        <f t="shared" si="157"/>
        <v>3089825.2494547125</v>
      </c>
      <c r="AZ38" s="441">
        <f>(AZ9/365)*AZ96</f>
        <v>1053081.2333286912</v>
      </c>
      <c r="BA38" s="441">
        <f>(BA9/365)*BA96</f>
        <v>1487942.5770203026</v>
      </c>
      <c r="BB38" s="441">
        <f>(BB9/365)*BB96</f>
        <v>243191.81515535311</v>
      </c>
      <c r="BC38" s="441">
        <f>(BC9/365)*BC96</f>
        <v>464857.42471633665</v>
      </c>
      <c r="BD38" s="441">
        <f t="shared" si="157"/>
        <v>3244316.5119274482</v>
      </c>
      <c r="BE38" s="441">
        <f>(BE9/365)*BE96</f>
        <v>1105735.2949951258</v>
      </c>
      <c r="BF38" s="441">
        <f>(BF9/365)*BF96</f>
        <v>1562339.7058713178</v>
      </c>
      <c r="BG38" s="441">
        <f>(BG9/365)*BG96</f>
        <v>252919.48776156723</v>
      </c>
      <c r="BH38" s="441">
        <f>(BH9/365)*BH96</f>
        <v>488100.29595215351</v>
      </c>
      <c r="BI38" s="441">
        <f t="shared" si="157"/>
        <v>3404122.7786051785</v>
      </c>
    </row>
    <row r="39" spans="2:61" s="443" customFormat="1" x14ac:dyDescent="0.2">
      <c r="B39" s="437" t="s">
        <v>134</v>
      </c>
      <c r="C39" s="437"/>
      <c r="D39" s="437"/>
      <c r="E39" s="437"/>
      <c r="F39" s="437"/>
      <c r="G39" s="445">
        <v>24199</v>
      </c>
      <c r="H39" s="445">
        <v>28429</v>
      </c>
      <c r="I39" s="446">
        <v>29476</v>
      </c>
      <c r="J39" s="445">
        <v>34772</v>
      </c>
      <c r="K39" s="445">
        <v>34772</v>
      </c>
      <c r="L39" s="447">
        <v>40890</v>
      </c>
      <c r="M39" s="447">
        <v>39331</v>
      </c>
      <c r="N39" s="447">
        <v>32889</v>
      </c>
      <c r="O39" s="447">
        <v>33564</v>
      </c>
      <c r="P39" s="447">
        <v>33564</v>
      </c>
      <c r="Q39" s="447">
        <v>43046</v>
      </c>
      <c r="R39" s="447">
        <v>39258</v>
      </c>
      <c r="S39" s="447">
        <v>35351</v>
      </c>
      <c r="T39" s="448">
        <v>43921</v>
      </c>
      <c r="U39" s="448">
        <v>43921</v>
      </c>
      <c r="V39" s="448">
        <v>38756</v>
      </c>
      <c r="W39" s="448">
        <v>36217</v>
      </c>
      <c r="X39" s="448">
        <v>34603</v>
      </c>
      <c r="Y39" s="448">
        <v>39123</v>
      </c>
      <c r="Z39" s="448">
        <v>39123</v>
      </c>
      <c r="AA39" s="448">
        <v>44122</v>
      </c>
      <c r="AB39" s="448">
        <v>36136</v>
      </c>
      <c r="AC39" s="448">
        <v>44198</v>
      </c>
      <c r="AD39" s="448">
        <v>58895</v>
      </c>
      <c r="AE39" s="448">
        <v>58895</v>
      </c>
      <c r="AF39" s="448">
        <v>119453</v>
      </c>
      <c r="AG39" s="448">
        <v>438383</v>
      </c>
      <c r="AH39" s="422">
        <f t="shared" ref="AH39:AN39" si="158">AH8*AH100</f>
        <v>21465.36524170544</v>
      </c>
      <c r="AI39" s="441">
        <f t="shared" si="158"/>
        <v>25307.600000000002</v>
      </c>
      <c r="AJ39" s="441">
        <f t="shared" si="158"/>
        <v>144277.53524170545</v>
      </c>
      <c r="AK39" s="441">
        <f t="shared" si="158"/>
        <v>45721.961468000984</v>
      </c>
      <c r="AL39" s="441">
        <f t="shared" si="158"/>
        <v>56970.865127520126</v>
      </c>
      <c r="AM39" s="441">
        <f t="shared" si="158"/>
        <v>24872.186833686814</v>
      </c>
      <c r="AN39" s="441">
        <f t="shared" si="158"/>
        <v>36316.875896829901</v>
      </c>
      <c r="AO39" s="441">
        <f t="shared" ref="AO39:BI39" si="159">AO8*AO100</f>
        <v>163881.88932603781</v>
      </c>
      <c r="AP39" s="441">
        <f>AP8*AP100</f>
        <v>106788.43713985779</v>
      </c>
      <c r="AQ39" s="441">
        <f>AQ8*AQ100</f>
        <v>163292.23710674015</v>
      </c>
      <c r="AR39" s="441">
        <f>AR8*AR100</f>
        <v>23258.645352546326</v>
      </c>
      <c r="AS39" s="441">
        <f>AS8*AS100</f>
        <v>36316.875896829901</v>
      </c>
      <c r="AT39" s="441">
        <f t="shared" si="159"/>
        <v>329656.19549597416</v>
      </c>
      <c r="AU39" s="441">
        <f>AU8*AU100</f>
        <v>116982.27163986134</v>
      </c>
      <c r="AV39" s="441">
        <f>AV8*AV100</f>
        <v>166817.83211915489</v>
      </c>
      <c r="AW39" s="441">
        <f>AW8*AW100</f>
        <v>26950.082898334695</v>
      </c>
      <c r="AX39" s="441">
        <f>AX8*AX100</f>
        <v>52115.391222626589</v>
      </c>
      <c r="AY39" s="441">
        <f t="shared" si="159"/>
        <v>362865.57787997753</v>
      </c>
      <c r="AZ39" s="441">
        <f>AZ8*AZ100</f>
        <v>122831.38522185442</v>
      </c>
      <c r="BA39" s="441">
        <f>BA8*BA100</f>
        <v>175158.72372511265</v>
      </c>
      <c r="BB39" s="441">
        <f>BB8*BB100</f>
        <v>28297.587043251428</v>
      </c>
      <c r="BC39" s="441">
        <f>BC8*BC100</f>
        <v>54721.160783757921</v>
      </c>
      <c r="BD39" s="441">
        <f t="shared" si="159"/>
        <v>381008.85677397641</v>
      </c>
      <c r="BE39" s="441">
        <f>BE8*BE100</f>
        <v>128972.95448294714</v>
      </c>
      <c r="BF39" s="441">
        <f>BF8*BF100</f>
        <v>183916.65991136828</v>
      </c>
      <c r="BG39" s="441">
        <f>BG8*BG100</f>
        <v>29429.490524981487</v>
      </c>
      <c r="BH39" s="441">
        <f>BH8*BH100</f>
        <v>57457.218822945826</v>
      </c>
      <c r="BI39" s="441">
        <f t="shared" si="159"/>
        <v>399776.3237422427</v>
      </c>
    </row>
    <row r="40" spans="2:61" x14ac:dyDescent="0.2">
      <c r="B40" s="8" t="s">
        <v>135</v>
      </c>
      <c r="C40" s="8"/>
      <c r="D40" s="8"/>
      <c r="E40" s="8"/>
      <c r="F40" s="8"/>
      <c r="G40" s="188">
        <f t="shared" ref="G40:I40" si="160">SUM(G35:G39)</f>
        <v>1189626</v>
      </c>
      <c r="H40" s="188">
        <f t="shared" si="160"/>
        <v>1318885</v>
      </c>
      <c r="I40" s="188">
        <f t="shared" si="160"/>
        <v>1330983</v>
      </c>
      <c r="J40" s="188">
        <f>SUM(J35:J39)</f>
        <v>1215981</v>
      </c>
      <c r="K40" s="188">
        <f>SUM(K35:K39)</f>
        <v>1215981</v>
      </c>
      <c r="L40" s="188">
        <f t="shared" ref="L40:N40" si="161">SUM(L35:L39)</f>
        <v>1329586</v>
      </c>
      <c r="M40" s="188">
        <f t="shared" si="161"/>
        <v>1470461</v>
      </c>
      <c r="N40" s="188">
        <f t="shared" si="161"/>
        <v>1455599</v>
      </c>
      <c r="O40" s="39">
        <f>SUM(O35:O39)</f>
        <v>1395868</v>
      </c>
      <c r="P40" s="39">
        <f t="shared" ref="P40:BI40" si="162">SUM(P35:P39)</f>
        <v>1395868</v>
      </c>
      <c r="Q40" s="39">
        <f t="shared" si="162"/>
        <v>1503115</v>
      </c>
      <c r="R40" s="39">
        <f t="shared" si="162"/>
        <v>1726952</v>
      </c>
      <c r="S40" s="39">
        <f t="shared" si="162"/>
        <v>1613974</v>
      </c>
      <c r="T40" s="39">
        <f>SUM(T35:T39)</f>
        <v>1373751</v>
      </c>
      <c r="U40" s="39">
        <f t="shared" si="162"/>
        <v>1373751</v>
      </c>
      <c r="V40" s="39">
        <f t="shared" si="162"/>
        <v>1385754</v>
      </c>
      <c r="W40" s="39">
        <f t="shared" si="162"/>
        <v>1433958</v>
      </c>
      <c r="X40" s="39">
        <f t="shared" si="162"/>
        <v>1430077</v>
      </c>
      <c r="Y40" s="39">
        <f>SUM(Y35:Y39)</f>
        <v>1306867</v>
      </c>
      <c r="Z40" s="39">
        <f t="shared" si="162"/>
        <v>1306867</v>
      </c>
      <c r="AA40" s="39">
        <f t="shared" si="162"/>
        <v>1604881</v>
      </c>
      <c r="AB40" s="39">
        <f t="shared" si="162"/>
        <v>1801587</v>
      </c>
      <c r="AC40" s="39">
        <f t="shared" si="162"/>
        <v>2061742</v>
      </c>
      <c r="AD40" s="39">
        <f>SUM(AD35:AD39)</f>
        <v>2223682</v>
      </c>
      <c r="AE40" s="39">
        <f t="shared" si="162"/>
        <v>2223682</v>
      </c>
      <c r="AF40" s="39">
        <f t="shared" si="162"/>
        <v>3570668</v>
      </c>
      <c r="AG40" s="39">
        <f t="shared" si="162"/>
        <v>4915075</v>
      </c>
      <c r="AH40" s="424">
        <f>SUM(AH35:AH39)</f>
        <v>2405971.9084090572</v>
      </c>
      <c r="AI40" s="39">
        <f>SUM(AI35:AI39)</f>
        <v>2659725.4674819191</v>
      </c>
      <c r="AJ40" s="39">
        <f t="shared" si="162"/>
        <v>3133616.0602278784</v>
      </c>
      <c r="AK40" s="39">
        <f>SUM(AK35:AK39)</f>
        <v>4157251.0244918973</v>
      </c>
      <c r="AL40" s="39">
        <f>SUM(AL35:AL39)</f>
        <v>4001559.3766687224</v>
      </c>
      <c r="AM40" s="39">
        <f>SUM(AM35:AM39)</f>
        <v>1613522.268411397</v>
      </c>
      <c r="AN40" s="39">
        <f>SUM(AN35:AN39)</f>
        <v>2330574.8275505695</v>
      </c>
      <c r="AO40" s="39">
        <f t="shared" si="162"/>
        <v>3769936.9128077547</v>
      </c>
      <c r="AP40" s="39">
        <f>SUM(AP35:AP39)</f>
        <v>3546569.547757824</v>
      </c>
      <c r="AQ40" s="39">
        <f>SUM(AQ35:AQ39)</f>
        <v>5405321.1654241607</v>
      </c>
      <c r="AR40" s="39">
        <f>SUM(AR35:AR39)</f>
        <v>1593993.5725603483</v>
      </c>
      <c r="AS40" s="39">
        <f>SUM(AS35:AS39)</f>
        <v>2399598.1133405389</v>
      </c>
      <c r="AT40" s="39">
        <f t="shared" si="162"/>
        <v>6053513.173467556</v>
      </c>
      <c r="AU40" s="39">
        <f>SUM(AU35:AU39)</f>
        <v>4010697.1845437977</v>
      </c>
      <c r="AV40" s="39">
        <f>SUM(AV35:AV39)</f>
        <v>6098373.1614028243</v>
      </c>
      <c r="AW40" s="39">
        <f>SUM(AW35:AW39)</f>
        <v>1627756.506162839</v>
      </c>
      <c r="AX40" s="39">
        <f>SUM(AX35:AX39)</f>
        <v>2656545.9385491163</v>
      </c>
      <c r="AY40" s="39">
        <f t="shared" si="162"/>
        <v>7518633.789778389</v>
      </c>
      <c r="AZ40" s="39">
        <f>SUM(AZ35:AZ39)</f>
        <v>4468845.5304646781</v>
      </c>
      <c r="BA40" s="39">
        <f>SUM(BA35:BA39)</f>
        <v>6865692.7069907682</v>
      </c>
      <c r="BB40" s="39">
        <f>SUM(BB35:BB39)</f>
        <v>1650317.3953986615</v>
      </c>
      <c r="BC40" s="39">
        <f>SUM(BC35:BC39)</f>
        <v>2832648.987458271</v>
      </c>
      <c r="BD40" s="39">
        <f t="shared" si="162"/>
        <v>8943614.2531339005</v>
      </c>
      <c r="BE40" s="39">
        <f>SUM(BE35:BE39)</f>
        <v>4955397.9271589378</v>
      </c>
      <c r="BF40" s="39">
        <f>SUM(BF35:BF39)</f>
        <v>7678153.4856217206</v>
      </c>
      <c r="BG40" s="39">
        <f>SUM(BG35:BG39)</f>
        <v>1676025.2632826001</v>
      </c>
      <c r="BH40" s="39">
        <f>SUM(BH35:BH39)</f>
        <v>3022850.9312958289</v>
      </c>
      <c r="BI40" s="39">
        <f t="shared" si="162"/>
        <v>10442088.165103462</v>
      </c>
    </row>
    <row r="41" spans="2:61" s="443" customFormat="1" x14ac:dyDescent="0.2">
      <c r="B41" s="437" t="s">
        <v>136</v>
      </c>
      <c r="C41" s="437"/>
      <c r="D41" s="437"/>
      <c r="E41" s="437"/>
      <c r="F41" s="437"/>
      <c r="G41" s="438">
        <v>708838</v>
      </c>
      <c r="H41" s="439">
        <v>698969</v>
      </c>
      <c r="I41" s="438">
        <v>669683</v>
      </c>
      <c r="J41" s="439">
        <v>656101</v>
      </c>
      <c r="K41" s="439">
        <v>656101</v>
      </c>
      <c r="L41" s="440">
        <v>644663</v>
      </c>
      <c r="M41" s="440">
        <v>643295</v>
      </c>
      <c r="N41" s="440">
        <v>641143</v>
      </c>
      <c r="O41" s="440">
        <v>639303</v>
      </c>
      <c r="P41" s="440">
        <v>639303</v>
      </c>
      <c r="Q41" s="440">
        <v>643721</v>
      </c>
      <c r="R41" s="440">
        <v>655572</v>
      </c>
      <c r="S41" s="440">
        <v>665732</v>
      </c>
      <c r="T41" s="427">
        <v>670075</v>
      </c>
      <c r="U41" s="427">
        <v>670075</v>
      </c>
      <c r="V41" s="427">
        <v>669055</v>
      </c>
      <c r="W41" s="427">
        <v>675310</v>
      </c>
      <c r="X41" s="427">
        <v>696154</v>
      </c>
      <c r="Y41" s="427">
        <v>721887</v>
      </c>
      <c r="Z41" s="427">
        <v>721887</v>
      </c>
      <c r="AA41" s="427">
        <v>730738</v>
      </c>
      <c r="AB41" s="427">
        <v>743542</v>
      </c>
      <c r="AC41" s="427">
        <v>750841</v>
      </c>
      <c r="AD41" s="427">
        <v>749130</v>
      </c>
      <c r="AE41" s="427">
        <v>749130</v>
      </c>
      <c r="AF41" s="427">
        <v>1297756</v>
      </c>
      <c r="AG41" s="427">
        <v>1300680</v>
      </c>
      <c r="AH41" s="424">
        <v>46585</v>
      </c>
      <c r="AI41" s="449">
        <v>61447</v>
      </c>
      <c r="AJ41" s="449">
        <f t="shared" ref="AJ41" si="163">AJ105</f>
        <v>893407.53524170548</v>
      </c>
      <c r="AK41" s="449">
        <f>1759646</f>
        <v>1759646</v>
      </c>
      <c r="AL41" s="449">
        <f>3188039</f>
        <v>3188039</v>
      </c>
      <c r="AM41" s="449">
        <f>862052</f>
        <v>862052</v>
      </c>
      <c r="AN41" s="449">
        <f>887013</f>
        <v>887013</v>
      </c>
      <c r="AO41" s="449">
        <f t="shared" ref="AO41:BI41" si="164">AO105</f>
        <v>1057289.4245677432</v>
      </c>
      <c r="AP41" s="449">
        <f>3154237</f>
        <v>3154237</v>
      </c>
      <c r="AQ41" s="449">
        <f>3188039</f>
        <v>3188039</v>
      </c>
      <c r="AR41" s="449">
        <f>862052</f>
        <v>862052</v>
      </c>
      <c r="AS41" s="449">
        <f>887013</f>
        <v>887013</v>
      </c>
      <c r="AT41" s="449">
        <f t="shared" si="164"/>
        <v>1386945.6200637175</v>
      </c>
      <c r="AU41" s="449">
        <f>3154237</f>
        <v>3154237</v>
      </c>
      <c r="AV41" s="449">
        <f>3188039</f>
        <v>3188039</v>
      </c>
      <c r="AW41" s="449">
        <f>862052</f>
        <v>862052</v>
      </c>
      <c r="AX41" s="449">
        <f>887013</f>
        <v>887013</v>
      </c>
      <c r="AY41" s="449">
        <f t="shared" si="164"/>
        <v>1749811.1979436949</v>
      </c>
      <c r="AZ41" s="449">
        <f>3154237</f>
        <v>3154237</v>
      </c>
      <c r="BA41" s="449">
        <f>3188039</f>
        <v>3188039</v>
      </c>
      <c r="BB41" s="449">
        <f>862052</f>
        <v>862052</v>
      </c>
      <c r="BC41" s="449">
        <f>887013</f>
        <v>887013</v>
      </c>
      <c r="BD41" s="449">
        <f t="shared" si="164"/>
        <v>2130820.0547176711</v>
      </c>
      <c r="BE41" s="449">
        <f>3154237</f>
        <v>3154237</v>
      </c>
      <c r="BF41" s="449">
        <f>3188039</f>
        <v>3188039</v>
      </c>
      <c r="BG41" s="449">
        <f>862052</f>
        <v>862052</v>
      </c>
      <c r="BH41" s="449">
        <f>887013</f>
        <v>887013</v>
      </c>
      <c r="BI41" s="449">
        <f t="shared" si="164"/>
        <v>2530596.3784599137</v>
      </c>
    </row>
    <row r="42" spans="2:61" hidden="1" x14ac:dyDescent="0.2">
      <c r="B42" s="32" t="s">
        <v>137</v>
      </c>
      <c r="C42" s="32"/>
      <c r="D42" s="32"/>
      <c r="E42" s="32"/>
      <c r="F42" s="32"/>
      <c r="G42" s="189">
        <v>5443</v>
      </c>
      <c r="H42" s="189">
        <v>9063</v>
      </c>
      <c r="I42" s="189">
        <v>7488</v>
      </c>
      <c r="J42" s="189">
        <v>4361</v>
      </c>
      <c r="K42" s="189">
        <v>4361</v>
      </c>
      <c r="L42" s="33">
        <v>5672</v>
      </c>
      <c r="M42" s="33">
        <v>4493</v>
      </c>
      <c r="N42" s="33">
        <v>4493</v>
      </c>
      <c r="O42" s="33">
        <v>5273</v>
      </c>
      <c r="P42" s="33">
        <v>5273</v>
      </c>
      <c r="Q42" s="189">
        <v>5273</v>
      </c>
      <c r="R42" s="33">
        <v>8153</v>
      </c>
      <c r="S42" s="33">
        <v>7874</v>
      </c>
      <c r="T42" s="38">
        <v>0</v>
      </c>
      <c r="U42" s="38">
        <v>0</v>
      </c>
      <c r="V42" s="38">
        <v>0</v>
      </c>
      <c r="W42" s="38">
        <v>0</v>
      </c>
      <c r="X42" s="38">
        <v>0</v>
      </c>
      <c r="Y42" s="38">
        <v>0</v>
      </c>
      <c r="Z42" s="38">
        <v>0</v>
      </c>
      <c r="AA42" s="38">
        <v>0</v>
      </c>
      <c r="AB42" s="38">
        <v>0</v>
      </c>
      <c r="AC42" s="38">
        <v>0</v>
      </c>
      <c r="AD42" s="38">
        <v>0</v>
      </c>
      <c r="AE42" s="38">
        <v>0</v>
      </c>
      <c r="AF42" s="38">
        <v>0</v>
      </c>
      <c r="AG42" s="38">
        <v>0</v>
      </c>
      <c r="AH42" s="425"/>
      <c r="AI42" s="38"/>
    </row>
    <row r="43" spans="2:61" x14ac:dyDescent="0.2">
      <c r="B43" s="5" t="s">
        <v>138</v>
      </c>
      <c r="C43" s="5"/>
      <c r="D43" s="5"/>
      <c r="E43" s="5"/>
      <c r="F43" s="5"/>
      <c r="G43" s="190">
        <v>0</v>
      </c>
      <c r="H43" s="191">
        <v>0</v>
      </c>
      <c r="I43" s="191">
        <v>0</v>
      </c>
      <c r="J43" s="189">
        <v>0</v>
      </c>
      <c r="K43" s="189">
        <v>0</v>
      </c>
      <c r="L43" s="33">
        <v>0</v>
      </c>
      <c r="M43" s="40">
        <v>0</v>
      </c>
      <c r="N43" s="33">
        <v>0</v>
      </c>
      <c r="O43" s="33">
        <v>0</v>
      </c>
      <c r="P43" s="33">
        <v>0</v>
      </c>
      <c r="Q43" s="195">
        <v>0</v>
      </c>
      <c r="R43" s="33">
        <v>0</v>
      </c>
      <c r="S43" s="33">
        <v>0</v>
      </c>
      <c r="T43" s="40">
        <v>0</v>
      </c>
      <c r="U43" s="40">
        <v>0</v>
      </c>
      <c r="V43" s="33">
        <v>269640</v>
      </c>
      <c r="W43" s="33">
        <v>273971</v>
      </c>
      <c r="X43" s="33">
        <v>286971</v>
      </c>
      <c r="Y43" s="38">
        <v>292684</v>
      </c>
      <c r="Z43" s="38">
        <v>292684</v>
      </c>
      <c r="AA43" s="38">
        <v>285964</v>
      </c>
      <c r="AB43" s="38">
        <v>286354</v>
      </c>
      <c r="AC43" s="38">
        <v>278075</v>
      </c>
      <c r="AD43" s="38">
        <v>274562</v>
      </c>
      <c r="AE43" s="38">
        <v>274562</v>
      </c>
      <c r="AF43" s="38">
        <v>442440</v>
      </c>
      <c r="AG43" s="38">
        <v>429940</v>
      </c>
      <c r="AH43" s="426">
        <f t="shared" ref="AH43:AQ47" si="165">AC43</f>
        <v>278075</v>
      </c>
      <c r="AI43" s="63">
        <f t="shared" si="165"/>
        <v>274562</v>
      </c>
      <c r="AJ43" s="63">
        <f t="shared" si="165"/>
        <v>274562</v>
      </c>
      <c r="AK43" s="63">
        <f t="shared" si="165"/>
        <v>442440</v>
      </c>
      <c r="AL43" s="63">
        <f t="shared" si="165"/>
        <v>429940</v>
      </c>
      <c r="AM43" s="63">
        <f t="shared" si="165"/>
        <v>278075</v>
      </c>
      <c r="AN43" s="63">
        <f t="shared" si="165"/>
        <v>274562</v>
      </c>
      <c r="AO43" s="63">
        <f t="shared" si="165"/>
        <v>274562</v>
      </c>
      <c r="AP43" s="63">
        <f t="shared" si="165"/>
        <v>442440</v>
      </c>
      <c r="AQ43" s="63">
        <f t="shared" si="165"/>
        <v>429940</v>
      </c>
      <c r="AR43" s="63">
        <f t="shared" ref="AR43:BA47" si="166">AM43</f>
        <v>278075</v>
      </c>
      <c r="AS43" s="63">
        <f t="shared" si="166"/>
        <v>274562</v>
      </c>
      <c r="AT43" s="63">
        <f t="shared" si="166"/>
        <v>274562</v>
      </c>
      <c r="AU43" s="63">
        <f t="shared" si="166"/>
        <v>442440</v>
      </c>
      <c r="AV43" s="63">
        <f t="shared" si="166"/>
        <v>429940</v>
      </c>
      <c r="AW43" s="63">
        <f t="shared" si="166"/>
        <v>278075</v>
      </c>
      <c r="AX43" s="63">
        <f t="shared" si="166"/>
        <v>274562</v>
      </c>
      <c r="AY43" s="63">
        <f t="shared" si="166"/>
        <v>274562</v>
      </c>
      <c r="AZ43" s="63">
        <f t="shared" si="166"/>
        <v>442440</v>
      </c>
      <c r="BA43" s="63">
        <f t="shared" si="166"/>
        <v>429940</v>
      </c>
      <c r="BB43" s="63">
        <f t="shared" ref="BB43:BH47" si="167">AW43</f>
        <v>278075</v>
      </c>
      <c r="BC43" s="63">
        <f t="shared" si="167"/>
        <v>274562</v>
      </c>
      <c r="BD43" s="63">
        <f t="shared" si="167"/>
        <v>274562</v>
      </c>
      <c r="BE43" s="63">
        <f t="shared" si="167"/>
        <v>442440</v>
      </c>
      <c r="BF43" s="63">
        <f t="shared" si="167"/>
        <v>429940</v>
      </c>
      <c r="BG43" s="63">
        <f t="shared" si="167"/>
        <v>278075</v>
      </c>
      <c r="BH43" s="63">
        <f t="shared" si="167"/>
        <v>274562</v>
      </c>
      <c r="BI43" s="63">
        <f t="shared" ref="BI43" si="168">BD43</f>
        <v>274562</v>
      </c>
    </row>
    <row r="44" spans="2:61" x14ac:dyDescent="0.2">
      <c r="B44" s="5" t="s">
        <v>139</v>
      </c>
      <c r="C44" s="5"/>
      <c r="D44" s="5"/>
      <c r="E44" s="5"/>
      <c r="F44" s="5"/>
      <c r="G44" s="190">
        <v>739625</v>
      </c>
      <c r="H44" s="33">
        <v>740411</v>
      </c>
      <c r="I44" s="190">
        <v>740411</v>
      </c>
      <c r="J44" s="33">
        <v>740411</v>
      </c>
      <c r="K44" s="33">
        <v>740411</v>
      </c>
      <c r="L44" s="33">
        <v>740411</v>
      </c>
      <c r="M44" s="33">
        <v>740411</v>
      </c>
      <c r="N44" s="33">
        <v>740411</v>
      </c>
      <c r="O44" s="33">
        <v>740411</v>
      </c>
      <c r="P44" s="33">
        <v>740411</v>
      </c>
      <c r="Q44" s="33">
        <v>740411</v>
      </c>
      <c r="R44" s="33">
        <v>740411</v>
      </c>
      <c r="S44" s="33">
        <v>740411</v>
      </c>
      <c r="T44" s="38">
        <v>740411</v>
      </c>
      <c r="U44" s="38">
        <v>740411</v>
      </c>
      <c r="V44" s="38">
        <v>740411</v>
      </c>
      <c r="W44" s="38">
        <v>740411</v>
      </c>
      <c r="X44" s="38">
        <v>754765</v>
      </c>
      <c r="Y44" s="38">
        <v>769022</v>
      </c>
      <c r="Z44" s="38">
        <v>769022</v>
      </c>
      <c r="AA44" s="38">
        <v>777283</v>
      </c>
      <c r="AB44" s="38">
        <v>777283</v>
      </c>
      <c r="AC44" s="38">
        <v>777283</v>
      </c>
      <c r="AD44" s="38">
        <v>785305</v>
      </c>
      <c r="AE44" s="38">
        <v>785305</v>
      </c>
      <c r="AF44" s="38">
        <v>2536909</v>
      </c>
      <c r="AG44" s="38">
        <v>2535360</v>
      </c>
      <c r="AH44" s="427">
        <v>785305</v>
      </c>
      <c r="AI44" s="38">
        <v>785305</v>
      </c>
      <c r="AJ44" s="38">
        <v>785305</v>
      </c>
      <c r="AK44" s="38">
        <v>785305</v>
      </c>
      <c r="AL44" s="38">
        <v>785305</v>
      </c>
      <c r="AM44" s="38">
        <v>785305</v>
      </c>
      <c r="AN44" s="38">
        <v>785305</v>
      </c>
      <c r="AO44" s="38">
        <v>785305</v>
      </c>
      <c r="AP44" s="38">
        <v>785305</v>
      </c>
      <c r="AQ44" s="38">
        <v>785305</v>
      </c>
      <c r="AR44" s="38">
        <v>785305</v>
      </c>
      <c r="AS44" s="38">
        <v>785305</v>
      </c>
      <c r="AT44" s="38">
        <v>785305</v>
      </c>
      <c r="AU44" s="38">
        <v>785305</v>
      </c>
      <c r="AV44" s="38">
        <v>785305</v>
      </c>
      <c r="AW44" s="38">
        <v>785305</v>
      </c>
      <c r="AX44" s="38">
        <v>785305</v>
      </c>
      <c r="AY44" s="38">
        <v>785305</v>
      </c>
      <c r="AZ44" s="38">
        <v>785305</v>
      </c>
      <c r="BA44" s="38">
        <v>785305</v>
      </c>
      <c r="BB44" s="38">
        <v>785305</v>
      </c>
      <c r="BC44" s="38">
        <v>785305</v>
      </c>
      <c r="BD44" s="38">
        <v>785305</v>
      </c>
      <c r="BE44" s="38">
        <v>785305</v>
      </c>
      <c r="BF44" s="38">
        <v>785305</v>
      </c>
      <c r="BG44" s="38">
        <v>785305</v>
      </c>
      <c r="BH44" s="38">
        <v>785305</v>
      </c>
      <c r="BI44" s="38">
        <v>785305</v>
      </c>
    </row>
    <row r="45" spans="2:61" x14ac:dyDescent="0.2">
      <c r="B45" s="5" t="s">
        <v>140</v>
      </c>
      <c r="C45" s="5"/>
      <c r="D45" s="5"/>
      <c r="E45" s="5"/>
      <c r="F45" s="5"/>
      <c r="G45" s="33">
        <v>182147</v>
      </c>
      <c r="H45" s="33">
        <v>174908</v>
      </c>
      <c r="I45" s="180">
        <v>167883</v>
      </c>
      <c r="J45" s="33">
        <v>159373</v>
      </c>
      <c r="K45" s="33">
        <v>159373</v>
      </c>
      <c r="L45" s="33">
        <v>152477</v>
      </c>
      <c r="M45" s="33">
        <v>145600</v>
      </c>
      <c r="N45" s="33">
        <v>139010</v>
      </c>
      <c r="O45" s="33">
        <v>132567</v>
      </c>
      <c r="P45" s="33">
        <v>132567</v>
      </c>
      <c r="Q45" s="33">
        <v>126360</v>
      </c>
      <c r="R45" s="33">
        <v>119424</v>
      </c>
      <c r="S45" s="33">
        <v>111266</v>
      </c>
      <c r="T45" s="38">
        <v>103154</v>
      </c>
      <c r="U45" s="38">
        <v>103154</v>
      </c>
      <c r="V45" s="38">
        <v>99286</v>
      </c>
      <c r="W45" s="38">
        <v>95417</v>
      </c>
      <c r="X45" s="38">
        <v>101303</v>
      </c>
      <c r="Y45" s="38">
        <v>128388</v>
      </c>
      <c r="Z45" s="38">
        <v>128388</v>
      </c>
      <c r="AA45" s="38">
        <v>132165</v>
      </c>
      <c r="AB45" s="38">
        <v>126519</v>
      </c>
      <c r="AC45" s="38">
        <v>121145</v>
      </c>
      <c r="AD45" s="38">
        <v>119882</v>
      </c>
      <c r="AE45" s="38">
        <v>119882</v>
      </c>
      <c r="AF45" s="38">
        <v>1501250</v>
      </c>
      <c r="AG45" s="38">
        <v>1422649</v>
      </c>
      <c r="AH45" s="426">
        <f t="shared" ref="AH45:BI45" si="169">AC45</f>
        <v>121145</v>
      </c>
      <c r="AI45" s="63">
        <f t="shared" si="169"/>
        <v>119882</v>
      </c>
      <c r="AJ45" s="63">
        <f t="shared" si="169"/>
        <v>119882</v>
      </c>
      <c r="AK45" s="63">
        <f t="shared" si="169"/>
        <v>1501250</v>
      </c>
      <c r="AL45" s="63">
        <f t="shared" si="169"/>
        <v>1422649</v>
      </c>
      <c r="AM45" s="63">
        <f t="shared" si="169"/>
        <v>121145</v>
      </c>
      <c r="AN45" s="63">
        <f t="shared" si="169"/>
        <v>119882</v>
      </c>
      <c r="AO45" s="63">
        <f t="shared" si="169"/>
        <v>119882</v>
      </c>
      <c r="AP45" s="63">
        <f t="shared" si="169"/>
        <v>1501250</v>
      </c>
      <c r="AQ45" s="63">
        <f t="shared" si="169"/>
        <v>1422649</v>
      </c>
      <c r="AR45" s="63">
        <f t="shared" si="169"/>
        <v>121145</v>
      </c>
      <c r="AS45" s="63">
        <f t="shared" si="169"/>
        <v>119882</v>
      </c>
      <c r="AT45" s="63">
        <f t="shared" si="169"/>
        <v>119882</v>
      </c>
      <c r="AU45" s="63">
        <f t="shared" si="169"/>
        <v>1501250</v>
      </c>
      <c r="AV45" s="63">
        <f t="shared" si="169"/>
        <v>1422649</v>
      </c>
      <c r="AW45" s="63">
        <f t="shared" si="169"/>
        <v>121145</v>
      </c>
      <c r="AX45" s="63">
        <f t="shared" si="169"/>
        <v>119882</v>
      </c>
      <c r="AY45" s="63">
        <f t="shared" si="169"/>
        <v>119882</v>
      </c>
      <c r="AZ45" s="63">
        <f t="shared" si="169"/>
        <v>1501250</v>
      </c>
      <c r="BA45" s="63">
        <f t="shared" si="169"/>
        <v>1422649</v>
      </c>
      <c r="BB45" s="63">
        <f t="shared" si="169"/>
        <v>121145</v>
      </c>
      <c r="BC45" s="63">
        <f t="shared" si="169"/>
        <v>119882</v>
      </c>
      <c r="BD45" s="63">
        <f t="shared" si="169"/>
        <v>119882</v>
      </c>
      <c r="BE45" s="63">
        <f t="shared" si="169"/>
        <v>1501250</v>
      </c>
      <c r="BF45" s="63">
        <f t="shared" si="169"/>
        <v>1422649</v>
      </c>
      <c r="BG45" s="63">
        <f t="shared" si="169"/>
        <v>121145</v>
      </c>
      <c r="BH45" s="63">
        <f t="shared" si="169"/>
        <v>119882</v>
      </c>
      <c r="BI45" s="63">
        <f t="shared" si="169"/>
        <v>119882</v>
      </c>
    </row>
    <row r="46" spans="2:61" x14ac:dyDescent="0.2">
      <c r="B46" s="5" t="s">
        <v>141</v>
      </c>
      <c r="C46" s="5"/>
      <c r="D46" s="5"/>
      <c r="E46" s="5"/>
      <c r="F46" s="5"/>
      <c r="G46" s="190">
        <v>0</v>
      </c>
      <c r="H46" s="181">
        <v>0</v>
      </c>
      <c r="I46" s="190">
        <v>115320</v>
      </c>
      <c r="J46" s="33">
        <v>115320</v>
      </c>
      <c r="K46" s="33">
        <v>115320</v>
      </c>
      <c r="L46" s="33">
        <v>124169</v>
      </c>
      <c r="M46" s="33">
        <v>108636</v>
      </c>
      <c r="N46" s="33">
        <v>95149</v>
      </c>
      <c r="O46" s="33">
        <v>75105</v>
      </c>
      <c r="P46" s="33">
        <v>75105</v>
      </c>
      <c r="Q46" s="33">
        <v>73092</v>
      </c>
      <c r="R46" s="33">
        <v>55726</v>
      </c>
      <c r="S46" s="33">
        <v>38760</v>
      </c>
      <c r="T46" s="38">
        <v>22766</v>
      </c>
      <c r="U46" s="38">
        <v>22766</v>
      </c>
      <c r="V46" s="38">
        <v>13128</v>
      </c>
      <c r="W46" s="38">
        <v>7343</v>
      </c>
      <c r="X46" s="38">
        <v>5055</v>
      </c>
      <c r="Y46" s="38">
        <v>8417</v>
      </c>
      <c r="Z46" s="38">
        <v>8417</v>
      </c>
      <c r="AA46" s="38">
        <v>8393</v>
      </c>
      <c r="AB46" s="38">
        <v>7693</v>
      </c>
      <c r="AC46" s="38">
        <v>5977</v>
      </c>
      <c r="AD46" s="38">
        <v>4653</v>
      </c>
      <c r="AE46" s="38">
        <v>4653</v>
      </c>
      <c r="AF46" s="40">
        <v>0</v>
      </c>
      <c r="AG46" s="40">
        <v>0</v>
      </c>
      <c r="AH46" s="428">
        <v>0</v>
      </c>
      <c r="AI46" s="40">
        <v>0</v>
      </c>
      <c r="AJ46" s="40">
        <v>0</v>
      </c>
      <c r="AK46" s="40">
        <v>0</v>
      </c>
      <c r="AL46" s="40">
        <v>0</v>
      </c>
      <c r="AM46" s="40">
        <v>0</v>
      </c>
      <c r="AN46" s="40">
        <v>0</v>
      </c>
      <c r="AO46" s="40">
        <v>0</v>
      </c>
      <c r="AP46" s="40">
        <v>0</v>
      </c>
      <c r="AQ46" s="40">
        <v>0</v>
      </c>
      <c r="AR46" s="40">
        <v>0</v>
      </c>
      <c r="AS46" s="40">
        <v>0</v>
      </c>
      <c r="AT46" s="40">
        <v>0</v>
      </c>
      <c r="AU46" s="40">
        <v>0</v>
      </c>
      <c r="AV46" s="40">
        <v>0</v>
      </c>
      <c r="AW46" s="40">
        <v>0</v>
      </c>
      <c r="AX46" s="40">
        <v>0</v>
      </c>
      <c r="AY46" s="40">
        <v>0</v>
      </c>
      <c r="AZ46" s="40">
        <v>0</v>
      </c>
      <c r="BA46" s="40">
        <v>0</v>
      </c>
      <c r="BB46" s="40">
        <v>0</v>
      </c>
      <c r="BC46" s="40">
        <v>0</v>
      </c>
      <c r="BD46" s="40">
        <v>0</v>
      </c>
      <c r="BE46" s="40">
        <v>0</v>
      </c>
      <c r="BF46" s="40">
        <v>0</v>
      </c>
      <c r="BG46" s="40">
        <v>0</v>
      </c>
      <c r="BH46" s="40">
        <v>0</v>
      </c>
      <c r="BI46" s="40">
        <v>0</v>
      </c>
    </row>
    <row r="47" spans="2:61" x14ac:dyDescent="0.2">
      <c r="B47" s="5" t="s">
        <v>142</v>
      </c>
      <c r="C47" s="5"/>
      <c r="D47" s="5"/>
      <c r="E47" s="5"/>
      <c r="F47" s="5"/>
      <c r="G47" s="189">
        <v>23412</v>
      </c>
      <c r="H47" s="189">
        <v>22954</v>
      </c>
      <c r="I47" s="190">
        <v>20535</v>
      </c>
      <c r="J47" s="189">
        <v>18340</v>
      </c>
      <c r="K47" s="189">
        <v>18340</v>
      </c>
      <c r="L47" s="33">
        <v>18912</v>
      </c>
      <c r="M47" s="33">
        <v>17814</v>
      </c>
      <c r="N47" s="33">
        <v>17240</v>
      </c>
      <c r="O47" s="33">
        <v>17597</v>
      </c>
      <c r="P47" s="33">
        <v>17597</v>
      </c>
      <c r="Q47" s="33">
        <v>17717</v>
      </c>
      <c r="R47" s="33">
        <v>16614</v>
      </c>
      <c r="S47" s="33">
        <v>15568</v>
      </c>
      <c r="T47" s="38">
        <v>22152</v>
      </c>
      <c r="U47" s="38">
        <v>22152</v>
      </c>
      <c r="V47" s="38">
        <v>22191</v>
      </c>
      <c r="W47" s="38">
        <v>23561</v>
      </c>
      <c r="X47" s="38">
        <v>23434</v>
      </c>
      <c r="Y47" s="38">
        <v>22225</v>
      </c>
      <c r="Z47" s="38">
        <v>22225</v>
      </c>
      <c r="AA47" s="38">
        <v>21934</v>
      </c>
      <c r="AB47" s="38">
        <v>21700</v>
      </c>
      <c r="AC47" s="38">
        <v>19871</v>
      </c>
      <c r="AD47" s="38">
        <v>16457</v>
      </c>
      <c r="AE47" s="38">
        <v>16457</v>
      </c>
      <c r="AF47" s="38">
        <v>30483</v>
      </c>
      <c r="AG47" s="38">
        <v>22390</v>
      </c>
      <c r="AH47" s="426">
        <f t="shared" si="165"/>
        <v>19871</v>
      </c>
      <c r="AI47" s="63">
        <f t="shared" si="165"/>
        <v>16457</v>
      </c>
      <c r="AJ47" s="63">
        <f t="shared" si="165"/>
        <v>16457</v>
      </c>
      <c r="AK47" s="63">
        <f t="shared" si="165"/>
        <v>30483</v>
      </c>
      <c r="AL47" s="63">
        <f t="shared" si="165"/>
        <v>22390</v>
      </c>
      <c r="AM47" s="63">
        <f t="shared" si="165"/>
        <v>19871</v>
      </c>
      <c r="AN47" s="63">
        <f t="shared" si="165"/>
        <v>16457</v>
      </c>
      <c r="AO47" s="63">
        <f t="shared" si="165"/>
        <v>16457</v>
      </c>
      <c r="AP47" s="63">
        <f t="shared" si="165"/>
        <v>30483</v>
      </c>
      <c r="AQ47" s="63">
        <f t="shared" si="165"/>
        <v>22390</v>
      </c>
      <c r="AR47" s="63">
        <f t="shared" si="166"/>
        <v>19871</v>
      </c>
      <c r="AS47" s="63">
        <f t="shared" si="166"/>
        <v>16457</v>
      </c>
      <c r="AT47" s="63">
        <f t="shared" si="166"/>
        <v>16457</v>
      </c>
      <c r="AU47" s="63">
        <f t="shared" si="166"/>
        <v>30483</v>
      </c>
      <c r="AV47" s="63">
        <f t="shared" si="166"/>
        <v>22390</v>
      </c>
      <c r="AW47" s="63">
        <f t="shared" si="166"/>
        <v>19871</v>
      </c>
      <c r="AX47" s="63">
        <f t="shared" si="166"/>
        <v>16457</v>
      </c>
      <c r="AY47" s="63">
        <f t="shared" si="166"/>
        <v>16457</v>
      </c>
      <c r="AZ47" s="63">
        <f t="shared" si="166"/>
        <v>30483</v>
      </c>
      <c r="BA47" s="63">
        <f t="shared" si="166"/>
        <v>22390</v>
      </c>
      <c r="BB47" s="63">
        <f t="shared" si="167"/>
        <v>19871</v>
      </c>
      <c r="BC47" s="63">
        <f t="shared" si="167"/>
        <v>16457</v>
      </c>
      <c r="BD47" s="63">
        <f t="shared" si="167"/>
        <v>16457</v>
      </c>
      <c r="BE47" s="63">
        <f t="shared" si="167"/>
        <v>30483</v>
      </c>
      <c r="BF47" s="63">
        <f t="shared" si="167"/>
        <v>22390</v>
      </c>
      <c r="BG47" s="63">
        <f t="shared" si="167"/>
        <v>19871</v>
      </c>
      <c r="BH47" s="63">
        <f t="shared" si="167"/>
        <v>16457</v>
      </c>
      <c r="BI47" s="63">
        <f t="shared" ref="BI47" si="170">BD47</f>
        <v>16457</v>
      </c>
    </row>
    <row r="48" spans="2:61" x14ac:dyDescent="0.2">
      <c r="B48" s="41" t="s">
        <v>143</v>
      </c>
      <c r="C48" s="41"/>
      <c r="D48" s="41"/>
      <c r="E48" s="41"/>
      <c r="F48" s="41"/>
      <c r="G48" s="192">
        <f t="shared" ref="G48:I48" si="171">SUM(G40:G47)</f>
        <v>2849091</v>
      </c>
      <c r="H48" s="192">
        <f t="shared" si="171"/>
        <v>2965190</v>
      </c>
      <c r="I48" s="192">
        <f t="shared" si="171"/>
        <v>3052303</v>
      </c>
      <c r="J48" s="192">
        <f>SUM(J40:J47)</f>
        <v>2909887</v>
      </c>
      <c r="K48" s="192">
        <f>SUM(K40:K47)</f>
        <v>2909887</v>
      </c>
      <c r="L48" s="192">
        <f t="shared" ref="L48:N48" si="172">SUM(L40:L47)</f>
        <v>3015890</v>
      </c>
      <c r="M48" s="192">
        <f>SUM(M40:M47)</f>
        <v>3130710</v>
      </c>
      <c r="N48" s="192">
        <f t="shared" si="172"/>
        <v>3093045</v>
      </c>
      <c r="O48" s="42">
        <f>SUM(O40:O47)</f>
        <v>3006124</v>
      </c>
      <c r="P48" s="42">
        <f t="shared" ref="P48:BI48" si="173">SUM(P40:P47)</f>
        <v>3006124</v>
      </c>
      <c r="Q48" s="42">
        <f t="shared" si="173"/>
        <v>3109689</v>
      </c>
      <c r="R48" s="42">
        <f t="shared" si="173"/>
        <v>3322852</v>
      </c>
      <c r="S48" s="42">
        <f t="shared" si="173"/>
        <v>3193585</v>
      </c>
      <c r="T48" s="42">
        <f>SUM(T40:T47)</f>
        <v>2932309</v>
      </c>
      <c r="U48" s="42">
        <f t="shared" si="173"/>
        <v>2932309</v>
      </c>
      <c r="V48" s="42">
        <f t="shared" si="173"/>
        <v>3199465</v>
      </c>
      <c r="W48" s="42">
        <f t="shared" si="173"/>
        <v>3249971</v>
      </c>
      <c r="X48" s="42">
        <f t="shared" si="173"/>
        <v>3297759</v>
      </c>
      <c r="Y48" s="42">
        <f>SUM(Y40:Y47)</f>
        <v>3249490</v>
      </c>
      <c r="Z48" s="42">
        <f t="shared" si="173"/>
        <v>3249490</v>
      </c>
      <c r="AA48" s="42">
        <f t="shared" si="173"/>
        <v>3561358</v>
      </c>
      <c r="AB48" s="42">
        <f t="shared" si="173"/>
        <v>3764678</v>
      </c>
      <c r="AC48" s="42">
        <f t="shared" si="173"/>
        <v>4014934</v>
      </c>
      <c r="AD48" s="42">
        <f>SUM(AD40:AD47)</f>
        <v>4173671</v>
      </c>
      <c r="AE48" s="42">
        <f t="shared" si="173"/>
        <v>4173671</v>
      </c>
      <c r="AF48" s="42">
        <f>SUM(AF40:AF47)</f>
        <v>9379506</v>
      </c>
      <c r="AG48" s="42">
        <f>SUM(AG40:AG47)</f>
        <v>10626094</v>
      </c>
      <c r="AH48" s="424">
        <f>SUM(AH40:AH47)</f>
        <v>3656952.9084090572</v>
      </c>
      <c r="AI48" s="42">
        <f>SUM(AI40:AI47)</f>
        <v>3917378.4674819191</v>
      </c>
      <c r="AJ48" s="42">
        <f t="shared" si="173"/>
        <v>5223229.5954695838</v>
      </c>
      <c r="AK48" s="42">
        <f>SUM(AK40:AK47)</f>
        <v>8676375.0244918969</v>
      </c>
      <c r="AL48" s="42">
        <f>SUM(AL40:AL47)</f>
        <v>9849882.3766687214</v>
      </c>
      <c r="AM48" s="42">
        <f>SUM(AM40:AM47)</f>
        <v>3679970.268411397</v>
      </c>
      <c r="AN48" s="42">
        <f>SUM(AN40:AN47)</f>
        <v>4413793.8275505695</v>
      </c>
      <c r="AO48" s="42">
        <f t="shared" si="173"/>
        <v>6023432.3373754974</v>
      </c>
      <c r="AP48" s="42">
        <f>SUM(AP40:AP47)</f>
        <v>9460284.547757823</v>
      </c>
      <c r="AQ48" s="42">
        <f>SUM(AQ40:AQ47)</f>
        <v>11253644.165424161</v>
      </c>
      <c r="AR48" s="42">
        <f>SUM(AR40:AR47)</f>
        <v>3660441.5725603485</v>
      </c>
      <c r="AS48" s="42">
        <f>SUM(AS40:AS47)</f>
        <v>4482817.1133405389</v>
      </c>
      <c r="AT48" s="42">
        <f t="shared" si="173"/>
        <v>8636664.7935312726</v>
      </c>
      <c r="AU48" s="42">
        <f>SUM(AU40:AU47)</f>
        <v>9924412.1845437977</v>
      </c>
      <c r="AV48" s="42">
        <f>SUM(AV40:AV47)</f>
        <v>11946696.161402825</v>
      </c>
      <c r="AW48" s="42">
        <f>SUM(AW40:AW47)</f>
        <v>3694204.506162839</v>
      </c>
      <c r="AX48" s="42">
        <f>SUM(AX40:AX47)</f>
        <v>4739764.9385491163</v>
      </c>
      <c r="AY48" s="42">
        <f t="shared" si="173"/>
        <v>10464650.987722084</v>
      </c>
      <c r="AZ48" s="42">
        <f>SUM(AZ40:AZ47)</f>
        <v>10382560.530464679</v>
      </c>
      <c r="BA48" s="42">
        <f>SUM(BA40:BA47)</f>
        <v>12714015.706990767</v>
      </c>
      <c r="BB48" s="42">
        <f>SUM(BB40:BB47)</f>
        <v>3716765.3953986615</v>
      </c>
      <c r="BC48" s="42">
        <f>SUM(BC40:BC47)</f>
        <v>4915867.987458271</v>
      </c>
      <c r="BD48" s="42">
        <f t="shared" si="173"/>
        <v>12270640.307851572</v>
      </c>
      <c r="BE48" s="42">
        <f>SUM(BE40:BE47)</f>
        <v>10869112.927158937</v>
      </c>
      <c r="BF48" s="42">
        <f>SUM(BF40:BF47)</f>
        <v>13526476.485621721</v>
      </c>
      <c r="BG48" s="42">
        <f>SUM(BG40:BG47)</f>
        <v>3742473.2632825999</v>
      </c>
      <c r="BH48" s="42">
        <f>SUM(BH40:BH47)</f>
        <v>5106069.9312958289</v>
      </c>
      <c r="BI48" s="42">
        <f t="shared" si="173"/>
        <v>14168890.543563375</v>
      </c>
    </row>
    <row r="49" spans="2:61" x14ac:dyDescent="0.2">
      <c r="B49" s="5"/>
      <c r="C49" s="5"/>
      <c r="D49" s="5"/>
      <c r="E49" s="5"/>
      <c r="F49" s="5"/>
      <c r="G49" s="5"/>
      <c r="H49" s="5"/>
      <c r="I49" s="5"/>
      <c r="T49" s="43"/>
      <c r="U49" s="43"/>
      <c r="V49" s="43"/>
      <c r="W49" s="43"/>
      <c r="X49" s="43"/>
      <c r="Y49" s="43"/>
      <c r="Z49" s="43"/>
      <c r="AA49" s="43"/>
      <c r="AB49" s="43"/>
      <c r="AC49" s="43"/>
      <c r="AD49" s="43"/>
      <c r="AE49" s="43"/>
      <c r="AF49" s="43"/>
      <c r="AG49" s="43"/>
      <c r="AH49" s="425"/>
      <c r="AI49" s="43"/>
    </row>
    <row r="50" spans="2:61" x14ac:dyDescent="0.2">
      <c r="B50" s="8" t="s">
        <v>144</v>
      </c>
      <c r="C50" s="8"/>
      <c r="D50" s="8"/>
      <c r="E50" s="8"/>
      <c r="F50" s="8"/>
      <c r="G50" s="8"/>
      <c r="H50" s="8"/>
      <c r="I50" s="8"/>
      <c r="J50" s="35"/>
      <c r="K50" s="35"/>
      <c r="L50" s="35"/>
      <c r="M50" s="35"/>
      <c r="N50" s="35"/>
      <c r="O50" s="35"/>
      <c r="P50" s="35"/>
      <c r="Q50" s="35"/>
      <c r="R50" s="35"/>
      <c r="S50" s="35"/>
    </row>
    <row r="51" spans="2:61" s="443" customFormat="1" x14ac:dyDescent="0.2">
      <c r="B51" s="437" t="s">
        <v>145</v>
      </c>
      <c r="C51" s="437"/>
      <c r="D51" s="437"/>
      <c r="E51" s="437"/>
      <c r="F51" s="437"/>
      <c r="G51" s="450">
        <v>432050</v>
      </c>
      <c r="H51" s="451">
        <v>482629</v>
      </c>
      <c r="I51" s="450">
        <v>446581</v>
      </c>
      <c r="J51" s="440">
        <v>409759</v>
      </c>
      <c r="K51" s="440">
        <v>409759</v>
      </c>
      <c r="L51" s="440">
        <v>467220</v>
      </c>
      <c r="M51" s="440">
        <v>503533</v>
      </c>
      <c r="N51" s="440">
        <v>505810</v>
      </c>
      <c r="O51" s="440">
        <v>514282</v>
      </c>
      <c r="P51" s="440">
        <v>514282</v>
      </c>
      <c r="Q51" s="452">
        <v>488178</v>
      </c>
      <c r="R51" s="440">
        <v>562549</v>
      </c>
      <c r="S51" s="440">
        <v>487775</v>
      </c>
      <c r="T51" s="427">
        <v>423168</v>
      </c>
      <c r="U51" s="427">
        <v>423168</v>
      </c>
      <c r="V51" s="427">
        <v>471338</v>
      </c>
      <c r="W51" s="427">
        <v>516897</v>
      </c>
      <c r="X51" s="427">
        <v>499360</v>
      </c>
      <c r="Y51" s="427">
        <v>436823</v>
      </c>
      <c r="Z51" s="427">
        <v>436823</v>
      </c>
      <c r="AA51" s="427">
        <v>551548</v>
      </c>
      <c r="AB51" s="427">
        <v>554394</v>
      </c>
      <c r="AC51" s="427">
        <v>651332</v>
      </c>
      <c r="AD51" s="427">
        <v>600357</v>
      </c>
      <c r="AE51" s="427">
        <v>600357</v>
      </c>
      <c r="AF51" s="427">
        <v>1123804</v>
      </c>
      <c r="AG51" s="427">
        <v>1318446</v>
      </c>
      <c r="AH51" s="415">
        <f t="shared" ref="AH51:AN51" si="174">(AH9/365)*AH95</f>
        <v>153824.88750546996</v>
      </c>
      <c r="AI51" s="453">
        <f t="shared" si="174"/>
        <v>179505.36029063954</v>
      </c>
      <c r="AJ51" s="442">
        <f t="shared" si="174"/>
        <v>1023777.578838403</v>
      </c>
      <c r="AK51" s="442">
        <f t="shared" si="174"/>
        <v>326660.13037550199</v>
      </c>
      <c r="AL51" s="442">
        <f t="shared" si="174"/>
        <v>403297.90636992082</v>
      </c>
      <c r="AM51" s="442">
        <f t="shared" si="174"/>
        <v>178128.03419487737</v>
      </c>
      <c r="AN51" s="442">
        <f t="shared" si="174"/>
        <v>257093.86096932046</v>
      </c>
      <c r="AO51" s="442">
        <f t="shared" ref="AO51:BI51" si="175">(AO9/365)*AO95</f>
        <v>1162887.92699846</v>
      </c>
      <c r="AP51" s="442">
        <f>(AP9/365)*AP95</f>
        <v>762949.00040794769</v>
      </c>
      <c r="AQ51" s="442">
        <f>(AQ9/365)*AQ95</f>
        <v>1155949.0487673348</v>
      </c>
      <c r="AR51" s="442">
        <f>(AR9/365)*AR95</f>
        <v>166572.27618898422</v>
      </c>
      <c r="AS51" s="442">
        <f>(AS9/365)*AS95</f>
        <v>257093.86096932046</v>
      </c>
      <c r="AT51" s="442">
        <f t="shared" si="175"/>
        <v>2339204.2365330765</v>
      </c>
      <c r="AU51" s="442">
        <f>(AU9/365)*AU95</f>
        <v>835778.75661007245</v>
      </c>
      <c r="AV51" s="441">
        <f>(AV9/365)*AV95</f>
        <v>1180906.80715897</v>
      </c>
      <c r="AW51" s="441">
        <f>(AW9/365)*AW95</f>
        <v>193009.37710742312</v>
      </c>
      <c r="AX51" s="441">
        <f>(AX9/365)*AX95</f>
        <v>368934.46406058461</v>
      </c>
      <c r="AY51" s="442">
        <f t="shared" si="175"/>
        <v>2574854.3745455937</v>
      </c>
      <c r="AZ51" s="441">
        <f>(AZ9/365)*AZ95</f>
        <v>877567.69444057602</v>
      </c>
      <c r="BA51" s="441">
        <f>(BA9/365)*BA95</f>
        <v>1239952.1475169188</v>
      </c>
      <c r="BB51" s="442">
        <f>(BB9/365)*BB95</f>
        <v>202659.84596279426</v>
      </c>
      <c r="BC51" s="442">
        <f>(BC9/365)*BC95</f>
        <v>387381.18726361386</v>
      </c>
      <c r="BD51" s="442">
        <f t="shared" si="175"/>
        <v>2703597.0932728737</v>
      </c>
      <c r="BE51" s="442">
        <f>(BE9/365)*BE95</f>
        <v>921446.07916260487</v>
      </c>
      <c r="BF51" s="442">
        <f>(BF9/365)*BF95</f>
        <v>1301949.7548927648</v>
      </c>
      <c r="BG51" s="442">
        <f>(BG9/365)*BG95</f>
        <v>210766.23980130604</v>
      </c>
      <c r="BH51" s="442">
        <f>(BH9/365)*BH95</f>
        <v>406750.24662679457</v>
      </c>
      <c r="BI51" s="442">
        <f t="shared" si="175"/>
        <v>2836768.9821709823</v>
      </c>
    </row>
    <row r="52" spans="2:61" x14ac:dyDescent="0.2">
      <c r="B52" s="5" t="s">
        <v>146</v>
      </c>
      <c r="C52" s="5"/>
      <c r="D52" s="5"/>
      <c r="E52" s="5"/>
      <c r="F52" s="5"/>
      <c r="G52" s="180">
        <v>228764</v>
      </c>
      <c r="H52" s="182">
        <v>246564</v>
      </c>
      <c r="I52" s="180">
        <v>254267</v>
      </c>
      <c r="J52" s="33">
        <v>293115</v>
      </c>
      <c r="K52" s="33">
        <v>293115</v>
      </c>
      <c r="L52" s="33">
        <v>192980</v>
      </c>
      <c r="M52" s="33">
        <v>265605</v>
      </c>
      <c r="N52" s="33">
        <v>251527</v>
      </c>
      <c r="O52" s="33">
        <v>271597</v>
      </c>
      <c r="P52" s="33">
        <v>271597</v>
      </c>
      <c r="Q52" s="196">
        <v>187804</v>
      </c>
      <c r="R52" s="33">
        <v>250381</v>
      </c>
      <c r="S52" s="33">
        <v>255836</v>
      </c>
      <c r="T52" s="38">
        <v>292526</v>
      </c>
      <c r="U52" s="38">
        <v>292526</v>
      </c>
      <c r="V52" s="38">
        <v>189237</v>
      </c>
      <c r="W52" s="38">
        <v>258096</v>
      </c>
      <c r="X52" s="38">
        <v>289735</v>
      </c>
      <c r="Y52" s="38">
        <v>308950</v>
      </c>
      <c r="Z52" s="38">
        <v>308950</v>
      </c>
      <c r="AA52" s="38">
        <v>223319</v>
      </c>
      <c r="AB52" s="38">
        <v>292851</v>
      </c>
      <c r="AC52" s="38">
        <v>342059</v>
      </c>
      <c r="AD52" s="38">
        <v>385536</v>
      </c>
      <c r="AE52" s="38">
        <v>385536</v>
      </c>
      <c r="AF52" s="38">
        <v>628924</v>
      </c>
      <c r="AG52" s="38">
        <v>831852</v>
      </c>
      <c r="AH52" s="426">
        <f t="shared" ref="AH52:AQ55" si="176">AC52</f>
        <v>342059</v>
      </c>
      <c r="AI52" s="63">
        <f t="shared" si="176"/>
        <v>385536</v>
      </c>
      <c r="AJ52" s="63">
        <f t="shared" si="176"/>
        <v>385536</v>
      </c>
      <c r="AK52" s="63">
        <f t="shared" si="176"/>
        <v>628924</v>
      </c>
      <c r="AL52" s="63">
        <f t="shared" si="176"/>
        <v>831852</v>
      </c>
      <c r="AM52" s="63">
        <f t="shared" si="176"/>
        <v>342059</v>
      </c>
      <c r="AN52" s="63">
        <f t="shared" si="176"/>
        <v>385536</v>
      </c>
      <c r="AO52" s="63">
        <f t="shared" si="176"/>
        <v>385536</v>
      </c>
      <c r="AP52" s="63">
        <f t="shared" si="176"/>
        <v>628924</v>
      </c>
      <c r="AQ52" s="63">
        <f t="shared" si="176"/>
        <v>831852</v>
      </c>
      <c r="AR52" s="63">
        <f t="shared" ref="AR52:BA55" si="177">AM52</f>
        <v>342059</v>
      </c>
      <c r="AS52" s="63">
        <f t="shared" si="177"/>
        <v>385536</v>
      </c>
      <c r="AT52" s="63">
        <f t="shared" si="177"/>
        <v>385536</v>
      </c>
      <c r="AU52" s="63">
        <f t="shared" si="177"/>
        <v>628924</v>
      </c>
      <c r="AV52" s="63">
        <f t="shared" si="177"/>
        <v>831852</v>
      </c>
      <c r="AW52" s="63">
        <f t="shared" si="177"/>
        <v>342059</v>
      </c>
      <c r="AX52" s="63">
        <f t="shared" si="177"/>
        <v>385536</v>
      </c>
      <c r="AY52" s="63">
        <f t="shared" si="177"/>
        <v>385536</v>
      </c>
      <c r="AZ52" s="63">
        <f t="shared" si="177"/>
        <v>628924</v>
      </c>
      <c r="BA52" s="63">
        <f t="shared" si="177"/>
        <v>831852</v>
      </c>
      <c r="BB52" s="63">
        <f t="shared" ref="BB52:BH55" si="178">AW52</f>
        <v>342059</v>
      </c>
      <c r="BC52" s="63">
        <f t="shared" si="178"/>
        <v>385536</v>
      </c>
      <c r="BD52" s="63">
        <f t="shared" si="178"/>
        <v>385536</v>
      </c>
      <c r="BE52" s="63">
        <f t="shared" si="178"/>
        <v>628924</v>
      </c>
      <c r="BF52" s="63">
        <f t="shared" si="178"/>
        <v>831852</v>
      </c>
      <c r="BG52" s="63">
        <f t="shared" si="178"/>
        <v>342059</v>
      </c>
      <c r="BH52" s="63">
        <f t="shared" si="178"/>
        <v>385536</v>
      </c>
      <c r="BI52" s="63">
        <f t="shared" ref="BI52" si="179">BD52</f>
        <v>385536</v>
      </c>
    </row>
    <row r="53" spans="2:61" x14ac:dyDescent="0.2">
      <c r="B53" s="32" t="s">
        <v>147</v>
      </c>
      <c r="C53" s="32"/>
      <c r="D53" s="32"/>
      <c r="E53" s="32"/>
      <c r="F53" s="32"/>
      <c r="G53" s="177">
        <v>42239</v>
      </c>
      <c r="H53" s="177">
        <v>39458</v>
      </c>
      <c r="I53" s="193">
        <v>40688</v>
      </c>
      <c r="J53" s="44">
        <v>35606</v>
      </c>
      <c r="K53" s="44">
        <v>35606</v>
      </c>
      <c r="L53" s="44">
        <v>29523</v>
      </c>
      <c r="M53" s="44">
        <v>32687</v>
      </c>
      <c r="N53" s="71">
        <v>12426</v>
      </c>
      <c r="O53" s="35">
        <v>0</v>
      </c>
      <c r="P53" s="35">
        <v>0</v>
      </c>
      <c r="Q53" s="193">
        <v>30996</v>
      </c>
      <c r="R53" s="193">
        <v>19849</v>
      </c>
      <c r="S53" s="193">
        <v>13531</v>
      </c>
      <c r="T53" s="38">
        <v>0</v>
      </c>
      <c r="U53" s="38">
        <v>0</v>
      </c>
      <c r="V53" s="38">
        <v>0</v>
      </c>
      <c r="W53" s="38">
        <v>0</v>
      </c>
      <c r="X53" s="38">
        <v>0</v>
      </c>
      <c r="Y53" s="38">
        <v>0</v>
      </c>
      <c r="Z53" s="38">
        <v>0</v>
      </c>
      <c r="AA53" s="38">
        <v>0</v>
      </c>
      <c r="AB53" s="38">
        <v>0</v>
      </c>
      <c r="AC53" s="38">
        <v>0</v>
      </c>
      <c r="AD53" s="38">
        <v>0</v>
      </c>
      <c r="AE53" s="38">
        <v>0</v>
      </c>
      <c r="AF53" s="38">
        <v>0</v>
      </c>
      <c r="AG53" s="38">
        <v>0</v>
      </c>
      <c r="AH53" s="426">
        <f t="shared" si="176"/>
        <v>0</v>
      </c>
      <c r="AI53" s="63">
        <f t="shared" si="176"/>
        <v>0</v>
      </c>
      <c r="AJ53" s="63">
        <f t="shared" si="176"/>
        <v>0</v>
      </c>
      <c r="AK53" s="63">
        <f t="shared" si="176"/>
        <v>0</v>
      </c>
      <c r="AL53" s="63">
        <f t="shared" si="176"/>
        <v>0</v>
      </c>
      <c r="AM53" s="63">
        <f t="shared" si="176"/>
        <v>0</v>
      </c>
      <c r="AN53" s="63">
        <f t="shared" si="176"/>
        <v>0</v>
      </c>
      <c r="AO53" s="63">
        <f t="shared" si="176"/>
        <v>0</v>
      </c>
      <c r="AP53" s="63">
        <f t="shared" si="176"/>
        <v>0</v>
      </c>
      <c r="AQ53" s="63">
        <f t="shared" si="176"/>
        <v>0</v>
      </c>
      <c r="AR53" s="63">
        <f t="shared" si="177"/>
        <v>0</v>
      </c>
      <c r="AS53" s="63">
        <f t="shared" si="177"/>
        <v>0</v>
      </c>
      <c r="AT53" s="63">
        <f t="shared" si="177"/>
        <v>0</v>
      </c>
      <c r="AU53" s="63">
        <f t="shared" si="177"/>
        <v>0</v>
      </c>
      <c r="AV53" s="63">
        <f t="shared" si="177"/>
        <v>0</v>
      </c>
      <c r="AW53" s="63">
        <f t="shared" si="177"/>
        <v>0</v>
      </c>
      <c r="AX53" s="63">
        <f t="shared" si="177"/>
        <v>0</v>
      </c>
      <c r="AY53" s="63">
        <f t="shared" si="177"/>
        <v>0</v>
      </c>
      <c r="AZ53" s="63">
        <f t="shared" si="177"/>
        <v>0</v>
      </c>
      <c r="BA53" s="63">
        <f t="shared" si="177"/>
        <v>0</v>
      </c>
      <c r="BB53" s="63">
        <f t="shared" si="178"/>
        <v>0</v>
      </c>
      <c r="BC53" s="63">
        <f t="shared" si="178"/>
        <v>0</v>
      </c>
      <c r="BD53" s="63">
        <f t="shared" si="178"/>
        <v>0</v>
      </c>
      <c r="BE53" s="63">
        <f t="shared" si="178"/>
        <v>0</v>
      </c>
      <c r="BF53" s="63">
        <f t="shared" si="178"/>
        <v>0</v>
      </c>
      <c r="BG53" s="63">
        <f t="shared" si="178"/>
        <v>0</v>
      </c>
      <c r="BH53" s="63">
        <f t="shared" si="178"/>
        <v>0</v>
      </c>
      <c r="BI53" s="63">
        <f t="shared" ref="BI53:BI55" si="180">BD53</f>
        <v>0</v>
      </c>
    </row>
    <row r="54" spans="2:61" x14ac:dyDescent="0.2">
      <c r="B54" s="5" t="s">
        <v>148</v>
      </c>
      <c r="C54" s="5"/>
      <c r="D54" s="5"/>
      <c r="E54" s="5"/>
      <c r="F54" s="5"/>
      <c r="G54" s="180">
        <v>0</v>
      </c>
      <c r="H54" s="181">
        <v>0</v>
      </c>
      <c r="I54" s="181">
        <v>0</v>
      </c>
      <c r="J54" s="40">
        <v>0</v>
      </c>
      <c r="K54" s="40">
        <v>0</v>
      </c>
      <c r="L54" s="40">
        <v>0</v>
      </c>
      <c r="M54" s="40">
        <v>0</v>
      </c>
      <c r="N54" s="40">
        <v>0</v>
      </c>
      <c r="O54" s="40">
        <v>0</v>
      </c>
      <c r="P54" s="40">
        <v>0</v>
      </c>
      <c r="Q54" s="40">
        <v>0</v>
      </c>
      <c r="R54" s="40">
        <v>0</v>
      </c>
      <c r="S54" s="40">
        <v>0</v>
      </c>
      <c r="T54" s="40">
        <v>0</v>
      </c>
      <c r="U54" s="40">
        <v>0</v>
      </c>
      <c r="V54" s="33">
        <v>60291</v>
      </c>
      <c r="W54" s="33">
        <v>60576</v>
      </c>
      <c r="X54" s="33">
        <v>60280</v>
      </c>
      <c r="Y54" s="38">
        <v>61653</v>
      </c>
      <c r="Z54" s="38">
        <v>61653</v>
      </c>
      <c r="AA54" s="38">
        <v>61628</v>
      </c>
      <c r="AB54" s="38">
        <v>61887</v>
      </c>
      <c r="AC54" s="38">
        <v>61953</v>
      </c>
      <c r="AD54" s="38">
        <v>61625</v>
      </c>
      <c r="AE54" s="38">
        <v>61625</v>
      </c>
      <c r="AF54" s="38">
        <v>94316</v>
      </c>
      <c r="AG54" s="38">
        <v>91134</v>
      </c>
      <c r="AH54" s="426">
        <f t="shared" si="176"/>
        <v>61953</v>
      </c>
      <c r="AI54" s="63">
        <f t="shared" si="176"/>
        <v>61625</v>
      </c>
      <c r="AJ54" s="63">
        <f t="shared" si="176"/>
        <v>61625</v>
      </c>
      <c r="AK54" s="63">
        <f t="shared" si="176"/>
        <v>94316</v>
      </c>
      <c r="AL54" s="63">
        <f t="shared" si="176"/>
        <v>91134</v>
      </c>
      <c r="AM54" s="63">
        <f t="shared" si="176"/>
        <v>61953</v>
      </c>
      <c r="AN54" s="63">
        <f t="shared" si="176"/>
        <v>61625</v>
      </c>
      <c r="AO54" s="63">
        <f t="shared" si="176"/>
        <v>61625</v>
      </c>
      <c r="AP54" s="63">
        <f t="shared" si="176"/>
        <v>94316</v>
      </c>
      <c r="AQ54" s="63">
        <f t="shared" si="176"/>
        <v>91134</v>
      </c>
      <c r="AR54" s="63">
        <f t="shared" si="177"/>
        <v>61953</v>
      </c>
      <c r="AS54" s="63">
        <f t="shared" si="177"/>
        <v>61625</v>
      </c>
      <c r="AT54" s="63">
        <f t="shared" si="177"/>
        <v>61625</v>
      </c>
      <c r="AU54" s="63">
        <f t="shared" si="177"/>
        <v>94316</v>
      </c>
      <c r="AV54" s="63">
        <f t="shared" si="177"/>
        <v>91134</v>
      </c>
      <c r="AW54" s="63">
        <f t="shared" si="177"/>
        <v>61953</v>
      </c>
      <c r="AX54" s="63">
        <f t="shared" si="177"/>
        <v>61625</v>
      </c>
      <c r="AY54" s="63">
        <f t="shared" si="177"/>
        <v>61625</v>
      </c>
      <c r="AZ54" s="63">
        <f t="shared" si="177"/>
        <v>94316</v>
      </c>
      <c r="BA54" s="63">
        <f t="shared" si="177"/>
        <v>91134</v>
      </c>
      <c r="BB54" s="63">
        <f t="shared" si="178"/>
        <v>61953</v>
      </c>
      <c r="BC54" s="63">
        <f t="shared" si="178"/>
        <v>61625</v>
      </c>
      <c r="BD54" s="63">
        <f t="shared" si="178"/>
        <v>61625</v>
      </c>
      <c r="BE54" s="63">
        <f t="shared" si="178"/>
        <v>94316</v>
      </c>
      <c r="BF54" s="63">
        <f t="shared" si="178"/>
        <v>91134</v>
      </c>
      <c r="BG54" s="63">
        <f t="shared" si="178"/>
        <v>61953</v>
      </c>
      <c r="BH54" s="63">
        <f t="shared" si="178"/>
        <v>61625</v>
      </c>
      <c r="BI54" s="63">
        <f t="shared" si="180"/>
        <v>61625</v>
      </c>
    </row>
    <row r="55" spans="2:61" x14ac:dyDescent="0.2">
      <c r="B55" s="5" t="s">
        <v>149</v>
      </c>
      <c r="C55" s="5"/>
      <c r="D55" s="5"/>
      <c r="E55" s="5"/>
      <c r="F55" s="5"/>
      <c r="G55" s="180">
        <v>29416</v>
      </c>
      <c r="H55" s="180">
        <v>28540</v>
      </c>
      <c r="I55" s="180">
        <v>18985</v>
      </c>
      <c r="J55" s="33">
        <v>16217</v>
      </c>
      <c r="K55" s="33">
        <v>16217</v>
      </c>
      <c r="L55" s="33">
        <v>16144</v>
      </c>
      <c r="M55" s="33">
        <v>12939</v>
      </c>
      <c r="N55" s="44">
        <v>12165</v>
      </c>
      <c r="O55" s="33">
        <v>12475</v>
      </c>
      <c r="P55" s="33">
        <v>12475</v>
      </c>
      <c r="Q55" s="33">
        <v>12413</v>
      </c>
      <c r="R55" s="33">
        <v>13971</v>
      </c>
      <c r="S55" s="33">
        <v>14620</v>
      </c>
      <c r="T55" s="38">
        <v>15565</v>
      </c>
      <c r="U55" s="38">
        <v>15565</v>
      </c>
      <c r="V55" s="38">
        <v>17045</v>
      </c>
      <c r="W55" s="38">
        <v>12650</v>
      </c>
      <c r="X55" s="38">
        <v>14370</v>
      </c>
      <c r="Y55" s="38">
        <v>13875</v>
      </c>
      <c r="Z55" s="38">
        <v>13875</v>
      </c>
      <c r="AA55" s="38">
        <v>22518</v>
      </c>
      <c r="AB55" s="38">
        <v>23974</v>
      </c>
      <c r="AC55" s="38">
        <v>29527</v>
      </c>
      <c r="AD55" s="38">
        <v>27335</v>
      </c>
      <c r="AE55" s="38">
        <v>27335</v>
      </c>
      <c r="AF55" s="38">
        <v>14134</v>
      </c>
      <c r="AG55" s="38">
        <v>11316</v>
      </c>
      <c r="AH55" s="426">
        <f t="shared" si="176"/>
        <v>29527</v>
      </c>
      <c r="AI55" s="63">
        <f t="shared" si="176"/>
        <v>27335</v>
      </c>
      <c r="AJ55" s="63">
        <f t="shared" si="176"/>
        <v>27335</v>
      </c>
      <c r="AK55" s="63">
        <f t="shared" si="176"/>
        <v>14134</v>
      </c>
      <c r="AL55" s="63">
        <f t="shared" si="176"/>
        <v>11316</v>
      </c>
      <c r="AM55" s="63">
        <f t="shared" si="176"/>
        <v>29527</v>
      </c>
      <c r="AN55" s="63">
        <f t="shared" si="176"/>
        <v>27335</v>
      </c>
      <c r="AO55" s="63">
        <f t="shared" si="176"/>
        <v>27335</v>
      </c>
      <c r="AP55" s="63">
        <f t="shared" si="176"/>
        <v>14134</v>
      </c>
      <c r="AQ55" s="63">
        <f t="shared" si="176"/>
        <v>11316</v>
      </c>
      <c r="AR55" s="63">
        <f t="shared" si="177"/>
        <v>29527</v>
      </c>
      <c r="AS55" s="63">
        <f t="shared" si="177"/>
        <v>27335</v>
      </c>
      <c r="AT55" s="63">
        <f t="shared" si="177"/>
        <v>27335</v>
      </c>
      <c r="AU55" s="63">
        <f t="shared" si="177"/>
        <v>14134</v>
      </c>
      <c r="AV55" s="63">
        <f t="shared" si="177"/>
        <v>11316</v>
      </c>
      <c r="AW55" s="63">
        <f t="shared" si="177"/>
        <v>29527</v>
      </c>
      <c r="AX55" s="63">
        <f t="shared" si="177"/>
        <v>27335</v>
      </c>
      <c r="AY55" s="63">
        <f t="shared" si="177"/>
        <v>27335</v>
      </c>
      <c r="AZ55" s="63">
        <f t="shared" si="177"/>
        <v>14134</v>
      </c>
      <c r="BA55" s="63">
        <f t="shared" si="177"/>
        <v>11316</v>
      </c>
      <c r="BB55" s="63">
        <f t="shared" si="178"/>
        <v>29527</v>
      </c>
      <c r="BC55" s="63">
        <f t="shared" si="178"/>
        <v>27335</v>
      </c>
      <c r="BD55" s="63">
        <f t="shared" si="178"/>
        <v>27335</v>
      </c>
      <c r="BE55" s="63">
        <f t="shared" si="178"/>
        <v>14134</v>
      </c>
      <c r="BF55" s="63">
        <f t="shared" si="178"/>
        <v>11316</v>
      </c>
      <c r="BG55" s="63">
        <f t="shared" si="178"/>
        <v>29527</v>
      </c>
      <c r="BH55" s="63">
        <f t="shared" si="178"/>
        <v>27335</v>
      </c>
      <c r="BI55" s="63">
        <f t="shared" si="180"/>
        <v>27335</v>
      </c>
    </row>
    <row r="56" spans="2:61" x14ac:dyDescent="0.2">
      <c r="B56" s="5" t="s">
        <v>150</v>
      </c>
      <c r="C56" s="5"/>
      <c r="D56" s="5"/>
      <c r="E56" s="5"/>
      <c r="F56" s="5"/>
      <c r="G56" s="39">
        <f t="shared" ref="G56:I56" si="181">SUM(G51:G55)</f>
        <v>732469</v>
      </c>
      <c r="H56" s="39">
        <f t="shared" si="181"/>
        <v>797191</v>
      </c>
      <c r="I56" s="39">
        <f t="shared" si="181"/>
        <v>760521</v>
      </c>
      <c r="J56" s="39">
        <f>SUM(J51:J55)</f>
        <v>754697</v>
      </c>
      <c r="K56" s="39">
        <f>SUM(K51:K55)</f>
        <v>754697</v>
      </c>
      <c r="L56" s="39">
        <f t="shared" ref="L56:M56" si="182">SUM(L51:L55)</f>
        <v>705867</v>
      </c>
      <c r="M56" s="39">
        <f t="shared" si="182"/>
        <v>814764</v>
      </c>
      <c r="N56" s="39">
        <f>SUM(N51:N55)</f>
        <v>781928</v>
      </c>
      <c r="O56" s="39">
        <f>SUM(O51:O55)</f>
        <v>798354</v>
      </c>
      <c r="P56" s="39">
        <f t="shared" ref="P56:BI56" si="183">SUM(P51:P55)</f>
        <v>798354</v>
      </c>
      <c r="Q56" s="39">
        <v>719391</v>
      </c>
      <c r="R56" s="39">
        <v>846750</v>
      </c>
      <c r="S56" s="39">
        <v>771762</v>
      </c>
      <c r="T56" s="39">
        <f>SUM(T51:T55)</f>
        <v>731259</v>
      </c>
      <c r="U56" s="39">
        <f t="shared" si="183"/>
        <v>731259</v>
      </c>
      <c r="V56" s="39">
        <f t="shared" si="183"/>
        <v>737911</v>
      </c>
      <c r="W56" s="39">
        <f t="shared" si="183"/>
        <v>848219</v>
      </c>
      <c r="X56" s="39">
        <f t="shared" si="183"/>
        <v>863745</v>
      </c>
      <c r="Y56" s="39">
        <f>SUM(Y51:Y55)</f>
        <v>821301</v>
      </c>
      <c r="Z56" s="39">
        <f t="shared" si="183"/>
        <v>821301</v>
      </c>
      <c r="AA56" s="39">
        <f t="shared" si="183"/>
        <v>859013</v>
      </c>
      <c r="AB56" s="39">
        <f t="shared" si="183"/>
        <v>933106</v>
      </c>
      <c r="AC56" s="39">
        <f t="shared" si="183"/>
        <v>1084871</v>
      </c>
      <c r="AD56" s="39">
        <f>SUM(AD51:AD55)</f>
        <v>1074853</v>
      </c>
      <c r="AE56" s="39">
        <f t="shared" si="183"/>
        <v>1074853</v>
      </c>
      <c r="AF56" s="39">
        <f t="shared" si="183"/>
        <v>1861178</v>
      </c>
      <c r="AG56" s="39">
        <f t="shared" si="183"/>
        <v>2252748</v>
      </c>
      <c r="AH56" s="424">
        <f>SUM(AH51:AH55)</f>
        <v>587363.88750546996</v>
      </c>
      <c r="AI56" s="39">
        <f>SUM(AI51:AI55)</f>
        <v>654001.36029063957</v>
      </c>
      <c r="AJ56" s="39">
        <f t="shared" si="183"/>
        <v>1498273.5788384029</v>
      </c>
      <c r="AK56" s="39">
        <f>SUM(AK51:AK55)</f>
        <v>1064034.1303755019</v>
      </c>
      <c r="AL56" s="39">
        <f>SUM(AL51:AL55)</f>
        <v>1337599.9063699208</v>
      </c>
      <c r="AM56" s="39">
        <f>SUM(AM51:AM55)</f>
        <v>611667.03419487737</v>
      </c>
      <c r="AN56" s="39">
        <f>SUM(AN51:AN55)</f>
        <v>731589.86096932041</v>
      </c>
      <c r="AO56" s="39">
        <f t="shared" si="183"/>
        <v>1637383.92699846</v>
      </c>
      <c r="AP56" s="39">
        <f>SUM(AP51:AP55)</f>
        <v>1500323.0004079477</v>
      </c>
      <c r="AQ56" s="39">
        <f>SUM(AQ51:AQ55)</f>
        <v>2090251.0487673348</v>
      </c>
      <c r="AR56" s="39">
        <f>SUM(AR51:AR55)</f>
        <v>600111.27618898428</v>
      </c>
      <c r="AS56" s="39">
        <f>SUM(AS51:AS55)</f>
        <v>731589.86096932041</v>
      </c>
      <c r="AT56" s="39">
        <f t="shared" si="183"/>
        <v>2813700.2365330765</v>
      </c>
      <c r="AU56" s="39">
        <f>SUM(AU51:AU55)</f>
        <v>1573152.7566100725</v>
      </c>
      <c r="AV56" s="39">
        <f>SUM(AV51:AV55)</f>
        <v>2115208.8071589703</v>
      </c>
      <c r="AW56" s="39">
        <f>SUM(AW51:AW55)</f>
        <v>626548.37710742315</v>
      </c>
      <c r="AX56" s="39">
        <f>SUM(AX51:AX55)</f>
        <v>843430.46406058455</v>
      </c>
      <c r="AY56" s="39">
        <f t="shared" si="183"/>
        <v>3049350.3745455937</v>
      </c>
      <c r="AZ56" s="39">
        <f>SUM(AZ51:AZ55)</f>
        <v>1614941.694440576</v>
      </c>
      <c r="BA56" s="39">
        <f>SUM(BA51:BA55)</f>
        <v>2174254.1475169188</v>
      </c>
      <c r="BB56" s="39">
        <f>SUM(BB51:BB55)</f>
        <v>636198.84596279426</v>
      </c>
      <c r="BC56" s="39">
        <f>SUM(BC51:BC55)</f>
        <v>861877.1872636138</v>
      </c>
      <c r="BD56" s="39">
        <f t="shared" si="183"/>
        <v>3178093.0932728737</v>
      </c>
      <c r="BE56" s="39">
        <f>SUM(BE51:BE55)</f>
        <v>1658820.0791626049</v>
      </c>
      <c r="BF56" s="39">
        <f>SUM(BF51:BF55)</f>
        <v>2236251.7548927646</v>
      </c>
      <c r="BG56" s="39">
        <f>SUM(BG51:BG55)</f>
        <v>644305.23980130604</v>
      </c>
      <c r="BH56" s="39">
        <f>SUM(BH51:BH55)</f>
        <v>881246.24662679457</v>
      </c>
      <c r="BI56" s="39">
        <f t="shared" si="183"/>
        <v>3311264.9821709823</v>
      </c>
    </row>
    <row r="57" spans="2:61" x14ac:dyDescent="0.2">
      <c r="B57" s="5" t="s">
        <v>151</v>
      </c>
      <c r="C57" s="5"/>
      <c r="D57" s="5"/>
      <c r="E57" s="5"/>
      <c r="F57" s="5"/>
      <c r="G57" s="181">
        <v>0</v>
      </c>
      <c r="H57" s="181">
        <v>0</v>
      </c>
      <c r="I57" s="181">
        <v>0</v>
      </c>
      <c r="J57" s="40">
        <v>0</v>
      </c>
      <c r="K57" s="40">
        <v>0</v>
      </c>
      <c r="L57" s="40">
        <v>0</v>
      </c>
      <c r="M57" s="40">
        <v>0</v>
      </c>
      <c r="N57" s="40">
        <v>0</v>
      </c>
      <c r="O57" s="40">
        <v>0</v>
      </c>
      <c r="P57" s="40">
        <v>0</v>
      </c>
      <c r="Q57" s="40">
        <v>0</v>
      </c>
      <c r="R57" s="40">
        <v>0</v>
      </c>
      <c r="S57" s="40">
        <v>0</v>
      </c>
      <c r="T57" s="40">
        <v>0</v>
      </c>
      <c r="U57" s="40">
        <v>0</v>
      </c>
      <c r="V57" s="33">
        <v>213841</v>
      </c>
      <c r="W57" s="33">
        <v>218001</v>
      </c>
      <c r="X57" s="33">
        <v>232475</v>
      </c>
      <c r="Y57" s="38">
        <v>236948</v>
      </c>
      <c r="Z57" s="38">
        <v>236948</v>
      </c>
      <c r="AA57" s="38">
        <v>230355</v>
      </c>
      <c r="AB57" s="38">
        <v>230634</v>
      </c>
      <c r="AC57" s="38">
        <v>222132</v>
      </c>
      <c r="AD57" s="38">
        <v>219239</v>
      </c>
      <c r="AE57" s="38">
        <v>219239</v>
      </c>
      <c r="AF57" s="38">
        <v>356549</v>
      </c>
      <c r="AG57" s="38">
        <v>347823</v>
      </c>
      <c r="AH57" s="426">
        <f t="shared" ref="AH57:AQ59" si="184">AC57</f>
        <v>222132</v>
      </c>
      <c r="AI57" s="63">
        <f t="shared" si="184"/>
        <v>219239</v>
      </c>
      <c r="AJ57" s="63">
        <f t="shared" si="184"/>
        <v>219239</v>
      </c>
      <c r="AK57" s="63">
        <f t="shared" si="184"/>
        <v>356549</v>
      </c>
      <c r="AL57" s="63">
        <f t="shared" si="184"/>
        <v>347823</v>
      </c>
      <c r="AM57" s="63">
        <f t="shared" si="184"/>
        <v>222132</v>
      </c>
      <c r="AN57" s="63">
        <f t="shared" si="184"/>
        <v>219239</v>
      </c>
      <c r="AO57" s="63">
        <f t="shared" si="184"/>
        <v>219239</v>
      </c>
      <c r="AP57" s="63">
        <f t="shared" si="184"/>
        <v>356549</v>
      </c>
      <c r="AQ57" s="63">
        <f t="shared" si="184"/>
        <v>347823</v>
      </c>
      <c r="AR57" s="63">
        <f t="shared" ref="AR57:BA59" si="185">AM57</f>
        <v>222132</v>
      </c>
      <c r="AS57" s="63">
        <f t="shared" si="185"/>
        <v>219239</v>
      </c>
      <c r="AT57" s="63">
        <f t="shared" si="185"/>
        <v>219239</v>
      </c>
      <c r="AU57" s="63">
        <f t="shared" si="185"/>
        <v>356549</v>
      </c>
      <c r="AV57" s="63">
        <f t="shared" si="185"/>
        <v>347823</v>
      </c>
      <c r="AW57" s="63">
        <f t="shared" si="185"/>
        <v>222132</v>
      </c>
      <c r="AX57" s="63">
        <f t="shared" si="185"/>
        <v>219239</v>
      </c>
      <c r="AY57" s="63">
        <f t="shared" si="185"/>
        <v>219239</v>
      </c>
      <c r="AZ57" s="63">
        <f t="shared" si="185"/>
        <v>356549</v>
      </c>
      <c r="BA57" s="63">
        <f t="shared" si="185"/>
        <v>347823</v>
      </c>
      <c r="BB57" s="63">
        <f t="shared" ref="BB57:BH59" si="186">AW57</f>
        <v>222132</v>
      </c>
      <c r="BC57" s="63">
        <f t="shared" si="186"/>
        <v>219239</v>
      </c>
      <c r="BD57" s="63">
        <f t="shared" si="186"/>
        <v>219239</v>
      </c>
      <c r="BE57" s="63">
        <f t="shared" si="186"/>
        <v>356549</v>
      </c>
      <c r="BF57" s="63">
        <f t="shared" si="186"/>
        <v>347823</v>
      </c>
      <c r="BG57" s="63">
        <f t="shared" si="186"/>
        <v>222132</v>
      </c>
      <c r="BH57" s="63">
        <f t="shared" si="186"/>
        <v>219239</v>
      </c>
      <c r="BI57" s="63">
        <f t="shared" ref="BI57" si="187">BD57</f>
        <v>219239</v>
      </c>
    </row>
    <row r="58" spans="2:61" s="443" customFormat="1" x14ac:dyDescent="0.2">
      <c r="B58" s="437" t="s">
        <v>152</v>
      </c>
      <c r="C58" s="437"/>
      <c r="D58" s="437"/>
      <c r="E58" s="437"/>
      <c r="F58" s="437"/>
      <c r="G58" s="450">
        <v>1897713</v>
      </c>
      <c r="H58" s="450">
        <v>1909823</v>
      </c>
      <c r="I58" s="450">
        <v>1924817</v>
      </c>
      <c r="J58" s="440">
        <v>1785835</v>
      </c>
      <c r="K58" s="440">
        <v>1785835</v>
      </c>
      <c r="L58" s="440">
        <v>1926641</v>
      </c>
      <c r="M58" s="440">
        <v>1887802</v>
      </c>
      <c r="N58" s="440">
        <v>1839072</v>
      </c>
      <c r="O58" s="440">
        <v>1771945</v>
      </c>
      <c r="P58" s="440">
        <v>1771945</v>
      </c>
      <c r="Q58" s="440">
        <v>1928410</v>
      </c>
      <c r="R58" s="440">
        <v>1954243</v>
      </c>
      <c r="S58" s="440">
        <v>1826962</v>
      </c>
      <c r="T58" s="427">
        <v>1545729</v>
      </c>
      <c r="U58" s="427">
        <v>1545729</v>
      </c>
      <c r="V58" s="427">
        <v>1562085</v>
      </c>
      <c r="W58" s="427">
        <v>1420462</v>
      </c>
      <c r="X58" s="427">
        <v>1350467</v>
      </c>
      <c r="Y58" s="427">
        <v>1277398</v>
      </c>
      <c r="Z58" s="427">
        <v>1277398</v>
      </c>
      <c r="AA58" s="427">
        <v>1545211</v>
      </c>
      <c r="AB58" s="427">
        <v>1577884</v>
      </c>
      <c r="AC58" s="427">
        <v>1574146</v>
      </c>
      <c r="AD58" s="427">
        <v>1596905</v>
      </c>
      <c r="AE58" s="427">
        <v>1596905</v>
      </c>
      <c r="AF58" s="427">
        <v>1658109</v>
      </c>
      <c r="AG58" s="427">
        <v>2043817</v>
      </c>
      <c r="AH58" s="425">
        <f t="shared" si="184"/>
        <v>1574146</v>
      </c>
      <c r="AI58" s="427">
        <f t="shared" si="184"/>
        <v>1596905</v>
      </c>
      <c r="AJ58" s="454">
        <f t="shared" si="184"/>
        <v>1596905</v>
      </c>
      <c r="AK58" s="454">
        <f t="shared" si="184"/>
        <v>1658109</v>
      </c>
      <c r="AL58" s="454">
        <f t="shared" si="184"/>
        <v>2043817</v>
      </c>
      <c r="AM58" s="454">
        <f t="shared" si="184"/>
        <v>1574146</v>
      </c>
      <c r="AN58" s="454">
        <f t="shared" si="184"/>
        <v>1596905</v>
      </c>
      <c r="AO58" s="454">
        <f t="shared" si="184"/>
        <v>1596905</v>
      </c>
      <c r="AP58" s="454">
        <f t="shared" si="184"/>
        <v>1658109</v>
      </c>
      <c r="AQ58" s="454">
        <f t="shared" si="184"/>
        <v>2043817</v>
      </c>
      <c r="AR58" s="454">
        <f t="shared" si="185"/>
        <v>1574146</v>
      </c>
      <c r="AS58" s="454">
        <f t="shared" si="185"/>
        <v>1596905</v>
      </c>
      <c r="AT58" s="454">
        <f t="shared" si="185"/>
        <v>1596905</v>
      </c>
      <c r="AU58" s="454">
        <f t="shared" si="185"/>
        <v>1658109</v>
      </c>
      <c r="AV58" s="454">
        <f t="shared" si="185"/>
        <v>2043817</v>
      </c>
      <c r="AW58" s="454">
        <f t="shared" si="185"/>
        <v>1574146</v>
      </c>
      <c r="AX58" s="454">
        <f t="shared" si="185"/>
        <v>1596905</v>
      </c>
      <c r="AY58" s="454">
        <f t="shared" si="185"/>
        <v>1596905</v>
      </c>
      <c r="AZ58" s="454">
        <f t="shared" si="185"/>
        <v>1658109</v>
      </c>
      <c r="BA58" s="454">
        <f t="shared" si="185"/>
        <v>2043817</v>
      </c>
      <c r="BB58" s="454">
        <f t="shared" si="186"/>
        <v>1574146</v>
      </c>
      <c r="BC58" s="454">
        <f t="shared" si="186"/>
        <v>1596905</v>
      </c>
      <c r="BD58" s="454">
        <f t="shared" si="186"/>
        <v>1596905</v>
      </c>
      <c r="BE58" s="454">
        <f t="shared" si="186"/>
        <v>1658109</v>
      </c>
      <c r="BF58" s="454">
        <f t="shared" si="186"/>
        <v>2043817</v>
      </c>
      <c r="BG58" s="454">
        <f t="shared" si="186"/>
        <v>1574146</v>
      </c>
      <c r="BH58" s="454">
        <f t="shared" si="186"/>
        <v>1596905</v>
      </c>
      <c r="BI58" s="454">
        <f t="shared" ref="BI58:BI59" si="188">BD58</f>
        <v>1596905</v>
      </c>
    </row>
    <row r="59" spans="2:61" x14ac:dyDescent="0.2">
      <c r="B59" s="5" t="s">
        <v>141</v>
      </c>
      <c r="C59" s="5"/>
      <c r="D59" s="5"/>
      <c r="E59" s="5"/>
      <c r="F59" s="5"/>
      <c r="G59" s="181">
        <v>0</v>
      </c>
      <c r="H59" s="181">
        <v>0</v>
      </c>
      <c r="I59" s="5">
        <v>0</v>
      </c>
      <c r="J59" s="40">
        <v>0</v>
      </c>
      <c r="K59" s="40">
        <v>0</v>
      </c>
      <c r="L59" s="40">
        <v>0</v>
      </c>
      <c r="M59" s="40">
        <v>0</v>
      </c>
      <c r="N59" s="40">
        <v>0</v>
      </c>
      <c r="O59" s="40">
        <v>0</v>
      </c>
      <c r="P59" s="40">
        <v>0</v>
      </c>
      <c r="Q59" s="40">
        <v>0</v>
      </c>
      <c r="R59" s="40">
        <v>0</v>
      </c>
      <c r="S59" s="40">
        <v>0</v>
      </c>
      <c r="T59" s="40">
        <v>0</v>
      </c>
      <c r="U59" s="40">
        <v>0</v>
      </c>
      <c r="V59" s="40">
        <v>0</v>
      </c>
      <c r="W59" s="33">
        <v>5967</v>
      </c>
      <c r="X59" s="33">
        <v>18836</v>
      </c>
      <c r="Y59" s="38">
        <v>36645</v>
      </c>
      <c r="Z59" s="38">
        <v>36645</v>
      </c>
      <c r="AA59" s="38">
        <v>37496</v>
      </c>
      <c r="AB59" s="38">
        <v>38169</v>
      </c>
      <c r="AC59" s="38">
        <v>37360</v>
      </c>
      <c r="AD59" s="38">
        <v>49495</v>
      </c>
      <c r="AE59" s="38">
        <v>49495</v>
      </c>
      <c r="AF59" s="38">
        <v>390577</v>
      </c>
      <c r="AG59" s="38">
        <v>362061</v>
      </c>
      <c r="AH59" s="426">
        <f t="shared" si="184"/>
        <v>37360</v>
      </c>
      <c r="AI59" s="63">
        <f t="shared" si="184"/>
        <v>49495</v>
      </c>
      <c r="AJ59" s="63">
        <f t="shared" si="184"/>
        <v>49495</v>
      </c>
      <c r="AK59" s="63">
        <f t="shared" si="184"/>
        <v>390577</v>
      </c>
      <c r="AL59" s="63">
        <f t="shared" si="184"/>
        <v>362061</v>
      </c>
      <c r="AM59" s="63">
        <f t="shared" si="184"/>
        <v>37360</v>
      </c>
      <c r="AN59" s="63">
        <f t="shared" si="184"/>
        <v>49495</v>
      </c>
      <c r="AO59" s="71">
        <f t="shared" si="184"/>
        <v>49495</v>
      </c>
      <c r="AP59" s="71">
        <f t="shared" si="184"/>
        <v>390577</v>
      </c>
      <c r="AQ59" s="71">
        <f t="shared" si="184"/>
        <v>362061</v>
      </c>
      <c r="AR59" s="71">
        <f t="shared" si="185"/>
        <v>37360</v>
      </c>
      <c r="AS59" s="71">
        <f t="shared" si="185"/>
        <v>49495</v>
      </c>
      <c r="AT59" s="71">
        <f t="shared" si="185"/>
        <v>49495</v>
      </c>
      <c r="AU59" s="71">
        <f t="shared" si="185"/>
        <v>390577</v>
      </c>
      <c r="AV59" s="71">
        <f t="shared" si="185"/>
        <v>362061</v>
      </c>
      <c r="AW59" s="71">
        <f t="shared" si="185"/>
        <v>37360</v>
      </c>
      <c r="AX59" s="71">
        <f t="shared" si="185"/>
        <v>49495</v>
      </c>
      <c r="AY59" s="71">
        <f t="shared" si="185"/>
        <v>49495</v>
      </c>
      <c r="AZ59" s="71">
        <f t="shared" si="185"/>
        <v>390577</v>
      </c>
      <c r="BA59" s="71">
        <f t="shared" si="185"/>
        <v>362061</v>
      </c>
      <c r="BB59" s="71">
        <f t="shared" si="186"/>
        <v>37360</v>
      </c>
      <c r="BC59" s="71">
        <f t="shared" si="186"/>
        <v>49495</v>
      </c>
      <c r="BD59" s="71">
        <f t="shared" si="186"/>
        <v>49495</v>
      </c>
      <c r="BE59" s="71">
        <f t="shared" si="186"/>
        <v>390577</v>
      </c>
      <c r="BF59" s="71">
        <f t="shared" si="186"/>
        <v>362061</v>
      </c>
      <c r="BG59" s="71">
        <f t="shared" si="186"/>
        <v>37360</v>
      </c>
      <c r="BH59" s="71">
        <f t="shared" si="186"/>
        <v>49495</v>
      </c>
      <c r="BI59" s="71">
        <f t="shared" si="188"/>
        <v>49495</v>
      </c>
    </row>
    <row r="60" spans="2:61" x14ac:dyDescent="0.2">
      <c r="B60" s="5" t="s">
        <v>153</v>
      </c>
      <c r="C60" s="5"/>
      <c r="D60" s="5"/>
      <c r="E60" s="5"/>
      <c r="F60" s="5"/>
      <c r="G60" s="180">
        <v>84975</v>
      </c>
      <c r="H60" s="180">
        <v>89055</v>
      </c>
      <c r="I60" s="180">
        <v>66651</v>
      </c>
      <c r="J60" s="33">
        <v>59735</v>
      </c>
      <c r="K60" s="33">
        <v>59735</v>
      </c>
      <c r="L60" s="33">
        <v>58919</v>
      </c>
      <c r="M60" s="33">
        <v>61039</v>
      </c>
      <c r="N60" s="33">
        <v>60040</v>
      </c>
      <c r="O60" s="33">
        <v>59616</v>
      </c>
      <c r="P60" s="33">
        <v>59616</v>
      </c>
      <c r="Q60" s="196">
        <v>60915</v>
      </c>
      <c r="R60" s="33">
        <v>60388</v>
      </c>
      <c r="S60" s="33">
        <v>56546</v>
      </c>
      <c r="T60" s="38">
        <v>58983</v>
      </c>
      <c r="U60" s="38">
        <v>58983</v>
      </c>
      <c r="V60" s="38">
        <v>53157</v>
      </c>
      <c r="W60" s="38">
        <v>53191</v>
      </c>
      <c r="X60" s="38">
        <v>53235</v>
      </c>
      <c r="Y60" s="38">
        <v>52245</v>
      </c>
      <c r="Z60" s="38">
        <v>52245</v>
      </c>
      <c r="AA60" s="38">
        <v>55745</v>
      </c>
      <c r="AB60" s="38">
        <v>68951</v>
      </c>
      <c r="AC60" s="38">
        <v>88560</v>
      </c>
      <c r="AD60" s="38">
        <v>80396</v>
      </c>
      <c r="AE60" s="38">
        <v>80396</v>
      </c>
      <c r="AF60" s="38">
        <v>129148</v>
      </c>
      <c r="AG60" s="38">
        <v>137190</v>
      </c>
      <c r="AH60" s="427">
        <v>137190</v>
      </c>
      <c r="AI60" s="38">
        <v>137190</v>
      </c>
      <c r="AJ60" s="38">
        <v>137190</v>
      </c>
      <c r="AK60" s="38">
        <v>137190</v>
      </c>
      <c r="AL60" s="38">
        <v>137190</v>
      </c>
      <c r="AM60" s="38">
        <v>137190</v>
      </c>
      <c r="AN60" s="38">
        <v>137190</v>
      </c>
      <c r="AO60" s="38">
        <v>137190</v>
      </c>
      <c r="AP60" s="38">
        <v>137190</v>
      </c>
      <c r="AQ60" s="38">
        <v>137190</v>
      </c>
      <c r="AR60" s="38">
        <v>137190</v>
      </c>
      <c r="AS60" s="38">
        <v>137190</v>
      </c>
      <c r="AT60" s="38">
        <v>137190</v>
      </c>
      <c r="AU60" s="38">
        <v>137190</v>
      </c>
      <c r="AV60" s="38">
        <v>137190</v>
      </c>
      <c r="AW60" s="38">
        <v>137190</v>
      </c>
      <c r="AX60" s="38">
        <v>137190</v>
      </c>
      <c r="AY60" s="38">
        <v>137190</v>
      </c>
      <c r="AZ60" s="38">
        <v>137190</v>
      </c>
      <c r="BA60" s="38">
        <v>137190</v>
      </c>
      <c r="BB60" s="38">
        <v>137190</v>
      </c>
      <c r="BC60" s="38">
        <v>137190</v>
      </c>
      <c r="BD60" s="38">
        <v>137190</v>
      </c>
      <c r="BE60" s="38">
        <v>137190</v>
      </c>
      <c r="BF60" s="38">
        <v>137190</v>
      </c>
      <c r="BG60" s="38">
        <v>137190</v>
      </c>
      <c r="BH60" s="38">
        <v>137190</v>
      </c>
      <c r="BI60" s="38">
        <v>137190</v>
      </c>
    </row>
    <row r="61" spans="2:61" x14ac:dyDescent="0.2">
      <c r="B61" s="41" t="s">
        <v>154</v>
      </c>
      <c r="C61" s="41"/>
      <c r="D61" s="41"/>
      <c r="E61" s="41"/>
      <c r="F61" s="41"/>
      <c r="G61" s="42">
        <f t="shared" ref="G61:I61" si="189">SUM(G56:G60)</f>
        <v>2715157</v>
      </c>
      <c r="H61" s="42">
        <f t="shared" si="189"/>
        <v>2796069</v>
      </c>
      <c r="I61" s="42">
        <f t="shared" si="189"/>
        <v>2751989</v>
      </c>
      <c r="J61" s="42">
        <f>SUM(J56:J60)</f>
        <v>2600267</v>
      </c>
      <c r="K61" s="42">
        <f>SUM(K56:K60)</f>
        <v>2600267</v>
      </c>
      <c r="L61" s="42">
        <f t="shared" ref="L61:N61" si="190">SUM(L56:L60)</f>
        <v>2691427</v>
      </c>
      <c r="M61" s="42">
        <f t="shared" si="190"/>
        <v>2763605</v>
      </c>
      <c r="N61" s="42">
        <f t="shared" si="190"/>
        <v>2681040</v>
      </c>
      <c r="O61" s="42">
        <f>SUM(O56:O60)</f>
        <v>2629915</v>
      </c>
      <c r="P61" s="42">
        <f t="shared" ref="P61:BI61" si="191">SUM(P56:P60)</f>
        <v>2629915</v>
      </c>
      <c r="Q61" s="42">
        <v>2708716</v>
      </c>
      <c r="R61" s="42">
        <v>2861381</v>
      </c>
      <c r="S61" s="42">
        <v>2655270</v>
      </c>
      <c r="T61" s="42">
        <f>SUM(T56:T60)</f>
        <v>2335971</v>
      </c>
      <c r="U61" s="42">
        <f t="shared" si="191"/>
        <v>2335971</v>
      </c>
      <c r="V61" s="42">
        <f t="shared" si="191"/>
        <v>2566994</v>
      </c>
      <c r="W61" s="42">
        <f t="shared" si="191"/>
        <v>2545840</v>
      </c>
      <c r="X61" s="42">
        <f t="shared" si="191"/>
        <v>2518758</v>
      </c>
      <c r="Y61" s="42">
        <f>SUM(Y56:Y60)</f>
        <v>2424537</v>
      </c>
      <c r="Z61" s="42">
        <f t="shared" si="191"/>
        <v>2424537</v>
      </c>
      <c r="AA61" s="42">
        <f t="shared" si="191"/>
        <v>2727820</v>
      </c>
      <c r="AB61" s="42">
        <f t="shared" si="191"/>
        <v>2848744</v>
      </c>
      <c r="AC61" s="42">
        <f t="shared" si="191"/>
        <v>3007069</v>
      </c>
      <c r="AD61" s="42">
        <f>SUM(AD56:AD60)</f>
        <v>3020888</v>
      </c>
      <c r="AE61" s="42">
        <f t="shared" si="191"/>
        <v>3020888</v>
      </c>
      <c r="AF61" s="42">
        <f t="shared" si="191"/>
        <v>4395561</v>
      </c>
      <c r="AG61" s="42">
        <f t="shared" si="191"/>
        <v>5143639</v>
      </c>
      <c r="AH61" s="424">
        <f>SUM(AH56:AH60)</f>
        <v>2558191.8875054698</v>
      </c>
      <c r="AI61" s="42">
        <f>SUM(AI56:AI60)</f>
        <v>2656830.3602906396</v>
      </c>
      <c r="AJ61" s="42">
        <f t="shared" si="191"/>
        <v>3501102.5788384029</v>
      </c>
      <c r="AK61" s="42">
        <f>SUM(AK56:AK60)</f>
        <v>3606459.1303755017</v>
      </c>
      <c r="AL61" s="42">
        <f>SUM(AL56:AL60)</f>
        <v>4228490.9063699208</v>
      </c>
      <c r="AM61" s="42">
        <f>SUM(AM56:AM60)</f>
        <v>2582495.0341948774</v>
      </c>
      <c r="AN61" s="42">
        <f>SUM(AN56:AN60)</f>
        <v>2734418.8609693204</v>
      </c>
      <c r="AO61" s="42">
        <f t="shared" si="191"/>
        <v>3640212.9269984597</v>
      </c>
      <c r="AP61" s="42">
        <f>SUM(AP56:AP60)</f>
        <v>4042748.0004079477</v>
      </c>
      <c r="AQ61" s="42">
        <f>SUM(AQ56:AQ60)</f>
        <v>4981142.0487673348</v>
      </c>
      <c r="AR61" s="42">
        <f>SUM(AR56:AR60)</f>
        <v>2570939.2761889845</v>
      </c>
      <c r="AS61" s="42">
        <f>SUM(AS56:AS60)</f>
        <v>2734418.8609693204</v>
      </c>
      <c r="AT61" s="42">
        <f t="shared" si="191"/>
        <v>4816529.2365330765</v>
      </c>
      <c r="AU61" s="42">
        <f>SUM(AU56:AU60)</f>
        <v>4115577.7566100722</v>
      </c>
      <c r="AV61" s="42">
        <f>SUM(AV56:AV60)</f>
        <v>5006099.8071589703</v>
      </c>
      <c r="AW61" s="42">
        <f>SUM(AW56:AW60)</f>
        <v>2597376.3771074233</v>
      </c>
      <c r="AX61" s="42">
        <f>SUM(AX56:AX60)</f>
        <v>2846259.4640605845</v>
      </c>
      <c r="AY61" s="42">
        <f t="shared" si="191"/>
        <v>5052179.3745455937</v>
      </c>
      <c r="AZ61" s="42">
        <f>SUM(AZ56:AZ60)</f>
        <v>4157366.6944405762</v>
      </c>
      <c r="BA61" s="42">
        <f>SUM(BA56:BA60)</f>
        <v>5065145.1475169193</v>
      </c>
      <c r="BB61" s="42">
        <f>SUM(BB56:BB60)</f>
        <v>2607026.8459627945</v>
      </c>
      <c r="BC61" s="42">
        <f>SUM(BC56:BC60)</f>
        <v>2864706.1872636136</v>
      </c>
      <c r="BD61" s="42">
        <f t="shared" si="191"/>
        <v>5180922.0932728741</v>
      </c>
      <c r="BE61" s="42">
        <f>SUM(BE56:BE60)</f>
        <v>4201245.0791626051</v>
      </c>
      <c r="BF61" s="42">
        <f>SUM(BF56:BF60)</f>
        <v>5127142.7548927646</v>
      </c>
      <c r="BG61" s="42">
        <f>SUM(BG56:BG60)</f>
        <v>2615133.2398013063</v>
      </c>
      <c r="BH61" s="42">
        <f>SUM(BH56:BH60)</f>
        <v>2884075.2466267943</v>
      </c>
      <c r="BI61" s="42">
        <f t="shared" si="191"/>
        <v>5314093.9821709823</v>
      </c>
    </row>
    <row r="62" spans="2:61" x14ac:dyDescent="0.2">
      <c r="B62" s="5"/>
      <c r="C62" s="5"/>
      <c r="D62" s="5"/>
      <c r="E62" s="5"/>
      <c r="F62" s="5"/>
      <c r="G62" s="5"/>
      <c r="H62" s="5"/>
      <c r="I62" s="5"/>
      <c r="T62" s="5" t="s">
        <v>155</v>
      </c>
      <c r="U62" s="5" t="s">
        <v>155</v>
      </c>
      <c r="V62" s="5"/>
      <c r="W62" s="5"/>
      <c r="X62" s="5"/>
      <c r="Y62" s="5" t="s">
        <v>155</v>
      </c>
      <c r="Z62" s="5" t="s">
        <v>155</v>
      </c>
      <c r="AA62" s="5"/>
      <c r="AB62" s="5"/>
      <c r="AC62" s="5"/>
      <c r="AD62" s="5" t="s">
        <v>155</v>
      </c>
      <c r="AE62" s="5" t="s">
        <v>155</v>
      </c>
      <c r="AF62" s="5"/>
      <c r="AG62" s="5"/>
      <c r="AH62" s="429"/>
      <c r="AI62" s="5"/>
    </row>
    <row r="63" spans="2:61" x14ac:dyDescent="0.2">
      <c r="B63" s="8" t="s">
        <v>156</v>
      </c>
      <c r="C63" s="8"/>
      <c r="D63" s="8"/>
      <c r="E63" s="8"/>
      <c r="F63" s="8"/>
      <c r="G63" s="8"/>
      <c r="H63" s="8"/>
      <c r="I63" s="8"/>
      <c r="J63" s="35"/>
      <c r="K63" s="35"/>
      <c r="L63" s="35"/>
      <c r="M63" s="35"/>
      <c r="N63" s="35"/>
      <c r="O63" s="35"/>
      <c r="P63" s="35"/>
      <c r="Q63" s="35"/>
      <c r="R63" s="35"/>
      <c r="S63" s="35"/>
    </row>
    <row r="64" spans="2:61" x14ac:dyDescent="0.2">
      <c r="B64" s="5" t="s">
        <v>157</v>
      </c>
      <c r="C64" s="5"/>
      <c r="D64" s="5"/>
      <c r="E64" s="5"/>
      <c r="F64" s="5"/>
      <c r="G64" s="5"/>
      <c r="H64" s="5"/>
      <c r="I64" s="5"/>
      <c r="J64" s="32" t="s">
        <v>155</v>
      </c>
      <c r="K64" s="32" t="s">
        <v>155</v>
      </c>
      <c r="L64" s="32"/>
      <c r="M64" s="32"/>
      <c r="N64" s="32"/>
      <c r="O64" s="32" t="s">
        <v>155</v>
      </c>
      <c r="P64" s="32" t="s">
        <v>155</v>
      </c>
      <c r="Q64" s="32"/>
      <c r="R64" s="32"/>
      <c r="S64" s="32"/>
      <c r="T64" s="5" t="s">
        <v>155</v>
      </c>
      <c r="U64" s="5" t="s">
        <v>155</v>
      </c>
      <c r="V64" s="5"/>
      <c r="W64" s="5"/>
      <c r="X64" s="5"/>
      <c r="Y64" s="5" t="s">
        <v>155</v>
      </c>
      <c r="Z64" s="5" t="s">
        <v>155</v>
      </c>
      <c r="AA64" s="5"/>
      <c r="AB64" s="5"/>
      <c r="AC64" s="5"/>
      <c r="AD64" s="5" t="s">
        <v>155</v>
      </c>
      <c r="AE64" s="5" t="s">
        <v>155</v>
      </c>
      <c r="AF64" s="5"/>
      <c r="AG64" s="5"/>
      <c r="AH64" s="429"/>
      <c r="AI64" s="5"/>
    </row>
    <row r="65" spans="2:61" x14ac:dyDescent="0.2">
      <c r="B65" s="5" t="s">
        <v>158</v>
      </c>
      <c r="C65" s="5"/>
      <c r="D65" s="5"/>
      <c r="E65" s="5"/>
      <c r="F65" s="5"/>
      <c r="G65" s="183">
        <v>1101</v>
      </c>
      <c r="H65" s="180">
        <v>1108</v>
      </c>
      <c r="I65" s="180">
        <v>1115</v>
      </c>
      <c r="J65" s="33">
        <v>1115</v>
      </c>
      <c r="K65" s="33">
        <v>1115</v>
      </c>
      <c r="L65" s="33">
        <v>1123</v>
      </c>
      <c r="M65" s="33">
        <v>1126</v>
      </c>
      <c r="N65" s="33">
        <v>1129</v>
      </c>
      <c r="O65" s="33">
        <v>1136</v>
      </c>
      <c r="P65" s="33">
        <v>1136</v>
      </c>
      <c r="Q65" s="33">
        <v>1146</v>
      </c>
      <c r="R65" s="33">
        <v>1147</v>
      </c>
      <c r="S65" s="33">
        <v>1147</v>
      </c>
      <c r="T65" s="38">
        <v>1151</v>
      </c>
      <c r="U65" s="38">
        <v>1151</v>
      </c>
      <c r="V65" s="38">
        <v>1156</v>
      </c>
      <c r="W65" s="38">
        <v>1159</v>
      </c>
      <c r="X65" s="38">
        <v>1158</v>
      </c>
      <c r="Y65" s="38">
        <v>1161</v>
      </c>
      <c r="Z65" s="38">
        <v>1161</v>
      </c>
      <c r="AA65" s="38">
        <v>1165</v>
      </c>
      <c r="AB65" s="38">
        <v>1167</v>
      </c>
      <c r="AC65" s="38">
        <v>1168</v>
      </c>
      <c r="AD65" s="38">
        <v>1168</v>
      </c>
      <c r="AE65" s="38">
        <v>1168</v>
      </c>
      <c r="AF65" s="38">
        <v>2069</v>
      </c>
      <c r="AG65" s="38">
        <v>2072</v>
      </c>
      <c r="AH65" s="426">
        <f t="shared" ref="AH65:BI65" si="192">AC65</f>
        <v>1168</v>
      </c>
      <c r="AI65" s="63">
        <f t="shared" si="192"/>
        <v>1168</v>
      </c>
      <c r="AJ65" s="63">
        <f t="shared" si="192"/>
        <v>1168</v>
      </c>
      <c r="AK65" s="63">
        <f t="shared" si="192"/>
        <v>2069</v>
      </c>
      <c r="AL65" s="63">
        <f t="shared" si="192"/>
        <v>2072</v>
      </c>
      <c r="AM65" s="63">
        <f t="shared" si="192"/>
        <v>1168</v>
      </c>
      <c r="AN65" s="63">
        <f t="shared" si="192"/>
        <v>1168</v>
      </c>
      <c r="AO65" s="63">
        <f t="shared" si="192"/>
        <v>1168</v>
      </c>
      <c r="AP65" s="63">
        <f t="shared" si="192"/>
        <v>2069</v>
      </c>
      <c r="AQ65" s="63">
        <f t="shared" si="192"/>
        <v>2072</v>
      </c>
      <c r="AR65" s="63">
        <f t="shared" si="192"/>
        <v>1168</v>
      </c>
      <c r="AS65" s="63">
        <f t="shared" si="192"/>
        <v>1168</v>
      </c>
      <c r="AT65" s="63">
        <f t="shared" si="192"/>
        <v>1168</v>
      </c>
      <c r="AU65" s="63">
        <f t="shared" si="192"/>
        <v>2069</v>
      </c>
      <c r="AV65" s="63">
        <f t="shared" si="192"/>
        <v>2072</v>
      </c>
      <c r="AW65" s="63">
        <f t="shared" si="192"/>
        <v>1168</v>
      </c>
      <c r="AX65" s="63">
        <f t="shared" si="192"/>
        <v>1168</v>
      </c>
      <c r="AY65" s="63">
        <f t="shared" si="192"/>
        <v>1168</v>
      </c>
      <c r="AZ65" s="63">
        <f t="shared" si="192"/>
        <v>2069</v>
      </c>
      <c r="BA65" s="63">
        <f t="shared" si="192"/>
        <v>2072</v>
      </c>
      <c r="BB65" s="63">
        <f t="shared" si="192"/>
        <v>1168</v>
      </c>
      <c r="BC65" s="63">
        <f t="shared" si="192"/>
        <v>1168</v>
      </c>
      <c r="BD65" s="63">
        <f t="shared" si="192"/>
        <v>1168</v>
      </c>
      <c r="BE65" s="63">
        <f t="shared" si="192"/>
        <v>2069</v>
      </c>
      <c r="BF65" s="63">
        <f t="shared" si="192"/>
        <v>2072</v>
      </c>
      <c r="BG65" s="63">
        <f t="shared" si="192"/>
        <v>1168</v>
      </c>
      <c r="BH65" s="63">
        <f t="shared" si="192"/>
        <v>1168</v>
      </c>
      <c r="BI65" s="63">
        <f t="shared" si="192"/>
        <v>1168</v>
      </c>
    </row>
    <row r="66" spans="2:61" x14ac:dyDescent="0.2">
      <c r="B66" s="5" t="s">
        <v>159</v>
      </c>
      <c r="C66" s="5"/>
      <c r="D66" s="5"/>
      <c r="E66" s="5"/>
      <c r="F66" s="5"/>
      <c r="G66" s="180">
        <v>513517</v>
      </c>
      <c r="H66" s="180">
        <v>519256</v>
      </c>
      <c r="I66" s="180">
        <v>524973</v>
      </c>
      <c r="J66" s="33">
        <v>527868</v>
      </c>
      <c r="K66" s="33">
        <v>527868</v>
      </c>
      <c r="L66" s="33">
        <v>529992</v>
      </c>
      <c r="M66" s="33">
        <v>534721</v>
      </c>
      <c r="N66" s="33">
        <v>539868</v>
      </c>
      <c r="O66" s="33">
        <v>546766</v>
      </c>
      <c r="P66" s="33">
        <v>546766</v>
      </c>
      <c r="Q66" s="33">
        <v>546832</v>
      </c>
      <c r="R66" s="33">
        <v>550707</v>
      </c>
      <c r="S66" s="33">
        <v>554223</v>
      </c>
      <c r="T66" s="38">
        <v>560221</v>
      </c>
      <c r="U66" s="38">
        <v>560221</v>
      </c>
      <c r="V66" s="38">
        <v>560641</v>
      </c>
      <c r="W66" s="38">
        <v>565694</v>
      </c>
      <c r="X66" s="38">
        <v>570373</v>
      </c>
      <c r="Y66" s="38">
        <v>574955</v>
      </c>
      <c r="Z66" s="38">
        <v>574955</v>
      </c>
      <c r="AA66" s="38">
        <v>574769</v>
      </c>
      <c r="AB66" s="38">
        <v>578239</v>
      </c>
      <c r="AC66" s="38">
        <v>584237</v>
      </c>
      <c r="AD66" s="38">
        <v>589241</v>
      </c>
      <c r="AE66" s="38">
        <v>589241</v>
      </c>
      <c r="AF66" s="38">
        <v>4246922</v>
      </c>
      <c r="AG66" s="38">
        <v>4248194</v>
      </c>
      <c r="AH66" s="426">
        <f t="shared" ref="AH66:BH66" si="193">AC66</f>
        <v>584237</v>
      </c>
      <c r="AI66" s="63">
        <f t="shared" si="193"/>
        <v>589241</v>
      </c>
      <c r="AJ66" s="63">
        <f t="shared" si="193"/>
        <v>589241</v>
      </c>
      <c r="AK66" s="63">
        <f t="shared" si="193"/>
        <v>4246922</v>
      </c>
      <c r="AL66" s="63">
        <f t="shared" si="193"/>
        <v>4248194</v>
      </c>
      <c r="AM66" s="63">
        <f t="shared" si="193"/>
        <v>584237</v>
      </c>
      <c r="AN66" s="63">
        <f t="shared" si="193"/>
        <v>589241</v>
      </c>
      <c r="AO66" s="63">
        <f t="shared" si="193"/>
        <v>589241</v>
      </c>
      <c r="AP66" s="63">
        <f t="shared" si="193"/>
        <v>4246922</v>
      </c>
      <c r="AQ66" s="63">
        <f t="shared" si="193"/>
        <v>4248194</v>
      </c>
      <c r="AR66" s="63">
        <f t="shared" si="193"/>
        <v>584237</v>
      </c>
      <c r="AS66" s="63">
        <f t="shared" si="193"/>
        <v>589241</v>
      </c>
      <c r="AT66" s="63">
        <f t="shared" si="193"/>
        <v>589241</v>
      </c>
      <c r="AU66" s="63">
        <f t="shared" si="193"/>
        <v>4246922</v>
      </c>
      <c r="AV66" s="63">
        <f t="shared" si="193"/>
        <v>4248194</v>
      </c>
      <c r="AW66" s="63">
        <f t="shared" si="193"/>
        <v>584237</v>
      </c>
      <c r="AX66" s="63">
        <f t="shared" si="193"/>
        <v>589241</v>
      </c>
      <c r="AY66" s="63">
        <f t="shared" si="193"/>
        <v>589241</v>
      </c>
      <c r="AZ66" s="63">
        <f t="shared" si="193"/>
        <v>4246922</v>
      </c>
      <c r="BA66" s="63">
        <f t="shared" si="193"/>
        <v>4248194</v>
      </c>
      <c r="BB66" s="63">
        <f t="shared" si="193"/>
        <v>584237</v>
      </c>
      <c r="BC66" s="63">
        <f t="shared" si="193"/>
        <v>589241</v>
      </c>
      <c r="BD66" s="63">
        <f t="shared" si="193"/>
        <v>589241</v>
      </c>
      <c r="BE66" s="63">
        <f t="shared" si="193"/>
        <v>4246922</v>
      </c>
      <c r="BF66" s="63">
        <f t="shared" si="193"/>
        <v>4248194</v>
      </c>
      <c r="BG66" s="63">
        <f t="shared" si="193"/>
        <v>584237</v>
      </c>
      <c r="BH66" s="63">
        <f t="shared" si="193"/>
        <v>589241</v>
      </c>
      <c r="BI66" s="63">
        <f t="shared" ref="BI66" si="194">BD66</f>
        <v>589241</v>
      </c>
    </row>
    <row r="67" spans="2:61" s="459" customFormat="1" x14ac:dyDescent="0.2">
      <c r="B67" s="455" t="s">
        <v>160</v>
      </c>
      <c r="C67" s="455"/>
      <c r="D67" s="455"/>
      <c r="E67" s="455"/>
      <c r="F67" s="455"/>
      <c r="G67" s="456">
        <v>-380684</v>
      </c>
      <c r="H67" s="456">
        <v>-351243</v>
      </c>
      <c r="I67" s="456">
        <v>-225774</v>
      </c>
      <c r="J67" s="457">
        <v>-219363</v>
      </c>
      <c r="K67" s="457">
        <v>-219363</v>
      </c>
      <c r="L67" s="457">
        <v>-206652</v>
      </c>
      <c r="M67" s="457">
        <v>-168742</v>
      </c>
      <c r="N67" s="457">
        <v>-128992</v>
      </c>
      <c r="O67" s="457">
        <v>-171693</v>
      </c>
      <c r="P67" s="457">
        <v>-171693</v>
      </c>
      <c r="Q67" s="457">
        <v>-147005</v>
      </c>
      <c r="R67" s="457">
        <v>-90383</v>
      </c>
      <c r="S67" s="457">
        <v>-17055</v>
      </c>
      <c r="T67" s="458">
        <v>34966</v>
      </c>
      <c r="U67" s="458">
        <v>34966</v>
      </c>
      <c r="V67" s="458">
        <v>70674</v>
      </c>
      <c r="W67" s="458">
        <v>137278</v>
      </c>
      <c r="X67" s="458">
        <v>207470</v>
      </c>
      <c r="Y67" s="458">
        <v>248837</v>
      </c>
      <c r="Z67" s="458">
        <v>248837</v>
      </c>
      <c r="AA67" s="458">
        <v>257604</v>
      </c>
      <c r="AB67" s="458">
        <v>336528</v>
      </c>
      <c r="AC67" s="458">
        <v>422460</v>
      </c>
      <c r="AD67" s="458">
        <v>562374</v>
      </c>
      <c r="AE67" s="458">
        <v>562374</v>
      </c>
      <c r="AF67" s="458">
        <v>734954</v>
      </c>
      <c r="AG67" s="458">
        <v>1232189</v>
      </c>
      <c r="AH67" s="430">
        <f t="shared" ref="AH67:BI67" si="195">AC67+AH20</f>
        <v>513356.02090358787</v>
      </c>
      <c r="AI67" s="459">
        <f t="shared" si="195"/>
        <v>670139.1071912793</v>
      </c>
      <c r="AJ67" s="459">
        <f t="shared" si="195"/>
        <v>1131718.0166311809</v>
      </c>
      <c r="AK67" s="459">
        <f t="shared" si="195"/>
        <v>820924.89411639585</v>
      </c>
      <c r="AL67" s="459">
        <f t="shared" si="195"/>
        <v>1371125.4702988015</v>
      </c>
      <c r="AM67" s="459">
        <f t="shared" si="195"/>
        <v>512070.23421651969</v>
      </c>
      <c r="AN67" s="459">
        <f t="shared" si="195"/>
        <v>1088965.9665812487</v>
      </c>
      <c r="AO67" s="459">
        <f t="shared" si="195"/>
        <v>1792810.4103770379</v>
      </c>
      <c r="AP67" s="459">
        <f t="shared" si="195"/>
        <v>1168545.547349877</v>
      </c>
      <c r="AQ67" s="459">
        <f t="shared" si="195"/>
        <v>2022236.1166568259</v>
      </c>
      <c r="AR67" s="459">
        <f t="shared" si="195"/>
        <v>504097.29637136433</v>
      </c>
      <c r="AS67" s="459">
        <f t="shared" si="195"/>
        <v>1157989.2523712181</v>
      </c>
      <c r="AT67" s="459">
        <f t="shared" si="195"/>
        <v>3229726.556998197</v>
      </c>
      <c r="AU67" s="459">
        <f t="shared" si="195"/>
        <v>1559843.4279337255</v>
      </c>
      <c r="AV67" s="459">
        <f t="shared" si="195"/>
        <v>2690330.354243855</v>
      </c>
      <c r="AW67" s="459">
        <f t="shared" si="195"/>
        <v>511423.1290554161</v>
      </c>
      <c r="AX67" s="459">
        <f t="shared" si="195"/>
        <v>1303096.4744885317</v>
      </c>
      <c r="AY67" s="459">
        <f t="shared" si="195"/>
        <v>4822062.6131764902</v>
      </c>
      <c r="AZ67" s="459">
        <f t="shared" si="195"/>
        <v>1976202.8360241023</v>
      </c>
      <c r="BA67" s="459">
        <f t="shared" si="195"/>
        <v>3398604.5594738498</v>
      </c>
      <c r="BB67" s="459">
        <f t="shared" si="195"/>
        <v>524333.54943586735</v>
      </c>
      <c r="BC67" s="459">
        <f t="shared" si="195"/>
        <v>1460752.8001946569</v>
      </c>
      <c r="BD67" s="459">
        <f t="shared" si="195"/>
        <v>6499309.2145786993</v>
      </c>
      <c r="BE67" s="459">
        <f t="shared" si="195"/>
        <v>2418876.8479963331</v>
      </c>
      <c r="BF67" s="459">
        <f t="shared" si="195"/>
        <v>4149067.7307289569</v>
      </c>
      <c r="BG67" s="459">
        <f t="shared" si="195"/>
        <v>541935.02348129405</v>
      </c>
      <c r="BH67" s="459">
        <f t="shared" si="195"/>
        <v>1631585.6846690341</v>
      </c>
      <c r="BI67" s="459">
        <f t="shared" si="195"/>
        <v>8264387.5613923948</v>
      </c>
    </row>
    <row r="68" spans="2:61" x14ac:dyDescent="0.2">
      <c r="B68" s="41" t="s">
        <v>161</v>
      </c>
      <c r="C68" s="41"/>
      <c r="D68" s="41"/>
      <c r="E68" s="41"/>
      <c r="F68" s="41"/>
      <c r="G68" s="42">
        <f t="shared" ref="G68:H68" si="196">SUM(G65:G67)</f>
        <v>133934</v>
      </c>
      <c r="H68" s="42">
        <f t="shared" si="196"/>
        <v>169121</v>
      </c>
      <c r="I68" s="42">
        <f>SUM(I65:I67)</f>
        <v>300314</v>
      </c>
      <c r="J68" s="42">
        <f>SUM(J65:J67)</f>
        <v>309620</v>
      </c>
      <c r="K68" s="42">
        <f>SUM(K65:K67)</f>
        <v>309620</v>
      </c>
      <c r="L68" s="42">
        <f t="shared" ref="L68:N68" si="197">SUM(L65:L67)</f>
        <v>324463</v>
      </c>
      <c r="M68" s="42">
        <f t="shared" si="197"/>
        <v>367105</v>
      </c>
      <c r="N68" s="42">
        <f t="shared" si="197"/>
        <v>412005</v>
      </c>
      <c r="O68" s="42">
        <f>SUM(O65:O67)</f>
        <v>376209</v>
      </c>
      <c r="P68" s="42">
        <f t="shared" ref="P68:BI68" si="198">SUM(P65:P67)</f>
        <v>376209</v>
      </c>
      <c r="Q68" s="42">
        <f t="shared" si="198"/>
        <v>400973</v>
      </c>
      <c r="R68" s="42">
        <f t="shared" si="198"/>
        <v>461471</v>
      </c>
      <c r="S68" s="42">
        <f t="shared" si="198"/>
        <v>538315</v>
      </c>
      <c r="T68" s="42">
        <f>SUM(T65:T67)</f>
        <v>596338</v>
      </c>
      <c r="U68" s="42">
        <f t="shared" si="198"/>
        <v>596338</v>
      </c>
      <c r="V68" s="42">
        <v>632471</v>
      </c>
      <c r="W68" s="42">
        <v>704131</v>
      </c>
      <c r="X68" s="42">
        <v>779001</v>
      </c>
      <c r="Y68" s="42">
        <f>SUM(Y65:Y67)</f>
        <v>824953</v>
      </c>
      <c r="Z68" s="42">
        <f t="shared" si="198"/>
        <v>824953</v>
      </c>
      <c r="AA68" s="42">
        <f t="shared" si="198"/>
        <v>833538</v>
      </c>
      <c r="AB68" s="42">
        <f t="shared" si="198"/>
        <v>915934</v>
      </c>
      <c r="AC68" s="42">
        <f t="shared" si="198"/>
        <v>1007865</v>
      </c>
      <c r="AD68" s="42">
        <f>SUM(AD65:AD67)</f>
        <v>1152783</v>
      </c>
      <c r="AE68" s="42">
        <f t="shared" si="198"/>
        <v>1152783</v>
      </c>
      <c r="AF68" s="42">
        <f t="shared" si="198"/>
        <v>4983945</v>
      </c>
      <c r="AG68" s="42">
        <f t="shared" si="198"/>
        <v>5482455</v>
      </c>
      <c r="AH68" s="424">
        <f>SUM(AH65:AH67)</f>
        <v>1098761.0209035878</v>
      </c>
      <c r="AI68" s="42">
        <f>SUM(AI65:AI67)</f>
        <v>1260548.1071912793</v>
      </c>
      <c r="AJ68" s="42">
        <f t="shared" si="198"/>
        <v>1722127.0166311809</v>
      </c>
      <c r="AK68" s="42">
        <f>SUM(AK65:AK67)</f>
        <v>5069915.8941163961</v>
      </c>
      <c r="AL68" s="42">
        <f>SUM(AL65:AL67)</f>
        <v>5621391.4702988015</v>
      </c>
      <c r="AM68" s="42">
        <f>SUM(AM65:AM67)</f>
        <v>1097475.2342165196</v>
      </c>
      <c r="AN68" s="42">
        <f>SUM(AN65:AN67)</f>
        <v>1679374.9665812487</v>
      </c>
      <c r="AO68" s="42">
        <f t="shared" si="198"/>
        <v>2383219.4103770377</v>
      </c>
      <c r="AP68" s="42">
        <f>SUM(AP65:AP67)</f>
        <v>5417536.5473498767</v>
      </c>
      <c r="AQ68" s="42">
        <f>SUM(AQ65:AQ67)</f>
        <v>6272502.1166568259</v>
      </c>
      <c r="AR68" s="42">
        <f>SUM(AR65:AR67)</f>
        <v>1089502.2963713643</v>
      </c>
      <c r="AS68" s="42">
        <f>SUM(AS65:AS67)</f>
        <v>1748398.2523712181</v>
      </c>
      <c r="AT68" s="42">
        <f t="shared" si="198"/>
        <v>3820135.556998197</v>
      </c>
      <c r="AU68" s="42">
        <f>SUM(AU65:AU67)</f>
        <v>5808834.4279337255</v>
      </c>
      <c r="AV68" s="42">
        <f>SUM(AV65:AV67)</f>
        <v>6940596.354243855</v>
      </c>
      <c r="AW68" s="42">
        <f>SUM(AW65:AW67)</f>
        <v>1096828.1290554162</v>
      </c>
      <c r="AX68" s="42">
        <f>SUM(AX65:AX67)</f>
        <v>1893505.4744885317</v>
      </c>
      <c r="AY68" s="42">
        <f t="shared" si="198"/>
        <v>5412471.6131764902</v>
      </c>
      <c r="AZ68" s="42">
        <f>SUM(AZ65:AZ67)</f>
        <v>6225193.8360241018</v>
      </c>
      <c r="BA68" s="42">
        <f>SUM(BA65:BA67)</f>
        <v>7648870.5594738498</v>
      </c>
      <c r="BB68" s="42">
        <f>SUM(BB65:BB67)</f>
        <v>1109738.5494358675</v>
      </c>
      <c r="BC68" s="42">
        <f>SUM(BC65:BC67)</f>
        <v>2051161.8001946569</v>
      </c>
      <c r="BD68" s="42">
        <f t="shared" si="198"/>
        <v>7089718.2145786993</v>
      </c>
      <c r="BE68" s="42">
        <f>SUM(BE65:BE67)</f>
        <v>6667867.8479963336</v>
      </c>
      <c r="BF68" s="42">
        <f>SUM(BF65:BF67)</f>
        <v>8399333.7307289578</v>
      </c>
      <c r="BG68" s="42">
        <f>SUM(BG65:BG67)</f>
        <v>1127340.023481294</v>
      </c>
      <c r="BH68" s="42">
        <f>SUM(BH65:BH67)</f>
        <v>2221994.6846690341</v>
      </c>
      <c r="BI68" s="42">
        <f t="shared" si="198"/>
        <v>8854796.5613923948</v>
      </c>
    </row>
    <row r="69" spans="2:61" x14ac:dyDescent="0.2">
      <c r="B69" s="5" t="s">
        <v>162</v>
      </c>
      <c r="C69" s="5"/>
      <c r="D69" s="5"/>
      <c r="E69" s="5"/>
      <c r="F69" s="5"/>
      <c r="G69" s="45">
        <f t="shared" ref="G69:I69" si="199">SUM(G68+G61)</f>
        <v>2849091</v>
      </c>
      <c r="H69" s="45">
        <f t="shared" si="199"/>
        <v>2965190</v>
      </c>
      <c r="I69" s="45">
        <f t="shared" si="199"/>
        <v>3052303</v>
      </c>
      <c r="J69" s="45">
        <f>SUM(J68+J61)</f>
        <v>2909887</v>
      </c>
      <c r="K69" s="45">
        <f>SUM(K68+K61)</f>
        <v>2909887</v>
      </c>
      <c r="L69" s="45">
        <f t="shared" ref="L69:N69" si="200">SUM(L68+L61)</f>
        <v>3015890</v>
      </c>
      <c r="M69" s="45">
        <f t="shared" si="200"/>
        <v>3130710</v>
      </c>
      <c r="N69" s="45">
        <f t="shared" si="200"/>
        <v>3093045</v>
      </c>
      <c r="O69" s="45">
        <f>SUM(O68+O61)</f>
        <v>3006124</v>
      </c>
      <c r="P69" s="45">
        <f>SUM(P68+P61)</f>
        <v>3006124</v>
      </c>
      <c r="Q69" s="45">
        <f t="shared" ref="Q69:X69" si="201">SUM(Q68+Q61)</f>
        <v>3109689</v>
      </c>
      <c r="R69" s="45">
        <f t="shared" si="201"/>
        <v>3322852</v>
      </c>
      <c r="S69" s="45">
        <f t="shared" si="201"/>
        <v>3193585</v>
      </c>
      <c r="T69" s="45">
        <f>SUM(T68+T61)</f>
        <v>2932309</v>
      </c>
      <c r="U69" s="45">
        <f t="shared" si="201"/>
        <v>2932309</v>
      </c>
      <c r="V69" s="45">
        <f t="shared" si="201"/>
        <v>3199465</v>
      </c>
      <c r="W69" s="45">
        <f t="shared" si="201"/>
        <v>3249971</v>
      </c>
      <c r="X69" s="45">
        <f t="shared" si="201"/>
        <v>3297759</v>
      </c>
      <c r="Y69" s="45">
        <f>SUM(Y68+Y61)</f>
        <v>3249490</v>
      </c>
      <c r="Z69" s="45">
        <f>SUM(Z68+Z61)</f>
        <v>3249490</v>
      </c>
      <c r="AA69" s="45">
        <f t="shared" ref="AA69:AC69" si="202">SUM(AA68+AA61)</f>
        <v>3561358</v>
      </c>
      <c r="AB69" s="45">
        <f t="shared" si="202"/>
        <v>3764678</v>
      </c>
      <c r="AC69" s="45">
        <f t="shared" si="202"/>
        <v>4014934</v>
      </c>
      <c r="AD69" s="45">
        <f>SUM(AD68+AD61)</f>
        <v>4173671</v>
      </c>
      <c r="AE69" s="45">
        <f>SUM(AE68+AE61)</f>
        <v>4173671</v>
      </c>
      <c r="AF69" s="45">
        <f t="shared" ref="AF69:AG69" si="203">SUM(AF68+AF61)</f>
        <v>9379506</v>
      </c>
      <c r="AG69" s="45">
        <f t="shared" si="203"/>
        <v>10626094</v>
      </c>
      <c r="AH69" s="431">
        <f>SUM(AH68+AH61)</f>
        <v>3656952.9084090577</v>
      </c>
      <c r="AI69" s="45">
        <f>SUM(AI68+AI61)</f>
        <v>3917378.4674819186</v>
      </c>
      <c r="AJ69" s="45">
        <f t="shared" ref="AJ69:BI69" si="204">SUM(AJ68+AJ61)</f>
        <v>5223229.5954695838</v>
      </c>
      <c r="AK69" s="45">
        <f>SUM(AK68+AK61)</f>
        <v>8676375.0244918987</v>
      </c>
      <c r="AL69" s="45">
        <f>SUM(AL68+AL61)</f>
        <v>9849882.3766687214</v>
      </c>
      <c r="AM69" s="45">
        <f>SUM(AM68+AM61)</f>
        <v>3679970.268411397</v>
      </c>
      <c r="AN69" s="45">
        <f>SUM(AN68+AN61)</f>
        <v>4413793.8275505695</v>
      </c>
      <c r="AO69" s="45">
        <f t="shared" si="204"/>
        <v>6023432.3373754974</v>
      </c>
      <c r="AP69" s="45">
        <f>SUM(AP68+AP61)</f>
        <v>9460284.5477578249</v>
      </c>
      <c r="AQ69" s="45">
        <f>SUM(AQ68+AQ61)</f>
        <v>11253644.165424161</v>
      </c>
      <c r="AR69" s="45">
        <f>SUM(AR68+AR61)</f>
        <v>3660441.5725603485</v>
      </c>
      <c r="AS69" s="45">
        <f>SUM(AS68+AS61)</f>
        <v>4482817.113340538</v>
      </c>
      <c r="AT69" s="45">
        <f t="shared" si="204"/>
        <v>8636664.7935312726</v>
      </c>
      <c r="AU69" s="45">
        <f>SUM(AU68+AU61)</f>
        <v>9924412.1845437977</v>
      </c>
      <c r="AV69" s="45">
        <f>SUM(AV68+AV61)</f>
        <v>11946696.161402825</v>
      </c>
      <c r="AW69" s="45">
        <f>SUM(AW68+AW61)</f>
        <v>3694204.5061628395</v>
      </c>
      <c r="AX69" s="45">
        <f>SUM(AX68+AX61)</f>
        <v>4739764.9385491163</v>
      </c>
      <c r="AY69" s="45">
        <f t="shared" si="204"/>
        <v>10464650.987722084</v>
      </c>
      <c r="AZ69" s="45">
        <f>SUM(AZ68+AZ61)</f>
        <v>10382560.530464679</v>
      </c>
      <c r="BA69" s="45">
        <f>SUM(BA68+BA61)</f>
        <v>12714015.706990769</v>
      </c>
      <c r="BB69" s="45">
        <f>SUM(BB68+BB61)</f>
        <v>3716765.395398662</v>
      </c>
      <c r="BC69" s="45">
        <f>SUM(BC68+BC61)</f>
        <v>4915867.98745827</v>
      </c>
      <c r="BD69" s="45">
        <f t="shared" si="204"/>
        <v>12270640.307851573</v>
      </c>
      <c r="BE69" s="45">
        <f>SUM(BE68+BE61)</f>
        <v>10869112.927158939</v>
      </c>
      <c r="BF69" s="45">
        <f>SUM(BF68+BF61)</f>
        <v>13526476.485621722</v>
      </c>
      <c r="BG69" s="45">
        <f>SUM(BG68+BG61)</f>
        <v>3742473.2632826003</v>
      </c>
      <c r="BH69" s="45">
        <f>SUM(BH68+BH61)</f>
        <v>5106069.9312958289</v>
      </c>
      <c r="BI69" s="45">
        <f t="shared" si="204"/>
        <v>14168890.543563377</v>
      </c>
    </row>
    <row r="70" spans="2:61" x14ac:dyDescent="0.2">
      <c r="B70" s="46" t="s">
        <v>163</v>
      </c>
      <c r="C70" s="46"/>
      <c r="D70" s="46"/>
      <c r="E70" s="46"/>
      <c r="F70" s="46"/>
      <c r="G70" s="47">
        <f t="shared" ref="G70:I70" si="205">G48-G69</f>
        <v>0</v>
      </c>
      <c r="H70" s="47">
        <f t="shared" si="205"/>
        <v>0</v>
      </c>
      <c r="I70" s="47">
        <f t="shared" si="205"/>
        <v>0</v>
      </c>
      <c r="J70" s="47">
        <f>J48-J69</f>
        <v>0</v>
      </c>
      <c r="K70" s="47">
        <f>K48-K69</f>
        <v>0</v>
      </c>
      <c r="L70" s="47">
        <f t="shared" ref="L70:N70" si="206">L48-L69</f>
        <v>0</v>
      </c>
      <c r="M70" s="47">
        <f t="shared" si="206"/>
        <v>0</v>
      </c>
      <c r="N70" s="47">
        <f t="shared" si="206"/>
        <v>0</v>
      </c>
      <c r="O70" s="47">
        <f>O48-O69</f>
        <v>0</v>
      </c>
      <c r="P70" s="47">
        <f t="shared" ref="P70:BI70" si="207">P48-P69</f>
        <v>0</v>
      </c>
      <c r="Q70" s="47">
        <f t="shared" si="207"/>
        <v>0</v>
      </c>
      <c r="R70" s="47">
        <f t="shared" si="207"/>
        <v>0</v>
      </c>
      <c r="S70" s="47">
        <f t="shared" si="207"/>
        <v>0</v>
      </c>
      <c r="T70" s="47">
        <f>T48-T69</f>
        <v>0</v>
      </c>
      <c r="U70" s="47">
        <f t="shared" si="207"/>
        <v>0</v>
      </c>
      <c r="V70" s="47">
        <f t="shared" si="207"/>
        <v>0</v>
      </c>
      <c r="W70" s="47">
        <f t="shared" si="207"/>
        <v>0</v>
      </c>
      <c r="X70" s="47">
        <f t="shared" si="207"/>
        <v>0</v>
      </c>
      <c r="Y70" s="47">
        <f>Y48-Y69</f>
        <v>0</v>
      </c>
      <c r="Z70" s="47">
        <f t="shared" si="207"/>
        <v>0</v>
      </c>
      <c r="AA70" s="47">
        <f t="shared" si="207"/>
        <v>0</v>
      </c>
      <c r="AB70" s="47">
        <f t="shared" si="207"/>
        <v>0</v>
      </c>
      <c r="AC70" s="47">
        <f t="shared" si="207"/>
        <v>0</v>
      </c>
      <c r="AD70" s="47">
        <f>AD48-AD69</f>
        <v>0</v>
      </c>
      <c r="AE70" s="47">
        <f t="shared" si="207"/>
        <v>0</v>
      </c>
      <c r="AF70" s="47">
        <f t="shared" si="207"/>
        <v>0</v>
      </c>
      <c r="AG70" s="47">
        <f t="shared" si="207"/>
        <v>0</v>
      </c>
      <c r="AH70" s="424">
        <f t="shared" si="207"/>
        <v>0</v>
      </c>
      <c r="AI70" s="47">
        <f t="shared" si="207"/>
        <v>0</v>
      </c>
      <c r="AJ70" s="47">
        <f t="shared" si="207"/>
        <v>0</v>
      </c>
      <c r="AK70" s="47">
        <f t="shared" si="207"/>
        <v>0</v>
      </c>
      <c r="AL70" s="47">
        <f t="shared" si="207"/>
        <v>0</v>
      </c>
      <c r="AM70" s="47">
        <f t="shared" si="207"/>
        <v>0</v>
      </c>
      <c r="AN70" s="47">
        <f t="shared" si="207"/>
        <v>0</v>
      </c>
      <c r="AO70" s="47">
        <f t="shared" si="207"/>
        <v>0</v>
      </c>
      <c r="AP70" s="47">
        <f t="shared" si="207"/>
        <v>0</v>
      </c>
      <c r="AQ70" s="47">
        <f t="shared" si="207"/>
        <v>0</v>
      </c>
      <c r="AR70" s="47">
        <f t="shared" si="207"/>
        <v>0</v>
      </c>
      <c r="AS70" s="47">
        <f t="shared" si="207"/>
        <v>0</v>
      </c>
      <c r="AT70" s="47">
        <f t="shared" si="207"/>
        <v>0</v>
      </c>
      <c r="AU70" s="47">
        <f t="shared" si="207"/>
        <v>0</v>
      </c>
      <c r="AV70" s="47">
        <f t="shared" si="207"/>
        <v>0</v>
      </c>
      <c r="AW70" s="47">
        <f t="shared" si="207"/>
        <v>0</v>
      </c>
      <c r="AX70" s="47">
        <f t="shared" si="207"/>
        <v>0</v>
      </c>
      <c r="AY70" s="47">
        <f t="shared" si="207"/>
        <v>0</v>
      </c>
      <c r="AZ70" s="47">
        <f t="shared" si="207"/>
        <v>0</v>
      </c>
      <c r="BA70" s="47">
        <f t="shared" si="207"/>
        <v>0</v>
      </c>
      <c r="BB70" s="47">
        <f t="shared" si="207"/>
        <v>0</v>
      </c>
      <c r="BC70" s="47">
        <f t="shared" si="207"/>
        <v>0</v>
      </c>
      <c r="BD70" s="47">
        <f t="shared" si="207"/>
        <v>0</v>
      </c>
      <c r="BE70" s="47">
        <f t="shared" si="207"/>
        <v>0</v>
      </c>
      <c r="BF70" s="47">
        <f t="shared" si="207"/>
        <v>0</v>
      </c>
      <c r="BG70" s="47">
        <f t="shared" si="207"/>
        <v>0</v>
      </c>
      <c r="BH70" s="47">
        <f t="shared" si="207"/>
        <v>0</v>
      </c>
      <c r="BI70" s="47">
        <f t="shared" si="207"/>
        <v>0</v>
      </c>
    </row>
    <row r="72" spans="2:61" x14ac:dyDescent="0.2">
      <c r="B72" s="2" t="s">
        <v>164</v>
      </c>
      <c r="G72" s="71">
        <f>G40-G56</f>
        <v>457157</v>
      </c>
      <c r="H72" s="71">
        <f t="shared" ref="H72:BI72" si="208">H40-H56</f>
        <v>521694</v>
      </c>
      <c r="I72" s="71">
        <f t="shared" si="208"/>
        <v>570462</v>
      </c>
      <c r="J72" s="71">
        <f t="shared" si="208"/>
        <v>461284</v>
      </c>
      <c r="K72" s="71">
        <f t="shared" si="208"/>
        <v>461284</v>
      </c>
      <c r="L72" s="71">
        <f t="shared" si="208"/>
        <v>623719</v>
      </c>
      <c r="M72" s="71">
        <f t="shared" si="208"/>
        <v>655697</v>
      </c>
      <c r="N72" s="71">
        <f t="shared" si="208"/>
        <v>673671</v>
      </c>
      <c r="O72" s="71">
        <f t="shared" si="208"/>
        <v>597514</v>
      </c>
      <c r="P72" s="71">
        <f t="shared" si="208"/>
        <v>597514</v>
      </c>
      <c r="Q72" s="71">
        <f t="shared" si="208"/>
        <v>783724</v>
      </c>
      <c r="R72" s="71">
        <f t="shared" si="208"/>
        <v>880202</v>
      </c>
      <c r="S72" s="71">
        <f t="shared" si="208"/>
        <v>842212</v>
      </c>
      <c r="T72" s="71">
        <f t="shared" si="208"/>
        <v>642492</v>
      </c>
      <c r="U72" s="71">
        <f t="shared" si="208"/>
        <v>642492</v>
      </c>
      <c r="V72" s="71">
        <f t="shared" si="208"/>
        <v>647843</v>
      </c>
      <c r="W72" s="71">
        <f t="shared" si="208"/>
        <v>585739</v>
      </c>
      <c r="X72" s="71">
        <f t="shared" si="208"/>
        <v>566332</v>
      </c>
      <c r="Y72" s="71">
        <f t="shared" si="208"/>
        <v>485566</v>
      </c>
      <c r="Z72" s="71">
        <f t="shared" si="208"/>
        <v>485566</v>
      </c>
      <c r="AA72" s="71">
        <f t="shared" si="208"/>
        <v>745868</v>
      </c>
      <c r="AB72" s="71">
        <f t="shared" si="208"/>
        <v>868481</v>
      </c>
      <c r="AC72" s="71">
        <f t="shared" si="208"/>
        <v>976871</v>
      </c>
      <c r="AD72" s="71">
        <f t="shared" si="208"/>
        <v>1148829</v>
      </c>
      <c r="AE72" s="71">
        <f t="shared" si="208"/>
        <v>1148829</v>
      </c>
      <c r="AF72" s="71">
        <f t="shared" si="208"/>
        <v>1709490</v>
      </c>
      <c r="AG72" s="71">
        <f t="shared" si="208"/>
        <v>2662327</v>
      </c>
      <c r="AH72" s="424">
        <f t="shared" si="208"/>
        <v>1818608.0209035873</v>
      </c>
      <c r="AI72" s="71">
        <f t="shared" si="208"/>
        <v>2005724.1071912795</v>
      </c>
      <c r="AJ72" s="71">
        <f t="shared" si="208"/>
        <v>1635342.4813894755</v>
      </c>
      <c r="AK72" s="71">
        <f t="shared" si="208"/>
        <v>3093216.8941163952</v>
      </c>
      <c r="AL72" s="71">
        <f t="shared" si="208"/>
        <v>2663959.4702988015</v>
      </c>
      <c r="AM72" s="71">
        <f t="shared" si="208"/>
        <v>1001855.2342165196</v>
      </c>
      <c r="AN72" s="71">
        <f t="shared" si="208"/>
        <v>1598984.9665812491</v>
      </c>
      <c r="AO72" s="71">
        <f t="shared" si="208"/>
        <v>2132552.9858092945</v>
      </c>
      <c r="AP72" s="71">
        <f t="shared" si="208"/>
        <v>2046246.5473498763</v>
      </c>
      <c r="AQ72" s="71">
        <f t="shared" si="208"/>
        <v>3315070.1166568259</v>
      </c>
      <c r="AR72" s="71">
        <f t="shared" si="208"/>
        <v>993882.29637136403</v>
      </c>
      <c r="AS72" s="71">
        <f t="shared" si="208"/>
        <v>1668008.2523712185</v>
      </c>
      <c r="AT72" s="71">
        <f t="shared" si="208"/>
        <v>3239812.9369344795</v>
      </c>
      <c r="AU72" s="71">
        <f t="shared" si="208"/>
        <v>2437544.4279337255</v>
      </c>
      <c r="AV72" s="71">
        <f t="shared" si="208"/>
        <v>3983164.3542438541</v>
      </c>
      <c r="AW72" s="71">
        <f t="shared" si="208"/>
        <v>1001208.1290554159</v>
      </c>
      <c r="AX72" s="71">
        <f t="shared" si="208"/>
        <v>1813115.4744885317</v>
      </c>
      <c r="AY72" s="71">
        <f t="shared" si="208"/>
        <v>4469283.4152327953</v>
      </c>
      <c r="AZ72" s="71">
        <f t="shared" si="208"/>
        <v>2853903.8360241018</v>
      </c>
      <c r="BA72" s="71">
        <f t="shared" si="208"/>
        <v>4691438.5594738498</v>
      </c>
      <c r="BB72" s="71">
        <f t="shared" si="208"/>
        <v>1014118.5494358672</v>
      </c>
      <c r="BC72" s="71">
        <f t="shared" si="208"/>
        <v>1970771.8001946572</v>
      </c>
      <c r="BD72" s="71">
        <f t="shared" si="208"/>
        <v>5765521.1598610263</v>
      </c>
      <c r="BE72" s="71">
        <f t="shared" si="208"/>
        <v>3296577.8479963327</v>
      </c>
      <c r="BF72" s="71">
        <f t="shared" si="208"/>
        <v>5441901.7307289559</v>
      </c>
      <c r="BG72" s="71">
        <f t="shared" si="208"/>
        <v>1031720.023481294</v>
      </c>
      <c r="BH72" s="71">
        <f t="shared" si="208"/>
        <v>2141604.6846690346</v>
      </c>
      <c r="BI72" s="71">
        <f t="shared" si="208"/>
        <v>7130823.1829324793</v>
      </c>
    </row>
    <row r="73" spans="2:61" ht="16" x14ac:dyDescent="0.2">
      <c r="B73" s="51" t="s">
        <v>165</v>
      </c>
      <c r="C73" s="51"/>
      <c r="D73" s="51"/>
      <c r="E73" s="51"/>
      <c r="F73" s="51"/>
      <c r="G73" s="51"/>
      <c r="H73" s="51"/>
      <c r="I73" s="51"/>
      <c r="J73" s="51"/>
      <c r="K73" s="54" t="s">
        <v>118</v>
      </c>
      <c r="L73" s="54"/>
      <c r="M73" s="54"/>
      <c r="N73" s="54"/>
      <c r="O73" s="54"/>
      <c r="P73" s="54" t="s">
        <v>119</v>
      </c>
      <c r="Q73" s="54"/>
      <c r="R73" s="54"/>
      <c r="S73" s="54"/>
      <c r="T73" s="54"/>
      <c r="U73" s="54" t="s">
        <v>120</v>
      </c>
      <c r="V73" s="54"/>
      <c r="W73" s="54"/>
      <c r="X73" s="54"/>
      <c r="Y73" s="54"/>
      <c r="Z73" s="54" t="s">
        <v>166</v>
      </c>
      <c r="AA73" s="54"/>
      <c r="AB73" s="54"/>
      <c r="AC73" s="54"/>
      <c r="AD73" s="54"/>
      <c r="AE73" s="54" t="s">
        <v>122</v>
      </c>
      <c r="AF73" s="54"/>
      <c r="AG73" s="54"/>
      <c r="AH73" s="432"/>
      <c r="AI73" s="54"/>
    </row>
    <row r="74" spans="2:61" ht="16" x14ac:dyDescent="0.2">
      <c r="B74" s="55" t="s">
        <v>98</v>
      </c>
      <c r="C74" s="55"/>
      <c r="D74" s="55"/>
      <c r="E74" s="55"/>
      <c r="F74" s="55"/>
      <c r="G74" s="55"/>
      <c r="H74" s="55"/>
      <c r="I74" s="55"/>
      <c r="J74" s="55"/>
      <c r="K74" s="54"/>
      <c r="L74" s="54"/>
      <c r="M74" s="54"/>
      <c r="N74" s="54"/>
      <c r="O74" s="54"/>
      <c r="P74" s="54"/>
      <c r="Q74" s="54"/>
      <c r="R74" s="54"/>
      <c r="S74" s="54"/>
      <c r="T74" s="54"/>
      <c r="U74" s="54"/>
      <c r="V74" s="54"/>
      <c r="W74" s="54"/>
      <c r="X74" s="54"/>
      <c r="Y74" s="54"/>
      <c r="Z74" s="54"/>
      <c r="AA74" s="54"/>
      <c r="AB74" s="54"/>
      <c r="AC74" s="54"/>
      <c r="AD74" s="54"/>
      <c r="AE74" s="54"/>
      <c r="AF74" s="54"/>
      <c r="AG74" s="54"/>
      <c r="AH74" s="432"/>
      <c r="AI74" s="54"/>
    </row>
    <row r="75" spans="2:61" ht="16" x14ac:dyDescent="0.2">
      <c r="B75" s="55"/>
      <c r="C75" s="55"/>
      <c r="D75" s="55"/>
      <c r="E75" s="55"/>
      <c r="F75" s="55"/>
      <c r="G75" s="55"/>
      <c r="H75" s="55"/>
      <c r="I75" s="55"/>
      <c r="J75" s="55"/>
      <c r="K75" s="54"/>
      <c r="L75" s="54"/>
      <c r="M75" s="54"/>
      <c r="N75" s="54"/>
      <c r="O75" s="54"/>
      <c r="P75" s="54"/>
      <c r="Q75" s="54"/>
      <c r="R75" s="54"/>
      <c r="S75" s="54"/>
      <c r="T75" s="54"/>
      <c r="U75" s="54"/>
      <c r="V75" s="54"/>
      <c r="W75" s="54"/>
      <c r="X75" s="54"/>
      <c r="Y75" s="54"/>
      <c r="Z75" s="54"/>
      <c r="AA75" s="54"/>
      <c r="AB75" s="54"/>
      <c r="AC75" s="54"/>
      <c r="AD75" s="54"/>
      <c r="AE75" s="54"/>
      <c r="AF75" s="54"/>
      <c r="AG75" s="54"/>
      <c r="AH75" s="432"/>
      <c r="AI75" s="54"/>
    </row>
    <row r="76" spans="2:61" ht="16" x14ac:dyDescent="0.2">
      <c r="B76" s="53" t="s">
        <v>167</v>
      </c>
      <c r="C76" s="53"/>
      <c r="D76" s="53"/>
      <c r="E76" s="53"/>
      <c r="F76" s="53"/>
      <c r="G76" s="53"/>
      <c r="H76" s="53"/>
      <c r="I76" s="53"/>
      <c r="J76" s="53"/>
      <c r="K76" s="52"/>
      <c r="L76" s="52"/>
      <c r="M76" s="52"/>
      <c r="N76" s="52"/>
      <c r="O76" s="52"/>
      <c r="P76" s="52"/>
      <c r="Q76" s="52"/>
      <c r="R76" s="52"/>
      <c r="S76" s="52"/>
      <c r="T76" s="52"/>
      <c r="U76" s="52"/>
      <c r="V76" s="52"/>
      <c r="W76" s="52"/>
      <c r="X76" s="52"/>
      <c r="Y76" s="52"/>
      <c r="Z76" s="52"/>
      <c r="AA76" s="52"/>
      <c r="AB76" s="52"/>
      <c r="AC76" s="52"/>
      <c r="AD76" s="52"/>
      <c r="AE76" s="52"/>
      <c r="AF76" s="52"/>
      <c r="AG76" s="52"/>
      <c r="AH76" s="12"/>
      <c r="AI76" s="334"/>
      <c r="AJ76" s="335"/>
      <c r="AK76" s="335"/>
      <c r="AL76" s="335"/>
      <c r="AM76" s="335"/>
      <c r="AN76" s="335"/>
      <c r="AO76" s="335"/>
      <c r="AP76" s="335"/>
      <c r="AQ76" s="335"/>
      <c r="AR76" s="335"/>
      <c r="AS76" s="335"/>
      <c r="AT76" s="335"/>
      <c r="AU76" s="335"/>
      <c r="AV76" s="335"/>
      <c r="AW76" s="335"/>
      <c r="AX76" s="335"/>
      <c r="AY76" s="335"/>
      <c r="AZ76" s="335"/>
      <c r="BA76" s="335"/>
      <c r="BB76" s="335"/>
      <c r="BC76" s="335"/>
      <c r="BD76" s="335"/>
      <c r="BE76" s="335"/>
      <c r="BF76" s="335"/>
      <c r="BG76" s="335"/>
      <c r="BH76" s="335"/>
      <c r="BI76" s="335"/>
    </row>
    <row r="77" spans="2:61" ht="16" x14ac:dyDescent="0.2">
      <c r="B77" s="51"/>
      <c r="C77" s="51"/>
      <c r="D77" s="51"/>
      <c r="E77" s="51"/>
      <c r="F77" s="51"/>
      <c r="G77" s="51"/>
      <c r="H77" s="51"/>
      <c r="I77" s="51"/>
      <c r="J77" s="51"/>
      <c r="K77" s="50" t="s">
        <v>168</v>
      </c>
      <c r="L77" s="50"/>
      <c r="M77" s="50"/>
      <c r="N77" s="50"/>
      <c r="O77" s="50"/>
      <c r="P77" s="50" t="s">
        <v>169</v>
      </c>
      <c r="Q77" s="50"/>
      <c r="R77" s="50"/>
      <c r="S77" s="50"/>
      <c r="T77" s="50"/>
      <c r="U77" s="49" t="s">
        <v>170</v>
      </c>
      <c r="V77" s="49"/>
      <c r="W77" s="49"/>
      <c r="X77" s="49"/>
      <c r="Y77" s="49"/>
      <c r="Z77" s="49" t="s">
        <v>171</v>
      </c>
      <c r="AA77" s="49"/>
      <c r="AB77" s="49"/>
      <c r="AC77" s="49"/>
      <c r="AD77" s="49"/>
      <c r="AE77" s="49" t="s">
        <v>172</v>
      </c>
      <c r="AF77" s="49"/>
      <c r="AG77" s="49"/>
      <c r="AH77" s="414"/>
      <c r="AI77" s="49"/>
    </row>
    <row r="78" spans="2:61" ht="16" x14ac:dyDescent="0.2">
      <c r="B78" s="5" t="s">
        <v>173</v>
      </c>
      <c r="C78" s="5"/>
      <c r="D78" s="5"/>
      <c r="E78" s="5"/>
      <c r="F78" s="5"/>
      <c r="G78" s="184">
        <v>30791</v>
      </c>
      <c r="H78" s="184">
        <v>61349</v>
      </c>
      <c r="I78" s="180">
        <v>86901</v>
      </c>
      <c r="J78" s="180">
        <v>109793</v>
      </c>
      <c r="K78" s="18">
        <v>109793</v>
      </c>
      <c r="L78" s="18">
        <v>23592</v>
      </c>
      <c r="M78" s="18">
        <v>47765</v>
      </c>
      <c r="N78" s="18">
        <v>70796</v>
      </c>
      <c r="O78" s="48">
        <v>92993</v>
      </c>
      <c r="P78" s="48">
        <v>92993</v>
      </c>
      <c r="Q78" s="48">
        <v>22819</v>
      </c>
      <c r="R78" s="48">
        <v>47587</v>
      </c>
      <c r="S78" s="48">
        <v>72691</v>
      </c>
      <c r="T78" s="18">
        <v>97906</v>
      </c>
      <c r="U78" s="18">
        <v>97906</v>
      </c>
      <c r="V78" s="18">
        <v>23576</v>
      </c>
      <c r="W78" s="18">
        <v>47390</v>
      </c>
      <c r="X78" s="18">
        <v>71771</v>
      </c>
      <c r="Y78" s="18">
        <v>100038</v>
      </c>
      <c r="Z78" s="18">
        <v>100038</v>
      </c>
      <c r="AA78" s="18">
        <v>29400</v>
      </c>
      <c r="AB78" s="18">
        <v>57875</v>
      </c>
      <c r="AC78" s="18">
        <v>87298</v>
      </c>
      <c r="AD78" s="18">
        <v>116566</v>
      </c>
      <c r="AE78" s="18">
        <v>116566</v>
      </c>
      <c r="AF78" s="18">
        <v>134331</v>
      </c>
      <c r="AG78" s="18">
        <v>261553</v>
      </c>
      <c r="AH78" s="416"/>
      <c r="AI78" s="18"/>
    </row>
    <row r="79" spans="2:61" ht="16" x14ac:dyDescent="0.2">
      <c r="B79" s="5" t="s">
        <v>174</v>
      </c>
      <c r="C79" s="5"/>
      <c r="D79" s="5"/>
      <c r="E79" s="5"/>
      <c r="F79" s="5"/>
      <c r="G79" s="185">
        <v>-8978</v>
      </c>
      <c r="H79" s="184">
        <v>-22672</v>
      </c>
      <c r="I79" s="184">
        <v>-34127</v>
      </c>
      <c r="J79" s="184">
        <v>-42662</v>
      </c>
      <c r="K79" s="18">
        <v>-42662</v>
      </c>
      <c r="L79" s="18">
        <v>-9778</v>
      </c>
      <c r="M79" s="18">
        <v>-24568</v>
      </c>
      <c r="N79" s="18">
        <v>-48060</v>
      </c>
      <c r="O79" s="48">
        <v>-62407</v>
      </c>
      <c r="P79" s="48">
        <v>-62407</v>
      </c>
      <c r="Q79" s="48">
        <v>-20113</v>
      </c>
      <c r="R79" s="48">
        <v>-49948</v>
      </c>
      <c r="S79" s="48">
        <v>-78693</v>
      </c>
      <c r="T79" s="18">
        <v>-101411</v>
      </c>
      <c r="U79" s="18">
        <v>-101411</v>
      </c>
      <c r="V79" s="18">
        <v>-21524</v>
      </c>
      <c r="W79" s="18">
        <v>-45392</v>
      </c>
      <c r="X79" s="18">
        <v>-77937</v>
      </c>
      <c r="Y79" s="18">
        <v>-112870</v>
      </c>
      <c r="Z79" s="18">
        <v>-112870</v>
      </c>
      <c r="AA79" s="18">
        <v>-28498</v>
      </c>
      <c r="AB79" s="18">
        <v>-54809</v>
      </c>
      <c r="AC79" s="18">
        <v>-83508</v>
      </c>
      <c r="AD79" s="18">
        <v>-112082</v>
      </c>
      <c r="AE79" s="18">
        <v>-112082</v>
      </c>
      <c r="AF79" s="18">
        <v>-39263</v>
      </c>
      <c r="AG79" s="18">
        <v>-98293</v>
      </c>
      <c r="AH79" s="416"/>
      <c r="AI79" s="18"/>
    </row>
    <row r="80" spans="2:61" ht="16" x14ac:dyDescent="0.2">
      <c r="B80" s="5" t="s">
        <v>175</v>
      </c>
      <c r="C80" s="5"/>
      <c r="D80" s="5"/>
      <c r="E80" s="5"/>
      <c r="F80" s="5"/>
      <c r="G80" s="185">
        <v>-1048</v>
      </c>
      <c r="H80" s="184">
        <v>-1092</v>
      </c>
      <c r="I80" s="184">
        <v>-1092</v>
      </c>
      <c r="J80" s="184">
        <v>-1092</v>
      </c>
      <c r="K80" s="18">
        <v>-1092</v>
      </c>
      <c r="L80" s="18">
        <v>-2473</v>
      </c>
      <c r="M80" s="18">
        <v>-2473</v>
      </c>
      <c r="N80" s="18">
        <v>-2476</v>
      </c>
      <c r="O80" s="48">
        <v>-2644</v>
      </c>
      <c r="P80" s="48">
        <v>-2644</v>
      </c>
      <c r="Q80" s="48">
        <v>-4855</v>
      </c>
      <c r="R80" s="48">
        <v>-4855</v>
      </c>
      <c r="S80" s="48">
        <v>-4855</v>
      </c>
      <c r="T80" s="18">
        <v>-4895</v>
      </c>
      <c r="U80" s="18">
        <v>-4895</v>
      </c>
      <c r="V80" s="18">
        <v>-2450</v>
      </c>
      <c r="W80" s="18">
        <v>-2450</v>
      </c>
      <c r="X80" s="18">
        <v>-10392</v>
      </c>
      <c r="Y80" s="18">
        <v>-10392</v>
      </c>
      <c r="Z80" s="18">
        <v>-10392</v>
      </c>
      <c r="AA80" s="18">
        <v>-3834</v>
      </c>
      <c r="AB80" s="18">
        <v>-4153</v>
      </c>
      <c r="AC80" s="18">
        <v>-4153</v>
      </c>
      <c r="AD80" s="18">
        <v>-4153</v>
      </c>
      <c r="AE80" s="18">
        <v>-4153</v>
      </c>
      <c r="AF80" s="18">
        <v>-10418</v>
      </c>
      <c r="AG80" s="18">
        <v>-17707</v>
      </c>
      <c r="AH80" s="416"/>
      <c r="AI80" s="18"/>
    </row>
    <row r="84" spans="2:61" ht="16" x14ac:dyDescent="0.2">
      <c r="B84" s="53" t="s">
        <v>176</v>
      </c>
      <c r="C84" s="53"/>
      <c r="D84" s="53"/>
      <c r="E84" s="53"/>
      <c r="F84" s="53"/>
      <c r="G84" s="53"/>
      <c r="H84" s="53"/>
      <c r="I84" s="53"/>
      <c r="J84" s="53"/>
      <c r="K84" s="52"/>
      <c r="L84" s="52"/>
      <c r="M84" s="52"/>
      <c r="N84" s="52"/>
      <c r="O84" s="52"/>
      <c r="P84" s="52"/>
      <c r="Q84" s="52"/>
      <c r="R84" s="52"/>
      <c r="S84" s="52"/>
      <c r="T84" s="52"/>
      <c r="U84" s="52"/>
      <c r="V84" s="52"/>
      <c r="W84" s="52"/>
      <c r="X84" s="52"/>
      <c r="Y84" s="52"/>
      <c r="Z84" s="52"/>
      <c r="AA84" s="52"/>
      <c r="AB84" s="52"/>
      <c r="AC84" s="52"/>
      <c r="AD84" s="52"/>
      <c r="AE84" s="52"/>
      <c r="AF84" s="52"/>
      <c r="AG84" s="52"/>
      <c r="AH84" s="12"/>
      <c r="AI84" s="52"/>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row>
    <row r="85" spans="2:61" x14ac:dyDescent="0.2">
      <c r="B85" s="67" t="s">
        <v>99</v>
      </c>
    </row>
    <row r="86" spans="2:61" x14ac:dyDescent="0.2">
      <c r="B86" s="2" t="s">
        <v>177</v>
      </c>
      <c r="K86" s="57"/>
      <c r="L86" s="57"/>
      <c r="M86" s="57"/>
      <c r="N86" s="57"/>
      <c r="O86" s="57"/>
      <c r="P86" s="57">
        <f>P8/K8-1</f>
        <v>0.10474246162099887</v>
      </c>
      <c r="Q86" s="57">
        <f>Q8/L8-1</f>
        <v>0.10917482896995812</v>
      </c>
      <c r="R86" s="57">
        <f>R8/M8-1</f>
        <v>0.13377713954940518</v>
      </c>
      <c r="S86" s="57">
        <f>S8/N8-1</f>
        <v>0.12749845788167491</v>
      </c>
      <c r="T86" s="57"/>
      <c r="U86" s="57">
        <f>U8/P8-1</f>
        <v>9.8171947975955742E-2</v>
      </c>
      <c r="V86" s="57">
        <f>V8/Q8-1</f>
        <v>-4.065780776224448E-2</v>
      </c>
      <c r="W86" s="57">
        <f>W8/R8-1</f>
        <v>-8.8696140654427436E-2</v>
      </c>
      <c r="X86" s="57">
        <f>X8/S8-1</f>
        <v>-6.4873325853081476E-2</v>
      </c>
      <c r="Y86" s="57"/>
      <c r="Z86" s="57">
        <f t="shared" ref="Z86:AO86" si="209">Z8/U8-1</f>
        <v>-5.7521446266821319E-2</v>
      </c>
      <c r="AA86" s="57">
        <f t="shared" si="209"/>
        <v>9.5458223502727924E-2</v>
      </c>
      <c r="AB86" s="57">
        <f t="shared" si="209"/>
        <v>2.1590708014552762E-2</v>
      </c>
      <c r="AC86" s="57">
        <f t="shared" si="209"/>
        <v>0.15871249119778308</v>
      </c>
      <c r="AD86" s="57">
        <f t="shared" si="209"/>
        <v>0.43501856741966449</v>
      </c>
      <c r="AE86" s="57">
        <f t="shared" si="209"/>
        <v>0.17559990610445997</v>
      </c>
      <c r="AF86" s="57">
        <f t="shared" si="209"/>
        <v>1.3356048977600152</v>
      </c>
      <c r="AG86" s="57">
        <f t="shared" si="209"/>
        <v>1.8662411346788699</v>
      </c>
      <c r="AH86" s="433">
        <f t="shared" si="209"/>
        <v>-6.4873325853081476E-2</v>
      </c>
      <c r="AI86" s="57">
        <f t="shared" si="209"/>
        <v>0</v>
      </c>
      <c r="AJ86" s="61">
        <f t="shared" si="209"/>
        <v>0.68570696614654492</v>
      </c>
      <c r="AK86" s="61">
        <f t="shared" si="209"/>
        <v>9.5458223502727924E-2</v>
      </c>
      <c r="AL86" s="61">
        <f t="shared" si="209"/>
        <v>2.1590708014552762E-2</v>
      </c>
      <c r="AM86" s="61">
        <f t="shared" si="209"/>
        <v>0.15871249119778308</v>
      </c>
      <c r="AN86" s="61">
        <f t="shared" si="209"/>
        <v>0.43501856741966449</v>
      </c>
      <c r="AO86" s="61">
        <f t="shared" si="209"/>
        <v>0.13587946350406921</v>
      </c>
      <c r="AP86" s="61">
        <v>0.05</v>
      </c>
      <c r="AQ86" s="61">
        <v>0.05</v>
      </c>
      <c r="AR86" s="61">
        <v>0.05</v>
      </c>
      <c r="AS86" s="61">
        <v>0.05</v>
      </c>
      <c r="AT86" s="61">
        <v>0.05</v>
      </c>
      <c r="AU86" s="61">
        <v>0.05</v>
      </c>
      <c r="AV86" s="61">
        <v>0.05</v>
      </c>
      <c r="AW86" s="61">
        <v>0.04</v>
      </c>
      <c r="AX86" s="61">
        <v>0.05</v>
      </c>
      <c r="AY86" s="61">
        <v>0.05</v>
      </c>
      <c r="AZ86" s="61">
        <f t="shared" ref="AZ86:BI86" si="210">AZ8/AU8-1</f>
        <v>5.0000000000000044E-2</v>
      </c>
      <c r="BA86" s="61">
        <f t="shared" si="210"/>
        <v>5.0000000000000044E-2</v>
      </c>
      <c r="BB86" s="61">
        <f t="shared" si="210"/>
        <v>5.0000000000000044E-2</v>
      </c>
      <c r="BC86" s="61">
        <f t="shared" si="210"/>
        <v>5.0000000000000044E-2</v>
      </c>
      <c r="BD86" s="61">
        <f t="shared" si="210"/>
        <v>5.0000000000000044E-2</v>
      </c>
      <c r="BE86" s="61">
        <f t="shared" si="210"/>
        <v>5.0000000000000044E-2</v>
      </c>
      <c r="BF86" s="61">
        <f t="shared" si="210"/>
        <v>5.0000000000000044E-2</v>
      </c>
      <c r="BG86" s="61">
        <f t="shared" si="210"/>
        <v>4.0000000000000036E-2</v>
      </c>
      <c r="BH86" s="61">
        <f t="shared" si="210"/>
        <v>5.0000000000000044E-2</v>
      </c>
      <c r="BI86" s="61">
        <f t="shared" si="210"/>
        <v>4.9257298444900899E-2</v>
      </c>
    </row>
    <row r="87" spans="2:61" x14ac:dyDescent="0.2">
      <c r="B87" s="2" t="s">
        <v>178</v>
      </c>
      <c r="G87" s="58">
        <f t="shared" ref="G87:I87" si="211">G9/G8</f>
        <v>0.74966395011430709</v>
      </c>
      <c r="H87" s="58">
        <f t="shared" si="211"/>
        <v>0.75059261909020447</v>
      </c>
      <c r="I87" s="58">
        <f t="shared" si="211"/>
        <v>0.74965377174021364</v>
      </c>
      <c r="J87" s="58"/>
      <c r="K87" s="58">
        <f>K9/K8</f>
        <v>0.74922620068462475</v>
      </c>
      <c r="L87" s="58">
        <f t="shared" ref="L87:N87" si="212">L9/L8</f>
        <v>0.75470560915917406</v>
      </c>
      <c r="M87" s="58">
        <f t="shared" si="212"/>
        <v>0.75001478329319693</v>
      </c>
      <c r="N87" s="58">
        <f t="shared" si="212"/>
        <v>0.75553792120853114</v>
      </c>
      <c r="O87" s="58"/>
      <c r="P87" s="58">
        <f t="shared" ref="P87:AG87" si="213">P9/P8</f>
        <v>0.75442995793841217</v>
      </c>
      <c r="Q87" s="58">
        <f t="shared" si="213"/>
        <v>0.75826670336313751</v>
      </c>
      <c r="R87" s="58">
        <f t="shared" si="213"/>
        <v>0.76250976128864323</v>
      </c>
      <c r="S87" s="58">
        <f t="shared" si="213"/>
        <v>0.75322674367832965</v>
      </c>
      <c r="T87" s="58"/>
      <c r="U87" s="58">
        <f t="shared" si="213"/>
        <v>0.75106834882224993</v>
      </c>
      <c r="V87" s="58">
        <f t="shared" si="213"/>
        <v>0.72906577576166243</v>
      </c>
      <c r="W87" s="58">
        <f t="shared" si="213"/>
        <v>0.72845904197533973</v>
      </c>
      <c r="X87" s="58">
        <f t="shared" si="213"/>
        <v>0.72683874843200647</v>
      </c>
      <c r="Y87" s="58"/>
      <c r="Z87" s="58">
        <f t="shared" si="213"/>
        <v>0.72847363020128886</v>
      </c>
      <c r="AA87" s="58">
        <f t="shared" si="213"/>
        <v>0.73955930008656867</v>
      </c>
      <c r="AB87" s="58">
        <f t="shared" si="213"/>
        <v>0.73410743903172371</v>
      </c>
      <c r="AC87" s="58">
        <f t="shared" si="213"/>
        <v>0.75139907207737044</v>
      </c>
      <c r="AD87" s="58">
        <f>AD9/AD8</f>
        <v>0.73557824527019555</v>
      </c>
      <c r="AE87" s="58">
        <f t="shared" si="213"/>
        <v>0.74031817736772387</v>
      </c>
      <c r="AF87" s="58">
        <f t="shared" si="213"/>
        <v>0.74374421237369048</v>
      </c>
      <c r="AG87" s="58">
        <f t="shared" si="213"/>
        <v>0.71611237649914417</v>
      </c>
      <c r="AH87" s="433">
        <v>0.72</v>
      </c>
      <c r="AI87" s="58">
        <v>0.73</v>
      </c>
      <c r="AJ87" s="62">
        <v>0.74</v>
      </c>
      <c r="AK87" s="62">
        <v>0.74</v>
      </c>
      <c r="AL87" s="62">
        <v>0.74</v>
      </c>
      <c r="AM87" s="62">
        <v>0.74</v>
      </c>
      <c r="AN87" s="62">
        <v>0.74</v>
      </c>
      <c r="AO87" s="62">
        <v>0.74</v>
      </c>
      <c r="AP87" s="62">
        <v>0.74</v>
      </c>
      <c r="AQ87" s="62">
        <v>0.74</v>
      </c>
      <c r="AR87" s="62">
        <v>0.74</v>
      </c>
      <c r="AS87" s="62">
        <v>0.74</v>
      </c>
      <c r="AT87" s="62">
        <v>0.74</v>
      </c>
      <c r="AU87" s="62">
        <v>0.74</v>
      </c>
      <c r="AV87" s="62">
        <v>0.74</v>
      </c>
      <c r="AW87" s="62">
        <v>0.74</v>
      </c>
      <c r="AX87" s="62">
        <v>0.74</v>
      </c>
      <c r="AY87" s="62">
        <v>0.74</v>
      </c>
      <c r="AZ87" s="62">
        <v>0.74</v>
      </c>
      <c r="BA87" s="62">
        <v>0.74</v>
      </c>
      <c r="BB87" s="62">
        <v>0.74</v>
      </c>
      <c r="BC87" s="62">
        <v>0.74</v>
      </c>
      <c r="BD87" s="62">
        <v>0.74</v>
      </c>
      <c r="BE87" s="62">
        <v>0.74</v>
      </c>
      <c r="BF87" s="62">
        <v>0.74</v>
      </c>
      <c r="BG87" s="62">
        <v>0.74</v>
      </c>
      <c r="BH87" s="62">
        <v>0.74</v>
      </c>
      <c r="BI87" s="62">
        <v>0.74</v>
      </c>
    </row>
    <row r="88" spans="2:61" x14ac:dyDescent="0.2">
      <c r="B88" s="2" t="s">
        <v>38</v>
      </c>
      <c r="G88" s="58">
        <f t="shared" ref="G88:I88" si="214">G10/G8</f>
        <v>0.25033604988569291</v>
      </c>
      <c r="H88" s="58">
        <f t="shared" si="214"/>
        <v>0.2494073809097955</v>
      </c>
      <c r="I88" s="58">
        <f t="shared" si="214"/>
        <v>0.25034622825978631</v>
      </c>
      <c r="J88" s="58"/>
      <c r="K88" s="58">
        <f>K10/K8</f>
        <v>0.2507737993153753</v>
      </c>
      <c r="L88" s="58">
        <f t="shared" ref="L88:N88" si="215">L10/L8</f>
        <v>0.24529439084082597</v>
      </c>
      <c r="M88" s="58">
        <f t="shared" si="215"/>
        <v>0.24998521670680307</v>
      </c>
      <c r="N88" s="58">
        <f t="shared" si="215"/>
        <v>0.24446207879146889</v>
      </c>
      <c r="O88" s="58"/>
      <c r="P88" s="58">
        <f t="shared" ref="P88:AG88" si="216">P10/P8</f>
        <v>0.24557004206158789</v>
      </c>
      <c r="Q88" s="58">
        <f t="shared" si="216"/>
        <v>0.24173329663686255</v>
      </c>
      <c r="R88" s="58">
        <f t="shared" si="216"/>
        <v>0.23749023871135677</v>
      </c>
      <c r="S88" s="58">
        <f t="shared" si="216"/>
        <v>0.24677325632167035</v>
      </c>
      <c r="T88" s="58"/>
      <c r="U88" s="58">
        <f t="shared" si="216"/>
        <v>0.24893165117775012</v>
      </c>
      <c r="V88" s="58">
        <f t="shared" si="216"/>
        <v>0.27093422423833752</v>
      </c>
      <c r="W88" s="58">
        <f t="shared" si="216"/>
        <v>0.27154095802466022</v>
      </c>
      <c r="X88" s="58">
        <f t="shared" si="216"/>
        <v>0.27316125156799348</v>
      </c>
      <c r="Y88" s="58"/>
      <c r="Z88" s="58">
        <f t="shared" si="216"/>
        <v>0.27152636979871109</v>
      </c>
      <c r="AA88" s="58">
        <f t="shared" si="216"/>
        <v>0.26044069991343133</v>
      </c>
      <c r="AB88" s="58">
        <f t="shared" si="216"/>
        <v>0.26589256096827629</v>
      </c>
      <c r="AC88" s="58">
        <f t="shared" si="216"/>
        <v>0.24860092792262956</v>
      </c>
      <c r="AD88" s="58">
        <f>AD10/AD8</f>
        <v>0.2644217547298045</v>
      </c>
      <c r="AE88" s="58">
        <f t="shared" si="216"/>
        <v>0.25968182263227618</v>
      </c>
      <c r="AF88" s="58">
        <f t="shared" si="216"/>
        <v>0.25625578762630952</v>
      </c>
      <c r="AG88" s="58">
        <f t="shared" si="216"/>
        <v>0.28388762350085589</v>
      </c>
      <c r="AH88" s="433"/>
      <c r="AI88" s="58"/>
      <c r="AJ88" s="62">
        <f>1-AJ87</f>
        <v>0.26</v>
      </c>
      <c r="AK88" s="62">
        <f>1-AK87</f>
        <v>0.26</v>
      </c>
      <c r="AL88" s="62">
        <f>1-AL87</f>
        <v>0.26</v>
      </c>
      <c r="AM88" s="62">
        <f>1-AM87</f>
        <v>0.26</v>
      </c>
      <c r="AN88" s="62">
        <f>1-AN87</f>
        <v>0.26</v>
      </c>
      <c r="AO88" s="62">
        <f t="shared" ref="AO88:BI88" si="217">1-AO87</f>
        <v>0.26</v>
      </c>
      <c r="AP88" s="62">
        <f>1-AP87</f>
        <v>0.26</v>
      </c>
      <c r="AQ88" s="62">
        <f>1-AQ87</f>
        <v>0.26</v>
      </c>
      <c r="AR88" s="62">
        <f>1-AR87</f>
        <v>0.26</v>
      </c>
      <c r="AS88" s="62">
        <f>1-AS87</f>
        <v>0.26</v>
      </c>
      <c r="AT88" s="62">
        <f t="shared" si="217"/>
        <v>0.26</v>
      </c>
      <c r="AU88" s="62">
        <f>1-AU87</f>
        <v>0.26</v>
      </c>
      <c r="AV88" s="62">
        <f>1-AV87</f>
        <v>0.26</v>
      </c>
      <c r="AW88" s="62">
        <f>1-AW87</f>
        <v>0.26</v>
      </c>
      <c r="AX88" s="62">
        <f>1-AX87</f>
        <v>0.26</v>
      </c>
      <c r="AY88" s="62">
        <f t="shared" si="217"/>
        <v>0.26</v>
      </c>
      <c r="AZ88" s="62">
        <f>1-AZ87</f>
        <v>0.26</v>
      </c>
      <c r="BA88" s="62">
        <f>1-BA87</f>
        <v>0.26</v>
      </c>
      <c r="BB88" s="62">
        <f>1-BB87</f>
        <v>0.26</v>
      </c>
      <c r="BC88" s="62">
        <f>1-BC87</f>
        <v>0.26</v>
      </c>
      <c r="BD88" s="62">
        <f t="shared" si="217"/>
        <v>0.26</v>
      </c>
      <c r="BE88" s="62">
        <f>1-BE87</f>
        <v>0.26</v>
      </c>
      <c r="BF88" s="62">
        <f>1-BF87</f>
        <v>0.26</v>
      </c>
      <c r="BG88" s="62">
        <f>1-BG87</f>
        <v>0.26</v>
      </c>
      <c r="BH88" s="62">
        <f>1-BH87</f>
        <v>0.26</v>
      </c>
      <c r="BI88" s="62">
        <f t="shared" si="217"/>
        <v>0.26</v>
      </c>
    </row>
    <row r="89" spans="2:61" x14ac:dyDescent="0.2">
      <c r="B89" s="2" t="s">
        <v>179</v>
      </c>
      <c r="G89" s="58">
        <f t="shared" ref="G89:I89" si="218">G12/G8</f>
        <v>0.23403172539964526</v>
      </c>
      <c r="H89" s="58">
        <f t="shared" si="218"/>
        <v>0.20384486973111549</v>
      </c>
      <c r="I89" s="58">
        <f t="shared" si="218"/>
        <v>0.20094240525831664</v>
      </c>
      <c r="J89" s="58"/>
      <c r="K89" s="58">
        <f>K12/K8</f>
        <v>0.21365656063087496</v>
      </c>
      <c r="L89" s="58">
        <f t="shared" ref="L89:N89" si="219">L12/L8</f>
        <v>0.21902216737200794</v>
      </c>
      <c r="M89" s="58">
        <f t="shared" si="219"/>
        <v>0.20043216041690515</v>
      </c>
      <c r="N89" s="58">
        <f t="shared" si="219"/>
        <v>0.19726234745801952</v>
      </c>
      <c r="O89" s="58">
        <f t="shared" ref="O89:AG89" si="220">O12/O8</f>
        <v>0.20597614645583687</v>
      </c>
      <c r="P89" s="58">
        <f t="shared" si="220"/>
        <v>0.20503911669385996</v>
      </c>
      <c r="Q89" s="58">
        <f t="shared" si="220"/>
        <v>0.21106822015059667</v>
      </c>
      <c r="R89" s="58">
        <f t="shared" si="220"/>
        <v>0.18745932796398659</v>
      </c>
      <c r="S89" s="58">
        <f t="shared" si="220"/>
        <v>0.18928451564267934</v>
      </c>
      <c r="T89" s="58">
        <f t="shared" si="220"/>
        <v>0.22153437813191776</v>
      </c>
      <c r="U89" s="58">
        <f t="shared" si="220"/>
        <v>0.20116738735685499</v>
      </c>
      <c r="V89" s="58">
        <f t="shared" si="220"/>
        <v>0.2268644639244774</v>
      </c>
      <c r="W89" s="58">
        <f t="shared" si="220"/>
        <v>0.21081971706301264</v>
      </c>
      <c r="X89" s="58">
        <f t="shared" si="220"/>
        <v>0.20772474994131856</v>
      </c>
      <c r="Y89" s="58">
        <f t="shared" si="220"/>
        <v>0.22761632209157207</v>
      </c>
      <c r="Z89" s="58">
        <f t="shared" si="220"/>
        <v>0.21764137315496843</v>
      </c>
      <c r="AA89" s="58">
        <f t="shared" si="220"/>
        <v>0.22633533685390378</v>
      </c>
      <c r="AB89" s="58">
        <f t="shared" si="220"/>
        <v>0.1994595103007078</v>
      </c>
      <c r="AC89" s="58">
        <f t="shared" si="220"/>
        <v>0.18771613409135463</v>
      </c>
      <c r="AD89" s="58">
        <f>AD12/AD8</f>
        <v>0.17990406044034205</v>
      </c>
      <c r="AE89" s="58">
        <f t="shared" si="220"/>
        <v>0.19613911829990721</v>
      </c>
      <c r="AF89" s="58">
        <f t="shared" si="220"/>
        <v>0.19684769782750627</v>
      </c>
      <c r="AG89" s="58">
        <f t="shared" si="220"/>
        <v>0.1619086402990165</v>
      </c>
      <c r="AH89" s="433">
        <v>0.18</v>
      </c>
      <c r="AI89" s="58">
        <v>0.19</v>
      </c>
      <c r="AJ89" s="60">
        <v>0.2</v>
      </c>
      <c r="AK89" s="60">
        <v>0.2</v>
      </c>
      <c r="AL89" s="60">
        <v>0.2</v>
      </c>
      <c r="AM89" s="60">
        <v>0.2</v>
      </c>
      <c r="AN89" s="60">
        <v>0.2</v>
      </c>
      <c r="AO89" s="60">
        <v>0.2</v>
      </c>
      <c r="AP89" s="60">
        <v>0.2</v>
      </c>
      <c r="AQ89" s="60">
        <v>0.2</v>
      </c>
      <c r="AR89" s="60">
        <v>0.2</v>
      </c>
      <c r="AS89" s="60">
        <v>0.2</v>
      </c>
      <c r="AT89" s="60">
        <v>0.2</v>
      </c>
      <c r="AU89" s="60">
        <v>0.2</v>
      </c>
      <c r="AV89" s="60">
        <v>0.2</v>
      </c>
      <c r="AW89" s="60">
        <v>0.2</v>
      </c>
      <c r="AX89" s="60">
        <v>0.2</v>
      </c>
      <c r="AY89" s="60">
        <v>0.2</v>
      </c>
      <c r="AZ89" s="60">
        <v>0.2</v>
      </c>
      <c r="BA89" s="60">
        <v>0.2</v>
      </c>
      <c r="BB89" s="60">
        <v>0.2</v>
      </c>
      <c r="BC89" s="60">
        <v>0.2</v>
      </c>
      <c r="BD89" s="60">
        <v>0.2</v>
      </c>
      <c r="BE89" s="60">
        <v>0.2</v>
      </c>
      <c r="BF89" s="60">
        <v>0.2</v>
      </c>
      <c r="BG89" s="60">
        <v>0.2</v>
      </c>
      <c r="BH89" s="60">
        <v>0.2</v>
      </c>
      <c r="BI89" s="60">
        <v>0.2</v>
      </c>
    </row>
    <row r="90" spans="2:61" x14ac:dyDescent="0.2">
      <c r="B90" s="2" t="s">
        <v>180</v>
      </c>
    </row>
    <row r="91" spans="2:61" x14ac:dyDescent="0.2">
      <c r="B91" s="2" t="s">
        <v>181</v>
      </c>
      <c r="G91" s="57">
        <f t="shared" ref="G91:I91" si="221">G17/G58</f>
        <v>1.8561289299277604E-2</v>
      </c>
      <c r="H91" s="57">
        <f t="shared" si="221"/>
        <v>2.2411500961083828E-2</v>
      </c>
      <c r="I91" s="57">
        <f t="shared" si="221"/>
        <v>4.7947415260775443E-2</v>
      </c>
      <c r="J91" s="57"/>
      <c r="K91" s="57">
        <f>K17/K58</f>
        <v>0.1202053941153578</v>
      </c>
      <c r="L91" s="57">
        <f t="shared" ref="L91:N91" si="222">L17/L58</f>
        <v>1.8766859004869095E-2</v>
      </c>
      <c r="M91" s="57">
        <f t="shared" si="222"/>
        <v>1.785674556971547E-2</v>
      </c>
      <c r="N91" s="57">
        <f t="shared" si="222"/>
        <v>1.8398409632684309E-2</v>
      </c>
      <c r="O91" s="57"/>
      <c r="P91" s="57">
        <f t="shared" ref="P91:AG91" si="223">P17/P58</f>
        <v>0.10901805642951672</v>
      </c>
      <c r="Q91" s="57">
        <f t="shared" si="223"/>
        <v>1.3867382973537784E-2</v>
      </c>
      <c r="R91" s="57">
        <f t="shared" si="223"/>
        <v>1.4817502224646577E-2</v>
      </c>
      <c r="S91" s="57">
        <f t="shared" si="223"/>
        <v>1.5931365841216183E-2</v>
      </c>
      <c r="T91" s="57"/>
      <c r="U91" s="57">
        <f t="shared" si="223"/>
        <v>7.0007743918888754E-2</v>
      </c>
      <c r="V91" s="57">
        <f t="shared" si="223"/>
        <v>1.5940873896106805E-2</v>
      </c>
      <c r="W91" s="57">
        <f t="shared" si="223"/>
        <v>2.0684819446067548E-2</v>
      </c>
      <c r="X91" s="57">
        <f t="shared" si="223"/>
        <v>2.0576585729232925E-2</v>
      </c>
      <c r="Y91" s="57"/>
      <c r="Z91" s="57">
        <f t="shared" si="223"/>
        <v>8.5761054894402527E-2</v>
      </c>
      <c r="AA91" s="57">
        <f t="shared" si="223"/>
        <v>3.3607707944093075E-2</v>
      </c>
      <c r="AB91" s="57">
        <f t="shared" si="223"/>
        <v>1.6992377132919782E-2</v>
      </c>
      <c r="AC91" s="57">
        <f t="shared" si="223"/>
        <v>1.7814738912400756E-2</v>
      </c>
      <c r="AD91" s="57">
        <f>AD17/AD58</f>
        <v>1.8098759788465812E-2</v>
      </c>
      <c r="AE91" s="57">
        <f t="shared" si="223"/>
        <v>8.4969362610800264E-2</v>
      </c>
      <c r="AF91" s="57">
        <f t="shared" si="223"/>
        <v>1.9205010044574873E-2</v>
      </c>
      <c r="AG91" s="57">
        <f t="shared" si="223"/>
        <v>1.3599554167520869E-2</v>
      </c>
      <c r="AH91" s="433">
        <v>2.5999999999999999E-2</v>
      </c>
      <c r="AI91" s="57">
        <v>2.5999999999999999E-2</v>
      </c>
      <c r="AJ91" s="62">
        <v>8.5000000000000006E-2</v>
      </c>
      <c r="AK91" s="62">
        <v>8.5000000000000006E-2</v>
      </c>
      <c r="AL91" s="62">
        <v>8.5000000000000006E-2</v>
      </c>
      <c r="AM91" s="62">
        <v>8.5000000000000006E-2</v>
      </c>
      <c r="AN91" s="62">
        <v>8.5000000000000006E-2</v>
      </c>
      <c r="AO91" s="62">
        <v>8.5000000000000006E-2</v>
      </c>
      <c r="AP91" s="62">
        <v>8.5000000000000006E-2</v>
      </c>
      <c r="AQ91" s="62">
        <v>8.5000000000000006E-2</v>
      </c>
      <c r="AR91" s="62">
        <v>8.5000000000000006E-2</v>
      </c>
      <c r="AS91" s="62">
        <v>8.5000000000000006E-2</v>
      </c>
      <c r="AT91" s="62">
        <v>8.5000000000000006E-2</v>
      </c>
      <c r="AU91" s="62">
        <v>8.5000000000000006E-2</v>
      </c>
      <c r="AV91" s="62">
        <v>8.5000000000000006E-2</v>
      </c>
      <c r="AW91" s="62">
        <v>8.5000000000000006E-2</v>
      </c>
      <c r="AX91" s="62">
        <v>8.5000000000000006E-2</v>
      </c>
      <c r="AY91" s="62">
        <v>8.5000000000000006E-2</v>
      </c>
      <c r="AZ91" s="62">
        <v>8.5000000000000006E-2</v>
      </c>
      <c r="BA91" s="62">
        <v>8.5000000000000006E-2</v>
      </c>
      <c r="BB91" s="62">
        <v>8.5000000000000006E-2</v>
      </c>
      <c r="BC91" s="62">
        <v>8.5000000000000006E-2</v>
      </c>
      <c r="BD91" s="62">
        <v>8.5000000000000006E-2</v>
      </c>
      <c r="BE91" s="62">
        <v>8.5000000000000006E-2</v>
      </c>
      <c r="BF91" s="62">
        <v>8.5000000000000006E-2</v>
      </c>
      <c r="BG91" s="62">
        <v>8.5000000000000006E-2</v>
      </c>
      <c r="BH91" s="62">
        <v>8.5000000000000006E-2</v>
      </c>
      <c r="BI91" s="62">
        <v>8.5000000000000006E-2</v>
      </c>
    </row>
    <row r="92" spans="2:61" x14ac:dyDescent="0.2">
      <c r="B92" s="2" t="s">
        <v>182</v>
      </c>
      <c r="G92" s="58">
        <f t="shared" ref="G92:I92" si="224">G19/G18</f>
        <v>-0.364402897441295</v>
      </c>
      <c r="H92" s="58">
        <f t="shared" si="224"/>
        <v>0.12430117975829542</v>
      </c>
      <c r="I92" s="58">
        <f t="shared" si="224"/>
        <v>21.796937369130511</v>
      </c>
      <c r="J92" s="58"/>
      <c r="K92" s="58">
        <f>K19/K18</f>
        <v>-5.6611749503899578</v>
      </c>
      <c r="L92" s="58">
        <f t="shared" ref="L92:N92" si="225">L19/L18</f>
        <v>7.2330558321502883E-2</v>
      </c>
      <c r="M92" s="58">
        <f t="shared" si="225"/>
        <v>0.34219459937860258</v>
      </c>
      <c r="N92" s="58">
        <f t="shared" si="225"/>
        <v>0.2752700735245317</v>
      </c>
      <c r="O92" s="58"/>
      <c r="P92" s="58">
        <f t="shared" ref="P92:AG92" si="226">P19/P18</f>
        <v>0.57814182684463011</v>
      </c>
      <c r="Q92" s="58">
        <f t="shared" si="226"/>
        <v>8.5898748130068495E-2</v>
      </c>
      <c r="R92" s="58">
        <f t="shared" si="226"/>
        <v>0.25105172562030736</v>
      </c>
      <c r="S92" s="58">
        <f t="shared" si="226"/>
        <v>0.20882169142763501</v>
      </c>
      <c r="T92" s="58"/>
      <c r="U92" s="58">
        <f t="shared" si="226"/>
        <v>0.21308891488178558</v>
      </c>
      <c r="V92" s="58">
        <f t="shared" si="226"/>
        <v>0.24009386211702399</v>
      </c>
      <c r="W92" s="58">
        <f t="shared" si="226"/>
        <v>0.2278960852277338</v>
      </c>
      <c r="X92" s="58">
        <f t="shared" si="226"/>
        <v>0.23284631397038608</v>
      </c>
      <c r="Y92" s="58"/>
      <c r="Z92" s="58">
        <f t="shared" si="226"/>
        <v>0.21554349171544271</v>
      </c>
      <c r="AA92" s="58">
        <f t="shared" si="226"/>
        <v>2.7617568766637089E-2</v>
      </c>
      <c r="AB92" s="58">
        <f t="shared" si="226"/>
        <v>0.22958132815321691</v>
      </c>
      <c r="AC92" s="58">
        <f t="shared" si="226"/>
        <v>0.23079264199078012</v>
      </c>
      <c r="AD92" s="58">
        <f>AD19/AD18</f>
        <v>0.24367540217955372</v>
      </c>
      <c r="AE92" s="58">
        <f t="shared" si="226"/>
        <v>0.23183949667537226</v>
      </c>
      <c r="AF92" s="58">
        <f t="shared" si="226"/>
        <v>0.20143259050862516</v>
      </c>
      <c r="AG92" s="58">
        <f t="shared" si="226"/>
        <v>0.2378874476391041</v>
      </c>
      <c r="AH92" s="433">
        <v>0.21</v>
      </c>
      <c r="AI92" s="58">
        <v>0.21</v>
      </c>
      <c r="AJ92" s="60">
        <v>0.22</v>
      </c>
      <c r="AK92" s="60">
        <v>0.22</v>
      </c>
      <c r="AL92" s="60">
        <v>0.22</v>
      </c>
      <c r="AM92" s="60">
        <v>0.22</v>
      </c>
      <c r="AN92" s="60">
        <v>0.22</v>
      </c>
      <c r="AO92" s="60">
        <v>0.22</v>
      </c>
      <c r="AP92" s="60">
        <v>0.22</v>
      </c>
      <c r="AQ92" s="60">
        <v>0.22</v>
      </c>
      <c r="AR92" s="60">
        <v>0.22</v>
      </c>
      <c r="AS92" s="60">
        <v>0.22</v>
      </c>
      <c r="AT92" s="60">
        <v>0.22</v>
      </c>
      <c r="AU92" s="60">
        <v>0.22</v>
      </c>
      <c r="AV92" s="60">
        <v>0.22</v>
      </c>
      <c r="AW92" s="60">
        <v>0.22</v>
      </c>
      <c r="AX92" s="60">
        <v>0.22</v>
      </c>
      <c r="AY92" s="60">
        <v>0.22</v>
      </c>
      <c r="AZ92" s="60">
        <v>0.22</v>
      </c>
      <c r="BA92" s="60">
        <v>0.22</v>
      </c>
      <c r="BB92" s="60">
        <v>0.22</v>
      </c>
      <c r="BC92" s="60">
        <v>0.22</v>
      </c>
      <c r="BD92" s="60">
        <v>0.22</v>
      </c>
      <c r="BE92" s="60">
        <v>0.22</v>
      </c>
      <c r="BF92" s="60">
        <v>0.22</v>
      </c>
      <c r="BG92" s="60">
        <v>0.22</v>
      </c>
      <c r="BH92" s="60">
        <v>0.22</v>
      </c>
      <c r="BI92" s="60">
        <v>0.22</v>
      </c>
    </row>
    <row r="93" spans="2:61" x14ac:dyDescent="0.2">
      <c r="K93" s="58"/>
      <c r="L93" s="58"/>
      <c r="M93" s="58"/>
      <c r="N93" s="58"/>
      <c r="O93" s="58"/>
      <c r="P93" s="58"/>
      <c r="Q93" s="58"/>
      <c r="R93" s="58"/>
      <c r="S93" s="58"/>
      <c r="T93" s="58"/>
      <c r="U93" s="58"/>
      <c r="V93" s="58"/>
      <c r="W93" s="58"/>
      <c r="X93" s="58"/>
      <c r="Y93" s="58"/>
      <c r="Z93" s="58"/>
      <c r="AA93" s="58"/>
      <c r="AB93" s="58"/>
      <c r="AC93" s="58"/>
      <c r="AD93" s="58"/>
      <c r="AE93" s="58"/>
      <c r="AF93" s="58"/>
      <c r="AG93" s="58"/>
      <c r="AH93" s="433"/>
      <c r="AI93" s="58"/>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row>
    <row r="94" spans="2:61" x14ac:dyDescent="0.2">
      <c r="B94" s="1" t="s">
        <v>183</v>
      </c>
      <c r="C94" s="69"/>
      <c r="D94" s="69"/>
      <c r="E94" s="69"/>
      <c r="F94" s="69"/>
      <c r="G94" s="69"/>
      <c r="H94" s="69"/>
      <c r="I94" s="69"/>
      <c r="J94" s="69"/>
      <c r="K94" s="69"/>
      <c r="L94" s="69"/>
      <c r="M94" s="69"/>
      <c r="N94" s="69"/>
      <c r="O94" s="69"/>
      <c r="P94" s="69"/>
      <c r="Q94" s="69"/>
      <c r="R94" s="69"/>
      <c r="S94" s="69"/>
      <c r="T94" s="69"/>
      <c r="U94" s="69"/>
      <c r="V94" s="69"/>
      <c r="W94" s="69"/>
      <c r="X94" s="69"/>
      <c r="Y94" s="69"/>
      <c r="Z94" s="69"/>
      <c r="AA94" s="69"/>
      <c r="AB94" s="69"/>
      <c r="AC94" s="69"/>
      <c r="AD94" s="69"/>
      <c r="AE94" s="69"/>
      <c r="AF94" s="69"/>
      <c r="AG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c r="BH94" s="69"/>
      <c r="BI94" s="69"/>
    </row>
    <row r="95" spans="2:61" x14ac:dyDescent="0.2">
      <c r="B95" s="2" t="s">
        <v>184</v>
      </c>
      <c r="G95" s="65">
        <f t="shared" ref="G95:I95" si="227">(G36/G8)*365</f>
        <v>154.15406688359002</v>
      </c>
      <c r="H95" s="65">
        <f t="shared" si="227"/>
        <v>145.34390091218029</v>
      </c>
      <c r="I95" s="65">
        <f t="shared" si="227"/>
        <v>141.56549871188196</v>
      </c>
      <c r="J95" s="65"/>
      <c r="K95" s="65">
        <f>(K36/K8)*365</f>
        <v>32.629441375632055</v>
      </c>
      <c r="L95" s="65">
        <f t="shared" ref="L95:N95" si="228">(L36/L8)*365</f>
        <v>148.22714511592471</v>
      </c>
      <c r="M95" s="65">
        <f t="shared" si="228"/>
        <v>142.69715352436421</v>
      </c>
      <c r="N95" s="65">
        <f t="shared" si="228"/>
        <v>140.64680886620906</v>
      </c>
      <c r="O95" s="65"/>
      <c r="P95" s="65">
        <f t="shared" ref="P95:AG95" si="229">(P36/P8)*365</f>
        <v>32.793606217841976</v>
      </c>
      <c r="Q95" s="65">
        <f t="shared" si="229"/>
        <v>152.49825338913081</v>
      </c>
      <c r="R95" s="65">
        <f t="shared" si="229"/>
        <v>143.28257782235218</v>
      </c>
      <c r="S95" s="65">
        <f t="shared" si="229"/>
        <v>138.75160906447917</v>
      </c>
      <c r="T95" s="65"/>
      <c r="U95" s="65">
        <f t="shared" si="229"/>
        <v>30.909919530300641</v>
      </c>
      <c r="V95" s="65">
        <f t="shared" si="229"/>
        <v>145.19942990253173</v>
      </c>
      <c r="W95" s="65">
        <f t="shared" si="229"/>
        <v>137.10667973030516</v>
      </c>
      <c r="X95" s="65">
        <f t="shared" si="229"/>
        <v>132.86686504781591</v>
      </c>
      <c r="Y95" s="65"/>
      <c r="Z95" s="65">
        <f t="shared" si="229"/>
        <v>30.829945369992519</v>
      </c>
      <c r="AA95" s="65">
        <f t="shared" si="229"/>
        <v>143.42309351708795</v>
      </c>
      <c r="AB95" s="65">
        <f t="shared" si="229"/>
        <v>135.01174675929758</v>
      </c>
      <c r="AC95" s="65">
        <f t="shared" si="229"/>
        <v>136.88267224291533</v>
      </c>
      <c r="AD95" s="65">
        <f>(AD36/AD8)*365</f>
        <v>126.92099211304115</v>
      </c>
      <c r="AE95" s="65">
        <f>(AE36/AE8)*365</f>
        <v>37.529068660199925</v>
      </c>
      <c r="AF95" s="65">
        <f t="shared" si="229"/>
        <v>153.00830782684741</v>
      </c>
      <c r="AG95" s="65">
        <f t="shared" si="229"/>
        <v>142.33481665262607</v>
      </c>
      <c r="AH95" s="434">
        <v>35</v>
      </c>
      <c r="AI95" s="65">
        <v>35</v>
      </c>
      <c r="AJ95" s="68">
        <v>35</v>
      </c>
      <c r="AK95" s="68">
        <v>35</v>
      </c>
      <c r="AL95" s="68">
        <v>35</v>
      </c>
      <c r="AM95" s="68">
        <v>35</v>
      </c>
      <c r="AN95" s="68">
        <v>35</v>
      </c>
      <c r="AO95" s="68">
        <v>35</v>
      </c>
      <c r="AP95" s="68">
        <v>35</v>
      </c>
      <c r="AQ95" s="68">
        <v>35</v>
      </c>
      <c r="AR95" s="68">
        <v>35</v>
      </c>
      <c r="AS95" s="68">
        <v>35</v>
      </c>
      <c r="AT95" s="68">
        <v>35</v>
      </c>
      <c r="AU95" s="68">
        <v>35</v>
      </c>
      <c r="AV95" s="68">
        <v>35</v>
      </c>
      <c r="AW95" s="68">
        <v>35</v>
      </c>
      <c r="AX95" s="68">
        <v>35</v>
      </c>
      <c r="AY95" s="68">
        <v>35</v>
      </c>
      <c r="AZ95" s="68">
        <v>35</v>
      </c>
      <c r="BA95" s="68">
        <v>35</v>
      </c>
      <c r="BB95" s="68">
        <v>35</v>
      </c>
      <c r="BC95" s="68">
        <v>35</v>
      </c>
      <c r="BD95" s="68">
        <v>35</v>
      </c>
      <c r="BE95" s="68">
        <v>35</v>
      </c>
      <c r="BF95" s="68">
        <v>35</v>
      </c>
      <c r="BG95" s="68">
        <v>35</v>
      </c>
      <c r="BH95" s="68">
        <v>35</v>
      </c>
      <c r="BI95" s="68">
        <v>35</v>
      </c>
    </row>
    <row r="96" spans="2:61" x14ac:dyDescent="0.2">
      <c r="B96" s="2" t="s">
        <v>185</v>
      </c>
      <c r="G96" s="65">
        <f t="shared" ref="G96:I96" si="230">(G38/G9)*365</f>
        <v>187.11370237338238</v>
      </c>
      <c r="H96" s="65">
        <f t="shared" si="230"/>
        <v>167.79860346045058</v>
      </c>
      <c r="I96" s="65">
        <f t="shared" si="230"/>
        <v>159.11693651899662</v>
      </c>
      <c r="J96" s="65"/>
      <c r="K96" s="65">
        <f>(K38/K9)*365</f>
        <v>41.451613613229206</v>
      </c>
      <c r="L96" s="65">
        <f t="shared" ref="L96:N96" si="231">(L38/L9)*365</f>
        <v>194.96350081070895</v>
      </c>
      <c r="M96" s="65">
        <f t="shared" si="231"/>
        <v>171.88424231464739</v>
      </c>
      <c r="N96" s="65">
        <f t="shared" si="231"/>
        <v>161.27357463825746</v>
      </c>
      <c r="O96" s="65"/>
      <c r="P96" s="65">
        <f t="shared" ref="P96:AG96" si="232">(P38/P9)*365</f>
        <v>41.374069169132987</v>
      </c>
      <c r="Q96" s="65">
        <f t="shared" si="232"/>
        <v>192.15249297338886</v>
      </c>
      <c r="R96" s="65">
        <f t="shared" si="232"/>
        <v>179.28807512738771</v>
      </c>
      <c r="S96" s="65">
        <f t="shared" si="232"/>
        <v>155.42338216917364</v>
      </c>
      <c r="T96" s="65"/>
      <c r="U96" s="65">
        <f t="shared" si="232"/>
        <v>37.551428161213245</v>
      </c>
      <c r="V96" s="65">
        <f t="shared" si="232"/>
        <v>195.03258991444727</v>
      </c>
      <c r="W96" s="65">
        <f t="shared" si="232"/>
        <v>162.464117281152</v>
      </c>
      <c r="X96" s="65">
        <f t="shared" si="232"/>
        <v>147.41595035186643</v>
      </c>
      <c r="Y96" s="65"/>
      <c r="Z96" s="65">
        <f t="shared" si="232"/>
        <v>38.626215730365892</v>
      </c>
      <c r="AA96" s="65">
        <f t="shared" si="232"/>
        <v>176.76763457848318</v>
      </c>
      <c r="AB96" s="65">
        <f t="shared" si="232"/>
        <v>157.19743809296435</v>
      </c>
      <c r="AC96" s="65">
        <f t="shared" si="232"/>
        <v>158.95729589360846</v>
      </c>
      <c r="AD96" s="65">
        <f>(AD38/AD9)*365</f>
        <v>153.82287389367696</v>
      </c>
      <c r="AE96" s="65">
        <f t="shared" si="232"/>
        <v>45.192432006742116</v>
      </c>
      <c r="AF96" s="65">
        <f t="shared" si="232"/>
        <v>186.43916782986781</v>
      </c>
      <c r="AG96" s="65">
        <f t="shared" si="232"/>
        <v>189.6000106171706</v>
      </c>
      <c r="AH96" s="434">
        <v>35</v>
      </c>
      <c r="AI96" s="65">
        <v>35</v>
      </c>
      <c r="AJ96" s="68">
        <v>42</v>
      </c>
      <c r="AK96" s="68">
        <v>42</v>
      </c>
      <c r="AL96" s="68">
        <v>42</v>
      </c>
      <c r="AM96" s="68">
        <v>42</v>
      </c>
      <c r="AN96" s="68">
        <v>42</v>
      </c>
      <c r="AO96" s="68">
        <v>42</v>
      </c>
      <c r="AP96" s="68">
        <v>42</v>
      </c>
      <c r="AQ96" s="68">
        <v>42</v>
      </c>
      <c r="AR96" s="68">
        <v>42</v>
      </c>
      <c r="AS96" s="68">
        <v>42</v>
      </c>
      <c r="AT96" s="68">
        <v>42</v>
      </c>
      <c r="AU96" s="68">
        <v>42</v>
      </c>
      <c r="AV96" s="68">
        <v>42</v>
      </c>
      <c r="AW96" s="68">
        <v>42</v>
      </c>
      <c r="AX96" s="68">
        <v>42</v>
      </c>
      <c r="AY96" s="68">
        <v>42</v>
      </c>
      <c r="AZ96" s="68">
        <v>42</v>
      </c>
      <c r="BA96" s="68">
        <v>42</v>
      </c>
      <c r="BB96" s="68">
        <v>42</v>
      </c>
      <c r="BC96" s="68">
        <v>42</v>
      </c>
      <c r="BD96" s="68">
        <v>42</v>
      </c>
      <c r="BE96" s="68">
        <v>42</v>
      </c>
      <c r="BF96" s="68">
        <v>42</v>
      </c>
      <c r="BG96" s="68">
        <v>42</v>
      </c>
      <c r="BH96" s="68">
        <v>42</v>
      </c>
      <c r="BI96" s="68">
        <v>42</v>
      </c>
    </row>
    <row r="97" spans="2:61" x14ac:dyDescent="0.2">
      <c r="B97" s="2" t="s">
        <v>186</v>
      </c>
      <c r="G97" s="65">
        <f t="shared" ref="G97:I97" si="233">(G51/G9)*365</f>
        <v>150.56651638491223</v>
      </c>
      <c r="H97" s="65">
        <f t="shared" si="233"/>
        <v>139.92368755704072</v>
      </c>
      <c r="I97" s="65">
        <f t="shared" si="233"/>
        <v>124.53705274191971</v>
      </c>
      <c r="J97" s="65"/>
      <c r="K97" s="65">
        <f>(K51/K9)*365</f>
        <v>31.351201416360762</v>
      </c>
      <c r="L97" s="65">
        <f t="shared" ref="L97:N97" si="234">(L51/L9)*365</f>
        <v>147.39285331526381</v>
      </c>
      <c r="M97" s="65">
        <f t="shared" si="234"/>
        <v>132.93999638336348</v>
      </c>
      <c r="N97" s="65">
        <f t="shared" si="234"/>
        <v>130.05236734345974</v>
      </c>
      <c r="O97" s="65"/>
      <c r="P97" s="65">
        <f t="shared" ref="P97:AG97" si="235">(P51/P9)*365</f>
        <v>35.372030847864011</v>
      </c>
      <c r="Q97" s="65">
        <f t="shared" si="235"/>
        <v>138.19387397392865</v>
      </c>
      <c r="R97" s="65">
        <f t="shared" si="235"/>
        <v>128.85011232711665</v>
      </c>
      <c r="S97" s="65">
        <f t="shared" si="235"/>
        <v>111.57450463311704</v>
      </c>
      <c r="T97" s="65"/>
      <c r="U97" s="65">
        <f t="shared" si="235"/>
        <v>26.621995711353883</v>
      </c>
      <c r="V97" s="65">
        <f t="shared" si="235"/>
        <v>144.65210938977992</v>
      </c>
      <c r="W97" s="65">
        <f t="shared" si="235"/>
        <v>135.98954350218796</v>
      </c>
      <c r="X97" s="65">
        <f t="shared" si="235"/>
        <v>126.58329473092792</v>
      </c>
      <c r="Y97" s="65"/>
      <c r="Z97" s="65">
        <f t="shared" si="235"/>
        <v>30.062662130378559</v>
      </c>
      <c r="AA97" s="65">
        <f t="shared" si="235"/>
        <v>152.32581824565227</v>
      </c>
      <c r="AB97" s="65">
        <f t="shared" si="235"/>
        <v>141.67349407797042</v>
      </c>
      <c r="AC97" s="65">
        <f t="shared" si="235"/>
        <v>137.83413603556124</v>
      </c>
      <c r="AD97" s="65">
        <f>(AD51/AD9)*365</f>
        <v>117.71250588212543</v>
      </c>
      <c r="AE97" s="65">
        <f t="shared" si="235"/>
        <v>34.583376865642201</v>
      </c>
      <c r="AF97" s="65">
        <f t="shared" si="235"/>
        <v>132.13893598426142</v>
      </c>
      <c r="AG97" s="65">
        <f t="shared" si="235"/>
        <v>120.50308110792179</v>
      </c>
      <c r="AH97" s="434">
        <f>(AH51/AH9)*365</f>
        <v>35</v>
      </c>
      <c r="AI97" s="65">
        <f>(AI51/AI9)*365</f>
        <v>35</v>
      </c>
      <c r="AJ97" s="68">
        <v>30</v>
      </c>
      <c r="AK97" s="68">
        <v>30</v>
      </c>
      <c r="AL97" s="68">
        <v>30</v>
      </c>
      <c r="AM97" s="68">
        <v>30</v>
      </c>
      <c r="AN97" s="68">
        <v>30</v>
      </c>
      <c r="AO97" s="68">
        <v>30</v>
      </c>
      <c r="AP97" s="68">
        <v>30</v>
      </c>
      <c r="AQ97" s="68">
        <v>30</v>
      </c>
      <c r="AR97" s="68">
        <v>30</v>
      </c>
      <c r="AS97" s="68">
        <v>30</v>
      </c>
      <c r="AT97" s="68">
        <v>30</v>
      </c>
      <c r="AU97" s="68">
        <v>30</v>
      </c>
      <c r="AV97" s="68">
        <v>30</v>
      </c>
      <c r="AW97" s="68">
        <v>30</v>
      </c>
      <c r="AX97" s="68">
        <v>30</v>
      </c>
      <c r="AY97" s="68">
        <v>30</v>
      </c>
      <c r="AZ97" s="68">
        <v>30</v>
      </c>
      <c r="BA97" s="68">
        <v>30</v>
      </c>
      <c r="BB97" s="68">
        <v>30</v>
      </c>
      <c r="BC97" s="68">
        <v>30</v>
      </c>
      <c r="BD97" s="68">
        <v>30</v>
      </c>
      <c r="BE97" s="68">
        <v>30</v>
      </c>
      <c r="BF97" s="68">
        <v>30</v>
      </c>
      <c r="BG97" s="68">
        <v>30</v>
      </c>
      <c r="BH97" s="68">
        <v>30</v>
      </c>
      <c r="BI97" s="68">
        <v>30</v>
      </c>
    </row>
    <row r="98" spans="2:61" x14ac:dyDescent="0.2">
      <c r="B98" s="67" t="s">
        <v>187</v>
      </c>
      <c r="G98" s="66">
        <f t="shared" ref="G98:I98" si="236">G95+G96-G97</f>
        <v>190.70125287206019</v>
      </c>
      <c r="H98" s="66">
        <f t="shared" si="236"/>
        <v>173.21881681559015</v>
      </c>
      <c r="I98" s="66">
        <f t="shared" si="236"/>
        <v>176.14538248895889</v>
      </c>
      <c r="J98" s="66"/>
      <c r="K98" s="66">
        <f>K95+K96-K97</f>
        <v>42.729853572500502</v>
      </c>
      <c r="L98" s="66">
        <f t="shared" ref="L98:N98" si="237">L95+L96-L97</f>
        <v>195.79779261136989</v>
      </c>
      <c r="M98" s="66">
        <f t="shared" si="237"/>
        <v>181.64139945564816</v>
      </c>
      <c r="N98" s="66">
        <f t="shared" si="237"/>
        <v>171.86801616100675</v>
      </c>
      <c r="O98" s="66"/>
      <c r="P98" s="66">
        <f t="shared" ref="P98:BI98" si="238">P95+P96-P97</f>
        <v>38.795644539110953</v>
      </c>
      <c r="Q98" s="66">
        <f t="shared" si="238"/>
        <v>206.45687238859102</v>
      </c>
      <c r="R98" s="66">
        <f t="shared" si="238"/>
        <v>193.72054062262325</v>
      </c>
      <c r="S98" s="66">
        <f t="shared" si="238"/>
        <v>182.60048660053576</v>
      </c>
      <c r="T98" s="66"/>
      <c r="U98" s="66">
        <f t="shared" si="238"/>
        <v>41.839351980159996</v>
      </c>
      <c r="V98" s="66">
        <f t="shared" si="238"/>
        <v>195.57991042719908</v>
      </c>
      <c r="W98" s="66">
        <f t="shared" si="238"/>
        <v>163.5812535092692</v>
      </c>
      <c r="X98" s="66">
        <f t="shared" si="238"/>
        <v>153.69952066875445</v>
      </c>
      <c r="Y98" s="66"/>
      <c r="Z98" s="66">
        <f t="shared" si="238"/>
        <v>39.393498969979859</v>
      </c>
      <c r="AA98" s="66">
        <f t="shared" si="238"/>
        <v>167.86490984991883</v>
      </c>
      <c r="AB98" s="66">
        <f t="shared" si="238"/>
        <v>150.53569077429154</v>
      </c>
      <c r="AC98" s="66">
        <f t="shared" si="238"/>
        <v>158.00583210096255</v>
      </c>
      <c r="AD98" s="66">
        <f>AD95+AD96-AD97</f>
        <v>163.03136012459271</v>
      </c>
      <c r="AE98" s="66">
        <f t="shared" si="238"/>
        <v>48.138123801299834</v>
      </c>
      <c r="AF98" s="66">
        <f t="shared" si="238"/>
        <v>207.30853967245383</v>
      </c>
      <c r="AG98" s="66">
        <f t="shared" si="238"/>
        <v>211.43174616187486</v>
      </c>
      <c r="AH98" s="434">
        <f>AH95+AH96-AH97</f>
        <v>35</v>
      </c>
      <c r="AI98" s="66">
        <f>AI95+AI96-AI97</f>
        <v>35</v>
      </c>
      <c r="AJ98" s="66">
        <f t="shared" si="238"/>
        <v>47</v>
      </c>
      <c r="AK98" s="66">
        <f>AK95+AK96-AK97</f>
        <v>47</v>
      </c>
      <c r="AL98" s="66">
        <f>AL95+AL96-AL97</f>
        <v>47</v>
      </c>
      <c r="AM98" s="66">
        <f>AM95+AM96-AM97</f>
        <v>47</v>
      </c>
      <c r="AN98" s="66">
        <f>AN95+AN96-AN97</f>
        <v>47</v>
      </c>
      <c r="AO98" s="66">
        <f t="shared" si="238"/>
        <v>47</v>
      </c>
      <c r="AP98" s="66">
        <f>AP95+AP96-AP97</f>
        <v>47</v>
      </c>
      <c r="AQ98" s="66">
        <f>AQ95+AQ96-AQ97</f>
        <v>47</v>
      </c>
      <c r="AR98" s="66">
        <f>AR95+AR96-AR97</f>
        <v>47</v>
      </c>
      <c r="AS98" s="66">
        <f>AS95+AS96-AS97</f>
        <v>47</v>
      </c>
      <c r="AT98" s="66">
        <f t="shared" si="238"/>
        <v>47</v>
      </c>
      <c r="AU98" s="66">
        <f>AU95+AU96-AU97</f>
        <v>47</v>
      </c>
      <c r="AV98" s="66">
        <f>AV95+AV96-AV97</f>
        <v>47</v>
      </c>
      <c r="AW98" s="66">
        <f>AW95+AW96-AW97</f>
        <v>47</v>
      </c>
      <c r="AX98" s="66">
        <f>AX95+AX96-AX97</f>
        <v>47</v>
      </c>
      <c r="AY98" s="66">
        <f t="shared" si="238"/>
        <v>47</v>
      </c>
      <c r="AZ98" s="66">
        <f>AZ95+AZ96-AZ97</f>
        <v>47</v>
      </c>
      <c r="BA98" s="66">
        <f>BA95+BA96-BA97</f>
        <v>47</v>
      </c>
      <c r="BB98" s="66">
        <f>BB95+BB96-BB97</f>
        <v>47</v>
      </c>
      <c r="BC98" s="66">
        <f>BC95+BC96-BC97</f>
        <v>47</v>
      </c>
      <c r="BD98" s="66">
        <f t="shared" si="238"/>
        <v>47</v>
      </c>
      <c r="BE98" s="66">
        <f>BE95+BE96-BE97</f>
        <v>47</v>
      </c>
      <c r="BF98" s="66">
        <f>BF95+BF96-BF97</f>
        <v>47</v>
      </c>
      <c r="BG98" s="66">
        <f>BG95+BG96-BG97</f>
        <v>47</v>
      </c>
      <c r="BH98" s="66">
        <f>BH95+BH96-BH97</f>
        <v>47</v>
      </c>
      <c r="BI98" s="66">
        <f t="shared" si="238"/>
        <v>47</v>
      </c>
    </row>
    <row r="100" spans="2:61" x14ac:dyDescent="0.2">
      <c r="B100" s="2" t="s">
        <v>188</v>
      </c>
      <c r="G100" s="56">
        <f t="shared" ref="G100:I100" si="239">G39/G8</f>
        <v>1.7320705396982636E-2</v>
      </c>
      <c r="H100" s="56">
        <f t="shared" si="239"/>
        <v>1.6949263697609254E-2</v>
      </c>
      <c r="I100" s="56">
        <f t="shared" si="239"/>
        <v>1.6882422143029787E-2</v>
      </c>
      <c r="J100" s="56"/>
      <c r="K100" s="56">
        <f>K39/K8</f>
        <v>5.4610411597786433E-3</v>
      </c>
      <c r="L100" s="56"/>
      <c r="M100" s="56"/>
      <c r="N100" s="56"/>
      <c r="O100" s="56"/>
      <c r="P100" s="56">
        <f t="shared" ref="P100:AE100" si="240">P39/P8</f>
        <v>4.7715386335549599E-3</v>
      </c>
      <c r="Q100" s="56"/>
      <c r="R100" s="56"/>
      <c r="S100" s="56"/>
      <c r="T100" s="56"/>
      <c r="U100" s="56">
        <f t="shared" si="240"/>
        <v>5.6857348910407833E-3</v>
      </c>
      <c r="V100" s="56"/>
      <c r="W100" s="56"/>
      <c r="X100" s="56"/>
      <c r="Y100" s="56"/>
      <c r="Z100" s="56">
        <f t="shared" si="240"/>
        <v>5.3737203195799808E-3</v>
      </c>
      <c r="AA100" s="56"/>
      <c r="AB100" s="56"/>
      <c r="AC100" s="56"/>
      <c r="AD100" s="56"/>
      <c r="AE100" s="56">
        <f t="shared" si="240"/>
        <v>6.8811621715660258E-3</v>
      </c>
      <c r="AF100" s="59">
        <v>0.01</v>
      </c>
      <c r="AG100" s="59">
        <v>0.01</v>
      </c>
      <c r="AH100" s="435">
        <v>0.01</v>
      </c>
      <c r="AI100" s="59">
        <v>0.01</v>
      </c>
      <c r="AJ100" s="59">
        <v>0.01</v>
      </c>
      <c r="AK100" s="59">
        <v>0.01</v>
      </c>
      <c r="AL100" s="59">
        <v>0.01</v>
      </c>
      <c r="AM100" s="59">
        <v>0.01</v>
      </c>
      <c r="AN100" s="59">
        <v>0.01</v>
      </c>
      <c r="AO100" s="59">
        <v>0.01</v>
      </c>
      <c r="AP100" s="59">
        <v>0.01</v>
      </c>
      <c r="AQ100" s="59">
        <v>0.01</v>
      </c>
      <c r="AR100" s="59">
        <v>0.01</v>
      </c>
      <c r="AS100" s="59">
        <v>0.01</v>
      </c>
      <c r="AT100" s="59">
        <v>0.01</v>
      </c>
      <c r="AU100" s="59">
        <v>0.01</v>
      </c>
      <c r="AV100" s="59">
        <v>0.01</v>
      </c>
      <c r="AW100" s="59">
        <v>0.01</v>
      </c>
      <c r="AX100" s="59">
        <v>0.01</v>
      </c>
      <c r="AY100" s="59">
        <v>0.01</v>
      </c>
      <c r="AZ100" s="59">
        <v>0.01</v>
      </c>
      <c r="BA100" s="59">
        <v>0.01</v>
      </c>
      <c r="BB100" s="59">
        <v>0.01</v>
      </c>
      <c r="BC100" s="59">
        <v>0.01</v>
      </c>
      <c r="BD100" s="59">
        <v>0.01</v>
      </c>
      <c r="BE100" s="59">
        <v>0.01</v>
      </c>
      <c r="BF100" s="59">
        <v>0.01</v>
      </c>
      <c r="BG100" s="59">
        <v>0.01</v>
      </c>
      <c r="BH100" s="59">
        <v>0.01</v>
      </c>
      <c r="BI100" s="59">
        <v>0.01</v>
      </c>
    </row>
    <row r="102" spans="2:61" x14ac:dyDescent="0.2">
      <c r="B102" s="2" t="s">
        <v>189</v>
      </c>
      <c r="P102" s="71">
        <f>K105</f>
        <v>656101</v>
      </c>
      <c r="Q102" s="71"/>
      <c r="R102" s="71"/>
      <c r="S102" s="71"/>
      <c r="T102" s="71"/>
      <c r="U102" s="71">
        <f>P105</f>
        <v>639303</v>
      </c>
      <c r="V102" s="71"/>
      <c r="W102" s="71"/>
      <c r="X102" s="71"/>
      <c r="Y102" s="71"/>
      <c r="Z102" s="71">
        <f>U105</f>
        <v>670075</v>
      </c>
      <c r="AA102" s="71"/>
      <c r="AB102" s="71"/>
      <c r="AC102" s="71"/>
      <c r="AD102" s="71"/>
      <c r="AE102" s="71">
        <f>Z105</f>
        <v>721887</v>
      </c>
      <c r="AF102" s="71"/>
      <c r="AG102" s="71"/>
      <c r="AH102" s="424"/>
      <c r="AI102" s="71"/>
      <c r="AJ102" s="71">
        <f>AE105</f>
        <v>749130</v>
      </c>
      <c r="AK102" s="71"/>
      <c r="AL102" s="71"/>
      <c r="AM102" s="71"/>
      <c r="AN102" s="71"/>
      <c r="AO102" s="71">
        <f>AJ105</f>
        <v>893407.53524170548</v>
      </c>
      <c r="AP102" s="71"/>
      <c r="AQ102" s="71"/>
      <c r="AR102" s="71"/>
      <c r="AS102" s="71"/>
      <c r="AT102" s="71">
        <f>AO105</f>
        <v>1057289.4245677432</v>
      </c>
      <c r="AU102" s="71"/>
      <c r="AV102" s="71"/>
      <c r="AW102" s="71"/>
      <c r="AX102" s="71"/>
      <c r="AY102" s="71">
        <f>AT105</f>
        <v>1386945.6200637175</v>
      </c>
      <c r="AZ102" s="71"/>
      <c r="BA102" s="71"/>
      <c r="BB102" s="71"/>
      <c r="BC102" s="71"/>
      <c r="BD102" s="71">
        <f>AY105</f>
        <v>1749811.1979436949</v>
      </c>
      <c r="BE102" s="71"/>
      <c r="BF102" s="71"/>
      <c r="BG102" s="71"/>
      <c r="BH102" s="71"/>
      <c r="BI102" s="71">
        <f t="shared" ref="BI102" si="241">BD105</f>
        <v>2130820.0547176711</v>
      </c>
    </row>
    <row r="103" spans="2:61" x14ac:dyDescent="0.2">
      <c r="B103" s="70" t="s">
        <v>190</v>
      </c>
      <c r="G103" s="64">
        <f t="shared" ref="G103:AJ103" si="242">G106*G8</f>
        <v>8978</v>
      </c>
      <c r="H103" s="64">
        <f t="shared" si="242"/>
        <v>22672</v>
      </c>
      <c r="I103" s="64">
        <f t="shared" si="242"/>
        <v>34127</v>
      </c>
      <c r="J103" s="64">
        <f t="shared" si="242"/>
        <v>0</v>
      </c>
      <c r="K103" s="64">
        <f t="shared" si="242"/>
        <v>42662</v>
      </c>
      <c r="L103" s="64">
        <f t="shared" si="242"/>
        <v>0</v>
      </c>
      <c r="M103" s="64">
        <f t="shared" si="242"/>
        <v>0</v>
      </c>
      <c r="N103" s="64">
        <f t="shared" si="242"/>
        <v>0</v>
      </c>
      <c r="O103" s="64">
        <f t="shared" si="242"/>
        <v>0</v>
      </c>
      <c r="P103" s="64">
        <f t="shared" si="242"/>
        <v>62407</v>
      </c>
      <c r="Q103" s="64">
        <f t="shared" si="242"/>
        <v>0</v>
      </c>
      <c r="R103" s="64">
        <f t="shared" si="242"/>
        <v>0</v>
      </c>
      <c r="S103" s="64">
        <f t="shared" si="242"/>
        <v>0</v>
      </c>
      <c r="T103" s="64">
        <f t="shared" si="242"/>
        <v>0</v>
      </c>
      <c r="U103" s="15">
        <f t="shared" si="242"/>
        <v>101411</v>
      </c>
      <c r="V103" s="64">
        <f t="shared" si="242"/>
        <v>0</v>
      </c>
      <c r="W103" s="64">
        <f t="shared" si="242"/>
        <v>0</v>
      </c>
      <c r="X103" s="64">
        <f t="shared" si="242"/>
        <v>0</v>
      </c>
      <c r="Y103" s="64">
        <f t="shared" si="242"/>
        <v>0</v>
      </c>
      <c r="Z103" s="15">
        <f t="shared" si="242"/>
        <v>112870</v>
      </c>
      <c r="AA103" s="64">
        <f t="shared" si="242"/>
        <v>0</v>
      </c>
      <c r="AB103" s="64">
        <f t="shared" si="242"/>
        <v>0</v>
      </c>
      <c r="AC103" s="64">
        <f t="shared" si="242"/>
        <v>0</v>
      </c>
      <c r="AD103" s="64">
        <f t="shared" si="242"/>
        <v>0</v>
      </c>
      <c r="AE103" s="15">
        <f t="shared" si="242"/>
        <v>112082</v>
      </c>
      <c r="AF103" s="64">
        <f t="shared" si="242"/>
        <v>0</v>
      </c>
      <c r="AG103" s="64">
        <f t="shared" si="242"/>
        <v>0</v>
      </c>
      <c r="AH103" s="436">
        <f t="shared" si="242"/>
        <v>0</v>
      </c>
      <c r="AI103" s="64">
        <f t="shared" si="242"/>
        <v>0</v>
      </c>
      <c r="AJ103" s="64">
        <f t="shared" si="242"/>
        <v>144277.53524170545</v>
      </c>
      <c r="AK103" s="64"/>
      <c r="AL103" s="64"/>
      <c r="AM103" s="64"/>
      <c r="AN103" s="64"/>
      <c r="AO103" s="64">
        <f t="shared" ref="AO103:BI103" si="243">AO106*AO8</f>
        <v>163881.88932603781</v>
      </c>
      <c r="AP103" s="64"/>
      <c r="AQ103" s="64"/>
      <c r="AR103" s="64"/>
      <c r="AS103" s="64"/>
      <c r="AT103" s="64">
        <f t="shared" si="243"/>
        <v>329656.19549597416</v>
      </c>
      <c r="AU103" s="64"/>
      <c r="AV103" s="64"/>
      <c r="AW103" s="64"/>
      <c r="AX103" s="64"/>
      <c r="AY103" s="64">
        <f t="shared" si="243"/>
        <v>362865.57787997753</v>
      </c>
      <c r="AZ103" s="64"/>
      <c r="BA103" s="64"/>
      <c r="BB103" s="64"/>
      <c r="BC103" s="64"/>
      <c r="BD103" s="64">
        <f t="shared" si="243"/>
        <v>381008.85677397641</v>
      </c>
      <c r="BE103" s="64"/>
      <c r="BF103" s="64"/>
      <c r="BG103" s="64"/>
      <c r="BH103" s="64"/>
      <c r="BI103" s="64">
        <f t="shared" si="243"/>
        <v>399776.3237422427</v>
      </c>
    </row>
    <row r="104" spans="2:61" x14ac:dyDescent="0.2">
      <c r="B104" s="70" t="s">
        <v>191</v>
      </c>
      <c r="AJ104" s="69"/>
      <c r="AK104" s="69"/>
      <c r="AL104" s="69"/>
      <c r="AM104" s="69"/>
      <c r="AN104" s="69"/>
    </row>
    <row r="105" spans="2:61" x14ac:dyDescent="0.2">
      <c r="B105" s="67" t="s">
        <v>192</v>
      </c>
      <c r="G105" s="72">
        <f t="shared" ref="G105:I105" si="244">G41</f>
        <v>708838</v>
      </c>
      <c r="H105" s="72">
        <f t="shared" si="244"/>
        <v>698969</v>
      </c>
      <c r="I105" s="72">
        <f t="shared" si="244"/>
        <v>669683</v>
      </c>
      <c r="J105" s="72"/>
      <c r="K105" s="72">
        <f>K41</f>
        <v>656101</v>
      </c>
      <c r="L105" s="72"/>
      <c r="M105" s="72"/>
      <c r="N105" s="72"/>
      <c r="O105" s="72"/>
      <c r="P105" s="72">
        <f t="shared" ref="P105:AE105" si="245">P41</f>
        <v>639303</v>
      </c>
      <c r="Q105" s="72"/>
      <c r="R105" s="72"/>
      <c r="S105" s="72"/>
      <c r="T105" s="72"/>
      <c r="U105" s="72">
        <f t="shared" si="245"/>
        <v>670075</v>
      </c>
      <c r="V105" s="72"/>
      <c r="W105" s="72"/>
      <c r="X105" s="72"/>
      <c r="Y105" s="72"/>
      <c r="Z105" s="72">
        <f t="shared" si="245"/>
        <v>721887</v>
      </c>
      <c r="AA105" s="72"/>
      <c r="AB105" s="72"/>
      <c r="AC105" s="72"/>
      <c r="AD105" s="72"/>
      <c r="AE105" s="72">
        <f t="shared" si="245"/>
        <v>749130</v>
      </c>
      <c r="AF105" s="72"/>
      <c r="AG105" s="72"/>
      <c r="AH105" s="424"/>
      <c r="AI105" s="72"/>
      <c r="AJ105" s="72">
        <f>AJ102+AJ103-AJ104</f>
        <v>893407.53524170548</v>
      </c>
      <c r="AK105" s="72"/>
      <c r="AL105" s="72"/>
      <c r="AM105" s="72"/>
      <c r="AN105" s="72"/>
      <c r="AO105" s="72">
        <f t="shared" ref="AO105:BI105" si="246">AO102+AO103-AO104</f>
        <v>1057289.4245677432</v>
      </c>
      <c r="AP105" s="72"/>
      <c r="AQ105" s="72"/>
      <c r="AR105" s="72"/>
      <c r="AS105" s="72"/>
      <c r="AT105" s="72">
        <f t="shared" si="246"/>
        <v>1386945.6200637175</v>
      </c>
      <c r="AU105" s="72"/>
      <c r="AV105" s="72"/>
      <c r="AW105" s="72"/>
      <c r="AX105" s="72"/>
      <c r="AY105" s="72">
        <f t="shared" si="246"/>
        <v>1749811.1979436949</v>
      </c>
      <c r="AZ105" s="72"/>
      <c r="BA105" s="72"/>
      <c r="BB105" s="72"/>
      <c r="BC105" s="72"/>
      <c r="BD105" s="72">
        <f t="shared" si="246"/>
        <v>2130820.0547176711</v>
      </c>
      <c r="BE105" s="72"/>
      <c r="BF105" s="72"/>
      <c r="BG105" s="72"/>
      <c r="BH105" s="72"/>
      <c r="BI105" s="72">
        <f t="shared" si="246"/>
        <v>2530596.3784599137</v>
      </c>
    </row>
    <row r="106" spans="2:61" x14ac:dyDescent="0.2">
      <c r="B106" s="70" t="s">
        <v>193</v>
      </c>
      <c r="G106" s="56">
        <f t="shared" ref="G106:I106" si="247">-G79/G8</f>
        <v>6.4261040974465935E-3</v>
      </c>
      <c r="H106" s="56">
        <f t="shared" si="247"/>
        <v>1.3516961783819233E-2</v>
      </c>
      <c r="I106" s="56">
        <f t="shared" si="247"/>
        <v>1.9546289200542053E-2</v>
      </c>
      <c r="J106" s="56"/>
      <c r="K106" s="56">
        <f>-K79/K8</f>
        <v>6.7001880236534136E-3</v>
      </c>
      <c r="L106" s="56"/>
      <c r="M106" s="56"/>
      <c r="N106" s="56"/>
      <c r="O106" s="56"/>
      <c r="P106" s="56">
        <f t="shared" ref="P106:AE106" si="248">-P79/P8</f>
        <v>8.8719285992213195E-3</v>
      </c>
      <c r="Q106" s="56"/>
      <c r="R106" s="56"/>
      <c r="S106" s="56"/>
      <c r="T106" s="56"/>
      <c r="U106" s="56">
        <f t="shared" si="248"/>
        <v>1.3128026707846744E-2</v>
      </c>
      <c r="V106" s="56"/>
      <c r="W106" s="56"/>
      <c r="X106" s="56"/>
      <c r="Y106" s="56"/>
      <c r="Z106" s="56">
        <f t="shared" si="248"/>
        <v>1.5503203038391545E-2</v>
      </c>
      <c r="AA106" s="56"/>
      <c r="AB106" s="56"/>
      <c r="AC106" s="56"/>
      <c r="AD106" s="56"/>
      <c r="AE106" s="56">
        <f t="shared" si="248"/>
        <v>1.3095414186492288E-2</v>
      </c>
      <c r="AF106" s="56"/>
      <c r="AG106" s="56"/>
      <c r="AH106" s="435"/>
      <c r="AI106" s="56"/>
      <c r="AJ106" s="60">
        <v>0.01</v>
      </c>
      <c r="AK106" s="60"/>
      <c r="AL106" s="60"/>
      <c r="AM106" s="60"/>
      <c r="AN106" s="60"/>
      <c r="AO106" s="60">
        <v>0.01</v>
      </c>
      <c r="AP106" s="60"/>
      <c r="AQ106" s="60"/>
      <c r="AR106" s="60"/>
      <c r="AS106" s="60"/>
      <c r="AT106" s="60">
        <v>0.01</v>
      </c>
      <c r="AU106" s="60"/>
      <c r="AV106" s="60"/>
      <c r="AW106" s="60"/>
      <c r="AX106" s="60"/>
      <c r="AY106" s="60">
        <v>0.01</v>
      </c>
      <c r="AZ106" s="60"/>
      <c r="BA106" s="60"/>
      <c r="BB106" s="60"/>
      <c r="BC106" s="60"/>
      <c r="BD106" s="60">
        <v>0.01</v>
      </c>
      <c r="BE106" s="60"/>
      <c r="BF106" s="60"/>
      <c r="BG106" s="60"/>
      <c r="BH106" s="60"/>
      <c r="BI106" s="60">
        <v>0.01</v>
      </c>
    </row>
    <row r="108" spans="2:61" x14ac:dyDescent="0.2">
      <c r="B108" s="73" t="s">
        <v>194</v>
      </c>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c r="AA108" s="73"/>
      <c r="AB108" s="73"/>
      <c r="AC108" s="73"/>
      <c r="AD108" s="73"/>
      <c r="AE108" s="73"/>
      <c r="AF108" s="73"/>
      <c r="AG108" s="73"/>
      <c r="AH108" s="12"/>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row>
    <row r="109" spans="2:61" x14ac:dyDescent="0.2">
      <c r="B109" s="67" t="s">
        <v>195</v>
      </c>
      <c r="G109" s="74"/>
      <c r="H109" s="74"/>
      <c r="I109" s="74"/>
      <c r="J109" s="74"/>
      <c r="K109" s="74"/>
      <c r="L109" s="74"/>
      <c r="M109" s="74"/>
      <c r="N109" s="74"/>
      <c r="O109" s="74"/>
      <c r="P109" s="74"/>
      <c r="Q109" s="74"/>
      <c r="R109" s="74"/>
      <c r="S109" s="74"/>
      <c r="T109" s="74"/>
      <c r="U109" s="74"/>
      <c r="V109" s="74"/>
      <c r="W109" s="74"/>
      <c r="X109" s="74"/>
      <c r="Y109" s="74"/>
      <c r="Z109" s="74"/>
      <c r="AA109" s="74"/>
      <c r="AB109" s="74"/>
      <c r="AC109" s="74"/>
      <c r="AD109" s="74"/>
      <c r="AE109" s="74"/>
      <c r="AF109" s="74"/>
      <c r="AG109" s="74"/>
    </row>
    <row r="110" spans="2:61" x14ac:dyDescent="0.2">
      <c r="B110" s="2" t="s">
        <v>43</v>
      </c>
      <c r="G110" s="74"/>
      <c r="H110" s="74"/>
      <c r="I110" s="74"/>
      <c r="J110" s="74"/>
      <c r="K110" s="74"/>
      <c r="L110" s="74"/>
      <c r="M110" s="74"/>
      <c r="N110" s="74"/>
      <c r="O110" s="74"/>
      <c r="P110" s="74"/>
      <c r="Q110" s="74"/>
      <c r="R110" s="74"/>
      <c r="S110" s="74"/>
      <c r="T110" s="74"/>
      <c r="U110" s="74"/>
      <c r="V110" s="74"/>
      <c r="W110" s="74"/>
      <c r="X110" s="74"/>
      <c r="Y110" s="74"/>
      <c r="Z110" s="74"/>
      <c r="AA110" s="74"/>
      <c r="AB110" s="74"/>
      <c r="AC110" s="74"/>
      <c r="AD110" s="74"/>
      <c r="AE110" s="74"/>
      <c r="AF110" s="74"/>
      <c r="AG110" s="74"/>
      <c r="AH110" s="415">
        <f>AH20</f>
        <v>90896.020903587865</v>
      </c>
      <c r="AI110" s="15">
        <f>AI20</f>
        <v>107765.1071912793</v>
      </c>
      <c r="AJ110" s="15">
        <f>AJ20</f>
        <v>569344.016631181</v>
      </c>
      <c r="AK110" s="15">
        <f t="shared" ref="AK110:AN110" si="249">AK20</f>
        <v>85970.894116395808</v>
      </c>
      <c r="AL110" s="15">
        <f t="shared" si="249"/>
        <v>138936.47029880158</v>
      </c>
      <c r="AM110" s="15">
        <f t="shared" si="249"/>
        <v>-1285.7866870681755</v>
      </c>
      <c r="AN110" s="15">
        <f t="shared" si="249"/>
        <v>418826.85938996938</v>
      </c>
      <c r="AO110" s="15">
        <f t="shared" ref="AO110:BI110" si="250">AO20</f>
        <v>661092.39374585706</v>
      </c>
      <c r="AP110" s="15">
        <f t="shared" si="250"/>
        <v>347620.65323348111</v>
      </c>
      <c r="AQ110" s="15">
        <f t="shared" si="250"/>
        <v>651110.64635802433</v>
      </c>
      <c r="AR110" s="15">
        <f t="shared" si="250"/>
        <v>-7972.9378451553566</v>
      </c>
      <c r="AS110" s="15">
        <f t="shared" si="250"/>
        <v>69023.285789969377</v>
      </c>
      <c r="AT110" s="15">
        <f t="shared" si="250"/>
        <v>1436916.1466211588</v>
      </c>
      <c r="AU110" s="15">
        <f t="shared" si="250"/>
        <v>391297.88058384857</v>
      </c>
      <c r="AV110" s="15">
        <f t="shared" si="250"/>
        <v>668094.23758702911</v>
      </c>
      <c r="AW110" s="15">
        <f t="shared" si="250"/>
        <v>7325.8326840517911</v>
      </c>
      <c r="AX110" s="15">
        <f t="shared" si="250"/>
        <v>145107.22211731365</v>
      </c>
      <c r="AY110" s="15">
        <f t="shared" si="250"/>
        <v>1592336.0561782934</v>
      </c>
      <c r="AZ110" s="15">
        <f t="shared" si="250"/>
        <v>416359.40809037664</v>
      </c>
      <c r="BA110" s="15">
        <f t="shared" si="250"/>
        <v>708274.20522999461</v>
      </c>
      <c r="BB110" s="15">
        <f t="shared" si="250"/>
        <v>12910.420380451247</v>
      </c>
      <c r="BC110" s="15">
        <f t="shared" si="250"/>
        <v>157656.32570612518</v>
      </c>
      <c r="BD110" s="15">
        <f t="shared" si="250"/>
        <v>1677246.6014022089</v>
      </c>
      <c r="BE110" s="15">
        <f t="shared" si="250"/>
        <v>442674.01197223092</v>
      </c>
      <c r="BF110" s="15">
        <f t="shared" si="250"/>
        <v>750463.17125510715</v>
      </c>
      <c r="BG110" s="15">
        <f t="shared" si="250"/>
        <v>17601.474045426716</v>
      </c>
      <c r="BH110" s="15">
        <f t="shared" si="250"/>
        <v>170832.88447437709</v>
      </c>
      <c r="BI110" s="15">
        <f t="shared" si="250"/>
        <v>1765078.346813695</v>
      </c>
    </row>
    <row r="111" spans="2:61" x14ac:dyDescent="0.2">
      <c r="B111" s="2" t="s">
        <v>196</v>
      </c>
      <c r="G111" s="74"/>
      <c r="H111" s="74"/>
      <c r="I111" s="74"/>
      <c r="J111" s="74"/>
      <c r="K111" s="74"/>
      <c r="L111" s="74"/>
      <c r="M111" s="74"/>
      <c r="N111" s="74"/>
      <c r="O111" s="74"/>
      <c r="P111" s="74"/>
      <c r="Q111" s="74"/>
      <c r="R111" s="74"/>
      <c r="S111" s="74"/>
      <c r="T111" s="74"/>
      <c r="U111" s="74"/>
      <c r="V111" s="74"/>
      <c r="W111" s="74"/>
      <c r="X111" s="74"/>
      <c r="Y111" s="74"/>
      <c r="Z111" s="74"/>
      <c r="AA111" s="74"/>
      <c r="AB111" s="74"/>
      <c r="AC111" s="74"/>
      <c r="AD111" s="74"/>
      <c r="AE111" s="74"/>
      <c r="AF111" s="74"/>
      <c r="AG111" s="74"/>
    </row>
    <row r="112" spans="2:61" x14ac:dyDescent="0.2">
      <c r="B112" s="2" t="s">
        <v>197</v>
      </c>
      <c r="G112" s="74"/>
      <c r="H112" s="74"/>
      <c r="I112" s="74"/>
      <c r="J112" s="74"/>
      <c r="K112" s="74"/>
      <c r="L112" s="74"/>
      <c r="M112" s="74"/>
      <c r="N112" s="74"/>
      <c r="O112" s="74"/>
      <c r="P112" s="74"/>
      <c r="Q112" s="74"/>
      <c r="R112" s="74"/>
      <c r="S112" s="74"/>
      <c r="T112" s="74"/>
      <c r="U112" s="74"/>
      <c r="V112" s="74"/>
      <c r="W112" s="74"/>
      <c r="X112" s="74"/>
      <c r="Y112" s="74"/>
      <c r="Z112" s="74"/>
      <c r="AA112" s="74"/>
      <c r="AB112" s="74"/>
      <c r="AC112" s="74"/>
      <c r="AD112" s="74"/>
      <c r="AE112" s="74"/>
      <c r="AF112" s="74"/>
      <c r="AG112" s="74"/>
      <c r="AH112" s="422">
        <f>AC36-AH36</f>
        <v>655009.73055898887</v>
      </c>
      <c r="AI112" s="328">
        <f>AD36-AI36</f>
        <v>637342.38356164389</v>
      </c>
      <c r="AJ112" s="64">
        <f>AE36-AJ36</f>
        <v>-503465.21464649052</v>
      </c>
      <c r="AK112" s="15">
        <f t="shared" ref="AK112:AN112" si="251">AF36-AK36</f>
        <v>1311220.2324986206</v>
      </c>
      <c r="AL112" s="15">
        <f t="shared" si="251"/>
        <v>1628378.0330237797</v>
      </c>
      <c r="AM112" s="64">
        <f t="shared" si="251"/>
        <v>-32668.152251876192</v>
      </c>
      <c r="AN112" s="64">
        <f t="shared" si="251"/>
        <v>-105568.3990106977</v>
      </c>
      <c r="AO112" s="64">
        <f>AJ36-AO36</f>
        <v>-187986.95697305026</v>
      </c>
      <c r="AP112" s="64">
        <f t="shared" ref="AP112:AS112" si="252">AK36-AP36</f>
        <v>-585568.94479862694</v>
      </c>
      <c r="AQ112" s="15">
        <f t="shared" si="252"/>
        <v>-1019520.0052801919</v>
      </c>
      <c r="AR112" s="64">
        <f t="shared" si="252"/>
        <v>15472.315572580032</v>
      </c>
      <c r="AS112" s="64">
        <f t="shared" si="252"/>
        <v>0</v>
      </c>
      <c r="AT112" s="64">
        <f>AO36-AT36</f>
        <v>-1589616.6345062384</v>
      </c>
      <c r="AU112" s="64">
        <f t="shared" ref="AU112:AX112" si="253">AP36-AU36</f>
        <v>-97749.097945239511</v>
      </c>
      <c r="AV112" s="64">
        <f t="shared" si="253"/>
        <v>-33807.075461511267</v>
      </c>
      <c r="AW112" s="64">
        <f t="shared" si="253"/>
        <v>-35397.346329477499</v>
      </c>
      <c r="AX112" s="15">
        <f t="shared" si="253"/>
        <v>-151492.6127131189</v>
      </c>
      <c r="AY112" s="328">
        <f>AT36-AY36</f>
        <v>-318446.13244934799</v>
      </c>
      <c r="AZ112" s="328">
        <f t="shared" ref="AZ112:BC112" si="254">AU36-AZ36</f>
        <v>-56087.390512262471</v>
      </c>
      <c r="BA112" s="328">
        <f t="shared" si="254"/>
        <v>-79981.152385896305</v>
      </c>
      <c r="BB112" s="328">
        <f t="shared" si="254"/>
        <v>-12921.272622489254</v>
      </c>
      <c r="BC112" s="328">
        <f t="shared" si="254"/>
        <v>-24986.831408108701</v>
      </c>
      <c r="BD112" s="64">
        <f>AY36-BD36</f>
        <v>-173976.64692875603</v>
      </c>
      <c r="BE112" s="64">
        <f t="shared" ref="BE112:BH112" si="255">AZ36-BE36</f>
        <v>-58891.760037875269</v>
      </c>
      <c r="BF112" s="64">
        <f t="shared" si="255"/>
        <v>-83980.210005190922</v>
      </c>
      <c r="BG112" s="64">
        <f t="shared" si="255"/>
        <v>-10853.869002890948</v>
      </c>
      <c r="BH112" s="64">
        <f t="shared" si="255"/>
        <v>-26236.172978514107</v>
      </c>
      <c r="BI112" s="328">
        <f>BD36-BI36</f>
        <v>-179962.01202447154</v>
      </c>
    </row>
    <row r="113" spans="2:61" x14ac:dyDescent="0.2">
      <c r="B113" s="2" t="s">
        <v>198</v>
      </c>
      <c r="G113" s="74"/>
      <c r="H113" s="74"/>
      <c r="I113" s="74"/>
      <c r="J113" s="74"/>
      <c r="K113" s="74"/>
      <c r="L113" s="74"/>
      <c r="M113" s="74"/>
      <c r="N113" s="74"/>
      <c r="O113" s="74"/>
      <c r="P113" s="74"/>
      <c r="Q113" s="74"/>
      <c r="R113" s="74"/>
      <c r="S113" s="74"/>
      <c r="T113" s="74"/>
      <c r="U113" s="74"/>
      <c r="V113" s="74"/>
      <c r="W113" s="74"/>
      <c r="X113" s="74"/>
      <c r="Y113" s="74"/>
      <c r="Z113" s="74"/>
      <c r="AA113" s="74"/>
      <c r="AB113" s="74"/>
      <c r="AC113" s="74"/>
      <c r="AD113" s="74"/>
      <c r="AE113" s="74"/>
      <c r="AF113" s="74"/>
      <c r="AG113" s="74"/>
      <c r="AH113" s="422">
        <f t="shared" ref="AH113:AJ114" si="256">AC38-AH38</f>
        <v>597324.11249453004</v>
      </c>
      <c r="AI113" s="328">
        <f t="shared" si="256"/>
        <v>605021.63970936043</v>
      </c>
      <c r="AJ113" s="64">
        <f t="shared" si="256"/>
        <v>-444006.09460608358</v>
      </c>
      <c r="AK113" s="15">
        <f t="shared" ref="AK113:AN113" si="257">AF38-AK38</f>
        <v>1193619.8435493975</v>
      </c>
      <c r="AL113" s="15">
        <f t="shared" si="257"/>
        <v>1590490.512356095</v>
      </c>
      <c r="AM113" s="64">
        <f t="shared" si="257"/>
        <v>-59928.753528382891</v>
      </c>
      <c r="AN113" s="64">
        <f t="shared" si="257"/>
        <v>-129007.27287254503</v>
      </c>
      <c r="AO113" s="64">
        <f>AJ38-AO38</f>
        <v>-166932.41779206856</v>
      </c>
      <c r="AP113" s="64">
        <f t="shared" ref="AP113:AS113" si="258">AK38-AP38</f>
        <v>-523546.64403893478</v>
      </c>
      <c r="AQ113" s="64">
        <f t="shared" si="258"/>
        <v>-903181.37087689666</v>
      </c>
      <c r="AR113" s="64">
        <f t="shared" si="258"/>
        <v>13866.909607071779</v>
      </c>
      <c r="AS113" s="64">
        <f t="shared" si="258"/>
        <v>0</v>
      </c>
      <c r="AT113" s="64">
        <f>AO38-AT38</f>
        <v>-1411579.57144154</v>
      </c>
      <c r="AU113" s="64">
        <f t="shared" ref="AU113:AX113" si="259">AP38-AU38</f>
        <v>-87395.707442549756</v>
      </c>
      <c r="AV113" s="64">
        <f t="shared" si="259"/>
        <v>-29949.310069962637</v>
      </c>
      <c r="AW113" s="64">
        <f t="shared" si="259"/>
        <v>-31724.521102126659</v>
      </c>
      <c r="AX113" s="15">
        <f t="shared" si="259"/>
        <v>-134208.72370951693</v>
      </c>
      <c r="AY113" s="328">
        <f>AT38-AY38</f>
        <v>-282780.16561502032</v>
      </c>
      <c r="AZ113" s="328">
        <f t="shared" ref="AZ113:BC113" si="260">AU38-AZ38</f>
        <v>-50146.725396604277</v>
      </c>
      <c r="BA113" s="328">
        <f t="shared" si="260"/>
        <v>-70854.408429538365</v>
      </c>
      <c r="BB113" s="328">
        <f t="shared" si="260"/>
        <v>-11580.562626445375</v>
      </c>
      <c r="BC113" s="328">
        <f t="shared" si="260"/>
        <v>-22136.067843635159</v>
      </c>
      <c r="BD113" s="64">
        <f>AY38-BD38</f>
        <v>-154491.26247273572</v>
      </c>
      <c r="BE113" s="64">
        <f t="shared" ref="BE113:BH113" si="261">AZ38-BE38</f>
        <v>-52654.061666434631</v>
      </c>
      <c r="BF113" s="64">
        <f t="shared" si="261"/>
        <v>-74397.128851015121</v>
      </c>
      <c r="BG113" s="64">
        <f t="shared" si="261"/>
        <v>-9727.6726062141242</v>
      </c>
      <c r="BH113" s="64">
        <f t="shared" si="261"/>
        <v>-23242.871235816856</v>
      </c>
      <c r="BI113" s="328">
        <f>BD38-BI38</f>
        <v>-159806.26667773025</v>
      </c>
    </row>
    <row r="114" spans="2:61" x14ac:dyDescent="0.2">
      <c r="B114" s="2" t="s">
        <v>199</v>
      </c>
      <c r="G114" s="74"/>
      <c r="H114" s="74"/>
      <c r="I114" s="74"/>
      <c r="J114" s="74"/>
      <c r="K114" s="74"/>
      <c r="L114" s="74"/>
      <c r="M114" s="74"/>
      <c r="N114" s="74"/>
      <c r="O114" s="74"/>
      <c r="P114" s="74"/>
      <c r="Q114" s="74"/>
      <c r="R114" s="74"/>
      <c r="S114" s="74"/>
      <c r="T114" s="74"/>
      <c r="U114" s="74"/>
      <c r="V114" s="74"/>
      <c r="W114" s="74"/>
      <c r="X114" s="74"/>
      <c r="Y114" s="74"/>
      <c r="Z114" s="74"/>
      <c r="AA114" s="74"/>
      <c r="AB114" s="74"/>
      <c r="AC114" s="74"/>
      <c r="AD114" s="74"/>
      <c r="AE114" s="74"/>
      <c r="AF114" s="74"/>
      <c r="AG114" s="74"/>
      <c r="AH114" s="422">
        <f t="shared" si="256"/>
        <v>22732.63475829456</v>
      </c>
      <c r="AI114" s="328">
        <f t="shared" si="256"/>
        <v>33587.399999999994</v>
      </c>
      <c r="AJ114" s="64">
        <f t="shared" si="256"/>
        <v>-85382.535241705453</v>
      </c>
      <c r="AK114" s="64">
        <f t="shared" ref="AK114:AN114" si="262">AF39-AK39</f>
        <v>73731.038531999016</v>
      </c>
      <c r="AL114" s="64">
        <f t="shared" si="262"/>
        <v>381412.13487247989</v>
      </c>
      <c r="AM114" s="64">
        <f t="shared" si="262"/>
        <v>-3406.8215919813738</v>
      </c>
      <c r="AN114" s="64">
        <f t="shared" si="262"/>
        <v>-11009.275896829899</v>
      </c>
      <c r="AO114" s="64">
        <f>AJ39-AO39</f>
        <v>-19604.354084332357</v>
      </c>
      <c r="AP114" s="64">
        <f t="shared" ref="AP114:AS114" si="263">AK39-AP39</f>
        <v>-61066.47567185681</v>
      </c>
      <c r="AQ114" s="64">
        <f t="shared" si="263"/>
        <v>-106321.37197922003</v>
      </c>
      <c r="AR114" s="64">
        <f t="shared" si="263"/>
        <v>1613.541481140488</v>
      </c>
      <c r="AS114" s="64">
        <f t="shared" si="263"/>
        <v>0</v>
      </c>
      <c r="AT114" s="64">
        <f>AO39-AT39</f>
        <v>-165774.30616993635</v>
      </c>
      <c r="AU114" s="64">
        <f t="shared" ref="AU114:AX114" si="264">AP39-AU39</f>
        <v>-10193.834500003548</v>
      </c>
      <c r="AV114" s="64">
        <f t="shared" si="264"/>
        <v>-3525.5950124147348</v>
      </c>
      <c r="AW114" s="64">
        <f t="shared" si="264"/>
        <v>-3691.4375457883689</v>
      </c>
      <c r="AX114" s="64">
        <f t="shared" si="264"/>
        <v>-15798.515325796689</v>
      </c>
      <c r="AY114" s="328">
        <f>AT39-AY39</f>
        <v>-33209.382384003373</v>
      </c>
      <c r="AZ114" s="328">
        <f t="shared" ref="AZ114:BC114" si="265">AU39-AZ39</f>
        <v>-5849.1135819930787</v>
      </c>
      <c r="BA114" s="328">
        <f t="shared" si="265"/>
        <v>-8340.8916059577605</v>
      </c>
      <c r="BB114" s="328">
        <f t="shared" si="265"/>
        <v>-1347.5041449167329</v>
      </c>
      <c r="BC114" s="328">
        <f t="shared" si="265"/>
        <v>-2605.769561131332</v>
      </c>
      <c r="BD114" s="64">
        <f>AY39-BD39</f>
        <v>-18143.278893998882</v>
      </c>
      <c r="BE114" s="64">
        <f t="shared" ref="BE114:BH114" si="266">AZ39-BE39</f>
        <v>-6141.5692610927217</v>
      </c>
      <c r="BF114" s="64">
        <f t="shared" si="266"/>
        <v>-8757.9361862556252</v>
      </c>
      <c r="BG114" s="64">
        <f t="shared" si="266"/>
        <v>-1131.9034817300599</v>
      </c>
      <c r="BH114" s="64">
        <f t="shared" si="266"/>
        <v>-2736.0580391879048</v>
      </c>
      <c r="BI114" s="328">
        <f>BD39-BI39</f>
        <v>-18767.466968266293</v>
      </c>
    </row>
    <row r="115" spans="2:61" x14ac:dyDescent="0.2">
      <c r="B115" s="2" t="s">
        <v>200</v>
      </c>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422">
        <f>AH51-AC51</f>
        <v>-497507.11249453004</v>
      </c>
      <c r="AI115" s="328">
        <f>AI51-AD51</f>
        <v>-420851.63970936043</v>
      </c>
      <c r="AJ115" s="64">
        <f>AJ51-AE51</f>
        <v>423420.57883840299</v>
      </c>
      <c r="AK115" s="15">
        <f t="shared" ref="AK115:AN115" si="267">AK51-AF51</f>
        <v>-797143.86962449807</v>
      </c>
      <c r="AL115" s="15">
        <f t="shared" si="267"/>
        <v>-915148.09363007918</v>
      </c>
      <c r="AM115" s="64">
        <f t="shared" si="267"/>
        <v>24303.146689407411</v>
      </c>
      <c r="AN115" s="64">
        <f t="shared" si="267"/>
        <v>77588.500678680924</v>
      </c>
      <c r="AO115" s="64">
        <f>AO51-AJ51</f>
        <v>139110.34816005698</v>
      </c>
      <c r="AP115" s="64">
        <f t="shared" ref="AP115:AS115" si="268">AP51-AK51</f>
        <v>436288.8700324457</v>
      </c>
      <c r="AQ115" s="64">
        <f t="shared" si="268"/>
        <v>752651.14239741396</v>
      </c>
      <c r="AR115" s="64">
        <f t="shared" si="268"/>
        <v>-11555.758005893149</v>
      </c>
      <c r="AS115" s="64">
        <f t="shared" si="268"/>
        <v>0</v>
      </c>
      <c r="AT115" s="64">
        <f>AT51-AO51</f>
        <v>1176316.3095346165</v>
      </c>
      <c r="AU115" s="64">
        <f t="shared" ref="AU115:AX115" si="269">AU51-AP51</f>
        <v>72829.756202124758</v>
      </c>
      <c r="AV115" s="64">
        <f t="shared" si="269"/>
        <v>24957.75839163526</v>
      </c>
      <c r="AW115" s="64">
        <f t="shared" si="269"/>
        <v>26437.100918438897</v>
      </c>
      <c r="AX115" s="15">
        <f t="shared" si="269"/>
        <v>111840.60309126414</v>
      </c>
      <c r="AY115" s="328">
        <f>AY51-AT51</f>
        <v>235650.13801251724</v>
      </c>
      <c r="AZ115" s="328">
        <f t="shared" ref="AZ115:BC115" si="270">AZ51-AU51</f>
        <v>41788.937830503564</v>
      </c>
      <c r="BA115" s="328">
        <f t="shared" si="270"/>
        <v>59045.340357948793</v>
      </c>
      <c r="BB115" s="328">
        <f t="shared" si="270"/>
        <v>9650.4688553711458</v>
      </c>
      <c r="BC115" s="328">
        <f t="shared" si="270"/>
        <v>18446.723203029251</v>
      </c>
      <c r="BD115" s="64">
        <f>BD51-AY51</f>
        <v>128742.71872727992</v>
      </c>
      <c r="BE115" s="64">
        <f t="shared" ref="BE115:BH115" si="271">BE51-AZ51</f>
        <v>43878.384722028859</v>
      </c>
      <c r="BF115" s="64">
        <f t="shared" si="271"/>
        <v>61997.607375846012</v>
      </c>
      <c r="BG115" s="64">
        <f t="shared" si="271"/>
        <v>8106.3938385117799</v>
      </c>
      <c r="BH115" s="64">
        <f t="shared" si="271"/>
        <v>19369.059363180713</v>
      </c>
      <c r="BI115" s="328">
        <f>BI51-BD51</f>
        <v>133171.88889810862</v>
      </c>
    </row>
    <row r="116" spans="2:61" x14ac:dyDescent="0.2">
      <c r="B116" s="2" t="s">
        <v>201</v>
      </c>
      <c r="G116" s="74"/>
      <c r="H116" s="74"/>
      <c r="I116" s="74"/>
      <c r="J116" s="74"/>
      <c r="K116" s="74"/>
      <c r="L116" s="74"/>
      <c r="M116" s="74"/>
      <c r="N116" s="74"/>
      <c r="O116" s="74"/>
      <c r="P116" s="74"/>
      <c r="Q116" s="74"/>
      <c r="R116" s="74"/>
      <c r="S116" s="74"/>
      <c r="T116" s="74"/>
      <c r="U116" s="74"/>
      <c r="V116" s="74"/>
      <c r="W116" s="74"/>
      <c r="X116" s="74"/>
      <c r="Y116" s="74"/>
      <c r="Z116" s="74"/>
      <c r="AA116" s="74"/>
      <c r="AB116" s="74"/>
      <c r="AC116" s="74"/>
      <c r="AD116" s="74"/>
      <c r="AE116" s="74"/>
      <c r="AF116" s="74"/>
      <c r="AG116" s="74"/>
      <c r="AH116" s="415">
        <f>SUM(AH110:AH115)</f>
        <v>868455.38622087112</v>
      </c>
      <c r="AI116" s="75">
        <f>SUM(AI110:AI115)</f>
        <v>962864.89075292321</v>
      </c>
      <c r="AJ116" s="75">
        <f>SUM(AJ110:AJ115)</f>
        <v>-40089.2490246956</v>
      </c>
      <c r="AK116" s="75">
        <f t="shared" ref="AK116:AN116" si="272">SUM(AK110:AK115)</f>
        <v>1867398.1390719151</v>
      </c>
      <c r="AL116" s="75">
        <f t="shared" si="272"/>
        <v>2824069.056921077</v>
      </c>
      <c r="AM116" s="75">
        <f t="shared" si="272"/>
        <v>-72986.367369901214</v>
      </c>
      <c r="AN116" s="75">
        <f t="shared" si="272"/>
        <v>250830.41228857765</v>
      </c>
      <c r="AO116" s="75">
        <f t="shared" ref="AO116:BI116" si="273">SUM(AO110:AO115)</f>
        <v>425679.01305646286</v>
      </c>
      <c r="AP116" s="75">
        <f t="shared" si="273"/>
        <v>-386272.54124349164</v>
      </c>
      <c r="AQ116" s="75">
        <f t="shared" si="273"/>
        <v>-625260.95938087045</v>
      </c>
      <c r="AR116" s="75">
        <f t="shared" si="273"/>
        <v>11424.070809743793</v>
      </c>
      <c r="AS116" s="75">
        <f t="shared" si="273"/>
        <v>69023.285789969377</v>
      </c>
      <c r="AT116" s="75">
        <f t="shared" si="273"/>
        <v>-553738.05596193951</v>
      </c>
      <c r="AU116" s="75">
        <f t="shared" si="273"/>
        <v>268788.99689818051</v>
      </c>
      <c r="AV116" s="75">
        <f t="shared" si="273"/>
        <v>625770.01543477573</v>
      </c>
      <c r="AW116" s="75">
        <f t="shared" si="273"/>
        <v>-37050.371374901835</v>
      </c>
      <c r="AX116" s="75">
        <f t="shared" si="273"/>
        <v>-44552.026539854705</v>
      </c>
      <c r="AY116" s="75">
        <f t="shared" si="273"/>
        <v>1193550.513742439</v>
      </c>
      <c r="AZ116" s="75">
        <f t="shared" si="273"/>
        <v>346065.11643002037</v>
      </c>
      <c r="BA116" s="75">
        <f t="shared" si="273"/>
        <v>608143.09316655097</v>
      </c>
      <c r="BB116" s="75">
        <f t="shared" si="273"/>
        <v>-3288.4501580289689</v>
      </c>
      <c r="BC116" s="75">
        <f t="shared" si="273"/>
        <v>126374.38009627923</v>
      </c>
      <c r="BD116" s="75">
        <f t="shared" si="273"/>
        <v>1459378.1318339983</v>
      </c>
      <c r="BE116" s="75">
        <f t="shared" si="273"/>
        <v>368865.00572885713</v>
      </c>
      <c r="BF116" s="75">
        <f t="shared" si="273"/>
        <v>645325.50358849147</v>
      </c>
      <c r="BG116" s="75">
        <f t="shared" si="273"/>
        <v>3994.4227931033638</v>
      </c>
      <c r="BH116" s="75">
        <f t="shared" si="273"/>
        <v>137986.84158403892</v>
      </c>
      <c r="BI116" s="75">
        <f t="shared" si="273"/>
        <v>1539714.4900413356</v>
      </c>
    </row>
    <row r="117" spans="2:61" x14ac:dyDescent="0.2">
      <c r="G117" s="74"/>
      <c r="H117" s="74"/>
      <c r="I117" s="74"/>
      <c r="J117" s="74"/>
      <c r="K117" s="74"/>
      <c r="L117" s="74"/>
      <c r="M117" s="74"/>
      <c r="N117" s="74"/>
      <c r="O117" s="74"/>
      <c r="P117" s="74"/>
      <c r="Q117" s="74"/>
      <c r="R117" s="74"/>
      <c r="S117" s="74"/>
      <c r="T117" s="74"/>
      <c r="U117" s="74"/>
      <c r="V117" s="74"/>
      <c r="W117" s="74"/>
      <c r="X117" s="74"/>
      <c r="Y117" s="74"/>
      <c r="Z117" s="74"/>
      <c r="AA117" s="74"/>
      <c r="AB117" s="74"/>
      <c r="AC117" s="74"/>
      <c r="AD117" s="74"/>
      <c r="AE117" s="74"/>
      <c r="AF117" s="74"/>
      <c r="AG117" s="74"/>
      <c r="AJ117" s="2" t="s">
        <v>155</v>
      </c>
      <c r="AO117" s="2" t="s">
        <v>155</v>
      </c>
      <c r="AT117" s="2" t="s">
        <v>155</v>
      </c>
      <c r="AY117" s="2" t="s">
        <v>155</v>
      </c>
      <c r="BD117" s="2" t="s">
        <v>155</v>
      </c>
      <c r="BI117" s="2" t="s">
        <v>155</v>
      </c>
    </row>
    <row r="118" spans="2:61" x14ac:dyDescent="0.2">
      <c r="B118" s="67" t="s">
        <v>202</v>
      </c>
      <c r="G118" s="74"/>
      <c r="H118" s="74"/>
      <c r="I118" s="74"/>
      <c r="J118" s="74"/>
      <c r="K118" s="74"/>
      <c r="L118" s="74"/>
      <c r="M118" s="74"/>
      <c r="N118" s="74"/>
      <c r="O118" s="74"/>
      <c r="P118" s="74"/>
      <c r="Q118" s="74"/>
      <c r="R118" s="74"/>
      <c r="S118" s="74"/>
      <c r="T118" s="74"/>
      <c r="U118" s="74"/>
      <c r="V118" s="74"/>
      <c r="W118" s="74"/>
      <c r="X118" s="74"/>
      <c r="Y118" s="74"/>
      <c r="Z118" s="74"/>
      <c r="AA118" s="74"/>
      <c r="AB118" s="74"/>
      <c r="AC118" s="74"/>
      <c r="AD118" s="74"/>
      <c r="AE118" s="74"/>
      <c r="AF118" s="74"/>
      <c r="AG118" s="74"/>
    </row>
    <row r="119" spans="2:61" x14ac:dyDescent="0.2">
      <c r="B119" s="2" t="s">
        <v>203</v>
      </c>
      <c r="G119" s="74"/>
      <c r="H119" s="74"/>
      <c r="I119" s="74"/>
      <c r="J119" s="74"/>
      <c r="K119" s="74"/>
      <c r="L119" s="74"/>
      <c r="M119" s="74"/>
      <c r="N119" s="74"/>
      <c r="O119" s="74"/>
      <c r="P119" s="74"/>
      <c r="Q119" s="74"/>
      <c r="R119" s="74"/>
      <c r="S119" s="74"/>
      <c r="T119" s="74"/>
      <c r="U119" s="74"/>
      <c r="V119" s="74"/>
      <c r="W119" s="74"/>
      <c r="X119" s="74"/>
      <c r="Y119" s="74"/>
      <c r="Z119" s="74"/>
      <c r="AA119" s="74"/>
      <c r="AB119" s="74"/>
      <c r="AC119" s="74"/>
      <c r="AD119" s="74"/>
      <c r="AE119" s="74"/>
      <c r="AF119" s="74"/>
      <c r="AG119" s="74"/>
      <c r="AH119" s="436">
        <f>-AH103</f>
        <v>0</v>
      </c>
      <c r="AI119" s="64">
        <f>-AI103</f>
        <v>0</v>
      </c>
      <c r="AJ119" s="64">
        <f>-AJ103</f>
        <v>-144277.53524170545</v>
      </c>
      <c r="AK119" s="64">
        <f t="shared" ref="AK119:AN119" si="274">-AK103</f>
        <v>0</v>
      </c>
      <c r="AL119" s="64">
        <f t="shared" si="274"/>
        <v>0</v>
      </c>
      <c r="AM119" s="64">
        <f t="shared" si="274"/>
        <v>0</v>
      </c>
      <c r="AN119" s="64">
        <f t="shared" si="274"/>
        <v>0</v>
      </c>
      <c r="AO119" s="64">
        <f t="shared" ref="AO119:BI119" si="275">-AO103</f>
        <v>-163881.88932603781</v>
      </c>
      <c r="AP119" s="64">
        <f t="shared" si="275"/>
        <v>0</v>
      </c>
      <c r="AQ119" s="64">
        <f t="shared" si="275"/>
        <v>0</v>
      </c>
      <c r="AR119" s="64">
        <f t="shared" si="275"/>
        <v>0</v>
      </c>
      <c r="AS119" s="64">
        <f t="shared" si="275"/>
        <v>0</v>
      </c>
      <c r="AT119" s="64">
        <f t="shared" si="275"/>
        <v>-329656.19549597416</v>
      </c>
      <c r="AU119" s="64">
        <f t="shared" si="275"/>
        <v>0</v>
      </c>
      <c r="AV119" s="64">
        <f t="shared" si="275"/>
        <v>0</v>
      </c>
      <c r="AW119" s="64">
        <f t="shared" si="275"/>
        <v>0</v>
      </c>
      <c r="AX119" s="64">
        <f t="shared" si="275"/>
        <v>0</v>
      </c>
      <c r="AY119" s="328">
        <f t="shared" si="275"/>
        <v>-362865.57787997753</v>
      </c>
      <c r="AZ119" s="328">
        <f t="shared" si="275"/>
        <v>0</v>
      </c>
      <c r="BA119" s="328">
        <f t="shared" si="275"/>
        <v>0</v>
      </c>
      <c r="BB119" s="328">
        <f t="shared" si="275"/>
        <v>0</v>
      </c>
      <c r="BC119" s="328">
        <f t="shared" si="275"/>
        <v>0</v>
      </c>
      <c r="BD119" s="64">
        <f t="shared" si="275"/>
        <v>-381008.85677397641</v>
      </c>
      <c r="BE119" s="64">
        <f t="shared" si="275"/>
        <v>0</v>
      </c>
      <c r="BF119" s="64">
        <f t="shared" si="275"/>
        <v>0</v>
      </c>
      <c r="BG119" s="64">
        <f t="shared" si="275"/>
        <v>0</v>
      </c>
      <c r="BH119" s="64">
        <f t="shared" si="275"/>
        <v>0</v>
      </c>
      <c r="BI119" s="328">
        <f t="shared" si="275"/>
        <v>-399776.3237422427</v>
      </c>
    </row>
    <row r="120" spans="2:61" x14ac:dyDescent="0.2">
      <c r="B120" s="2" t="s">
        <v>204</v>
      </c>
      <c r="G120" s="74"/>
      <c r="H120" s="74"/>
      <c r="I120" s="74"/>
      <c r="J120" s="74"/>
      <c r="K120" s="74"/>
      <c r="L120" s="74"/>
      <c r="M120" s="74"/>
      <c r="N120" s="74"/>
      <c r="O120" s="74"/>
      <c r="P120" s="74"/>
      <c r="Q120" s="74"/>
      <c r="R120" s="74"/>
      <c r="S120" s="74"/>
      <c r="T120" s="74"/>
      <c r="U120" s="74"/>
      <c r="V120" s="74"/>
      <c r="W120" s="74"/>
      <c r="X120" s="74"/>
      <c r="Y120" s="74"/>
      <c r="Z120" s="74"/>
      <c r="AA120" s="74"/>
      <c r="AB120" s="74"/>
      <c r="AC120" s="74"/>
      <c r="AD120" s="74"/>
      <c r="AE120" s="74"/>
      <c r="AF120" s="74"/>
      <c r="AG120" s="74"/>
      <c r="AH120" s="436">
        <f>AH119</f>
        <v>0</v>
      </c>
      <c r="AI120" s="76">
        <f>AI119</f>
        <v>0</v>
      </c>
      <c r="AJ120" s="76">
        <f>AJ119</f>
        <v>-144277.53524170545</v>
      </c>
      <c r="AK120" s="76">
        <f t="shared" ref="AK120:AN120" si="276">AK119</f>
        <v>0</v>
      </c>
      <c r="AL120" s="76">
        <f t="shared" si="276"/>
        <v>0</v>
      </c>
      <c r="AM120" s="76">
        <f t="shared" si="276"/>
        <v>0</v>
      </c>
      <c r="AN120" s="76">
        <f t="shared" si="276"/>
        <v>0</v>
      </c>
      <c r="AO120" s="76">
        <f t="shared" ref="AO120:BH120" si="277">AO119</f>
        <v>-163881.88932603781</v>
      </c>
      <c r="AP120" s="76">
        <f t="shared" si="277"/>
        <v>0</v>
      </c>
      <c r="AQ120" s="76">
        <f t="shared" si="277"/>
        <v>0</v>
      </c>
      <c r="AR120" s="76">
        <f t="shared" si="277"/>
        <v>0</v>
      </c>
      <c r="AS120" s="76">
        <f t="shared" si="277"/>
        <v>0</v>
      </c>
      <c r="AT120" s="76">
        <f t="shared" si="277"/>
        <v>-329656.19549597416</v>
      </c>
      <c r="AU120" s="76">
        <f t="shared" si="277"/>
        <v>0</v>
      </c>
      <c r="AV120" s="76">
        <f t="shared" si="277"/>
        <v>0</v>
      </c>
      <c r="AW120" s="76">
        <f t="shared" si="277"/>
        <v>0</v>
      </c>
      <c r="AX120" s="76">
        <f t="shared" si="277"/>
        <v>0</v>
      </c>
      <c r="AY120" s="333">
        <f t="shared" si="277"/>
        <v>-362865.57787997753</v>
      </c>
      <c r="AZ120" s="333">
        <f t="shared" si="277"/>
        <v>0</v>
      </c>
      <c r="BA120" s="333">
        <f t="shared" si="277"/>
        <v>0</v>
      </c>
      <c r="BB120" s="333">
        <f t="shared" si="277"/>
        <v>0</v>
      </c>
      <c r="BC120" s="333">
        <f t="shared" si="277"/>
        <v>0</v>
      </c>
      <c r="BD120" s="76">
        <f t="shared" si="277"/>
        <v>-381008.85677397641</v>
      </c>
      <c r="BE120" s="76">
        <f t="shared" si="277"/>
        <v>0</v>
      </c>
      <c r="BF120" s="76">
        <f t="shared" si="277"/>
        <v>0</v>
      </c>
      <c r="BG120" s="76">
        <f t="shared" si="277"/>
        <v>0</v>
      </c>
      <c r="BH120" s="76">
        <f t="shared" si="277"/>
        <v>0</v>
      </c>
      <c r="BI120" s="333">
        <f>BI119</f>
        <v>-399776.3237422427</v>
      </c>
    </row>
    <row r="121" spans="2:61" x14ac:dyDescent="0.2">
      <c r="B121" s="67" t="s">
        <v>205</v>
      </c>
      <c r="G121" s="74"/>
      <c r="H121" s="74"/>
      <c r="I121" s="74"/>
      <c r="J121" s="74"/>
      <c r="K121" s="74"/>
      <c r="L121" s="74"/>
      <c r="M121" s="74"/>
      <c r="N121" s="74"/>
      <c r="O121" s="74"/>
      <c r="P121" s="74"/>
      <c r="Q121" s="74"/>
      <c r="R121" s="74"/>
      <c r="S121" s="74"/>
      <c r="T121" s="74"/>
      <c r="U121" s="74"/>
      <c r="V121" s="74"/>
      <c r="W121" s="74"/>
      <c r="X121" s="74"/>
      <c r="Y121" s="74"/>
      <c r="Z121" s="74"/>
      <c r="AA121" s="74"/>
      <c r="AB121" s="74"/>
      <c r="AC121" s="74"/>
      <c r="AD121" s="74"/>
      <c r="AE121" s="74"/>
      <c r="AF121" s="74"/>
      <c r="AG121" s="74"/>
      <c r="AH121" s="415">
        <f>AH120+AH116</f>
        <v>868455.38622087112</v>
      </c>
      <c r="AI121" s="75">
        <f>AI120+AI116</f>
        <v>962864.89075292321</v>
      </c>
      <c r="AJ121" s="75">
        <f>AJ120+AJ116</f>
        <v>-184366.78426640105</v>
      </c>
      <c r="AK121" s="75">
        <f t="shared" ref="AK121:AN121" si="278">AK120+AK116</f>
        <v>1867398.1390719151</v>
      </c>
      <c r="AL121" s="75">
        <f t="shared" si="278"/>
        <v>2824069.056921077</v>
      </c>
      <c r="AM121" s="75">
        <f t="shared" si="278"/>
        <v>-72986.367369901214</v>
      </c>
      <c r="AN121" s="75">
        <f t="shared" si="278"/>
        <v>250830.41228857765</v>
      </c>
      <c r="AO121" s="75">
        <f t="shared" ref="AO121:BI121" si="279">AO120+AO116</f>
        <v>261797.12373042505</v>
      </c>
      <c r="AP121" s="75">
        <f t="shared" si="279"/>
        <v>-386272.54124349164</v>
      </c>
      <c r="AQ121" s="75">
        <f t="shared" si="279"/>
        <v>-625260.95938087045</v>
      </c>
      <c r="AR121" s="75">
        <f t="shared" si="279"/>
        <v>11424.070809743793</v>
      </c>
      <c r="AS121" s="75">
        <f t="shared" si="279"/>
        <v>69023.285789969377</v>
      </c>
      <c r="AT121" s="75">
        <f t="shared" si="279"/>
        <v>-883394.25145791366</v>
      </c>
      <c r="AU121" s="75">
        <f t="shared" si="279"/>
        <v>268788.99689818051</v>
      </c>
      <c r="AV121" s="75">
        <f t="shared" si="279"/>
        <v>625770.01543477573</v>
      </c>
      <c r="AW121" s="75">
        <f t="shared" si="279"/>
        <v>-37050.371374901835</v>
      </c>
      <c r="AX121" s="75">
        <f t="shared" si="279"/>
        <v>-44552.026539854705</v>
      </c>
      <c r="AY121" s="75">
        <f t="shared" si="279"/>
        <v>830684.93586246145</v>
      </c>
      <c r="AZ121" s="75">
        <f t="shared" si="279"/>
        <v>346065.11643002037</v>
      </c>
      <c r="BA121" s="75">
        <f t="shared" si="279"/>
        <v>608143.09316655097</v>
      </c>
      <c r="BB121" s="75">
        <f t="shared" si="279"/>
        <v>-3288.4501580289689</v>
      </c>
      <c r="BC121" s="75">
        <f t="shared" si="279"/>
        <v>126374.38009627923</v>
      </c>
      <c r="BD121" s="75">
        <f t="shared" si="279"/>
        <v>1078369.2750600218</v>
      </c>
      <c r="BE121" s="75">
        <f t="shared" si="279"/>
        <v>368865.00572885713</v>
      </c>
      <c r="BF121" s="75">
        <f t="shared" si="279"/>
        <v>645325.50358849147</v>
      </c>
      <c r="BG121" s="75">
        <f t="shared" si="279"/>
        <v>3994.4227931033638</v>
      </c>
      <c r="BH121" s="75">
        <f t="shared" si="279"/>
        <v>137986.84158403892</v>
      </c>
      <c r="BI121" s="75">
        <f t="shared" si="279"/>
        <v>1139938.1662990928</v>
      </c>
    </row>
    <row r="123" spans="2:61" x14ac:dyDescent="0.2">
      <c r="B123" s="67"/>
    </row>
  </sheetData>
  <mergeCells count="11">
    <mergeCell ref="AF3:AJ3"/>
    <mergeCell ref="G3:K3"/>
    <mergeCell ref="L3:P3"/>
    <mergeCell ref="Q3:U3"/>
    <mergeCell ref="V3:Z3"/>
    <mergeCell ref="AA3:AE3"/>
    <mergeCell ref="AK3:AO3"/>
    <mergeCell ref="AP3:AT3"/>
    <mergeCell ref="AU3:AY3"/>
    <mergeCell ref="AZ3:BD3"/>
    <mergeCell ref="BE3:BI3"/>
  </mergeCells>
  <pageMargins left="0.7" right="0.7" top="0.75" bottom="0.75" header="0.3" footer="0.3"/>
  <pageSetup orientation="portrait" r:id="rId1"/>
  <ignoredErrors>
    <ignoredError sqref="BI56 AJ56 AJ17 AJ12 AO56 AO19 AO17 AO12 AT56 AY56 BD56" formula="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A9199-2643-4F4A-9411-E480BFD2CDCD}">
  <dimension ref="A1:V60"/>
  <sheetViews>
    <sheetView showGridLines="0" zoomScale="85" zoomScaleNormal="85" workbookViewId="0"/>
  </sheetViews>
  <sheetFormatPr baseColWidth="10" defaultColWidth="8.6640625" defaultRowHeight="15" outlineLevelRow="1" x14ac:dyDescent="0.2"/>
  <cols>
    <col min="1" max="1" width="1.5" style="2" customWidth="1"/>
    <col min="2" max="2" width="25.5" style="2" customWidth="1"/>
    <col min="3" max="3" width="0.83203125" style="2" customWidth="1"/>
    <col min="4" max="4" width="20.5" style="2" customWidth="1"/>
    <col min="5" max="5" width="1.5" style="2" customWidth="1"/>
    <col min="6" max="10" width="20.5" style="2" customWidth="1"/>
    <col min="11" max="12" width="0.83203125" style="2" customWidth="1"/>
    <col min="13" max="15" width="20.5" style="2" customWidth="1"/>
    <col min="16" max="16384" width="8.6640625" style="2"/>
  </cols>
  <sheetData>
    <row r="1" spans="1:15" x14ac:dyDescent="0.2">
      <c r="A1" s="9"/>
      <c r="B1" s="173" t="s">
        <v>206</v>
      </c>
      <c r="C1" s="9"/>
      <c r="D1" s="9"/>
      <c r="E1" s="9"/>
      <c r="F1" s="9"/>
      <c r="G1" s="9"/>
      <c r="H1" s="9"/>
      <c r="I1" s="9"/>
      <c r="J1" s="9"/>
      <c r="K1" s="9"/>
      <c r="L1" s="9"/>
      <c r="M1" s="9"/>
      <c r="N1" s="9"/>
      <c r="O1" s="9"/>
    </row>
    <row r="2" spans="1:15" ht="16" thickBot="1" x14ac:dyDescent="0.25">
      <c r="B2" s="172"/>
      <c r="D2" s="115"/>
      <c r="F2" s="115"/>
      <c r="G2" s="115"/>
      <c r="H2" s="115"/>
      <c r="I2" s="115"/>
      <c r="J2" s="115"/>
      <c r="M2" s="115"/>
      <c r="N2" s="115"/>
      <c r="O2" s="115"/>
    </row>
    <row r="3" spans="1:15" ht="18" customHeight="1" thickBot="1" x14ac:dyDescent="0.25">
      <c r="B3" s="172"/>
      <c r="D3" s="171" t="s">
        <v>207</v>
      </c>
      <c r="F3" s="169" t="s">
        <v>208</v>
      </c>
      <c r="G3" s="168"/>
      <c r="H3" s="168"/>
      <c r="I3" s="168"/>
      <c r="J3" s="168"/>
      <c r="K3" s="170"/>
      <c r="M3" s="169" t="s">
        <v>209</v>
      </c>
      <c r="N3" s="168"/>
      <c r="O3" s="168"/>
    </row>
    <row r="4" spans="1:15" ht="5" customHeight="1" thickBot="1" x14ac:dyDescent="0.25">
      <c r="B4" s="115"/>
      <c r="C4" s="115"/>
      <c r="D4" s="115"/>
      <c r="E4" s="115"/>
      <c r="F4" s="115"/>
      <c r="G4" s="115"/>
      <c r="H4" s="115"/>
      <c r="I4" s="115"/>
      <c r="J4" s="115"/>
      <c r="K4" s="115"/>
      <c r="L4" s="115"/>
      <c r="M4" s="115"/>
      <c r="N4" s="115"/>
      <c r="O4" s="115"/>
    </row>
    <row r="5" spans="1:15" ht="5" customHeight="1" x14ac:dyDescent="0.2">
      <c r="C5" s="167"/>
      <c r="D5" s="166"/>
    </row>
    <row r="6" spans="1:15" x14ac:dyDescent="0.2">
      <c r="C6" s="125"/>
      <c r="D6" s="162"/>
      <c r="K6" s="121"/>
    </row>
    <row r="7" spans="1:15" x14ac:dyDescent="0.2">
      <c r="C7" s="125"/>
      <c r="D7" s="165"/>
      <c r="E7" s="85"/>
      <c r="F7" s="153"/>
      <c r="G7" s="153"/>
      <c r="H7" s="164"/>
      <c r="I7" s="153"/>
      <c r="J7" s="153"/>
      <c r="K7" s="121"/>
    </row>
    <row r="8" spans="1:15" x14ac:dyDescent="0.2">
      <c r="C8" s="125"/>
      <c r="D8" s="162"/>
      <c r="G8"/>
      <c r="K8" s="121"/>
    </row>
    <row r="9" spans="1:15" ht="16" thickBot="1" x14ac:dyDescent="0.25">
      <c r="B9" s="130" t="s">
        <v>210</v>
      </c>
      <c r="C9" s="119"/>
      <c r="D9" s="163"/>
      <c r="E9" s="115"/>
      <c r="F9" s="115"/>
      <c r="G9" s="115"/>
      <c r="H9" s="115"/>
      <c r="I9" s="115"/>
      <c r="J9" s="115"/>
      <c r="K9" s="121"/>
      <c r="M9" s="115"/>
      <c r="N9" s="115"/>
      <c r="O9" s="115"/>
    </row>
    <row r="10" spans="1:15" ht="5" customHeight="1" x14ac:dyDescent="0.2">
      <c r="B10" s="67"/>
      <c r="C10" s="125"/>
      <c r="D10" s="162"/>
      <c r="K10" s="121"/>
    </row>
    <row r="11" spans="1:15" ht="16" thickBot="1" x14ac:dyDescent="0.25">
      <c r="C11" s="125"/>
      <c r="D11" s="162"/>
      <c r="F11" s="161"/>
      <c r="G11" s="161"/>
      <c r="J11" s="161"/>
      <c r="K11" s="121"/>
      <c r="M11" s="160" t="s">
        <v>211</v>
      </c>
      <c r="N11" s="160" t="s">
        <v>212</v>
      </c>
      <c r="O11" s="160" t="s">
        <v>213</v>
      </c>
    </row>
    <row r="12" spans="1:15" ht="16" x14ac:dyDescent="0.2">
      <c r="B12" s="2" t="s">
        <v>214</v>
      </c>
      <c r="C12" s="125"/>
      <c r="D12" s="159" t="s">
        <v>78</v>
      </c>
      <c r="E12" s="158"/>
      <c r="F12" s="152" t="s">
        <v>215</v>
      </c>
      <c r="G12" s="152" t="s">
        <v>65</v>
      </c>
      <c r="H12" s="152" t="s">
        <v>68</v>
      </c>
      <c r="I12" s="152" t="s">
        <v>216</v>
      </c>
      <c r="J12" s="152" t="s">
        <v>74</v>
      </c>
      <c r="K12" s="121"/>
      <c r="M12" s="157">
        <f>MAX(F20:J20)*$O$40</f>
        <v>220.73641357027461</v>
      </c>
      <c r="N12" s="156">
        <f>MEDIAN(F20:J20)*O40</f>
        <v>107.08499999999998</v>
      </c>
      <c r="O12" s="155">
        <f>MIN(F20:J20)*O40</f>
        <v>65.038809523809505</v>
      </c>
    </row>
    <row r="13" spans="1:15" x14ac:dyDescent="0.2">
      <c r="B13" s="2" t="s">
        <v>217</v>
      </c>
      <c r="C13" s="125"/>
      <c r="D13" s="154" t="s">
        <v>218</v>
      </c>
      <c r="E13" s="153"/>
      <c r="F13" s="152" t="s">
        <v>63</v>
      </c>
      <c r="G13" s="152" t="s">
        <v>66</v>
      </c>
      <c r="H13" s="152" t="s">
        <v>69</v>
      </c>
      <c r="I13" s="152" t="s">
        <v>72</v>
      </c>
      <c r="J13" s="152" t="s">
        <v>75</v>
      </c>
      <c r="K13" s="121"/>
      <c r="M13" s="151">
        <f>((MAX($F$21:$J$21)*$O$41)+$O$44-$O$45)/$O$46</f>
        <v>202.08443984227986</v>
      </c>
      <c r="N13" s="150">
        <f>((MEDIAN($F$21:$J$21)*$O$41)+$O$44-$O$45)/$O$46</f>
        <v>45.662313980155155</v>
      </c>
      <c r="O13" s="149">
        <f>((MIN($F$21:$J$21)*$O$41)+$O$44-$O$45)/$O$46</f>
        <v>31.474251271278817</v>
      </c>
    </row>
    <row r="14" spans="1:15" ht="16" thickBot="1" x14ac:dyDescent="0.25">
      <c r="B14" s="2" t="s">
        <v>219</v>
      </c>
      <c r="C14" s="125"/>
      <c r="D14" s="148">
        <f>IF(D15="Thousands",D42/1000000,IF(D15="Millions",D42/1000))</f>
        <v>11.887681000000001</v>
      </c>
      <c r="E14" s="147"/>
      <c r="F14" s="147">
        <f>IF(F15="Thousands",F42/1000000,IF(F15="Millions",F42/1000))</f>
        <v>2.0411600000000001</v>
      </c>
      <c r="G14" s="147">
        <f>IF(G15="Thousands",G42/1000000,IF(G15="Millions",G42/1000))</f>
        <v>9.9358139999999988</v>
      </c>
      <c r="H14" s="147">
        <f>IF(H15="Thousands",H42/1000000,IF(H15="Millions",H42/100))</f>
        <v>26.401320000000002</v>
      </c>
      <c r="I14" s="147">
        <f>IF(I15="Thousands",I42/1000000,IF(I15="Millions",I42/1000))</f>
        <v>14.93604</v>
      </c>
      <c r="J14" s="147">
        <f>IF(J15="Thousands",J42/1000000,IF(J15="Millions",J42/1000))</f>
        <v>11.549760000000001</v>
      </c>
      <c r="K14" s="121"/>
      <c r="M14" s="146">
        <f>((MAX($F$22:$J$22)*$O$42)+$O$44-$O$45)/$O$46</f>
        <v>130.22258415898747</v>
      </c>
      <c r="N14" s="145">
        <f>((MEDIAN($F$22:$J$22)*$O$42)+$O$44-$O$45)/$O$46</f>
        <v>35.151966270127886</v>
      </c>
      <c r="O14" s="144">
        <f>((MIN($F$22:$J$22)*$O$42)+$O$44-$O$45)/$O$46</f>
        <v>20.750751038073329</v>
      </c>
    </row>
    <row r="15" spans="1:15" x14ac:dyDescent="0.2">
      <c r="B15" s="2" t="s">
        <v>220</v>
      </c>
      <c r="C15" s="125"/>
      <c r="D15" s="137" t="s">
        <v>221</v>
      </c>
      <c r="E15" s="136"/>
      <c r="F15" s="136" t="s">
        <v>221</v>
      </c>
      <c r="G15" s="136" t="s">
        <v>221</v>
      </c>
      <c r="H15" s="136" t="s">
        <v>221</v>
      </c>
      <c r="I15" s="136" t="s">
        <v>221</v>
      </c>
      <c r="J15" s="136" t="s">
        <v>221</v>
      </c>
      <c r="K15" s="121"/>
      <c r="M15" s="143" t="s">
        <v>7</v>
      </c>
      <c r="N15" s="142"/>
      <c r="O15" s="141">
        <f>(AVERAGE(M12:M14)*0.25)+(AVERAGE(N12:N14)*0.5)+(AVERAGE(O12:O14)*0.25)</f>
        <v>87.175484158772463</v>
      </c>
    </row>
    <row r="16" spans="1:15" ht="16" thickBot="1" x14ac:dyDescent="0.25">
      <c r="B16" s="2" t="s">
        <v>222</v>
      </c>
      <c r="C16" s="125"/>
      <c r="D16" s="137">
        <f>D40</f>
        <v>57.07</v>
      </c>
      <c r="F16" s="136">
        <f>F40</f>
        <v>46.39</v>
      </c>
      <c r="G16" s="136">
        <f>G40</f>
        <v>91.49</v>
      </c>
      <c r="H16" s="136">
        <f>H40</f>
        <v>25.96</v>
      </c>
      <c r="I16" s="136">
        <f>I40</f>
        <v>59.27</v>
      </c>
      <c r="J16" s="136">
        <f>J40</f>
        <v>217.92</v>
      </c>
      <c r="K16" s="121"/>
      <c r="M16" s="140" t="s">
        <v>6</v>
      </c>
      <c r="N16" s="139"/>
      <c r="O16" s="138">
        <f>O15/D40-1</f>
        <v>0.52751855894116817</v>
      </c>
    </row>
    <row r="17" spans="2:17" x14ac:dyDescent="0.2">
      <c r="B17" s="2" t="s">
        <v>223</v>
      </c>
      <c r="C17" s="125"/>
      <c r="D17" s="137">
        <f>D46/D41</f>
        <v>26.318779164666349</v>
      </c>
      <c r="E17" s="136"/>
      <c r="F17" s="136">
        <f>F46/F41</f>
        <v>19.938918181818181</v>
      </c>
      <c r="G17" s="136">
        <f>G46/G41</f>
        <v>38.268876611418051</v>
      </c>
      <c r="H17" s="136">
        <f>H46/H41</f>
        <v>10.086971484759095</v>
      </c>
      <c r="I17" s="136">
        <f>I46/I41</f>
        <v>-0.61111111111111116</v>
      </c>
      <c r="J17" s="136">
        <f>J46/J41</f>
        <v>45.619415094339615</v>
      </c>
      <c r="K17" s="121"/>
    </row>
    <row r="18" spans="2:17" ht="5" customHeight="1" x14ac:dyDescent="0.2">
      <c r="C18" s="125"/>
      <c r="D18" s="135"/>
      <c r="I18"/>
      <c r="K18" s="121"/>
    </row>
    <row r="19" spans="2:17" ht="16" thickBot="1" x14ac:dyDescent="0.25">
      <c r="B19" s="130" t="s">
        <v>209</v>
      </c>
      <c r="C19" s="119"/>
      <c r="D19" s="131"/>
      <c r="E19" s="115"/>
      <c r="F19" s="115"/>
      <c r="G19" s="115"/>
      <c r="H19" s="115"/>
      <c r="I19" s="115"/>
      <c r="J19" s="115"/>
      <c r="K19" s="121"/>
      <c r="M19" s="115"/>
      <c r="N19" s="115"/>
      <c r="O19" s="115"/>
    </row>
    <row r="20" spans="2:17" x14ac:dyDescent="0.2">
      <c r="B20" s="2" t="s">
        <v>59</v>
      </c>
      <c r="C20" s="125"/>
      <c r="D20" s="134">
        <f>D40/D53</f>
        <v>11.146484375</v>
      </c>
      <c r="E20" s="133"/>
      <c r="F20" s="133">
        <f>F40/F53</f>
        <v>14.496875000000001</v>
      </c>
      <c r="G20" s="133">
        <f>G40/G53</f>
        <v>10.373015873015872</v>
      </c>
      <c r="H20" s="133">
        <f>H40/H53</f>
        <v>17.078947368421051</v>
      </c>
      <c r="I20" s="133">
        <f>I40/I53</f>
        <v>30.086294416243657</v>
      </c>
      <c r="J20" s="133">
        <f>J40/J53</f>
        <v>35.205169628432955</v>
      </c>
      <c r="K20" s="121"/>
      <c r="M20" s="133">
        <f>MAX(F20:J20)</f>
        <v>35.205169628432955</v>
      </c>
      <c r="N20" s="133">
        <f>MEDIAN(F20:J20)</f>
        <v>17.078947368421051</v>
      </c>
      <c r="O20" s="133">
        <f>MIN(F20:J20)</f>
        <v>10.373015873015872</v>
      </c>
      <c r="P20" s="132"/>
      <c r="Q20" s="57"/>
    </row>
    <row r="21" spans="2:17" x14ac:dyDescent="0.2">
      <c r="B21" s="2" t="s">
        <v>224</v>
      </c>
      <c r="C21" s="125"/>
      <c r="D21" s="134">
        <f>D45/D51</f>
        <v>10.797395272642172</v>
      </c>
      <c r="E21" s="133"/>
      <c r="F21" s="133">
        <f>F45/F51</f>
        <v>12.835008517887564</v>
      </c>
      <c r="G21" s="133">
        <f>G45/G51</f>
        <v>9.3783184615384609</v>
      </c>
      <c r="H21" s="133">
        <f>H45/H51</f>
        <v>50.944708069914476</v>
      </c>
      <c r="I21" s="133">
        <f>I45/I51</f>
        <v>11.165714285714285</v>
      </c>
      <c r="J21" s="133">
        <f>J45/J51</f>
        <v>26.549770546516474</v>
      </c>
      <c r="K21" s="121"/>
      <c r="M21" s="133">
        <f>MAX(F21:J21)</f>
        <v>50.944708069914476</v>
      </c>
      <c r="N21" s="133">
        <f>MEDIAN(F21:J21)</f>
        <v>12.835008517887564</v>
      </c>
      <c r="O21" s="133">
        <f>MIN(F21:J21)</f>
        <v>9.3783184615384609</v>
      </c>
      <c r="P21" s="132"/>
      <c r="Q21" s="57"/>
    </row>
    <row r="22" spans="2:17" x14ac:dyDescent="0.2">
      <c r="B22" s="2" t="s">
        <v>61</v>
      </c>
      <c r="C22" s="125"/>
      <c r="D22" s="134">
        <f>D45/D56</f>
        <v>8.6200292707230499</v>
      </c>
      <c r="E22" s="133"/>
      <c r="F22" s="133">
        <f>F45/F56</f>
        <v>8.7733915574963621</v>
      </c>
      <c r="G22" s="133">
        <f>G45/G56</f>
        <v>6.7657125416204211</v>
      </c>
      <c r="H22" s="133">
        <f>H45/H56</f>
        <v>33.436739077373694</v>
      </c>
      <c r="I22" s="133">
        <f>I45/I56</f>
        <v>10.274333733493398</v>
      </c>
      <c r="J22" s="133">
        <f>J45/J56</f>
        <v>18.237512537612837</v>
      </c>
      <c r="K22" s="121"/>
      <c r="M22" s="133">
        <f>MAX(F22:J22)</f>
        <v>33.436739077373694</v>
      </c>
      <c r="N22" s="133">
        <f>MEDIAN(F22:J22)</f>
        <v>10.274333733493398</v>
      </c>
      <c r="O22" s="133">
        <f>MIN(F22:J22)</f>
        <v>6.7657125416204211</v>
      </c>
      <c r="P22" s="132"/>
      <c r="Q22" s="57"/>
    </row>
    <row r="23" spans="2:17" x14ac:dyDescent="0.2">
      <c r="B23" s="2" t="s">
        <v>225</v>
      </c>
      <c r="C23" s="125"/>
      <c r="D23" s="124">
        <f>D17/D16</f>
        <v>0.46116662282576398</v>
      </c>
      <c r="E23" s="133"/>
      <c r="F23" s="122">
        <f>F17/F16</f>
        <v>0.42981069587881399</v>
      </c>
      <c r="G23" s="122">
        <f>G17/G16</f>
        <v>0.41828480283547986</v>
      </c>
      <c r="H23" s="122">
        <f>H17/H16</f>
        <v>0.3885582236039713</v>
      </c>
      <c r="I23" s="122">
        <f>I17/I16</f>
        <v>-1.0310631198095346E-2</v>
      </c>
      <c r="J23" s="122">
        <f>J17/J16</f>
        <v>0.20934019408195492</v>
      </c>
      <c r="K23" s="121"/>
      <c r="M23" s="133"/>
      <c r="N23" s="133"/>
      <c r="O23" s="133"/>
      <c r="P23" s="132"/>
      <c r="Q23" s="57"/>
    </row>
    <row r="24" spans="2:17" ht="5" customHeight="1" x14ac:dyDescent="0.2">
      <c r="C24" s="125"/>
      <c r="D24" s="134"/>
      <c r="E24" s="133"/>
      <c r="F24" s="133"/>
      <c r="G24" s="133"/>
      <c r="H24" s="133"/>
      <c r="I24" s="133"/>
      <c r="J24" s="133"/>
      <c r="K24" s="121"/>
      <c r="M24" s="133"/>
      <c r="N24" s="133"/>
      <c r="O24" s="133"/>
      <c r="P24" s="132"/>
      <c r="Q24" s="57"/>
    </row>
    <row r="25" spans="2:17" ht="16" thickBot="1" x14ac:dyDescent="0.25">
      <c r="B25" s="130" t="s">
        <v>226</v>
      </c>
      <c r="C25" s="119"/>
      <c r="D25" s="131"/>
      <c r="E25" s="115"/>
      <c r="F25" s="115"/>
      <c r="G25" s="115"/>
      <c r="H25" s="115"/>
      <c r="I25" s="115"/>
      <c r="J25" s="115"/>
      <c r="K25" s="121"/>
      <c r="M25" s="115"/>
      <c r="N25" s="115"/>
      <c r="O25" s="115"/>
    </row>
    <row r="26" spans="2:17" x14ac:dyDescent="0.2">
      <c r="B26" s="2" t="s">
        <v>38</v>
      </c>
      <c r="C26" s="125"/>
      <c r="D26" s="124" t="s">
        <v>155</v>
      </c>
      <c r="E26" s="123"/>
      <c r="F26" s="122">
        <f>F50/F49</f>
        <v>0.3216233784585818</v>
      </c>
      <c r="G26" s="122">
        <f>G50/G49</f>
        <v>0.25341350369535265</v>
      </c>
      <c r="H26" s="122">
        <f>H50/H49</f>
        <v>0.23652012095836239</v>
      </c>
      <c r="I26" s="122">
        <f>I50/I49</f>
        <v>387.06666666666666</v>
      </c>
      <c r="J26" s="122">
        <f>J50/J49</f>
        <v>0.26855585340031091</v>
      </c>
      <c r="K26" s="121"/>
      <c r="M26" s="120">
        <f>MAX(F26:J26)</f>
        <v>387.06666666666666</v>
      </c>
      <c r="N26" s="120">
        <f>MEDIAN(F26:J26)</f>
        <v>0.26855585340031091</v>
      </c>
      <c r="O26" s="120">
        <f>MIN(F26:J26)</f>
        <v>0.23652012095836239</v>
      </c>
    </row>
    <row r="27" spans="2:17" x14ac:dyDescent="0.2">
      <c r="B27" s="2" t="s">
        <v>42</v>
      </c>
      <c r="C27" s="125"/>
      <c r="D27" s="124">
        <f>D56/D49</f>
        <v>0.1101556482776869</v>
      </c>
      <c r="E27" s="123"/>
      <c r="F27" s="122">
        <f>F56/F49</f>
        <v>9.7080518893253823E-2</v>
      </c>
      <c r="G27" s="122">
        <f>G56/G49</f>
        <v>0.2257296755605662</v>
      </c>
      <c r="H27" s="122">
        <f>H56/H49</f>
        <v>9.5301232844847636E-2</v>
      </c>
      <c r="I27" s="122">
        <f>I56/I49</f>
        <v>222.13333333333333</v>
      </c>
      <c r="J27" s="122">
        <f>J56/J49</f>
        <v>0.15720946996148047</v>
      </c>
      <c r="K27" s="121"/>
      <c r="M27" s="120">
        <f>MAX(F27:J27)</f>
        <v>222.13333333333333</v>
      </c>
      <c r="N27" s="120">
        <f>MEDIAN(F27:J27)</f>
        <v>0.15720946996148047</v>
      </c>
      <c r="O27" s="120">
        <f>MIN(F27:J27)</f>
        <v>9.5301232844847636E-2</v>
      </c>
    </row>
    <row r="28" spans="2:17" x14ac:dyDescent="0.2">
      <c r="B28" s="2" t="s">
        <v>40</v>
      </c>
      <c r="C28" s="125"/>
      <c r="D28" s="124">
        <f>D51/D49</f>
        <v>8.7942034954952258E-2</v>
      </c>
      <c r="E28" s="123"/>
      <c r="F28" s="122">
        <f>F51/F49</f>
        <v>6.6359551196902469E-2</v>
      </c>
      <c r="G28" s="122">
        <f>G51/G49</f>
        <v>0.16284604785168483</v>
      </c>
      <c r="H28" s="122">
        <f>H51/H49</f>
        <v>6.2549430100023257E-2</v>
      </c>
      <c r="I28" s="122">
        <f>I51/I49</f>
        <v>204.4</v>
      </c>
      <c r="J28" s="122">
        <f>J51/J49</f>
        <v>0.10798999842317485</v>
      </c>
      <c r="K28" s="121"/>
      <c r="M28" s="120">
        <f>MAX(F28:J28)</f>
        <v>204.4</v>
      </c>
      <c r="N28" s="120">
        <f>MEDIAN(F28:J28)</f>
        <v>0.10798999842317485</v>
      </c>
      <c r="O28" s="120">
        <f>MIN(F28:J28)</f>
        <v>6.2549430100023257E-2</v>
      </c>
    </row>
    <row r="29" spans="2:17" x14ac:dyDescent="0.2">
      <c r="B29" s="2" t="s">
        <v>227</v>
      </c>
      <c r="C29" s="125"/>
      <c r="D29" s="124">
        <f>D52/D49</f>
        <v>6.1440741481905946E-2</v>
      </c>
      <c r="E29" s="123"/>
      <c r="F29" s="122">
        <f>F52/F49</f>
        <v>3.9425712912980811E-2</v>
      </c>
      <c r="G29" s="122">
        <f>G52/G49</f>
        <v>0.11825128397845422</v>
      </c>
      <c r="H29" s="122">
        <f>H52/H49</f>
        <v>3.6031635264014886E-2</v>
      </c>
      <c r="I29" s="122">
        <f>I52/I49</f>
        <v>80.400000000000006</v>
      </c>
      <c r="J29" s="122">
        <f>J52/J49</f>
        <v>7.5327191223841614E-2</v>
      </c>
      <c r="K29" s="121"/>
      <c r="M29" s="120">
        <f>MAX(F29:J29)</f>
        <v>80.400000000000006</v>
      </c>
      <c r="N29" s="120">
        <f>MEDIAN(F29:J29)</f>
        <v>7.5327191223841614E-2</v>
      </c>
      <c r="O29" s="120">
        <f>MIN(F29:J29)</f>
        <v>3.6031635264014886E-2</v>
      </c>
    </row>
    <row r="30" spans="2:17" ht="5" customHeight="1" x14ac:dyDescent="0.2">
      <c r="C30" s="125"/>
      <c r="D30" s="124"/>
      <c r="E30" s="123"/>
      <c r="F30" s="122"/>
      <c r="G30" s="122"/>
      <c r="H30" s="122"/>
      <c r="I30" s="122"/>
      <c r="J30" s="122"/>
      <c r="K30" s="121"/>
      <c r="M30" s="120"/>
      <c r="N30" s="120"/>
      <c r="O30" s="120"/>
    </row>
    <row r="31" spans="2:17" ht="16" thickBot="1" x14ac:dyDescent="0.25">
      <c r="B31" s="130" t="s">
        <v>228</v>
      </c>
      <c r="C31" s="119"/>
      <c r="D31" s="118"/>
      <c r="E31" s="129"/>
      <c r="F31" s="116"/>
      <c r="G31" s="116"/>
      <c r="H31" s="116"/>
      <c r="I31" s="116"/>
      <c r="J31" s="116"/>
      <c r="K31" s="121"/>
      <c r="M31" s="128"/>
      <c r="N31" s="128"/>
      <c r="O31" s="128"/>
    </row>
    <row r="32" spans="2:17" x14ac:dyDescent="0.2">
      <c r="B32" s="2" t="s">
        <v>229</v>
      </c>
      <c r="C32" s="125"/>
      <c r="D32" s="127">
        <f>D44/D56</f>
        <v>1.2728405056984493</v>
      </c>
      <c r="E32" s="123"/>
      <c r="F32" s="126">
        <f>F44/F56</f>
        <v>2.9580786026200876</v>
      </c>
      <c r="G32" s="126">
        <f>G44/G56</f>
        <v>1.7447280799112097</v>
      </c>
      <c r="H32" s="126">
        <f>H44/H56</f>
        <v>28.501830607761779</v>
      </c>
      <c r="I32" s="126">
        <f>I44/I56</f>
        <v>1.7707082833133254</v>
      </c>
      <c r="J32" s="126">
        <f>J44/J56</f>
        <v>2.980942828485456</v>
      </c>
      <c r="K32" s="121"/>
      <c r="M32" s="120"/>
      <c r="N32" s="120"/>
      <c r="O32" s="120"/>
    </row>
    <row r="33" spans="1:22" x14ac:dyDescent="0.2">
      <c r="B33" s="2" t="s">
        <v>230</v>
      </c>
      <c r="C33" s="125"/>
      <c r="D33" s="127">
        <f>(D44-D43)/D56</f>
        <v>1.2166033505636171</v>
      </c>
      <c r="E33" s="123"/>
      <c r="F33" s="126">
        <f>(F44-F43)/F56</f>
        <v>2.8311499272197964</v>
      </c>
      <c r="G33" s="126">
        <f>(G44-G43)/G56</f>
        <v>1.2519422863485017</v>
      </c>
      <c r="H33" s="126">
        <f>(H44-H43)/H56</f>
        <v>26.992677568952896</v>
      </c>
      <c r="I33" s="126">
        <f>(I44-I43)/I56</f>
        <v>1.309123649459784</v>
      </c>
      <c r="J33" s="126">
        <f>(J44-J43)/J56</f>
        <v>1.6882074795816018</v>
      </c>
      <c r="K33" s="121"/>
      <c r="M33" s="120"/>
      <c r="N33" s="120"/>
      <c r="O33" s="120"/>
    </row>
    <row r="34" spans="1:22" x14ac:dyDescent="0.2">
      <c r="B34" s="2" t="s">
        <v>231</v>
      </c>
      <c r="C34" s="125"/>
      <c r="D34" s="127">
        <f>D56/D54</f>
        <v>13.771012006861065</v>
      </c>
      <c r="E34" s="123"/>
      <c r="F34" s="126">
        <f>F56/F54</f>
        <v>-6.4325842696629216</v>
      </c>
      <c r="G34" s="126">
        <f>G56/G54</f>
        <v>13.348148148148148</v>
      </c>
      <c r="H34" s="126">
        <f>H56/H54</f>
        <v>5.3625654450261786</v>
      </c>
      <c r="I34" s="126">
        <f>I56/I54</f>
        <v>-5.5348837209302326</v>
      </c>
      <c r="J34" s="126">
        <f>J56/J54</f>
        <v>9.1467889908256907</v>
      </c>
      <c r="K34" s="121"/>
      <c r="M34" s="120"/>
      <c r="N34" s="120"/>
      <c r="O34" s="120"/>
    </row>
    <row r="35" spans="1:22" x14ac:dyDescent="0.2">
      <c r="B35" s="2" t="s">
        <v>232</v>
      </c>
      <c r="C35" s="125"/>
      <c r="D35" s="124">
        <f>D44/D46</f>
        <v>0.37280642191621655</v>
      </c>
      <c r="E35" s="123"/>
      <c r="F35" s="122">
        <f>F44/F46</f>
        <v>1.1581963277847207</v>
      </c>
      <c r="G35" s="122">
        <f>G44/G46</f>
        <v>0.75649663137632339</v>
      </c>
      <c r="H35" s="122">
        <f>H44/H46</f>
        <v>11.383006204641053</v>
      </c>
      <c r="I35" s="122">
        <f>I44/I46</f>
        <v>-19.155844155844157</v>
      </c>
      <c r="J35" s="122">
        <f>J44/J46</f>
        <v>0.86044132980454791</v>
      </c>
      <c r="K35" s="121"/>
      <c r="M35" s="120"/>
      <c r="N35" s="120"/>
      <c r="O35" s="120"/>
    </row>
    <row r="36" spans="1:22" x14ac:dyDescent="0.2">
      <c r="B36" s="2" t="s">
        <v>233</v>
      </c>
      <c r="C36" s="125"/>
      <c r="D36" s="124">
        <f>D44/(D44+D46)</f>
        <v>0.27156517915748007</v>
      </c>
      <c r="E36" s="123"/>
      <c r="F36" s="122">
        <f>F44/(F44+F46)</f>
        <v>0.53665012439973458</v>
      </c>
      <c r="G36" s="122">
        <f>G44/(G44+G46)</f>
        <v>0.43068493150684933</v>
      </c>
      <c r="H36" s="122">
        <f>H44/(H44+H46)</f>
        <v>0.91924416547371124</v>
      </c>
      <c r="I36" s="122">
        <f>I44/(I44+I46)</f>
        <v>1.0550786838340487</v>
      </c>
      <c r="J36" s="122">
        <f>J44/(J44+J46)</f>
        <v>0.46249312785098323</v>
      </c>
      <c r="K36" s="121"/>
      <c r="M36" s="120"/>
      <c r="N36" s="120"/>
      <c r="O36" s="120"/>
    </row>
    <row r="37" spans="1:22" ht="5" customHeight="1" thickBot="1" x14ac:dyDescent="0.25">
      <c r="B37" s="115"/>
      <c r="C37" s="119"/>
      <c r="D37" s="118"/>
      <c r="E37" s="117"/>
      <c r="F37" s="116"/>
      <c r="G37" s="116"/>
      <c r="H37" s="116"/>
      <c r="I37" s="116"/>
      <c r="J37" s="116"/>
      <c r="K37" s="115"/>
      <c r="L37" s="115"/>
      <c r="M37" s="115"/>
      <c r="N37" s="115"/>
      <c r="O37" s="115"/>
    </row>
    <row r="39" spans="1:22" hidden="1" outlineLevel="1" x14ac:dyDescent="0.2">
      <c r="A39" s="67"/>
      <c r="B39" s="90" t="s">
        <v>234</v>
      </c>
      <c r="C39" s="89"/>
      <c r="D39" s="89"/>
      <c r="E39" s="89"/>
      <c r="F39" s="89"/>
      <c r="G39" s="89"/>
      <c r="H39" s="89"/>
      <c r="I39" s="89"/>
      <c r="J39" s="89"/>
      <c r="M39" s="113" t="s">
        <v>235</v>
      </c>
      <c r="N39" s="114"/>
      <c r="O39" s="113"/>
      <c r="Q39" s="85"/>
      <c r="R39" s="85"/>
      <c r="S39" s="85"/>
      <c r="T39" s="85"/>
      <c r="U39" s="85"/>
      <c r="V39" s="85"/>
    </row>
    <row r="40" spans="1:22" hidden="1" outlineLevel="1" x14ac:dyDescent="0.2">
      <c r="B40" s="2" t="s">
        <v>222</v>
      </c>
      <c r="C40" s="2">
        <v>7</v>
      </c>
      <c r="D40" s="111">
        <v>57.07</v>
      </c>
      <c r="E40" s="112"/>
      <c r="F40" s="111">
        <v>46.39</v>
      </c>
      <c r="G40" s="111">
        <v>91.49</v>
      </c>
      <c r="H40" s="111">
        <v>25.96</v>
      </c>
      <c r="I40" s="111">
        <v>59.27</v>
      </c>
      <c r="J40" s="111">
        <v>217.92</v>
      </c>
      <c r="M40" s="99" t="s">
        <v>236</v>
      </c>
      <c r="N40" s="110"/>
      <c r="O40" s="109">
        <v>6.27</v>
      </c>
      <c r="Q40" s="85"/>
      <c r="R40" s="85"/>
      <c r="S40" s="85"/>
      <c r="T40" s="85"/>
      <c r="U40" s="85"/>
      <c r="V40" s="85"/>
    </row>
    <row r="41" spans="1:22" ht="16" hidden="1" customHeight="1" outlineLevel="1" x14ac:dyDescent="0.35">
      <c r="B41" s="108" t="s">
        <v>237</v>
      </c>
      <c r="D41" s="107">
        <v>208.3</v>
      </c>
      <c r="E41" s="106"/>
      <c r="F41" s="100">
        <v>44</v>
      </c>
      <c r="G41" s="101">
        <v>108.6</v>
      </c>
      <c r="H41" s="100">
        <v>101.7</v>
      </c>
      <c r="I41" s="101">
        <v>252</v>
      </c>
      <c r="J41" s="100">
        <v>53</v>
      </c>
      <c r="M41" s="98" t="s">
        <v>238</v>
      </c>
      <c r="N41" s="97"/>
      <c r="O41" s="103">
        <v>483993</v>
      </c>
      <c r="Q41" s="473"/>
      <c r="R41" s="473"/>
      <c r="S41" s="473"/>
      <c r="T41" s="473"/>
      <c r="U41" s="473"/>
      <c r="V41" s="473"/>
    </row>
    <row r="42" spans="1:22" hidden="1" outlineLevel="1" x14ac:dyDescent="0.2">
      <c r="B42" s="79" t="s">
        <v>239</v>
      </c>
      <c r="C42" s="79"/>
      <c r="D42" s="105">
        <f>D40*D41</f>
        <v>11887.681</v>
      </c>
      <c r="E42" s="105"/>
      <c r="F42" s="78">
        <f>F40*F41</f>
        <v>2041.16</v>
      </c>
      <c r="G42" s="78">
        <f>G40*G41</f>
        <v>9935.8139999999985</v>
      </c>
      <c r="H42" s="77">
        <f>H40*H41</f>
        <v>2640.1320000000001</v>
      </c>
      <c r="I42" s="77">
        <f>I40*I41</f>
        <v>14936.04</v>
      </c>
      <c r="J42" s="77">
        <f>J40*J41</f>
        <v>11549.76</v>
      </c>
      <c r="M42" s="99" t="s">
        <v>240</v>
      </c>
      <c r="O42" s="104">
        <v>483993</v>
      </c>
      <c r="Q42" s="473"/>
      <c r="R42" s="473"/>
      <c r="S42" s="473"/>
      <c r="T42" s="473"/>
      <c r="U42" s="473"/>
      <c r="V42" s="473"/>
    </row>
    <row r="43" spans="1:22" hidden="1" outlineLevel="1" x14ac:dyDescent="0.2">
      <c r="B43" s="70" t="s">
        <v>241</v>
      </c>
      <c r="D43" s="94">
        <v>90.3</v>
      </c>
      <c r="E43" s="19"/>
      <c r="F43" s="94">
        <v>43.6</v>
      </c>
      <c r="G43" s="95">
        <v>888</v>
      </c>
      <c r="H43" s="94">
        <v>618.29999999999995</v>
      </c>
      <c r="I43" s="95">
        <v>769</v>
      </c>
      <c r="J43" s="94">
        <v>902.2</v>
      </c>
      <c r="M43" s="98" t="s">
        <v>242</v>
      </c>
      <c r="N43" s="97"/>
      <c r="O43" s="103">
        <v>271640</v>
      </c>
      <c r="Q43" s="473"/>
      <c r="R43" s="473"/>
      <c r="S43" s="473"/>
      <c r="T43" s="473"/>
      <c r="U43" s="473"/>
      <c r="V43" s="473"/>
    </row>
    <row r="44" spans="1:22" ht="16" hidden="1" customHeight="1" outlineLevel="1" x14ac:dyDescent="0.35">
      <c r="B44" s="70" t="s">
        <v>243</v>
      </c>
      <c r="D44" s="100">
        <v>2043.8</v>
      </c>
      <c r="E44" s="102"/>
      <c r="F44" s="100">
        <v>1016.1</v>
      </c>
      <c r="G44" s="101">
        <v>3144</v>
      </c>
      <c r="H44" s="100">
        <v>11677.2</v>
      </c>
      <c r="I44" s="101">
        <v>2950</v>
      </c>
      <c r="J44" s="100">
        <v>2080.4</v>
      </c>
      <c r="M44" s="99" t="s">
        <v>244</v>
      </c>
      <c r="O44" s="91">
        <v>769213.8</v>
      </c>
      <c r="Q44" s="474"/>
      <c r="R44" s="474"/>
      <c r="S44" s="474"/>
      <c r="T44" s="474"/>
      <c r="U44" s="474"/>
      <c r="V44" s="474"/>
    </row>
    <row r="45" spans="1:22" hidden="1" outlineLevel="1" x14ac:dyDescent="0.2">
      <c r="B45" s="79" t="s">
        <v>245</v>
      </c>
      <c r="C45" s="79"/>
      <c r="D45" s="77">
        <f>D42-D43+D44</f>
        <v>13841.181</v>
      </c>
      <c r="E45" s="77"/>
      <c r="F45" s="77">
        <f>F42-F43+F44</f>
        <v>3013.6600000000003</v>
      </c>
      <c r="G45" s="78">
        <f>G42-G43+G44</f>
        <v>12191.813999999998</v>
      </c>
      <c r="H45" s="77">
        <f>H42-H43+H44</f>
        <v>13699.032000000001</v>
      </c>
      <c r="I45" s="77">
        <f>I42-I43+I44</f>
        <v>17117.04</v>
      </c>
      <c r="J45" s="77">
        <f>J42-J43+J44</f>
        <v>12727.96</v>
      </c>
      <c r="M45" s="98" t="s">
        <v>246</v>
      </c>
      <c r="N45" s="97"/>
      <c r="O45" s="96">
        <v>1596905</v>
      </c>
      <c r="Q45" s="474"/>
      <c r="R45" s="474"/>
      <c r="S45" s="474"/>
      <c r="T45" s="474"/>
      <c r="U45" s="474"/>
      <c r="V45" s="474"/>
    </row>
    <row r="46" spans="1:22" hidden="1" outlineLevel="1" x14ac:dyDescent="0.2">
      <c r="B46" s="2" t="s">
        <v>247</v>
      </c>
      <c r="D46" s="94">
        <f>26.47*207.11</f>
        <v>5482.2017000000005</v>
      </c>
      <c r="E46" s="19"/>
      <c r="F46" s="94">
        <f>20.36*43.09</f>
        <v>877.31240000000003</v>
      </c>
      <c r="G46" s="95">
        <v>4156</v>
      </c>
      <c r="H46" s="94">
        <f>10.31*99.5</f>
        <v>1025.845</v>
      </c>
      <c r="I46" s="95">
        <v>-154</v>
      </c>
      <c r="J46" s="94">
        <f>46.23*52.3</f>
        <v>2417.8289999999997</v>
      </c>
      <c r="M46" s="93" t="s">
        <v>248</v>
      </c>
      <c r="N46" s="92"/>
      <c r="O46" s="91">
        <v>117917</v>
      </c>
      <c r="Q46" s="474"/>
      <c r="R46" s="474"/>
      <c r="S46" s="474"/>
      <c r="T46" s="474"/>
      <c r="U46" s="474"/>
      <c r="V46" s="474"/>
    </row>
    <row r="47" spans="1:22" hidden="1" outlineLevel="1" x14ac:dyDescent="0.2">
      <c r="D47" s="15"/>
      <c r="E47" s="15"/>
      <c r="F47" s="15"/>
      <c r="G47" s="15"/>
      <c r="H47" s="15"/>
      <c r="I47" s="15"/>
      <c r="J47" s="15"/>
      <c r="Q47" s="85"/>
      <c r="R47" s="85"/>
      <c r="S47" s="85"/>
      <c r="T47" s="85"/>
      <c r="U47" s="85"/>
      <c r="V47" s="85"/>
    </row>
    <row r="48" spans="1:22" hidden="1" outlineLevel="1" x14ac:dyDescent="0.2">
      <c r="B48" s="90" t="s">
        <v>249</v>
      </c>
      <c r="C48" s="89"/>
      <c r="D48" s="88"/>
      <c r="E48" s="88"/>
      <c r="F48" s="88"/>
      <c r="G48" s="88"/>
      <c r="H48" s="88"/>
      <c r="I48" s="88"/>
      <c r="J48" s="88"/>
      <c r="Q48" s="85"/>
      <c r="R48" s="85"/>
      <c r="S48" s="85"/>
      <c r="T48" s="85"/>
      <c r="U48" s="85"/>
      <c r="V48" s="85"/>
    </row>
    <row r="49" spans="2:22" hidden="1" outlineLevel="1" x14ac:dyDescent="0.2">
      <c r="B49" s="2" t="s">
        <v>250</v>
      </c>
      <c r="D49" s="82">
        <f>8558.847+(9750.5-3732.7)</f>
        <v>14576.647000000001</v>
      </c>
      <c r="E49" s="15"/>
      <c r="F49" s="82">
        <f>3298.8+(1042.1-802.6)</f>
        <v>3538.3</v>
      </c>
      <c r="G49" s="83">
        <f>7055+(4154-3226)</f>
        <v>7983</v>
      </c>
      <c r="H49" s="82">
        <f>4235.7+(86.2-22.9)</f>
        <v>4299</v>
      </c>
      <c r="I49" s="83">
        <f>7.1+(2.2-1.8)</f>
        <v>7.5</v>
      </c>
      <c r="J49" s="82">
        <f>4245.2+(2118.7-1924.6)</f>
        <v>4439.2999999999993</v>
      </c>
      <c r="Q49" s="85"/>
      <c r="R49" s="85"/>
      <c r="S49" s="85"/>
      <c r="T49" s="85"/>
      <c r="U49" s="85"/>
      <c r="V49" s="85"/>
    </row>
    <row r="50" spans="2:22" hidden="1" outlineLevel="1" x14ac:dyDescent="0.2">
      <c r="B50" s="2" t="s">
        <v>251</v>
      </c>
      <c r="D50" s="82">
        <f>2222.584+(2652.7-982.7)</f>
        <v>3892.5839999999998</v>
      </c>
      <c r="E50" s="15"/>
      <c r="F50" s="82">
        <f>1062.7+(335.8-260.5)</f>
        <v>1138</v>
      </c>
      <c r="G50" s="2">
        <f>1610+(1062-649)</f>
        <v>2023</v>
      </c>
      <c r="H50" s="82">
        <f>901.9+(527.9-413)</f>
        <v>1016.8</v>
      </c>
      <c r="I50" s="83">
        <f>2587+(1491-1175)</f>
        <v>2903</v>
      </c>
      <c r="J50" s="82">
        <v>1192.2</v>
      </c>
      <c r="Q50" s="85"/>
      <c r="R50" s="85"/>
      <c r="S50" s="85"/>
      <c r="T50" s="85"/>
      <c r="U50" s="85"/>
      <c r="V50" s="85"/>
    </row>
    <row r="51" spans="2:22" hidden="1" outlineLevel="1" x14ac:dyDescent="0.2">
      <c r="B51" s="2" t="s">
        <v>252</v>
      </c>
      <c r="C51" s="67"/>
      <c r="D51" s="82">
        <f>543.9+(928.2-190.2)</f>
        <v>1281.9000000000001</v>
      </c>
      <c r="E51" s="15"/>
      <c r="F51" s="82">
        <f>190.9+(94.1-50.2)</f>
        <v>234.8</v>
      </c>
      <c r="G51" s="83">
        <f>-124+(729--695)</f>
        <v>1300</v>
      </c>
      <c r="H51" s="82">
        <f>188.7+(145.5-65.3)</f>
        <v>268.89999999999998</v>
      </c>
      <c r="I51" s="83">
        <f>1295+(802-564)</f>
        <v>1533</v>
      </c>
      <c r="J51" s="82">
        <f>482.6+(218.5-221.7)</f>
        <v>479.40000000000003</v>
      </c>
      <c r="Q51" s="85"/>
      <c r="R51" s="85"/>
      <c r="S51" s="85"/>
      <c r="T51" s="85"/>
      <c r="U51" s="85"/>
      <c r="V51" s="85"/>
    </row>
    <row r="52" spans="2:22" hidden="1" outlineLevel="1" x14ac:dyDescent="0.2">
      <c r="B52" s="2" t="s">
        <v>253</v>
      </c>
      <c r="D52" s="82">
        <f>313.5+(669.8-87.7)</f>
        <v>895.59999999999991</v>
      </c>
      <c r="E52" s="15"/>
      <c r="F52" s="82">
        <f>105.5+(61.2-27.2)</f>
        <v>139.5</v>
      </c>
      <c r="G52" s="83">
        <f>-385+(508--821)</f>
        <v>944</v>
      </c>
      <c r="H52" s="82">
        <f>91.6+(86.2-22.9)</f>
        <v>154.9</v>
      </c>
      <c r="I52" s="83">
        <f>1276+(99-772)</f>
        <v>603</v>
      </c>
      <c r="J52" s="82">
        <f>320.1+(151.5-137.2)</f>
        <v>334.40000000000003</v>
      </c>
      <c r="Q52" s="85"/>
      <c r="R52" s="85"/>
      <c r="S52" s="85"/>
      <c r="T52" s="85"/>
      <c r="U52" s="85"/>
      <c r="V52" s="85"/>
    </row>
    <row r="53" spans="2:22" hidden="1" outlineLevel="1" x14ac:dyDescent="0.2">
      <c r="B53" s="2" t="s">
        <v>254</v>
      </c>
      <c r="D53" s="86">
        <f>2.66+(3.21- 0.75)</f>
        <v>5.12</v>
      </c>
      <c r="E53" s="87"/>
      <c r="F53" s="86">
        <f>2.44+(1.39-0.63)</f>
        <v>3.1999999999999997</v>
      </c>
      <c r="G53" s="86">
        <f>-3.53+(4.8--7.55)</f>
        <v>8.82</v>
      </c>
      <c r="H53" s="86">
        <f>(0.84-0.23)+0.91</f>
        <v>1.52</v>
      </c>
      <c r="I53" s="83">
        <f>3.04+(0.2-1.27)</f>
        <v>1.97</v>
      </c>
      <c r="J53" s="86">
        <f>(2.84-2.45)+5.8</f>
        <v>6.1899999999999995</v>
      </c>
      <c r="Q53" s="85"/>
      <c r="R53" s="85"/>
      <c r="S53" s="85"/>
      <c r="T53" s="85"/>
      <c r="U53" s="85"/>
      <c r="V53" s="85"/>
    </row>
    <row r="54" spans="2:22" hidden="1" outlineLevel="1" x14ac:dyDescent="0.2">
      <c r="B54" s="2" t="s">
        <v>255</v>
      </c>
      <c r="D54" s="82">
        <f>135.7+(59.6-78.7)</f>
        <v>116.6</v>
      </c>
      <c r="E54" s="15"/>
      <c r="F54" s="82">
        <f>(-53.8)+((-13.7)-(-14.1))</f>
        <v>-53.4</v>
      </c>
      <c r="G54" s="83">
        <f>132+(66-63)</f>
        <v>135</v>
      </c>
      <c r="H54" s="84">
        <f>(37.3-35.7)+74.8</f>
        <v>76.399999999999991</v>
      </c>
      <c r="I54" s="83">
        <f>-144+(-227--70)</f>
        <v>-301</v>
      </c>
      <c r="J54" s="82">
        <f>(38.4-38.7)+76.6</f>
        <v>76.299999999999983</v>
      </c>
    </row>
    <row r="55" spans="2:22" hidden="1" outlineLevel="1" x14ac:dyDescent="0.2">
      <c r="B55" s="2" t="s">
        <v>256</v>
      </c>
      <c r="C55" s="67"/>
      <c r="D55" s="80">
        <f>120.1+(261.6-57.9)</f>
        <v>323.8</v>
      </c>
      <c r="E55" s="15"/>
      <c r="F55" s="80">
        <f>108.1+(27.7-27.1)</f>
        <v>108.69999999999999</v>
      </c>
      <c r="G55" s="81">
        <f>493+(241-232)</f>
        <v>502</v>
      </c>
      <c r="H55" s="80">
        <f>137.3+(69.7-66.2)</f>
        <v>140.80000000000001</v>
      </c>
      <c r="I55" s="81">
        <v>133</v>
      </c>
      <c r="J55" s="80">
        <f>224.2+(107.1-112.8)</f>
        <v>218.5</v>
      </c>
    </row>
    <row r="56" spans="2:22" hidden="1" outlineLevel="1" x14ac:dyDescent="0.2">
      <c r="B56" s="79" t="s">
        <v>257</v>
      </c>
      <c r="C56" s="79"/>
      <c r="D56" s="77">
        <f>D51+D55</f>
        <v>1605.7</v>
      </c>
      <c r="E56" s="77"/>
      <c r="F56" s="77">
        <f>F51+F55</f>
        <v>343.5</v>
      </c>
      <c r="G56" s="78">
        <f>G51+G55</f>
        <v>1802</v>
      </c>
      <c r="H56" s="77">
        <f>H51+H55</f>
        <v>409.7</v>
      </c>
      <c r="I56" s="78">
        <f>I51+I55</f>
        <v>1666</v>
      </c>
      <c r="J56" s="77">
        <f>J51+J55</f>
        <v>697.90000000000009</v>
      </c>
    </row>
    <row r="57" spans="2:22" collapsed="1" x14ac:dyDescent="0.2">
      <c r="D57" s="15"/>
      <c r="E57" s="15"/>
      <c r="F57" s="15"/>
      <c r="G57" s="15"/>
      <c r="H57" s="15"/>
      <c r="I57" s="15"/>
      <c r="J57" s="15"/>
    </row>
    <row r="58" spans="2:22" x14ac:dyDescent="0.2">
      <c r="D58" s="15"/>
      <c r="E58" s="15"/>
      <c r="F58" s="15"/>
      <c r="G58" s="15"/>
      <c r="H58" s="15"/>
      <c r="I58" s="15"/>
      <c r="J58" s="15"/>
    </row>
    <row r="59" spans="2:22" x14ac:dyDescent="0.2">
      <c r="D59" s="15"/>
      <c r="E59" s="15"/>
      <c r="F59" s="15"/>
      <c r="G59" s="15"/>
      <c r="H59" s="15"/>
      <c r="I59" s="15"/>
      <c r="J59" s="15"/>
    </row>
    <row r="60" spans="2:22" x14ac:dyDescent="0.2">
      <c r="D60" s="15"/>
      <c r="E60" s="15"/>
      <c r="F60" s="15"/>
      <c r="G60" s="15"/>
      <c r="H60" s="15"/>
      <c r="I60" s="15"/>
      <c r="J60" s="15"/>
    </row>
  </sheetData>
  <mergeCells count="2">
    <mergeCell ref="Q41:V43"/>
    <mergeCell ref="Q44:V46"/>
  </mergeCells>
  <conditionalFormatting sqref="M12:O14">
    <cfRule type="cellIs" dxfId="6" priority="4" operator="lessThan">
      <formula>$D$40</formula>
    </cfRule>
    <cfRule type="cellIs" dxfId="5" priority="5" operator="greaterThan">
      <formula>$D$40</formula>
    </cfRule>
  </conditionalFormatting>
  <conditionalFormatting sqref="D43:J44 D46:J46 D40:J41 D51:J56 D50:F50 H50:J50 D49:J49">
    <cfRule type="cellIs" dxfId="4" priority="3" operator="greaterThan">
      <formula>0</formula>
    </cfRule>
  </conditionalFormatting>
  <conditionalFormatting sqref="D46 F46:J46 D43:D44 F43:J44 D40:D41 F40:J41 D49:D56 F51:J56 F50 H50:J50 F49:J49">
    <cfRule type="cellIs" dxfId="3" priority="2" operator="lessThan">
      <formula>0</formula>
    </cfRule>
  </conditionalFormatting>
  <conditionalFormatting sqref="D12:D13">
    <cfRule type="containsText" dxfId="2" priority="1" operator="containsText" text="&quot;&quot;">
      <formula>NOT(ISERROR(SEARCH("""""",D12)))</formula>
    </cfRule>
  </conditionalFormatting>
  <dataValidations count="1">
    <dataValidation type="list" allowBlank="1" showInputMessage="1" showErrorMessage="1" sqref="F15:J15 D15" xr:uid="{32EA7E25-08BC-48E3-8C97-20D7A7294ED7}">
      <formula1>"Thousands,Millions"</formula1>
    </dataValidation>
  </dataValidation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C78C3-6736-422A-B64E-CB945DCE7DA4}">
  <dimension ref="A1:T47"/>
  <sheetViews>
    <sheetView showGridLines="0" workbookViewId="0"/>
  </sheetViews>
  <sheetFormatPr baseColWidth="10" defaultColWidth="8.6640625" defaultRowHeight="15" x14ac:dyDescent="0.2"/>
  <cols>
    <col min="1" max="1" width="1.5" style="2" customWidth="1"/>
    <col min="2" max="12" width="16.6640625" style="2" customWidth="1"/>
    <col min="13" max="13" width="8.6640625" style="2"/>
    <col min="14" max="14" width="31.5" style="2" bestFit="1" customWidth="1"/>
    <col min="15" max="16384" width="8.6640625" style="2"/>
  </cols>
  <sheetData>
    <row r="1" spans="1:20" x14ac:dyDescent="0.2">
      <c r="A1" s="9"/>
      <c r="B1" s="173" t="s">
        <v>258</v>
      </c>
      <c r="C1" s="9"/>
      <c r="D1" s="9"/>
      <c r="E1" s="9"/>
      <c r="F1" s="9"/>
      <c r="G1" s="9"/>
      <c r="H1" s="9"/>
      <c r="I1" s="9"/>
      <c r="J1" s="9"/>
      <c r="K1" s="9"/>
      <c r="L1" s="9"/>
      <c r="M1" s="9"/>
      <c r="N1" s="9"/>
      <c r="O1" s="9"/>
      <c r="P1" s="9"/>
      <c r="Q1" s="9"/>
      <c r="R1" s="9"/>
      <c r="S1" s="9"/>
      <c r="T1" s="9"/>
    </row>
    <row r="3" spans="1:20" x14ac:dyDescent="0.2">
      <c r="B3" s="90" t="s">
        <v>259</v>
      </c>
      <c r="C3" s="90"/>
      <c r="D3" s="90"/>
      <c r="E3" s="90"/>
      <c r="F3" s="90"/>
      <c r="G3" s="90"/>
      <c r="H3" s="90"/>
      <c r="I3" s="90"/>
      <c r="J3" s="90"/>
      <c r="K3" s="90"/>
      <c r="L3" s="90"/>
    </row>
    <row r="4" spans="1:20" ht="5" customHeight="1" x14ac:dyDescent="0.2">
      <c r="B4" s="67"/>
      <c r="C4" s="67"/>
      <c r="D4" s="67"/>
      <c r="E4" s="67"/>
      <c r="F4" s="67"/>
      <c r="G4" s="67"/>
      <c r="H4" s="67"/>
      <c r="I4" s="67"/>
      <c r="J4" s="67"/>
      <c r="K4" s="67"/>
    </row>
    <row r="5" spans="1:20" x14ac:dyDescent="0.2">
      <c r="D5" s="372" t="s">
        <v>120</v>
      </c>
      <c r="E5" s="372" t="s">
        <v>166</v>
      </c>
      <c r="F5" s="372" t="s">
        <v>122</v>
      </c>
      <c r="G5" s="372" t="s">
        <v>123</v>
      </c>
      <c r="H5" s="372" t="s">
        <v>124</v>
      </c>
      <c r="I5" s="372" t="s">
        <v>125</v>
      </c>
      <c r="J5" s="372" t="s">
        <v>126</v>
      </c>
      <c r="K5" s="372" t="s">
        <v>260</v>
      </c>
      <c r="L5" s="372" t="s">
        <v>261</v>
      </c>
    </row>
    <row r="6" spans="1:20" x14ac:dyDescent="0.2">
      <c r="B6" s="2" t="s">
        <v>262</v>
      </c>
      <c r="D6" s="15">
        <v>368968</v>
      </c>
      <c r="E6" s="15">
        <v>392306</v>
      </c>
      <c r="F6" s="15">
        <v>543854</v>
      </c>
      <c r="G6" s="15">
        <v>483993</v>
      </c>
      <c r="H6" s="15">
        <v>568982</v>
      </c>
      <c r="I6" s="15">
        <v>536254</v>
      </c>
      <c r="J6" s="15">
        <v>630420</v>
      </c>
      <c r="K6" s="15">
        <v>661941</v>
      </c>
      <c r="L6" s="374">
        <v>695038</v>
      </c>
    </row>
    <row r="7" spans="1:20" x14ac:dyDescent="0.2">
      <c r="B7" s="2" t="s">
        <v>263</v>
      </c>
      <c r="D7" s="371">
        <v>0.21299999999999999</v>
      </c>
      <c r="E7" s="371">
        <f>'Operating Model'!Z19/'Operating Model'!Z18</f>
        <v>0.21554349171544271</v>
      </c>
      <c r="F7" s="370">
        <f>'Operating Model'!AE23</f>
        <v>0.23183949667537226</v>
      </c>
      <c r="G7" s="370">
        <f>'Operating Model'!AJ23</f>
        <v>0.22</v>
      </c>
      <c r="H7" s="370">
        <f>'Operating Model'!AO19/'Operating Model'!AO18</f>
        <v>0.22</v>
      </c>
      <c r="I7" s="370">
        <f>'Operating Model'!AT23</f>
        <v>0.22</v>
      </c>
      <c r="J7" s="370">
        <f>'Operating Model'!AY23</f>
        <v>0.22</v>
      </c>
      <c r="K7" s="370">
        <f>'Operating Model'!BD23</f>
        <v>0.22</v>
      </c>
      <c r="L7" s="370">
        <f>'Operating Model'!BI23</f>
        <v>0.22</v>
      </c>
    </row>
    <row r="8" spans="1:20" x14ac:dyDescent="0.2">
      <c r="B8" s="368" t="s">
        <v>264</v>
      </c>
      <c r="C8" s="110"/>
      <c r="D8" s="366">
        <f t="shared" ref="D8:L8" si="0">D6*(1-D7)</f>
        <v>290377.81599999999</v>
      </c>
      <c r="E8" s="366">
        <f t="shared" si="0"/>
        <v>307746.99493908155</v>
      </c>
      <c r="F8" s="366">
        <f t="shared" si="0"/>
        <v>417767.16237511206</v>
      </c>
      <c r="G8" s="366">
        <f t="shared" si="0"/>
        <v>377514.54000000004</v>
      </c>
      <c r="H8" s="366">
        <f t="shared" si="0"/>
        <v>443805.96</v>
      </c>
      <c r="I8" s="366">
        <f t="shared" si="0"/>
        <v>418278.12</v>
      </c>
      <c r="J8" s="366">
        <f t="shared" si="0"/>
        <v>491727.60000000003</v>
      </c>
      <c r="K8" s="366">
        <f t="shared" si="0"/>
        <v>516313.98000000004</v>
      </c>
      <c r="L8" s="366">
        <f t="shared" si="0"/>
        <v>542129.64</v>
      </c>
    </row>
    <row r="9" spans="1:20" x14ac:dyDescent="0.2">
      <c r="B9" s="2" t="s">
        <v>265</v>
      </c>
      <c r="D9" s="15">
        <v>97906</v>
      </c>
      <c r="E9" s="15">
        <v>100038</v>
      </c>
      <c r="F9" s="15">
        <v>116566</v>
      </c>
      <c r="G9" s="15">
        <v>115000</v>
      </c>
      <c r="H9" s="15">
        <v>116000</v>
      </c>
      <c r="I9" s="15">
        <v>115000</v>
      </c>
      <c r="J9" s="15">
        <v>114000</v>
      </c>
      <c r="K9" s="15">
        <v>115000</v>
      </c>
      <c r="L9" s="15">
        <v>115000</v>
      </c>
      <c r="M9" s="15"/>
    </row>
    <row r="10" spans="1:20" x14ac:dyDescent="0.2">
      <c r="B10" s="2" t="s">
        <v>266</v>
      </c>
      <c r="D10" s="15">
        <f>('Operating Model'!U40-'Operating Model'!U56) - ('Operating Model'!P40-'Operating Model'!P56)</f>
        <v>44978</v>
      </c>
      <c r="E10" s="15">
        <f>('Operating Model'!Z40-'Operating Model'!Z56)-('Operating Model'!U40-'Operating Model'!U56)</f>
        <v>-156926</v>
      </c>
      <c r="F10" s="15">
        <f>('Operating Model'!AE40-'Operating Model'!AE56)-('Operating Model'!Z40-'Operating Model'!Z56)</f>
        <v>663263</v>
      </c>
      <c r="G10" s="15">
        <f>('Operating Model'!AJ40-'Operating Model'!AL56)-('Operating Model'!AE40-'Operating Model'!AE56)</f>
        <v>647187.15385795757</v>
      </c>
      <c r="H10" s="15">
        <f>'Operating Model'!AO72-'Operating Model'!AJ72</f>
        <v>497210.50441981899</v>
      </c>
      <c r="I10" s="15">
        <f>'Operating Model'!AT72-'Operating Model'!AO72</f>
        <v>1107259.951125185</v>
      </c>
      <c r="J10" s="15">
        <f>'Operating Model'!AY72-'Operating Model'!AT72</f>
        <v>1229470.4782983158</v>
      </c>
      <c r="K10" s="15">
        <f>'Operating Model'!BD72-'Operating Model'!AY72</f>
        <v>1296237.744628231</v>
      </c>
      <c r="L10" s="15">
        <f>'Operating Model'!BI72-'Operating Model'!BD72</f>
        <v>1365302.023071453</v>
      </c>
      <c r="M10" s="15"/>
    </row>
    <row r="11" spans="1:20" ht="18" x14ac:dyDescent="0.35">
      <c r="B11" s="2" t="s">
        <v>267</v>
      </c>
      <c r="D11" s="369">
        <v>101411</v>
      </c>
      <c r="E11" s="369">
        <v>112870</v>
      </c>
      <c r="F11" s="369">
        <v>112082</v>
      </c>
      <c r="G11" s="369">
        <v>80665.55</v>
      </c>
      <c r="H11" s="369">
        <v>94830.42</v>
      </c>
      <c r="I11" s="369">
        <v>89375.63</v>
      </c>
      <c r="J11" s="369">
        <v>105069.99</v>
      </c>
      <c r="K11" s="369">
        <v>110323.48</v>
      </c>
      <c r="L11" s="369">
        <v>115839.66</v>
      </c>
      <c r="M11" s="15"/>
    </row>
    <row r="12" spans="1:20" x14ac:dyDescent="0.2">
      <c r="B12" s="368" t="s">
        <v>268</v>
      </c>
      <c r="C12" s="110"/>
      <c r="D12" s="366">
        <f t="shared" ref="D12:L12" si="1">SUM(D8:D11)</f>
        <v>534672.81599999999</v>
      </c>
      <c r="E12" s="366">
        <f t="shared" si="1"/>
        <v>363728.99493908155</v>
      </c>
      <c r="F12" s="366">
        <f t="shared" si="1"/>
        <v>1309678.1623751121</v>
      </c>
      <c r="G12" s="366">
        <f t="shared" si="1"/>
        <v>1220367.2438579577</v>
      </c>
      <c r="H12" s="366">
        <f t="shared" si="1"/>
        <v>1151846.8844198189</v>
      </c>
      <c r="I12" s="366">
        <f t="shared" si="1"/>
        <v>1729913.701125185</v>
      </c>
      <c r="J12" s="366">
        <f t="shared" si="1"/>
        <v>1940268.0682983159</v>
      </c>
      <c r="K12" s="366">
        <f t="shared" si="1"/>
        <v>2037875.204628231</v>
      </c>
      <c r="L12" s="366">
        <f t="shared" si="1"/>
        <v>2138271.3230714533</v>
      </c>
    </row>
    <row r="13" spans="1:20" x14ac:dyDescent="0.2">
      <c r="B13" s="67"/>
      <c r="D13" s="75"/>
      <c r="E13" s="75"/>
      <c r="F13" s="75"/>
      <c r="G13" s="75"/>
      <c r="H13" s="75"/>
      <c r="I13" s="75"/>
      <c r="J13" s="75"/>
      <c r="K13" s="75"/>
      <c r="L13" s="75"/>
    </row>
    <row r="14" spans="1:20" x14ac:dyDescent="0.2">
      <c r="B14" s="2" t="s">
        <v>269</v>
      </c>
      <c r="D14" s="75"/>
      <c r="E14" s="75"/>
      <c r="F14" s="75"/>
      <c r="G14" s="367">
        <v>1</v>
      </c>
      <c r="H14" s="367">
        <f>G14+1</f>
        <v>2</v>
      </c>
      <c r="I14" s="367">
        <f>H14+1</f>
        <v>3</v>
      </c>
      <c r="J14" s="367">
        <f>I14+1</f>
        <v>4</v>
      </c>
      <c r="K14" s="367">
        <f>J14+1</f>
        <v>5</v>
      </c>
      <c r="L14" s="367">
        <f>K14+1</f>
        <v>6</v>
      </c>
    </row>
    <row r="15" spans="1:20" x14ac:dyDescent="0.2">
      <c r="B15" s="110" t="s">
        <v>270</v>
      </c>
      <c r="C15" s="110"/>
      <c r="D15" s="366"/>
      <c r="E15" s="366"/>
      <c r="F15" s="366"/>
      <c r="G15" s="365">
        <f t="shared" ref="G15:L15" si="2">G12/(1+$L$29)^G14</f>
        <v>1078456.6480018739</v>
      </c>
      <c r="H15" s="365">
        <f t="shared" si="2"/>
        <v>899537.04139692464</v>
      </c>
      <c r="I15" s="365">
        <f t="shared" si="2"/>
        <v>1193880.5796524407</v>
      </c>
      <c r="J15" s="365">
        <f t="shared" si="2"/>
        <v>1183342.1540718363</v>
      </c>
      <c r="K15" s="365">
        <f t="shared" si="2"/>
        <v>1098343.8792994597</v>
      </c>
      <c r="L15" s="365">
        <f t="shared" si="2"/>
        <v>1018440.6147882824</v>
      </c>
    </row>
    <row r="17" spans="2:17" x14ac:dyDescent="0.2">
      <c r="B17" s="90" t="s">
        <v>209</v>
      </c>
      <c r="C17" s="90"/>
      <c r="D17" s="90"/>
      <c r="E17" s="90"/>
      <c r="F17" s="90"/>
      <c r="G17" s="90"/>
      <c r="H17" s="90"/>
      <c r="I17" s="90"/>
      <c r="J17" s="90"/>
      <c r="K17" s="90"/>
      <c r="L17" s="90"/>
    </row>
    <row r="18" spans="2:17" x14ac:dyDescent="0.2">
      <c r="N18" s="67" t="s">
        <v>319</v>
      </c>
      <c r="O18" s="408">
        <f>60.26</f>
        <v>60.26</v>
      </c>
    </row>
    <row r="19" spans="2:17" x14ac:dyDescent="0.2">
      <c r="B19" s="90" t="s">
        <v>271</v>
      </c>
      <c r="C19" s="89"/>
      <c r="D19" s="89"/>
      <c r="F19" s="90" t="s">
        <v>272</v>
      </c>
      <c r="G19" s="89"/>
      <c r="H19" s="89"/>
      <c r="J19" s="90" t="s">
        <v>273</v>
      </c>
      <c r="K19" s="89"/>
      <c r="L19" s="89"/>
      <c r="N19" s="476" t="s">
        <v>315</v>
      </c>
      <c r="O19" s="476"/>
      <c r="P19" s="161"/>
    </row>
    <row r="20" spans="2:17" x14ac:dyDescent="0.2">
      <c r="B20" s="406"/>
      <c r="C20" s="407"/>
      <c r="D20" s="407"/>
      <c r="F20" s="406"/>
      <c r="G20" s="407"/>
      <c r="H20" s="407"/>
      <c r="J20" s="406"/>
      <c r="K20" s="407"/>
      <c r="L20" s="407"/>
      <c r="N20" s="161"/>
      <c r="O20" s="161" t="s">
        <v>318</v>
      </c>
      <c r="P20" s="161" t="s">
        <v>211</v>
      </c>
      <c r="Q20" s="2" t="s">
        <v>23</v>
      </c>
    </row>
    <row r="21" spans="2:17" x14ac:dyDescent="0.2">
      <c r="B21" s="2" t="s">
        <v>274</v>
      </c>
      <c r="D21" s="58">
        <v>0.01</v>
      </c>
      <c r="F21" s="2" t="s">
        <v>275</v>
      </c>
      <c r="H21" s="336">
        <f>$L$42</f>
        <v>20.233769908835825</v>
      </c>
      <c r="J21" s="2" t="s">
        <v>276</v>
      </c>
      <c r="L21" s="362">
        <f>1-L24</f>
        <v>0.25</v>
      </c>
      <c r="N21" s="108" t="str">
        <f>B19</f>
        <v xml:space="preserve">Perpetuity Growth Method </v>
      </c>
      <c r="O21" s="132">
        <f>D28</f>
        <v>86.452663007317042</v>
      </c>
      <c r="P21" s="56">
        <f>O21/$O$18-1</f>
        <v>0.43466085309188585</v>
      </c>
      <c r="Q21" s="59">
        <v>0.33</v>
      </c>
    </row>
    <row r="22" spans="2:17" x14ac:dyDescent="0.2">
      <c r="B22" s="2" t="s">
        <v>277</v>
      </c>
      <c r="D22" s="64">
        <f>((L12*(1+D21))/(L29-D21))/(1+L29)^L14</f>
        <v>8460009.7891179211</v>
      </c>
      <c r="F22" s="2" t="s">
        <v>278</v>
      </c>
      <c r="H22" s="364">
        <v>22</v>
      </c>
      <c r="J22" s="2" t="s">
        <v>279</v>
      </c>
      <c r="L22" s="62">
        <v>0.06</v>
      </c>
      <c r="N22" s="108" t="str">
        <f>F19</f>
        <v xml:space="preserve">Exit EBITDA Method </v>
      </c>
      <c r="O22" s="132">
        <f>H28</f>
        <v>104.15976585246253</v>
      </c>
      <c r="P22" s="56">
        <f>O22/$O$18-1</f>
        <v>0.72850590528480796</v>
      </c>
      <c r="Q22" s="59">
        <v>0.33</v>
      </c>
    </row>
    <row r="23" spans="2:17" ht="18" x14ac:dyDescent="0.35">
      <c r="B23" s="2" t="s">
        <v>280</v>
      </c>
      <c r="D23" s="15">
        <f>SUM(G15:L15)</f>
        <v>6472000.9172108183</v>
      </c>
      <c r="F23" s="2" t="s">
        <v>281</v>
      </c>
      <c r="H23" s="363">
        <f>$L$6+$L$9</f>
        <v>810038</v>
      </c>
      <c r="J23" s="2" t="s">
        <v>282</v>
      </c>
      <c r="L23" s="58">
        <v>0.21</v>
      </c>
      <c r="N23" s="108" t="s">
        <v>316</v>
      </c>
      <c r="O23" s="132">
        <f>'Comparable Valuation'!O15</f>
        <v>87.175484158772463</v>
      </c>
      <c r="P23" s="56">
        <f>O23/$O$18-1</f>
        <v>0.44665589377319059</v>
      </c>
      <c r="Q23" s="59">
        <v>0.33</v>
      </c>
    </row>
    <row r="24" spans="2:17" x14ac:dyDescent="0.2">
      <c r="B24" s="67" t="s">
        <v>245</v>
      </c>
      <c r="C24" s="67"/>
      <c r="D24" s="76">
        <f>D22+D23</f>
        <v>14932010.706328738</v>
      </c>
      <c r="F24" s="2" t="s">
        <v>245</v>
      </c>
      <c r="H24" s="15">
        <f>H22*H23</f>
        <v>17820836</v>
      </c>
      <c r="J24" s="2" t="s">
        <v>283</v>
      </c>
      <c r="L24" s="362">
        <v>0.75</v>
      </c>
      <c r="N24" s="2" t="s">
        <v>155</v>
      </c>
    </row>
    <row r="25" spans="2:17" x14ac:dyDescent="0.2">
      <c r="B25" s="70" t="s">
        <v>284</v>
      </c>
      <c r="D25" s="15">
        <f>-L33</f>
        <v>-827691</v>
      </c>
      <c r="F25" s="70" t="s">
        <v>284</v>
      </c>
      <c r="H25" s="15">
        <f>-$L$33</f>
        <v>-827691</v>
      </c>
      <c r="J25" s="2" t="s">
        <v>285</v>
      </c>
      <c r="L25" s="362">
        <f>L27+(L26*L28)</f>
        <v>0.15964898829144492</v>
      </c>
      <c r="N25" s="67" t="s">
        <v>317</v>
      </c>
      <c r="O25" s="408">
        <f>SUMPRODUCT(O21:O23,Q21:Q23)</f>
        <v>91.670011296122169</v>
      </c>
      <c r="P25" s="409">
        <f>O25/$O$18-1</f>
        <v>0.52124147520946185</v>
      </c>
    </row>
    <row r="26" spans="2:17" x14ac:dyDescent="0.2">
      <c r="B26" s="79" t="s">
        <v>286</v>
      </c>
      <c r="C26" s="79"/>
      <c r="D26" s="337">
        <f>D24+D25</f>
        <v>14104319.706328738</v>
      </c>
      <c r="F26" s="79" t="s">
        <v>286</v>
      </c>
      <c r="G26" s="338"/>
      <c r="H26" s="77">
        <f>H24+H25</f>
        <v>16993145</v>
      </c>
      <c r="J26" s="2" t="s">
        <v>287</v>
      </c>
      <c r="L26" s="361">
        <f>Beta!A2</f>
        <v>1.5794332032382772</v>
      </c>
    </row>
    <row r="27" spans="2:17" x14ac:dyDescent="0.2">
      <c r="B27" s="70" t="s">
        <v>237</v>
      </c>
      <c r="D27" s="15">
        <f>L36</f>
        <v>163145</v>
      </c>
      <c r="F27" s="70" t="s">
        <v>237</v>
      </c>
      <c r="H27" s="15">
        <f>$L$36</f>
        <v>163145</v>
      </c>
      <c r="J27" s="2" t="s">
        <v>288</v>
      </c>
      <c r="L27" s="359">
        <v>1.7500000000000002E-2</v>
      </c>
    </row>
    <row r="28" spans="2:17" x14ac:dyDescent="0.2">
      <c r="B28" s="79" t="s">
        <v>289</v>
      </c>
      <c r="C28" s="338"/>
      <c r="D28" s="360">
        <f>D26/D27</f>
        <v>86.452663007317042</v>
      </c>
      <c r="F28" s="79" t="s">
        <v>289</v>
      </c>
      <c r="G28" s="338"/>
      <c r="H28" s="360">
        <f>H26/H27</f>
        <v>104.15976585246253</v>
      </c>
      <c r="J28" s="2" t="s">
        <v>290</v>
      </c>
      <c r="L28" s="359">
        <v>0.09</v>
      </c>
    </row>
    <row r="29" spans="2:17" x14ac:dyDescent="0.2">
      <c r="B29" s="70"/>
      <c r="D29" s="15"/>
      <c r="J29" s="79" t="s">
        <v>291</v>
      </c>
      <c r="K29" s="338"/>
      <c r="L29" s="358">
        <f>((L22*(1-L23)*L21))+(L24*L25)</f>
        <v>0.13158674121858369</v>
      </c>
    </row>
    <row r="30" spans="2:17" x14ac:dyDescent="0.2">
      <c r="B30" s="90" t="s">
        <v>292</v>
      </c>
      <c r="C30" s="90"/>
      <c r="D30" s="90"/>
      <c r="E30" s="90"/>
      <c r="F30" s="90"/>
      <c r="G30" s="90"/>
      <c r="H30" s="90"/>
      <c r="I30" s="67"/>
    </row>
    <row r="31" spans="2:17" x14ac:dyDescent="0.2">
      <c r="J31" s="2" t="s">
        <v>293</v>
      </c>
      <c r="L31" s="15">
        <v>769214</v>
      </c>
    </row>
    <row r="32" spans="2:17" x14ac:dyDescent="0.2">
      <c r="D32" s="357" t="s">
        <v>291</v>
      </c>
      <c r="E32" s="170"/>
      <c r="F32" s="170"/>
      <c r="G32" s="170"/>
      <c r="H32" s="170"/>
      <c r="J32" s="2" t="s">
        <v>294</v>
      </c>
      <c r="L32" s="15">
        <v>1596905</v>
      </c>
    </row>
    <row r="33" spans="2:12" ht="16" thickBot="1" x14ac:dyDescent="0.25">
      <c r="C33" s="356">
        <f>D28</f>
        <v>86.452663007317042</v>
      </c>
      <c r="D33" s="355">
        <v>6.5000000000000002E-2</v>
      </c>
      <c r="E33" s="353">
        <v>7.0000000000000007E-2</v>
      </c>
      <c r="F33" s="354">
        <v>7.4999999999999997E-2</v>
      </c>
      <c r="G33" s="353">
        <v>0.08</v>
      </c>
      <c r="H33" s="352">
        <v>8.5000000000000006E-2</v>
      </c>
      <c r="J33" s="79" t="s">
        <v>295</v>
      </c>
      <c r="K33" s="338"/>
      <c r="L33" s="77">
        <f>L32-L31</f>
        <v>827691</v>
      </c>
    </row>
    <row r="34" spans="2:12" ht="16" thickBot="1" x14ac:dyDescent="0.25">
      <c r="C34" s="351">
        <v>5.0000000000000001E-3</v>
      </c>
      <c r="D34" s="350">
        <f t="dataTable" ref="D34:H38" dt2D="1" dtr="1" r1="L29" r2="D21"/>
        <v>194.75219376218945</v>
      </c>
      <c r="E34" s="349">
        <v>178.48519239457204</v>
      </c>
      <c r="F34" s="349">
        <v>164.5575491051622</v>
      </c>
      <c r="G34" s="349">
        <v>152.50103899231249</v>
      </c>
      <c r="H34" s="348">
        <v>141.96450331726464</v>
      </c>
    </row>
    <row r="35" spans="2:12" ht="16" thickBot="1" x14ac:dyDescent="0.25">
      <c r="B35" s="475" t="s">
        <v>296</v>
      </c>
      <c r="C35" s="345">
        <v>7.4999999999999997E-3</v>
      </c>
      <c r="D35" s="344">
        <v>201.68424745672084</v>
      </c>
      <c r="E35" s="350">
        <v>184.23584045455161</v>
      </c>
      <c r="F35" s="349">
        <v>169.38796937236737</v>
      </c>
      <c r="G35" s="348">
        <v>156.60223951996261</v>
      </c>
      <c r="H35" s="343">
        <v>145.47920663668856</v>
      </c>
      <c r="J35" s="2" t="s">
        <v>222</v>
      </c>
      <c r="L35" s="87">
        <v>60.26</v>
      </c>
    </row>
    <row r="36" spans="2:12" x14ac:dyDescent="0.2">
      <c r="B36" s="475"/>
      <c r="C36" s="347">
        <v>0.01</v>
      </c>
      <c r="D36" s="344">
        <v>209.24648785075502</v>
      </c>
      <c r="E36" s="344">
        <v>190.46570918619602</v>
      </c>
      <c r="F36" s="346">
        <v>174.58996042935757</v>
      </c>
      <c r="G36" s="343">
        <v>160.99638294244485</v>
      </c>
      <c r="H36" s="343">
        <v>149.22822351074069</v>
      </c>
      <c r="J36" s="2" t="s">
        <v>237</v>
      </c>
      <c r="L36" s="15">
        <v>163145</v>
      </c>
    </row>
    <row r="37" spans="2:12" ht="16" thickBot="1" x14ac:dyDescent="0.25">
      <c r="B37" s="475"/>
      <c r="C37" s="345">
        <v>1.2500000000000001E-2</v>
      </c>
      <c r="D37" s="344">
        <v>217.52894161564967</v>
      </c>
      <c r="E37" s="341">
        <v>197.23730563363566</v>
      </c>
      <c r="F37" s="340">
        <v>180.20811077090696</v>
      </c>
      <c r="G37" s="339">
        <v>165.71601847029618</v>
      </c>
      <c r="H37" s="343">
        <v>153.23579327265853</v>
      </c>
      <c r="J37" s="67" t="s">
        <v>297</v>
      </c>
      <c r="L37" s="76">
        <f>L35*L36</f>
        <v>9831117.6999999993</v>
      </c>
    </row>
    <row r="38" spans="2:12" x14ac:dyDescent="0.2">
      <c r="C38" s="342">
        <v>1.4999999999999999E-2</v>
      </c>
      <c r="D38" s="341">
        <v>226.63964075703376</v>
      </c>
      <c r="E38" s="340">
        <v>204.62450175811526</v>
      </c>
      <c r="F38" s="340">
        <v>186.29444030758549</v>
      </c>
      <c r="G38" s="340">
        <v>170.79870288490525</v>
      </c>
      <c r="H38" s="339">
        <v>157.52961801757047</v>
      </c>
      <c r="J38" s="2" t="s">
        <v>298</v>
      </c>
      <c r="L38" s="15">
        <f>'Operating Model'!AE58-'Operating Model'!AE35</f>
        <v>1173099</v>
      </c>
    </row>
    <row r="39" spans="2:12" x14ac:dyDescent="0.2">
      <c r="J39" s="79" t="s">
        <v>299</v>
      </c>
      <c r="K39" s="338"/>
      <c r="L39" s="337">
        <f>L37+L38</f>
        <v>11004216.699999999</v>
      </c>
    </row>
    <row r="40" spans="2:12" x14ac:dyDescent="0.2">
      <c r="B40"/>
      <c r="C40"/>
      <c r="D40"/>
    </row>
    <row r="41" spans="2:12" x14ac:dyDescent="0.2">
      <c r="B41"/>
      <c r="C41"/>
      <c r="D41"/>
      <c r="J41" s="2" t="s">
        <v>300</v>
      </c>
      <c r="L41" s="15">
        <v>543854</v>
      </c>
    </row>
    <row r="42" spans="2:12" x14ac:dyDescent="0.2">
      <c r="B42"/>
      <c r="C42"/>
      <c r="D42"/>
      <c r="J42" s="2" t="s">
        <v>61</v>
      </c>
      <c r="L42" s="336">
        <f>L39/L41</f>
        <v>20.233769908835825</v>
      </c>
    </row>
    <row r="43" spans="2:12" x14ac:dyDescent="0.2">
      <c r="B43"/>
      <c r="C43"/>
      <c r="D43"/>
    </row>
    <row r="44" spans="2:12" x14ac:dyDescent="0.2">
      <c r="B44"/>
      <c r="C44"/>
      <c r="D44"/>
    </row>
    <row r="45" spans="2:12" x14ac:dyDescent="0.2">
      <c r="B45"/>
      <c r="C45"/>
      <c r="D45"/>
      <c r="K45" s="336"/>
    </row>
    <row r="46" spans="2:12" x14ac:dyDescent="0.2">
      <c r="J46" s="67"/>
      <c r="K46" s="67"/>
      <c r="L46" s="67"/>
    </row>
    <row r="47" spans="2:12" x14ac:dyDescent="0.2">
      <c r="K47" s="336"/>
    </row>
  </sheetData>
  <mergeCells count="2">
    <mergeCell ref="B35:B37"/>
    <mergeCell ref="N19:O19"/>
  </mergeCells>
  <conditionalFormatting sqref="D34:H38">
    <cfRule type="cellIs" dxfId="1" priority="1" operator="lessThan">
      <formula>$C$33</formula>
    </cfRule>
    <cfRule type="cellIs" dxfId="0" priority="2" operator="greaterThan">
      <formula>$C$33</formula>
    </cfRule>
  </conditionalFormatting>
  <dataValidations disablePrompts="1" count="1">
    <dataValidation type="list" allowBlank="1" showInputMessage="1" showErrorMessage="1" sqref="H22" xr:uid="{06DCD3F8-7512-434A-9556-656E30367FDB}">
      <formula1>"17,18,19,20,21,22,23,24,25"</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3C429-AF7D-4298-9C1F-3DD4503F52BF}">
  <dimension ref="A1:G1262"/>
  <sheetViews>
    <sheetView showGridLines="0" workbookViewId="0"/>
  </sheetViews>
  <sheetFormatPr baseColWidth="10" defaultColWidth="9.1640625" defaultRowHeight="15" x14ac:dyDescent="0.2"/>
  <cols>
    <col min="1" max="1" width="10.6640625" style="401" bestFit="1" customWidth="1"/>
    <col min="2" max="16384" width="9.1640625" style="398"/>
  </cols>
  <sheetData>
    <row r="1" spans="1:7" x14ac:dyDescent="0.2">
      <c r="A1" s="403" t="s">
        <v>314</v>
      </c>
    </row>
    <row r="2" spans="1:7" x14ac:dyDescent="0.2">
      <c r="A2" s="404">
        <f>SLOPE($G$6:$G$1262,$D$6:$D$1262)</f>
        <v>1.5794332032382772</v>
      </c>
    </row>
    <row r="3" spans="1:7" x14ac:dyDescent="0.2">
      <c r="C3" s="477" t="s">
        <v>301</v>
      </c>
      <c r="D3" s="477"/>
      <c r="F3" s="477" t="s">
        <v>218</v>
      </c>
      <c r="G3" s="477"/>
    </row>
    <row r="4" spans="1:7" x14ac:dyDescent="0.2">
      <c r="A4" s="401" t="s">
        <v>302</v>
      </c>
      <c r="C4" s="398" t="s">
        <v>312</v>
      </c>
      <c r="D4" s="398" t="s">
        <v>313</v>
      </c>
      <c r="F4" s="398" t="s">
        <v>312</v>
      </c>
      <c r="G4" s="398" t="s">
        <v>313</v>
      </c>
    </row>
    <row r="5" spans="1:7" x14ac:dyDescent="0.2">
      <c r="A5" s="402">
        <v>42677</v>
      </c>
      <c r="C5" s="399">
        <v>43.417664000000002</v>
      </c>
      <c r="F5" s="399">
        <v>9.39</v>
      </c>
    </row>
    <row r="6" spans="1:7" x14ac:dyDescent="0.2">
      <c r="A6" s="402">
        <v>42678</v>
      </c>
      <c r="C6" s="399">
        <v>43.381092000000002</v>
      </c>
      <c r="D6" s="400">
        <f>C6/C5-1</f>
        <v>-8.4232997887678795E-4</v>
      </c>
      <c r="F6" s="399">
        <v>9.14</v>
      </c>
      <c r="G6" s="400">
        <f>F6/F5-1</f>
        <v>-2.6624068157614533E-2</v>
      </c>
    </row>
    <row r="7" spans="1:7" x14ac:dyDescent="0.2">
      <c r="A7" s="402">
        <v>42681</v>
      </c>
      <c r="C7" s="399">
        <v>44.368279000000001</v>
      </c>
      <c r="D7" s="400">
        <f t="shared" ref="D7:D70" si="0">C7/C6-1</f>
        <v>2.2756158374252156E-2</v>
      </c>
      <c r="F7" s="399">
        <v>9.5399999999999991</v>
      </c>
      <c r="G7" s="400">
        <f t="shared" ref="G7:G70" si="1">F7/F6-1</f>
        <v>4.3763676148796282E-2</v>
      </c>
    </row>
    <row r="8" spans="1:7" x14ac:dyDescent="0.2">
      <c r="A8" s="402">
        <v>42682</v>
      </c>
      <c r="C8" s="399">
        <v>44.569363000000003</v>
      </c>
      <c r="D8" s="400">
        <f t="shared" si="0"/>
        <v>4.5321568591831785E-3</v>
      </c>
      <c r="F8" s="399">
        <v>9.4600000000000009</v>
      </c>
      <c r="G8" s="400">
        <f t="shared" si="1"/>
        <v>-8.3857442348006517E-3</v>
      </c>
    </row>
    <row r="9" spans="1:7" x14ac:dyDescent="0.2">
      <c r="A9" s="402">
        <v>42683</v>
      </c>
      <c r="C9" s="399">
        <v>45.117801999999998</v>
      </c>
      <c r="D9" s="400">
        <f t="shared" si="0"/>
        <v>1.2305291417335162E-2</v>
      </c>
      <c r="F9" s="399">
        <v>9.4600000000000009</v>
      </c>
      <c r="G9" s="400">
        <f t="shared" si="1"/>
        <v>0</v>
      </c>
    </row>
    <row r="10" spans="1:7" x14ac:dyDescent="0.2">
      <c r="A10" s="402">
        <v>42684</v>
      </c>
      <c r="C10" s="399">
        <v>45.264049999999997</v>
      </c>
      <c r="D10" s="400">
        <f t="shared" si="0"/>
        <v>3.2414699634526478E-3</v>
      </c>
      <c r="F10" s="399">
        <v>10.1</v>
      </c>
      <c r="G10" s="400">
        <f t="shared" si="1"/>
        <v>6.7653276955602415E-2</v>
      </c>
    </row>
    <row r="11" spans="1:7" x14ac:dyDescent="0.2">
      <c r="A11" s="402">
        <v>42685</v>
      </c>
      <c r="C11" s="399">
        <v>45.309756999999998</v>
      </c>
      <c r="D11" s="400">
        <f t="shared" si="0"/>
        <v>1.0097859117776942E-3</v>
      </c>
      <c r="F11" s="399">
        <v>10.35</v>
      </c>
      <c r="G11" s="400">
        <f t="shared" si="1"/>
        <v>2.4752475247524774E-2</v>
      </c>
    </row>
    <row r="12" spans="1:7" x14ac:dyDescent="0.2">
      <c r="A12" s="402">
        <v>42688</v>
      </c>
      <c r="C12" s="399">
        <v>45.419437000000002</v>
      </c>
      <c r="D12" s="400">
        <f t="shared" si="0"/>
        <v>2.4206706736478178E-3</v>
      </c>
      <c r="F12" s="399">
        <v>10.39</v>
      </c>
      <c r="G12" s="400">
        <f t="shared" si="1"/>
        <v>3.8647342995170586E-3</v>
      </c>
    </row>
    <row r="13" spans="1:7" x14ac:dyDescent="0.2">
      <c r="A13" s="402">
        <v>42689</v>
      </c>
      <c r="C13" s="399">
        <v>45.748505000000002</v>
      </c>
      <c r="D13" s="400">
        <f t="shared" si="0"/>
        <v>7.2450920076354564E-3</v>
      </c>
      <c r="F13" s="399">
        <v>10.66</v>
      </c>
      <c r="G13" s="400">
        <f t="shared" si="1"/>
        <v>2.5986525505293567E-2</v>
      </c>
    </row>
    <row r="14" spans="1:7" x14ac:dyDescent="0.2">
      <c r="A14" s="402">
        <v>42690</v>
      </c>
      <c r="C14" s="399">
        <v>45.675373</v>
      </c>
      <c r="D14" s="400">
        <f t="shared" si="0"/>
        <v>-1.5985658984922768E-3</v>
      </c>
      <c r="F14" s="399">
        <v>10.75</v>
      </c>
      <c r="G14" s="400">
        <f t="shared" si="1"/>
        <v>8.4427767354595673E-3</v>
      </c>
    </row>
    <row r="15" spans="1:7" x14ac:dyDescent="0.2">
      <c r="A15" s="402">
        <v>42691</v>
      </c>
      <c r="C15" s="399">
        <v>45.922176</v>
      </c>
      <c r="D15" s="400">
        <f t="shared" si="0"/>
        <v>5.4034150963584437E-3</v>
      </c>
      <c r="F15" s="399">
        <v>11.1</v>
      </c>
      <c r="G15" s="400">
        <f t="shared" si="1"/>
        <v>3.2558139534883734E-2</v>
      </c>
    </row>
    <row r="16" spans="1:7" x14ac:dyDescent="0.2">
      <c r="A16" s="402">
        <v>42692</v>
      </c>
      <c r="C16" s="399">
        <v>45.849044999999997</v>
      </c>
      <c r="D16" s="400">
        <f t="shared" si="0"/>
        <v>-1.5924985784646628E-3</v>
      </c>
      <c r="F16" s="399">
        <v>11.19</v>
      </c>
      <c r="G16" s="400">
        <f t="shared" si="1"/>
        <v>8.1081081081080253E-3</v>
      </c>
    </row>
    <row r="17" spans="1:7" x14ac:dyDescent="0.2">
      <c r="A17" s="402">
        <v>42695</v>
      </c>
      <c r="C17" s="399">
        <v>46.168968</v>
      </c>
      <c r="D17" s="400">
        <f t="shared" si="0"/>
        <v>6.9777462104172461E-3</v>
      </c>
      <c r="F17" s="399">
        <v>11.32</v>
      </c>
      <c r="G17" s="400">
        <f t="shared" si="1"/>
        <v>1.1617515638963516E-2</v>
      </c>
    </row>
    <row r="18" spans="1:7" x14ac:dyDescent="0.2">
      <c r="A18" s="402">
        <v>42696</v>
      </c>
      <c r="C18" s="399">
        <v>46.315215999999999</v>
      </c>
      <c r="D18" s="400">
        <f t="shared" si="0"/>
        <v>3.1676688116573093E-3</v>
      </c>
      <c r="F18" s="399">
        <v>11.42</v>
      </c>
      <c r="G18" s="400">
        <f t="shared" si="1"/>
        <v>8.8339222614841617E-3</v>
      </c>
    </row>
    <row r="19" spans="1:7" x14ac:dyDescent="0.2">
      <c r="A19" s="402">
        <v>42697</v>
      </c>
      <c r="C19" s="399">
        <v>46.379204000000001</v>
      </c>
      <c r="D19" s="400">
        <f t="shared" si="0"/>
        <v>1.3815761973343665E-3</v>
      </c>
      <c r="F19" s="399">
        <v>11.61</v>
      </c>
      <c r="G19" s="400">
        <f t="shared" si="1"/>
        <v>1.6637478108581405E-2</v>
      </c>
    </row>
    <row r="20" spans="1:7" x14ac:dyDescent="0.2">
      <c r="A20" s="402">
        <v>42699</v>
      </c>
      <c r="C20" s="399">
        <v>46.525444</v>
      </c>
      <c r="D20" s="400">
        <f t="shared" si="0"/>
        <v>3.1531373414688257E-3</v>
      </c>
      <c r="F20" s="399">
        <v>11.83</v>
      </c>
      <c r="G20" s="400">
        <f t="shared" si="1"/>
        <v>1.8949181739879473E-2</v>
      </c>
    </row>
    <row r="21" spans="1:7" x14ac:dyDescent="0.2">
      <c r="A21" s="402">
        <v>42702</v>
      </c>
      <c r="C21" s="399">
        <v>46.306072</v>
      </c>
      <c r="D21" s="400">
        <f t="shared" si="0"/>
        <v>-4.7150973991779699E-3</v>
      </c>
      <c r="F21" s="399">
        <v>11.14</v>
      </c>
      <c r="G21" s="400">
        <f t="shared" si="1"/>
        <v>-5.8326289095519845E-2</v>
      </c>
    </row>
    <row r="22" spans="1:7" x14ac:dyDescent="0.2">
      <c r="A22" s="402">
        <v>42703</v>
      </c>
      <c r="C22" s="399">
        <v>46.360923999999997</v>
      </c>
      <c r="D22" s="400">
        <f t="shared" si="0"/>
        <v>1.1845530754583944E-3</v>
      </c>
      <c r="F22" s="399">
        <v>11.04</v>
      </c>
      <c r="G22" s="400">
        <f t="shared" si="1"/>
        <v>-8.9766606822263562E-3</v>
      </c>
    </row>
    <row r="23" spans="1:7" x14ac:dyDescent="0.2">
      <c r="A23" s="402">
        <v>42704</v>
      </c>
      <c r="C23" s="399">
        <v>46.196392000000003</v>
      </c>
      <c r="D23" s="400">
        <f t="shared" si="0"/>
        <v>-3.5489370315395785E-3</v>
      </c>
      <c r="F23" s="399">
        <v>11.06</v>
      </c>
      <c r="G23" s="400">
        <f t="shared" si="1"/>
        <v>1.8115942028986698E-3</v>
      </c>
    </row>
    <row r="24" spans="1:7" x14ac:dyDescent="0.2">
      <c r="A24" s="402">
        <v>42705</v>
      </c>
      <c r="C24" s="399">
        <v>46.059283999999998</v>
      </c>
      <c r="D24" s="400">
        <f t="shared" si="0"/>
        <v>-2.9679374094844224E-3</v>
      </c>
      <c r="F24" s="399">
        <v>10.83</v>
      </c>
      <c r="G24" s="400">
        <f t="shared" si="1"/>
        <v>-2.0795660036166397E-2</v>
      </c>
    </row>
    <row r="25" spans="1:7" x14ac:dyDescent="0.2">
      <c r="A25" s="402">
        <v>42706</v>
      </c>
      <c r="C25" s="399">
        <v>46.077564000000002</v>
      </c>
      <c r="D25" s="400">
        <f t="shared" si="0"/>
        <v>3.9687981254776794E-4</v>
      </c>
      <c r="F25" s="399">
        <v>10.57</v>
      </c>
      <c r="G25" s="400">
        <f t="shared" si="1"/>
        <v>-2.4007386888273308E-2</v>
      </c>
    </row>
    <row r="26" spans="1:7" x14ac:dyDescent="0.2">
      <c r="A26" s="402">
        <v>42709</v>
      </c>
      <c r="C26" s="399">
        <v>46.406619999999997</v>
      </c>
      <c r="D26" s="400">
        <f t="shared" si="0"/>
        <v>7.1413497467009979E-3</v>
      </c>
      <c r="F26" s="399">
        <v>11.1</v>
      </c>
      <c r="G26" s="400">
        <f t="shared" si="1"/>
        <v>5.0141911069063294E-2</v>
      </c>
    </row>
    <row r="27" spans="1:7" x14ac:dyDescent="0.2">
      <c r="A27" s="402">
        <v>42710</v>
      </c>
      <c r="C27" s="399">
        <v>46.616852000000002</v>
      </c>
      <c r="D27" s="400">
        <f t="shared" si="0"/>
        <v>4.5302157321520653E-3</v>
      </c>
      <c r="F27" s="399">
        <v>11.38</v>
      </c>
      <c r="G27" s="400">
        <f t="shared" si="1"/>
        <v>2.5225225225225412E-2</v>
      </c>
    </row>
    <row r="28" spans="1:7" x14ac:dyDescent="0.2">
      <c r="A28" s="402">
        <v>42711</v>
      </c>
      <c r="C28" s="399">
        <v>47.192703000000002</v>
      </c>
      <c r="D28" s="400">
        <f t="shared" si="0"/>
        <v>1.2352850424134143E-2</v>
      </c>
      <c r="F28" s="399">
        <v>11.67</v>
      </c>
      <c r="G28" s="400">
        <f t="shared" si="1"/>
        <v>2.5483304042179133E-2</v>
      </c>
    </row>
    <row r="29" spans="1:7" x14ac:dyDescent="0.2">
      <c r="A29" s="402">
        <v>42712</v>
      </c>
      <c r="C29" s="399">
        <v>47.375523000000001</v>
      </c>
      <c r="D29" s="400">
        <f t="shared" si="0"/>
        <v>3.8739039804522868E-3</v>
      </c>
      <c r="F29" s="399">
        <v>12.04</v>
      </c>
      <c r="G29" s="400">
        <f t="shared" si="1"/>
        <v>3.1705227077977627E-2</v>
      </c>
    </row>
    <row r="30" spans="1:7" x14ac:dyDescent="0.2">
      <c r="A30" s="402">
        <v>42713</v>
      </c>
      <c r="C30" s="399">
        <v>47.604038000000003</v>
      </c>
      <c r="D30" s="400">
        <f t="shared" si="0"/>
        <v>4.8234823708437347E-3</v>
      </c>
      <c r="F30" s="399">
        <v>12.08</v>
      </c>
      <c r="G30" s="400">
        <f t="shared" si="1"/>
        <v>3.3222591362127574E-3</v>
      </c>
    </row>
    <row r="31" spans="1:7" x14ac:dyDescent="0.2">
      <c r="A31" s="402">
        <v>42716</v>
      </c>
      <c r="C31" s="399">
        <v>47.503501999999997</v>
      </c>
      <c r="D31" s="400">
        <f t="shared" si="0"/>
        <v>-2.1119216819380782E-3</v>
      </c>
      <c r="F31" s="399">
        <v>12.07</v>
      </c>
      <c r="G31" s="400">
        <f t="shared" si="1"/>
        <v>-8.2781456953640031E-4</v>
      </c>
    </row>
    <row r="32" spans="1:7" x14ac:dyDescent="0.2">
      <c r="A32" s="402">
        <v>42717</v>
      </c>
      <c r="C32" s="399">
        <v>47.750286000000003</v>
      </c>
      <c r="D32" s="400">
        <f t="shared" si="0"/>
        <v>5.1950696182359035E-3</v>
      </c>
      <c r="F32" s="399">
        <v>11.94</v>
      </c>
      <c r="G32" s="400">
        <f t="shared" si="1"/>
        <v>-1.0770505385252704E-2</v>
      </c>
    </row>
    <row r="33" spans="1:7" x14ac:dyDescent="0.2">
      <c r="A33" s="402">
        <v>42718</v>
      </c>
      <c r="C33" s="399">
        <v>47.348106000000001</v>
      </c>
      <c r="D33" s="400">
        <f t="shared" si="0"/>
        <v>-8.4225673538373957E-3</v>
      </c>
      <c r="F33" s="399">
        <v>11.34</v>
      </c>
      <c r="G33" s="400">
        <f t="shared" si="1"/>
        <v>-5.0251256281407031E-2</v>
      </c>
    </row>
    <row r="34" spans="1:7" x14ac:dyDescent="0.2">
      <c r="A34" s="402">
        <v>42719</v>
      </c>
      <c r="C34" s="399">
        <v>47.558326999999998</v>
      </c>
      <c r="D34" s="400">
        <f t="shared" si="0"/>
        <v>4.4399030449073784E-3</v>
      </c>
      <c r="F34" s="399">
        <v>11.37</v>
      </c>
      <c r="G34" s="400">
        <f t="shared" si="1"/>
        <v>2.6455026455025621E-3</v>
      </c>
    </row>
    <row r="35" spans="1:7" x14ac:dyDescent="0.2">
      <c r="A35" s="402">
        <v>42720</v>
      </c>
      <c r="C35" s="399">
        <v>47.485210000000002</v>
      </c>
      <c r="D35" s="400">
        <f t="shared" si="0"/>
        <v>-1.537417411676345E-3</v>
      </c>
      <c r="F35" s="399">
        <v>11.55</v>
      </c>
      <c r="G35" s="400">
        <f t="shared" si="1"/>
        <v>1.5831134564644023E-2</v>
      </c>
    </row>
    <row r="36" spans="1:7" x14ac:dyDescent="0.2">
      <c r="A36" s="402">
        <v>42723</v>
      </c>
      <c r="C36" s="399">
        <v>47.585751000000002</v>
      </c>
      <c r="D36" s="400">
        <f t="shared" si="0"/>
        <v>2.1173118956407944E-3</v>
      </c>
      <c r="F36" s="399">
        <v>11.39</v>
      </c>
      <c r="G36" s="400">
        <f t="shared" si="1"/>
        <v>-1.3852813852813894E-2</v>
      </c>
    </row>
    <row r="37" spans="1:7" x14ac:dyDescent="0.2">
      <c r="A37" s="402">
        <v>42724</v>
      </c>
      <c r="C37" s="399">
        <v>47.805118999999998</v>
      </c>
      <c r="D37" s="400">
        <f t="shared" si="0"/>
        <v>4.6099514117154961E-3</v>
      </c>
      <c r="F37" s="399">
        <v>11.58</v>
      </c>
      <c r="G37" s="400">
        <f t="shared" si="1"/>
        <v>1.668129938542573E-2</v>
      </c>
    </row>
    <row r="38" spans="1:7" x14ac:dyDescent="0.2">
      <c r="A38" s="402">
        <v>42725</v>
      </c>
      <c r="C38" s="399">
        <v>47.679237000000001</v>
      </c>
      <c r="D38" s="400">
        <f t="shared" si="0"/>
        <v>-2.6332326460686284E-3</v>
      </c>
      <c r="F38" s="399">
        <v>11.58</v>
      </c>
      <c r="G38" s="400">
        <f t="shared" si="1"/>
        <v>0</v>
      </c>
    </row>
    <row r="39" spans="1:7" x14ac:dyDescent="0.2">
      <c r="A39" s="402">
        <v>42726</v>
      </c>
      <c r="C39" s="399">
        <v>47.532229999999998</v>
      </c>
      <c r="D39" s="400">
        <f t="shared" si="0"/>
        <v>-3.083249843113145E-3</v>
      </c>
      <c r="F39" s="399">
        <v>11.31</v>
      </c>
      <c r="G39" s="400">
        <f t="shared" si="1"/>
        <v>-2.3316062176165775E-2</v>
      </c>
    </row>
    <row r="40" spans="1:7" x14ac:dyDescent="0.2">
      <c r="A40" s="402">
        <v>42727</v>
      </c>
      <c r="C40" s="399">
        <v>47.605742999999997</v>
      </c>
      <c r="D40" s="400">
        <f t="shared" si="0"/>
        <v>1.546592701415328E-3</v>
      </c>
      <c r="F40" s="399">
        <v>11.33</v>
      </c>
      <c r="G40" s="400">
        <f t="shared" si="1"/>
        <v>1.7683465959328348E-3</v>
      </c>
    </row>
    <row r="41" spans="1:7" x14ac:dyDescent="0.2">
      <c r="A41" s="402">
        <v>42731</v>
      </c>
      <c r="C41" s="399">
        <v>47.725189</v>
      </c>
      <c r="D41" s="400">
        <f t="shared" si="0"/>
        <v>2.5090670257998937E-3</v>
      </c>
      <c r="F41" s="399">
        <v>11.35</v>
      </c>
      <c r="G41" s="400">
        <f t="shared" si="1"/>
        <v>1.765225066195919E-3</v>
      </c>
    </row>
    <row r="42" spans="1:7" x14ac:dyDescent="0.2">
      <c r="A42" s="402">
        <v>42732</v>
      </c>
      <c r="C42" s="399">
        <v>47.339272000000001</v>
      </c>
      <c r="D42" s="400">
        <f t="shared" si="0"/>
        <v>-8.0862330372332147E-3</v>
      </c>
      <c r="F42" s="399">
        <v>11.12</v>
      </c>
      <c r="G42" s="400">
        <f t="shared" si="1"/>
        <v>-2.0264317180616831E-2</v>
      </c>
    </row>
    <row r="43" spans="1:7" x14ac:dyDescent="0.2">
      <c r="A43" s="402">
        <v>42733</v>
      </c>
      <c r="C43" s="399">
        <v>47.320884999999997</v>
      </c>
      <c r="D43" s="400">
        <f t="shared" si="0"/>
        <v>-3.8840901482395385E-4</v>
      </c>
      <c r="F43" s="399">
        <v>11.12</v>
      </c>
      <c r="G43" s="400">
        <f t="shared" si="1"/>
        <v>0</v>
      </c>
    </row>
    <row r="44" spans="1:7" x14ac:dyDescent="0.2">
      <c r="A44" s="402">
        <v>42734</v>
      </c>
      <c r="C44" s="399">
        <v>47.127937000000003</v>
      </c>
      <c r="D44" s="400">
        <f t="shared" si="0"/>
        <v>-4.077438534803246E-3</v>
      </c>
      <c r="F44" s="399">
        <v>10.97</v>
      </c>
      <c r="G44" s="400">
        <f t="shared" si="1"/>
        <v>-1.3489208633093441E-2</v>
      </c>
    </row>
    <row r="45" spans="1:7" x14ac:dyDescent="0.2">
      <c r="A45" s="402">
        <v>42738</v>
      </c>
      <c r="C45" s="399">
        <v>47.523040999999999</v>
      </c>
      <c r="D45" s="400">
        <f t="shared" si="0"/>
        <v>8.3836472621323654E-3</v>
      </c>
      <c r="F45" s="399">
        <v>11.64</v>
      </c>
      <c r="G45" s="400">
        <f t="shared" si="1"/>
        <v>6.1075660893345374E-2</v>
      </c>
    </row>
    <row r="46" spans="1:7" x14ac:dyDescent="0.2">
      <c r="A46" s="402">
        <v>42739</v>
      </c>
      <c r="C46" s="399">
        <v>47.881397</v>
      </c>
      <c r="D46" s="400">
        <f t="shared" si="0"/>
        <v>7.5406790571335147E-3</v>
      </c>
      <c r="F46" s="399">
        <v>12.02</v>
      </c>
      <c r="G46" s="400">
        <f t="shared" si="1"/>
        <v>3.264604810996552E-2</v>
      </c>
    </row>
    <row r="47" spans="1:7" x14ac:dyDescent="0.2">
      <c r="A47" s="402">
        <v>42740</v>
      </c>
      <c r="C47" s="399">
        <v>47.807879999999997</v>
      </c>
      <c r="D47" s="400">
        <f t="shared" si="0"/>
        <v>-1.5353979751259184E-3</v>
      </c>
      <c r="F47" s="399">
        <v>11.76</v>
      </c>
      <c r="G47" s="400">
        <f t="shared" si="1"/>
        <v>-2.1630615640598982E-2</v>
      </c>
    </row>
    <row r="48" spans="1:7" x14ac:dyDescent="0.2">
      <c r="A48" s="402">
        <v>42741</v>
      </c>
      <c r="C48" s="399">
        <v>47.973286000000002</v>
      </c>
      <c r="D48" s="400">
        <f t="shared" si="0"/>
        <v>3.4598062076796054E-3</v>
      </c>
      <c r="F48" s="399">
        <v>11.37</v>
      </c>
      <c r="G48" s="400">
        <f t="shared" si="1"/>
        <v>-3.3163265306122458E-2</v>
      </c>
    </row>
    <row r="49" spans="1:7" x14ac:dyDescent="0.2">
      <c r="A49" s="402">
        <v>42744</v>
      </c>
      <c r="C49" s="399">
        <v>47.798695000000002</v>
      </c>
      <c r="D49" s="400">
        <f t="shared" si="0"/>
        <v>-3.6393379432044792E-3</v>
      </c>
      <c r="F49" s="399">
        <v>11.26</v>
      </c>
      <c r="G49" s="400">
        <f t="shared" si="1"/>
        <v>-9.6745822339489029E-3</v>
      </c>
    </row>
    <row r="50" spans="1:7" x14ac:dyDescent="0.2">
      <c r="A50" s="402">
        <v>42745</v>
      </c>
      <c r="C50" s="399">
        <v>47.807879999999997</v>
      </c>
      <c r="D50" s="400">
        <f t="shared" si="0"/>
        <v>1.9216005792621615E-4</v>
      </c>
      <c r="F50" s="399">
        <v>11.53</v>
      </c>
      <c r="G50" s="400">
        <f t="shared" si="1"/>
        <v>2.3978685612788597E-2</v>
      </c>
    </row>
    <row r="51" spans="1:7" x14ac:dyDescent="0.2">
      <c r="A51" s="402">
        <v>42746</v>
      </c>
      <c r="C51" s="399">
        <v>47.964092000000001</v>
      </c>
      <c r="D51" s="400">
        <f t="shared" si="0"/>
        <v>3.267494814662486E-3</v>
      </c>
      <c r="F51" s="399">
        <v>11.53</v>
      </c>
      <c r="G51" s="400">
        <f t="shared" si="1"/>
        <v>0</v>
      </c>
    </row>
    <row r="52" spans="1:7" x14ac:dyDescent="0.2">
      <c r="A52" s="402">
        <v>42747</v>
      </c>
      <c r="C52" s="399">
        <v>47.835448999999997</v>
      </c>
      <c r="D52" s="400">
        <f t="shared" si="0"/>
        <v>-2.6820689110512719E-3</v>
      </c>
      <c r="F52" s="399">
        <v>11.36</v>
      </c>
      <c r="G52" s="400">
        <f t="shared" si="1"/>
        <v>-1.4744145706851675E-2</v>
      </c>
    </row>
    <row r="53" spans="1:7" x14ac:dyDescent="0.2">
      <c r="A53" s="402">
        <v>42748</v>
      </c>
      <c r="C53" s="399">
        <v>47.964092000000001</v>
      </c>
      <c r="D53" s="400">
        <f t="shared" si="0"/>
        <v>2.6892817500261401E-3</v>
      </c>
      <c r="F53" s="399">
        <v>11.69</v>
      </c>
      <c r="G53" s="400">
        <f t="shared" si="1"/>
        <v>2.9049295774647987E-2</v>
      </c>
    </row>
    <row r="54" spans="1:7" x14ac:dyDescent="0.2">
      <c r="A54" s="402">
        <v>42752</v>
      </c>
      <c r="C54" s="399">
        <v>47.752761999999997</v>
      </c>
      <c r="D54" s="400">
        <f t="shared" si="0"/>
        <v>-4.4060043917855118E-3</v>
      </c>
      <c r="F54" s="399">
        <v>11.34</v>
      </c>
      <c r="G54" s="400">
        <f t="shared" si="1"/>
        <v>-2.9940119760479056E-2</v>
      </c>
    </row>
    <row r="55" spans="1:7" x14ac:dyDescent="0.2">
      <c r="A55" s="402">
        <v>42753</v>
      </c>
      <c r="C55" s="399">
        <v>47.863022000000001</v>
      </c>
      <c r="D55" s="400">
        <f t="shared" si="0"/>
        <v>2.3089763896799731E-3</v>
      </c>
      <c r="F55" s="399">
        <v>11.29</v>
      </c>
      <c r="G55" s="400">
        <f t="shared" si="1"/>
        <v>-4.4091710758378255E-3</v>
      </c>
    </row>
    <row r="56" spans="1:7" x14ac:dyDescent="0.2">
      <c r="A56" s="402">
        <v>42754</v>
      </c>
      <c r="C56" s="399">
        <v>47.679237000000001</v>
      </c>
      <c r="D56" s="400">
        <f t="shared" si="0"/>
        <v>-3.8398118697979822E-3</v>
      </c>
      <c r="F56" s="399">
        <v>11.01</v>
      </c>
      <c r="G56" s="400">
        <f t="shared" si="1"/>
        <v>-2.4800708591674048E-2</v>
      </c>
    </row>
    <row r="57" spans="1:7" x14ac:dyDescent="0.2">
      <c r="A57" s="402">
        <v>42755</v>
      </c>
      <c r="C57" s="399">
        <v>47.826267000000001</v>
      </c>
      <c r="D57" s="400">
        <f t="shared" si="0"/>
        <v>3.0837322333827633E-3</v>
      </c>
      <c r="F57" s="399">
        <v>10.92</v>
      </c>
      <c r="G57" s="400">
        <f t="shared" si="1"/>
        <v>-8.1743869209809361E-3</v>
      </c>
    </row>
    <row r="58" spans="1:7" x14ac:dyDescent="0.2">
      <c r="A58" s="402">
        <v>42758</v>
      </c>
      <c r="C58" s="399">
        <v>47.725189</v>
      </c>
      <c r="D58" s="400">
        <f t="shared" si="0"/>
        <v>-2.1134411347638604E-3</v>
      </c>
      <c r="F58" s="399">
        <v>10.79</v>
      </c>
      <c r="G58" s="400">
        <f t="shared" si="1"/>
        <v>-1.1904761904761973E-2</v>
      </c>
    </row>
    <row r="59" spans="1:7" x14ac:dyDescent="0.2">
      <c r="A59" s="402">
        <v>42759</v>
      </c>
      <c r="C59" s="399">
        <v>48.092723999999997</v>
      </c>
      <c r="D59" s="400">
        <f t="shared" si="0"/>
        <v>7.7010695546957386E-3</v>
      </c>
      <c r="F59" s="399">
        <v>11.43</v>
      </c>
      <c r="G59" s="400">
        <f t="shared" si="1"/>
        <v>5.9314179796107647E-2</v>
      </c>
    </row>
    <row r="60" spans="1:7" x14ac:dyDescent="0.2">
      <c r="A60" s="402">
        <v>42760</v>
      </c>
      <c r="C60" s="399">
        <v>48.487842999999998</v>
      </c>
      <c r="D60" s="400">
        <f t="shared" si="0"/>
        <v>8.2157750099578486E-3</v>
      </c>
      <c r="F60" s="399">
        <v>11.89</v>
      </c>
      <c r="G60" s="400">
        <f t="shared" si="1"/>
        <v>4.0244969378827822E-2</v>
      </c>
    </row>
    <row r="61" spans="1:7" x14ac:dyDescent="0.2">
      <c r="A61" s="402">
        <v>42761</v>
      </c>
      <c r="C61" s="399">
        <v>48.441895000000002</v>
      </c>
      <c r="D61" s="400">
        <f t="shared" si="0"/>
        <v>-9.4761897327533262E-4</v>
      </c>
      <c r="F61" s="399">
        <v>11.61</v>
      </c>
      <c r="G61" s="400">
        <f t="shared" si="1"/>
        <v>-2.3549201009251619E-2</v>
      </c>
    </row>
    <row r="62" spans="1:7" x14ac:dyDescent="0.2">
      <c r="A62" s="402">
        <v>42762</v>
      </c>
      <c r="C62" s="399">
        <v>48.350009999999997</v>
      </c>
      <c r="D62" s="400">
        <f t="shared" si="0"/>
        <v>-1.8968085373209931E-3</v>
      </c>
      <c r="F62" s="399">
        <v>11.38</v>
      </c>
      <c r="G62" s="400">
        <f t="shared" si="1"/>
        <v>-1.9810508182601105E-2</v>
      </c>
    </row>
    <row r="63" spans="1:7" x14ac:dyDescent="0.2">
      <c r="A63" s="402">
        <v>42765</v>
      </c>
      <c r="C63" s="399">
        <v>47.99165</v>
      </c>
      <c r="D63" s="400">
        <f t="shared" si="0"/>
        <v>-7.4117875053179016E-3</v>
      </c>
      <c r="F63" s="399">
        <v>10.86</v>
      </c>
      <c r="G63" s="400">
        <f t="shared" si="1"/>
        <v>-4.5694200351493963E-2</v>
      </c>
    </row>
    <row r="64" spans="1:7" x14ac:dyDescent="0.2">
      <c r="A64" s="402">
        <v>42766</v>
      </c>
      <c r="C64" s="399">
        <v>48.074351999999998</v>
      </c>
      <c r="D64" s="400">
        <f t="shared" si="0"/>
        <v>1.7232581084416498E-3</v>
      </c>
      <c r="F64" s="399">
        <v>10.76</v>
      </c>
      <c r="G64" s="400">
        <f t="shared" si="1"/>
        <v>-9.2081031307550409E-3</v>
      </c>
    </row>
    <row r="65" spans="1:7" x14ac:dyDescent="0.2">
      <c r="A65" s="402">
        <v>42767</v>
      </c>
      <c r="C65" s="399">
        <v>48.074351999999998</v>
      </c>
      <c r="D65" s="400">
        <f t="shared" si="0"/>
        <v>0</v>
      </c>
      <c r="F65" s="399">
        <v>10.81</v>
      </c>
      <c r="G65" s="400">
        <f t="shared" si="1"/>
        <v>4.646840148698983E-3</v>
      </c>
    </row>
    <row r="66" spans="1:7" x14ac:dyDescent="0.2">
      <c r="A66" s="402">
        <v>42768</v>
      </c>
      <c r="C66" s="399">
        <v>48.074351999999998</v>
      </c>
      <c r="D66" s="400">
        <f t="shared" si="0"/>
        <v>0</v>
      </c>
      <c r="F66" s="399">
        <v>11</v>
      </c>
      <c r="G66" s="400">
        <f t="shared" si="1"/>
        <v>1.7576318223866849E-2</v>
      </c>
    </row>
    <row r="67" spans="1:7" x14ac:dyDescent="0.2">
      <c r="A67" s="402">
        <v>42769</v>
      </c>
      <c r="C67" s="399">
        <v>48.469459999999998</v>
      </c>
      <c r="D67" s="400">
        <f t="shared" si="0"/>
        <v>8.218685922173341E-3</v>
      </c>
      <c r="F67" s="399">
        <v>11.32</v>
      </c>
      <c r="G67" s="400">
        <f t="shared" si="1"/>
        <v>2.9090909090909056E-2</v>
      </c>
    </row>
    <row r="68" spans="1:7" x14ac:dyDescent="0.2">
      <c r="A68" s="402">
        <v>42772</v>
      </c>
      <c r="C68" s="399">
        <v>48.350009999999997</v>
      </c>
      <c r="D68" s="400">
        <f t="shared" si="0"/>
        <v>-2.4644384319528756E-3</v>
      </c>
      <c r="F68" s="399">
        <v>11.65</v>
      </c>
      <c r="G68" s="400">
        <f t="shared" si="1"/>
        <v>2.9151943462897512E-2</v>
      </c>
    </row>
    <row r="69" spans="1:7" x14ac:dyDescent="0.2">
      <c r="A69" s="402">
        <v>42773</v>
      </c>
      <c r="C69" s="399">
        <v>48.322445000000002</v>
      </c>
      <c r="D69" s="400">
        <f t="shared" si="0"/>
        <v>-5.7011363596404241E-4</v>
      </c>
      <c r="F69" s="399">
        <v>11.59</v>
      </c>
      <c r="G69" s="400">
        <f t="shared" si="1"/>
        <v>-5.1502145922747156E-3</v>
      </c>
    </row>
    <row r="70" spans="1:7" x14ac:dyDescent="0.2">
      <c r="A70" s="402">
        <v>42774</v>
      </c>
      <c r="C70" s="399">
        <v>48.386752999999999</v>
      </c>
      <c r="D70" s="400">
        <f t="shared" si="0"/>
        <v>1.3308101442299769E-3</v>
      </c>
      <c r="F70" s="399">
        <v>11.79</v>
      </c>
      <c r="G70" s="400">
        <f t="shared" si="1"/>
        <v>1.7256255392579689E-2</v>
      </c>
    </row>
    <row r="71" spans="1:7" x14ac:dyDescent="0.2">
      <c r="A71" s="402">
        <v>42775</v>
      </c>
      <c r="C71" s="399">
        <v>48.699165000000001</v>
      </c>
      <c r="D71" s="400">
        <f t="shared" ref="D71:D134" si="2">C71/C70-1</f>
        <v>6.4565605383770652E-3</v>
      </c>
      <c r="F71" s="399">
        <v>12.28</v>
      </c>
      <c r="G71" s="400">
        <f t="shared" ref="G71:G134" si="3">F71/F70-1</f>
        <v>4.1560644614079711E-2</v>
      </c>
    </row>
    <row r="72" spans="1:7" x14ac:dyDescent="0.2">
      <c r="A72" s="402">
        <v>42776</v>
      </c>
      <c r="C72" s="399">
        <v>48.919693000000002</v>
      </c>
      <c r="D72" s="400">
        <f t="shared" si="2"/>
        <v>4.5283733304257723E-3</v>
      </c>
      <c r="F72" s="399">
        <v>12.38</v>
      </c>
      <c r="G72" s="400">
        <f t="shared" si="3"/>
        <v>8.1433224755702582E-3</v>
      </c>
    </row>
    <row r="73" spans="1:7" x14ac:dyDescent="0.2">
      <c r="A73" s="402">
        <v>42779</v>
      </c>
      <c r="C73" s="399">
        <v>49.149405999999999</v>
      </c>
      <c r="D73" s="400">
        <f t="shared" si="2"/>
        <v>4.6957163038614524E-3</v>
      </c>
      <c r="F73" s="399">
        <v>12.4</v>
      </c>
      <c r="G73" s="400">
        <f t="shared" si="3"/>
        <v>1.615508885298933E-3</v>
      </c>
    </row>
    <row r="74" spans="1:7" x14ac:dyDescent="0.2">
      <c r="A74" s="402">
        <v>42780</v>
      </c>
      <c r="C74" s="399">
        <v>49.342360999999997</v>
      </c>
      <c r="D74" s="400">
        <f t="shared" si="2"/>
        <v>3.9258867136664488E-3</v>
      </c>
      <c r="F74" s="399">
        <v>12.52</v>
      </c>
      <c r="G74" s="400">
        <f t="shared" si="3"/>
        <v>9.6774193548385679E-3</v>
      </c>
    </row>
    <row r="75" spans="1:7" x14ac:dyDescent="0.2">
      <c r="A75" s="402">
        <v>42781</v>
      </c>
      <c r="C75" s="399">
        <v>49.599651000000001</v>
      </c>
      <c r="D75" s="400">
        <f t="shared" si="2"/>
        <v>5.2143836408640176E-3</v>
      </c>
      <c r="F75" s="399">
        <v>12.68</v>
      </c>
      <c r="G75" s="400">
        <f t="shared" si="3"/>
        <v>1.2779552715654896E-2</v>
      </c>
    </row>
    <row r="76" spans="1:7" x14ac:dyDescent="0.2">
      <c r="A76" s="402">
        <v>42782</v>
      </c>
      <c r="C76" s="399">
        <v>49.553707000000003</v>
      </c>
      <c r="D76" s="400">
        <f t="shared" si="2"/>
        <v>-9.2629684027412118E-4</v>
      </c>
      <c r="F76" s="399">
        <v>12.61</v>
      </c>
      <c r="G76" s="400">
        <f t="shared" si="3"/>
        <v>-5.5205047318612754E-3</v>
      </c>
    </row>
    <row r="77" spans="1:7" x14ac:dyDescent="0.2">
      <c r="A77" s="402">
        <v>42783</v>
      </c>
      <c r="C77" s="399">
        <v>49.618015</v>
      </c>
      <c r="D77" s="400">
        <f t="shared" si="2"/>
        <v>1.2977434765879536E-3</v>
      </c>
      <c r="F77" s="399">
        <v>12.51</v>
      </c>
      <c r="G77" s="400">
        <f t="shared" si="3"/>
        <v>-7.9302141157810979E-3</v>
      </c>
    </row>
    <row r="78" spans="1:7" x14ac:dyDescent="0.2">
      <c r="A78" s="402">
        <v>42787</v>
      </c>
      <c r="C78" s="399">
        <v>49.930430999999999</v>
      </c>
      <c r="D78" s="400">
        <f t="shared" si="2"/>
        <v>6.2964227811208584E-3</v>
      </c>
      <c r="F78" s="399">
        <v>12.48</v>
      </c>
      <c r="G78" s="400">
        <f t="shared" si="3"/>
        <v>-2.3980815347721673E-3</v>
      </c>
    </row>
    <row r="79" spans="1:7" x14ac:dyDescent="0.2">
      <c r="A79" s="402">
        <v>42788</v>
      </c>
      <c r="C79" s="399">
        <v>49.856926000000001</v>
      </c>
      <c r="D79" s="400">
        <f t="shared" si="2"/>
        <v>-1.4721483177262407E-3</v>
      </c>
      <c r="F79" s="399">
        <v>12.43</v>
      </c>
      <c r="G79" s="400">
        <f t="shared" si="3"/>
        <v>-4.0064102564103532E-3</v>
      </c>
    </row>
    <row r="80" spans="1:7" x14ac:dyDescent="0.2">
      <c r="A80" s="402">
        <v>42789</v>
      </c>
      <c r="C80" s="399">
        <v>49.838554000000002</v>
      </c>
      <c r="D80" s="400">
        <f t="shared" si="2"/>
        <v>-3.6849443946862515E-4</v>
      </c>
      <c r="F80" s="399">
        <v>12.41</v>
      </c>
      <c r="G80" s="400">
        <f t="shared" si="3"/>
        <v>-1.6090104585679832E-3</v>
      </c>
    </row>
    <row r="81" spans="1:7" x14ac:dyDescent="0.2">
      <c r="A81" s="402">
        <v>42790</v>
      </c>
      <c r="C81" s="399">
        <v>49.893669000000003</v>
      </c>
      <c r="D81" s="400">
        <f t="shared" si="2"/>
        <v>1.1058707682409796E-3</v>
      </c>
      <c r="F81" s="399">
        <v>12.24</v>
      </c>
      <c r="G81" s="400">
        <f t="shared" si="3"/>
        <v>-1.3698630136986245E-2</v>
      </c>
    </row>
    <row r="82" spans="1:7" x14ac:dyDescent="0.2">
      <c r="A82" s="402">
        <v>42793</v>
      </c>
      <c r="C82" s="399">
        <v>50.003937000000001</v>
      </c>
      <c r="D82" s="400">
        <f t="shared" si="2"/>
        <v>2.2100599577072888E-3</v>
      </c>
      <c r="F82" s="399">
        <v>12.82</v>
      </c>
      <c r="G82" s="400">
        <f t="shared" si="3"/>
        <v>4.7385620915032733E-2</v>
      </c>
    </row>
    <row r="83" spans="1:7" x14ac:dyDescent="0.2">
      <c r="A83" s="402">
        <v>42794</v>
      </c>
      <c r="C83" s="399">
        <v>49.792599000000003</v>
      </c>
      <c r="D83" s="400">
        <f t="shared" si="2"/>
        <v>-4.2264272111213197E-3</v>
      </c>
      <c r="F83" s="399">
        <v>12.94</v>
      </c>
      <c r="G83" s="400">
        <f t="shared" si="3"/>
        <v>9.3603744149766133E-3</v>
      </c>
    </row>
    <row r="84" spans="1:7" x14ac:dyDescent="0.2">
      <c r="A84" s="402">
        <v>42795</v>
      </c>
      <c r="C84" s="399">
        <v>50.509307999999997</v>
      </c>
      <c r="D84" s="400">
        <f t="shared" si="2"/>
        <v>1.4393886127534561E-2</v>
      </c>
      <c r="F84" s="399">
        <v>14.54</v>
      </c>
      <c r="G84" s="400">
        <f t="shared" si="3"/>
        <v>0.12364760432766619</v>
      </c>
    </row>
    <row r="85" spans="1:7" x14ac:dyDescent="0.2">
      <c r="A85" s="402">
        <v>42796</v>
      </c>
      <c r="C85" s="399">
        <v>50.178524000000003</v>
      </c>
      <c r="D85" s="400">
        <f t="shared" si="2"/>
        <v>-6.5489711322117561E-3</v>
      </c>
      <c r="F85" s="399">
        <v>15.15</v>
      </c>
      <c r="G85" s="400">
        <f t="shared" si="3"/>
        <v>4.1953232462173418E-2</v>
      </c>
    </row>
    <row r="86" spans="1:7" x14ac:dyDescent="0.2">
      <c r="A86" s="402">
        <v>42797</v>
      </c>
      <c r="C86" s="399">
        <v>50.215282000000002</v>
      </c>
      <c r="D86" s="400">
        <f t="shared" si="2"/>
        <v>7.3254446463977274E-4</v>
      </c>
      <c r="F86" s="399">
        <v>15.15</v>
      </c>
      <c r="G86" s="400">
        <f t="shared" si="3"/>
        <v>0</v>
      </c>
    </row>
    <row r="87" spans="1:7" x14ac:dyDescent="0.2">
      <c r="A87" s="402">
        <v>42800</v>
      </c>
      <c r="C87" s="399">
        <v>50.022311999999999</v>
      </c>
      <c r="D87" s="400">
        <f t="shared" si="2"/>
        <v>-3.842854053871525E-3</v>
      </c>
      <c r="F87" s="399">
        <v>15.04</v>
      </c>
      <c r="G87" s="400">
        <f t="shared" si="3"/>
        <v>-7.2607260726073042E-3</v>
      </c>
    </row>
    <row r="88" spans="1:7" x14ac:dyDescent="0.2">
      <c r="A88" s="402">
        <v>42801</v>
      </c>
      <c r="C88" s="399">
        <v>49.856926000000001</v>
      </c>
      <c r="D88" s="400">
        <f t="shared" si="2"/>
        <v>-3.3062446214000563E-3</v>
      </c>
      <c r="F88" s="399">
        <v>14.54</v>
      </c>
      <c r="G88" s="400">
        <f t="shared" si="3"/>
        <v>-3.3244680851063801E-2</v>
      </c>
    </row>
    <row r="89" spans="1:7" x14ac:dyDescent="0.2">
      <c r="A89" s="402">
        <v>42802</v>
      </c>
      <c r="C89" s="399">
        <v>49.728290999999999</v>
      </c>
      <c r="D89" s="400">
        <f t="shared" si="2"/>
        <v>-2.5800828554893851E-3</v>
      </c>
      <c r="F89" s="399">
        <v>14.91</v>
      </c>
      <c r="G89" s="400">
        <f t="shared" si="3"/>
        <v>2.5447042640990514E-2</v>
      </c>
    </row>
    <row r="90" spans="1:7" x14ac:dyDescent="0.2">
      <c r="A90" s="402">
        <v>42803</v>
      </c>
      <c r="C90" s="399">
        <v>49.737479999999998</v>
      </c>
      <c r="D90" s="400">
        <f t="shared" si="2"/>
        <v>1.8478415033396089E-4</v>
      </c>
      <c r="F90" s="399">
        <v>14.85</v>
      </c>
      <c r="G90" s="400">
        <f t="shared" si="3"/>
        <v>-4.0241448692153181E-3</v>
      </c>
    </row>
    <row r="91" spans="1:7" x14ac:dyDescent="0.2">
      <c r="A91" s="402">
        <v>42804</v>
      </c>
      <c r="C91" s="399">
        <v>49.902866000000003</v>
      </c>
      <c r="D91" s="400">
        <f t="shared" si="2"/>
        <v>3.3251785172871973E-3</v>
      </c>
      <c r="F91" s="399">
        <v>15.27</v>
      </c>
      <c r="G91" s="400">
        <f t="shared" si="3"/>
        <v>2.8282828282828243E-2</v>
      </c>
    </row>
    <row r="92" spans="1:7" x14ac:dyDescent="0.2">
      <c r="A92" s="402">
        <v>42807</v>
      </c>
      <c r="C92" s="399">
        <v>49.948810999999999</v>
      </c>
      <c r="D92" s="400">
        <f t="shared" si="2"/>
        <v>9.206886033359396E-4</v>
      </c>
      <c r="F92" s="399">
        <v>15.35</v>
      </c>
      <c r="G92" s="400">
        <f t="shared" si="3"/>
        <v>5.2390307793057644E-3</v>
      </c>
    </row>
    <row r="93" spans="1:7" x14ac:dyDescent="0.2">
      <c r="A93" s="402">
        <v>42808</v>
      </c>
      <c r="C93" s="399">
        <v>49.783420999999997</v>
      </c>
      <c r="D93" s="400">
        <f t="shared" si="2"/>
        <v>-3.311189930026659E-3</v>
      </c>
      <c r="F93" s="399">
        <v>15.12</v>
      </c>
      <c r="G93" s="400">
        <f t="shared" si="3"/>
        <v>-1.4983713355048889E-2</v>
      </c>
    </row>
    <row r="94" spans="1:7" x14ac:dyDescent="0.2">
      <c r="A94" s="402">
        <v>42809</v>
      </c>
      <c r="C94" s="399">
        <v>50.215282000000002</v>
      </c>
      <c r="D94" s="400">
        <f t="shared" si="2"/>
        <v>8.6747955709995939E-3</v>
      </c>
      <c r="F94" s="399">
        <v>15.43</v>
      </c>
      <c r="G94" s="400">
        <f t="shared" si="3"/>
        <v>2.0502645502645578E-2</v>
      </c>
    </row>
    <row r="95" spans="1:7" x14ac:dyDescent="0.2">
      <c r="A95" s="402">
        <v>42810</v>
      </c>
      <c r="C95" s="399">
        <v>50.169327000000003</v>
      </c>
      <c r="D95" s="400">
        <f t="shared" si="2"/>
        <v>-9.1515965199595595E-4</v>
      </c>
      <c r="F95" s="399">
        <v>15.75</v>
      </c>
      <c r="G95" s="400">
        <f t="shared" si="3"/>
        <v>2.0738820479585307E-2</v>
      </c>
    </row>
    <row r="96" spans="1:7" x14ac:dyDescent="0.2">
      <c r="A96" s="402">
        <v>42811</v>
      </c>
      <c r="C96" s="399">
        <v>50.150955000000003</v>
      </c>
      <c r="D96" s="400">
        <f t="shared" si="2"/>
        <v>-3.661998495614327E-4</v>
      </c>
      <c r="F96" s="399">
        <v>15.63</v>
      </c>
      <c r="G96" s="400">
        <f t="shared" si="3"/>
        <v>-7.6190476190475254E-3</v>
      </c>
    </row>
    <row r="97" spans="1:7" x14ac:dyDescent="0.2">
      <c r="A97" s="402">
        <v>42814</v>
      </c>
      <c r="C97" s="399">
        <v>50.013134000000001</v>
      </c>
      <c r="D97" s="400">
        <f t="shared" si="2"/>
        <v>-2.7481231414238083E-3</v>
      </c>
      <c r="F97" s="399">
        <v>15.04</v>
      </c>
      <c r="G97" s="400">
        <f t="shared" si="3"/>
        <v>-3.7747920665387125E-2</v>
      </c>
    </row>
    <row r="98" spans="1:7" x14ac:dyDescent="0.2">
      <c r="A98" s="402">
        <v>42815</v>
      </c>
      <c r="C98" s="399">
        <v>49.305610999999999</v>
      </c>
      <c r="D98" s="400">
        <f t="shared" si="2"/>
        <v>-1.4146743933303618E-2</v>
      </c>
      <c r="F98" s="399">
        <v>14.47</v>
      </c>
      <c r="G98" s="400">
        <f t="shared" si="3"/>
        <v>-3.7898936170212671E-2</v>
      </c>
    </row>
    <row r="99" spans="1:7" x14ac:dyDescent="0.2">
      <c r="A99" s="402">
        <v>42816</v>
      </c>
      <c r="C99" s="399">
        <v>49.369929999999997</v>
      </c>
      <c r="D99" s="400">
        <f t="shared" si="2"/>
        <v>1.3044965612534209E-3</v>
      </c>
      <c r="F99" s="399">
        <v>14.4</v>
      </c>
      <c r="G99" s="400">
        <f t="shared" si="3"/>
        <v>-4.8375950241880128E-3</v>
      </c>
    </row>
    <row r="100" spans="1:7" x14ac:dyDescent="0.2">
      <c r="A100" s="402">
        <v>42817</v>
      </c>
      <c r="C100" s="399">
        <v>49.369929999999997</v>
      </c>
      <c r="D100" s="400">
        <f t="shared" si="2"/>
        <v>0</v>
      </c>
      <c r="F100" s="399">
        <v>14.51</v>
      </c>
      <c r="G100" s="400">
        <f t="shared" si="3"/>
        <v>7.6388888888887507E-3</v>
      </c>
    </row>
    <row r="101" spans="1:7" x14ac:dyDescent="0.2">
      <c r="A101" s="402">
        <v>42818</v>
      </c>
      <c r="C101" s="399">
        <v>49.371783999999998</v>
      </c>
      <c r="D101" s="400">
        <f t="shared" si="2"/>
        <v>3.7553223186659324E-5</v>
      </c>
      <c r="F101" s="399">
        <v>14.44</v>
      </c>
      <c r="G101" s="400">
        <f t="shared" si="3"/>
        <v>-4.8242591316334238E-3</v>
      </c>
    </row>
    <row r="102" spans="1:7" x14ac:dyDescent="0.2">
      <c r="A102" s="402">
        <v>42821</v>
      </c>
      <c r="C102" s="399">
        <v>49.288741999999999</v>
      </c>
      <c r="D102" s="400">
        <f t="shared" si="2"/>
        <v>-1.6819728450565563E-3</v>
      </c>
      <c r="F102" s="399">
        <v>14.47</v>
      </c>
      <c r="G102" s="400">
        <f t="shared" si="3"/>
        <v>2.0775623268698418E-3</v>
      </c>
    </row>
    <row r="103" spans="1:7" x14ac:dyDescent="0.2">
      <c r="A103" s="402">
        <v>42822</v>
      </c>
      <c r="C103" s="399">
        <v>49.685485999999997</v>
      </c>
      <c r="D103" s="400">
        <f t="shared" si="2"/>
        <v>8.0493837720589934E-3</v>
      </c>
      <c r="F103" s="399">
        <v>14.65</v>
      </c>
      <c r="G103" s="400">
        <f t="shared" si="3"/>
        <v>1.2439530062197557E-2</v>
      </c>
    </row>
    <row r="104" spans="1:7" x14ac:dyDescent="0.2">
      <c r="A104" s="402">
        <v>42823</v>
      </c>
      <c r="C104" s="399">
        <v>49.777752</v>
      </c>
      <c r="D104" s="400">
        <f t="shared" si="2"/>
        <v>1.8570010566063555E-3</v>
      </c>
      <c r="F104" s="399">
        <v>14.86</v>
      </c>
      <c r="G104" s="400">
        <f t="shared" si="3"/>
        <v>1.4334470989761039E-2</v>
      </c>
    </row>
    <row r="105" spans="1:7" x14ac:dyDescent="0.2">
      <c r="A105" s="402">
        <v>42824</v>
      </c>
      <c r="C105" s="399">
        <v>49.943835999999997</v>
      </c>
      <c r="D105" s="400">
        <f t="shared" si="2"/>
        <v>3.3365106564071656E-3</v>
      </c>
      <c r="F105" s="399">
        <v>14.84</v>
      </c>
      <c r="G105" s="400">
        <f t="shared" si="3"/>
        <v>-1.3458950201884479E-3</v>
      </c>
    </row>
    <row r="106" spans="1:7" x14ac:dyDescent="0.2">
      <c r="A106" s="402">
        <v>42825</v>
      </c>
      <c r="C106" s="399">
        <v>49.851562999999999</v>
      </c>
      <c r="D106" s="400">
        <f t="shared" si="2"/>
        <v>-1.8475352994511418E-3</v>
      </c>
      <c r="F106" s="399">
        <v>14.9</v>
      </c>
      <c r="G106" s="400">
        <f t="shared" si="3"/>
        <v>4.0431266846361336E-3</v>
      </c>
    </row>
    <row r="107" spans="1:7" x14ac:dyDescent="0.2">
      <c r="A107" s="402">
        <v>42828</v>
      </c>
      <c r="C107" s="399">
        <v>49.694716999999997</v>
      </c>
      <c r="D107" s="400">
        <f t="shared" si="2"/>
        <v>-3.1462604291865315E-3</v>
      </c>
      <c r="F107" s="399">
        <v>14.64</v>
      </c>
      <c r="G107" s="400">
        <f t="shared" si="3"/>
        <v>-1.7449664429530221E-2</v>
      </c>
    </row>
    <row r="108" spans="1:7" x14ac:dyDescent="0.2">
      <c r="A108" s="402">
        <v>42829</v>
      </c>
      <c r="C108" s="399">
        <v>49.740845</v>
      </c>
      <c r="D108" s="400">
        <f t="shared" si="2"/>
        <v>9.2822744115839129E-4</v>
      </c>
      <c r="F108" s="399">
        <v>14.88</v>
      </c>
      <c r="G108" s="400">
        <f t="shared" si="3"/>
        <v>1.6393442622950838E-2</v>
      </c>
    </row>
    <row r="109" spans="1:7" x14ac:dyDescent="0.2">
      <c r="A109" s="402">
        <v>42830</v>
      </c>
      <c r="C109" s="399">
        <v>49.547080999999999</v>
      </c>
      <c r="D109" s="400">
        <f t="shared" si="2"/>
        <v>-3.8954706137380724E-3</v>
      </c>
      <c r="F109" s="399">
        <v>14.86</v>
      </c>
      <c r="G109" s="400">
        <f t="shared" si="3"/>
        <v>-1.3440860215054862E-3</v>
      </c>
    </row>
    <row r="110" spans="1:7" x14ac:dyDescent="0.2">
      <c r="A110" s="402">
        <v>42831</v>
      </c>
      <c r="C110" s="399">
        <v>49.722392999999997</v>
      </c>
      <c r="D110" s="400">
        <f t="shared" si="2"/>
        <v>3.5382911861143729E-3</v>
      </c>
      <c r="F110" s="399">
        <v>15.08</v>
      </c>
      <c r="G110" s="400">
        <f t="shared" si="3"/>
        <v>1.4804845222072816E-2</v>
      </c>
    </row>
    <row r="111" spans="1:7" x14ac:dyDescent="0.2">
      <c r="A111" s="402">
        <v>42832</v>
      </c>
      <c r="C111" s="399">
        <v>49.685485999999997</v>
      </c>
      <c r="D111" s="400">
        <f t="shared" si="2"/>
        <v>-7.4226113775333058E-4</v>
      </c>
      <c r="F111" s="399">
        <v>15.09</v>
      </c>
      <c r="G111" s="400">
        <f t="shared" si="3"/>
        <v>6.6312997347472979E-4</v>
      </c>
    </row>
    <row r="112" spans="1:7" x14ac:dyDescent="0.2">
      <c r="A112" s="402">
        <v>42835</v>
      </c>
      <c r="C112" s="399">
        <v>49.713169000000001</v>
      </c>
      <c r="D112" s="400">
        <f t="shared" si="2"/>
        <v>5.5716472210831647E-4</v>
      </c>
      <c r="F112" s="399">
        <v>15.23</v>
      </c>
      <c r="G112" s="400">
        <f t="shared" si="3"/>
        <v>9.2776673293573086E-3</v>
      </c>
    </row>
    <row r="113" spans="1:7" x14ac:dyDescent="0.2">
      <c r="A113" s="402">
        <v>42836</v>
      </c>
      <c r="C113" s="399">
        <v>49.685485999999997</v>
      </c>
      <c r="D113" s="400">
        <f t="shared" si="2"/>
        <v>-5.5685446244646553E-4</v>
      </c>
      <c r="F113" s="399">
        <v>15.37</v>
      </c>
      <c r="G113" s="400">
        <f t="shared" si="3"/>
        <v>9.1923834537097626E-3</v>
      </c>
    </row>
    <row r="114" spans="1:7" x14ac:dyDescent="0.2">
      <c r="A114" s="402">
        <v>42837</v>
      </c>
      <c r="C114" s="399">
        <v>49.473267</v>
      </c>
      <c r="D114" s="400">
        <f t="shared" si="2"/>
        <v>-4.2712473417286789E-3</v>
      </c>
      <c r="F114" s="399">
        <v>15.07</v>
      </c>
      <c r="G114" s="400">
        <f t="shared" si="3"/>
        <v>-1.9518542615484691E-2</v>
      </c>
    </row>
    <row r="115" spans="1:7" x14ac:dyDescent="0.2">
      <c r="A115" s="402">
        <v>42838</v>
      </c>
      <c r="C115" s="399">
        <v>49.094977999999998</v>
      </c>
      <c r="D115" s="400">
        <f t="shared" si="2"/>
        <v>-7.6463315026275014E-3</v>
      </c>
      <c r="F115" s="399">
        <v>14.78</v>
      </c>
      <c r="G115" s="400">
        <f t="shared" si="3"/>
        <v>-1.924353019243541E-2</v>
      </c>
    </row>
    <row r="116" spans="1:7" x14ac:dyDescent="0.2">
      <c r="A116" s="402">
        <v>42842</v>
      </c>
      <c r="C116" s="399">
        <v>49.547080999999999</v>
      </c>
      <c r="D116" s="400">
        <f t="shared" si="2"/>
        <v>9.2087422872457747E-3</v>
      </c>
      <c r="F116" s="399">
        <v>14.84</v>
      </c>
      <c r="G116" s="400">
        <f t="shared" si="3"/>
        <v>4.0595399188092518E-3</v>
      </c>
    </row>
    <row r="117" spans="1:7" x14ac:dyDescent="0.2">
      <c r="A117" s="402">
        <v>42843</v>
      </c>
      <c r="C117" s="399">
        <v>49.436371000000001</v>
      </c>
      <c r="D117" s="400">
        <f t="shared" si="2"/>
        <v>-2.2344404103240567E-3</v>
      </c>
      <c r="F117" s="399">
        <v>14.93</v>
      </c>
      <c r="G117" s="400">
        <f t="shared" si="3"/>
        <v>6.0646900269540893E-3</v>
      </c>
    </row>
    <row r="118" spans="1:7" x14ac:dyDescent="0.2">
      <c r="A118" s="402">
        <v>42844</v>
      </c>
      <c r="C118" s="399">
        <v>49.399459999999998</v>
      </c>
      <c r="D118" s="400">
        <f t="shared" si="2"/>
        <v>-7.4663651990158897E-4</v>
      </c>
      <c r="F118" s="399">
        <v>14.99</v>
      </c>
      <c r="G118" s="400">
        <f t="shared" si="3"/>
        <v>4.0187541862022336E-3</v>
      </c>
    </row>
    <row r="119" spans="1:7" x14ac:dyDescent="0.2">
      <c r="A119" s="402">
        <v>42845</v>
      </c>
      <c r="C119" s="399">
        <v>49.78698</v>
      </c>
      <c r="D119" s="400">
        <f t="shared" si="2"/>
        <v>7.8446201638642243E-3</v>
      </c>
      <c r="F119" s="399">
        <v>15.31</v>
      </c>
      <c r="G119" s="400">
        <f t="shared" si="3"/>
        <v>2.1347565043362327E-2</v>
      </c>
    </row>
    <row r="120" spans="1:7" x14ac:dyDescent="0.2">
      <c r="A120" s="402">
        <v>42846</v>
      </c>
      <c r="C120" s="399">
        <v>49.657806000000001</v>
      </c>
      <c r="D120" s="400">
        <f t="shared" si="2"/>
        <v>-2.5945337515952405E-3</v>
      </c>
      <c r="F120" s="399">
        <v>15.39</v>
      </c>
      <c r="G120" s="400">
        <f t="shared" si="3"/>
        <v>5.2253429131285944E-3</v>
      </c>
    </row>
    <row r="121" spans="1:7" x14ac:dyDescent="0.2">
      <c r="A121" s="402">
        <v>42849</v>
      </c>
      <c r="C121" s="399">
        <v>50.174500000000002</v>
      </c>
      <c r="D121" s="400">
        <f t="shared" si="2"/>
        <v>1.0405091195531346E-2</v>
      </c>
      <c r="F121" s="399">
        <v>15.83</v>
      </c>
      <c r="G121" s="400">
        <f t="shared" si="3"/>
        <v>2.8589993502274202E-2</v>
      </c>
    </row>
    <row r="122" spans="1:7" x14ac:dyDescent="0.2">
      <c r="A122" s="402">
        <v>42850</v>
      </c>
      <c r="C122" s="399">
        <v>50.478977</v>
      </c>
      <c r="D122" s="400">
        <f t="shared" si="2"/>
        <v>6.0683614186489709E-3</v>
      </c>
      <c r="F122" s="399">
        <v>16.100000000000001</v>
      </c>
      <c r="G122" s="400">
        <f t="shared" si="3"/>
        <v>1.7056222362602735E-2</v>
      </c>
    </row>
    <row r="123" spans="1:7" x14ac:dyDescent="0.2">
      <c r="A123" s="402">
        <v>42851</v>
      </c>
      <c r="C123" s="399">
        <v>50.515887999999997</v>
      </c>
      <c r="D123" s="400">
        <f t="shared" si="2"/>
        <v>7.3121529384390094E-4</v>
      </c>
      <c r="F123" s="399">
        <v>16</v>
      </c>
      <c r="G123" s="400">
        <f t="shared" si="3"/>
        <v>-6.2111801242237252E-3</v>
      </c>
    </row>
    <row r="124" spans="1:7" x14ac:dyDescent="0.2">
      <c r="A124" s="402">
        <v>42852</v>
      </c>
      <c r="C124" s="399">
        <v>50.552795000000003</v>
      </c>
      <c r="D124" s="400">
        <f t="shared" si="2"/>
        <v>7.3060182570694465E-4</v>
      </c>
      <c r="F124" s="399">
        <v>16.049999</v>
      </c>
      <c r="G124" s="400">
        <f t="shared" si="3"/>
        <v>3.1249374999999802E-3</v>
      </c>
    </row>
    <row r="125" spans="1:7" x14ac:dyDescent="0.2">
      <c r="A125" s="402">
        <v>42853</v>
      </c>
      <c r="C125" s="399">
        <v>50.349795999999998</v>
      </c>
      <c r="D125" s="400">
        <f t="shared" si="2"/>
        <v>-4.0155841037079476E-3</v>
      </c>
      <c r="F125" s="399">
        <v>16.010000000000002</v>
      </c>
      <c r="G125" s="400">
        <f t="shared" si="3"/>
        <v>-2.4921496879842797E-3</v>
      </c>
    </row>
    <row r="126" spans="1:7" x14ac:dyDescent="0.2">
      <c r="A126" s="402">
        <v>42856</v>
      </c>
      <c r="C126" s="399">
        <v>50.506659999999997</v>
      </c>
      <c r="D126" s="400">
        <f t="shared" si="2"/>
        <v>3.1154843209295624E-3</v>
      </c>
      <c r="F126" s="399">
        <v>16.209999</v>
      </c>
      <c r="G126" s="400">
        <f t="shared" si="3"/>
        <v>1.2492129918800554E-2</v>
      </c>
    </row>
    <row r="127" spans="1:7" x14ac:dyDescent="0.2">
      <c r="A127" s="402">
        <v>42857</v>
      </c>
      <c r="C127" s="399">
        <v>50.497433000000001</v>
      </c>
      <c r="D127" s="400">
        <f t="shared" si="2"/>
        <v>-1.8268877807392503E-4</v>
      </c>
      <c r="F127" s="399">
        <v>16.389999</v>
      </c>
      <c r="G127" s="400">
        <f t="shared" si="3"/>
        <v>1.1104257316733923E-2</v>
      </c>
    </row>
    <row r="128" spans="1:7" x14ac:dyDescent="0.2">
      <c r="A128" s="402">
        <v>42858</v>
      </c>
      <c r="C128" s="399">
        <v>50.368259000000002</v>
      </c>
      <c r="D128" s="400">
        <f t="shared" si="2"/>
        <v>-2.5580310191213318E-3</v>
      </c>
      <c r="F128" s="399">
        <v>15.91</v>
      </c>
      <c r="G128" s="400">
        <f t="shared" si="3"/>
        <v>-2.9286090865533243E-2</v>
      </c>
    </row>
    <row r="129" spans="1:7" x14ac:dyDescent="0.2">
      <c r="A129" s="402">
        <v>42859</v>
      </c>
      <c r="C129" s="399">
        <v>50.414394000000001</v>
      </c>
      <c r="D129" s="400">
        <f t="shared" si="2"/>
        <v>9.159538351326546E-4</v>
      </c>
      <c r="F129" s="399">
        <v>16.049999</v>
      </c>
      <c r="G129" s="400">
        <f t="shared" si="3"/>
        <v>8.7994343180388679E-3</v>
      </c>
    </row>
    <row r="130" spans="1:7" x14ac:dyDescent="0.2">
      <c r="A130" s="402">
        <v>42860</v>
      </c>
      <c r="C130" s="399">
        <v>50.635829999999999</v>
      </c>
      <c r="D130" s="400">
        <f t="shared" si="2"/>
        <v>4.3923170037509784E-3</v>
      </c>
      <c r="F130" s="399">
        <v>16.010000000000002</v>
      </c>
      <c r="G130" s="400">
        <f t="shared" si="3"/>
        <v>-2.4921496879842797E-3</v>
      </c>
    </row>
    <row r="131" spans="1:7" x14ac:dyDescent="0.2">
      <c r="A131" s="402">
        <v>42863</v>
      </c>
      <c r="C131" s="399">
        <v>50.608147000000002</v>
      </c>
      <c r="D131" s="400">
        <f t="shared" si="2"/>
        <v>-5.4670773639919901E-4</v>
      </c>
      <c r="F131" s="399">
        <v>15.5</v>
      </c>
      <c r="G131" s="400">
        <f t="shared" si="3"/>
        <v>-3.1855090568394862E-2</v>
      </c>
    </row>
    <row r="132" spans="1:7" x14ac:dyDescent="0.2">
      <c r="A132" s="402">
        <v>42864</v>
      </c>
      <c r="C132" s="399">
        <v>50.571235999999999</v>
      </c>
      <c r="D132" s="400">
        <f t="shared" si="2"/>
        <v>-7.2934897221199613E-4</v>
      </c>
      <c r="F132" s="399">
        <v>15.34</v>
      </c>
      <c r="G132" s="400">
        <f t="shared" si="3"/>
        <v>-1.0322580645161339E-2</v>
      </c>
    </row>
    <row r="133" spans="1:7" x14ac:dyDescent="0.2">
      <c r="A133" s="402">
        <v>42865</v>
      </c>
      <c r="C133" s="399">
        <v>50.681964999999998</v>
      </c>
      <c r="D133" s="400">
        <f t="shared" si="2"/>
        <v>2.1895648348400076E-3</v>
      </c>
      <c r="F133" s="399">
        <v>14.89</v>
      </c>
      <c r="G133" s="400">
        <f t="shared" si="3"/>
        <v>-2.933507170795302E-2</v>
      </c>
    </row>
    <row r="134" spans="1:7" x14ac:dyDescent="0.2">
      <c r="A134" s="402">
        <v>42866</v>
      </c>
      <c r="C134" s="399">
        <v>50.552795000000003</v>
      </c>
      <c r="D134" s="400">
        <f t="shared" si="2"/>
        <v>-2.5486383568591453E-3</v>
      </c>
      <c r="F134" s="399">
        <v>14.81</v>
      </c>
      <c r="G134" s="400">
        <f t="shared" si="3"/>
        <v>-5.3727333781060649E-3</v>
      </c>
    </row>
    <row r="135" spans="1:7" x14ac:dyDescent="0.2">
      <c r="A135" s="402">
        <v>42867</v>
      </c>
      <c r="C135" s="399">
        <v>50.451293999999997</v>
      </c>
      <c r="D135" s="400">
        <f t="shared" ref="D135:D198" si="4">C135/C134-1</f>
        <v>-2.0078217238038709E-3</v>
      </c>
      <c r="F135" s="399">
        <v>14.24</v>
      </c>
      <c r="G135" s="400">
        <f t="shared" ref="G135:G198" si="5">F135/F134-1</f>
        <v>-3.8487508440243068E-2</v>
      </c>
    </row>
    <row r="136" spans="1:7" x14ac:dyDescent="0.2">
      <c r="A136" s="402">
        <v>42870</v>
      </c>
      <c r="C136" s="399">
        <v>50.718868000000001</v>
      </c>
      <c r="D136" s="400">
        <f t="shared" si="4"/>
        <v>5.3036102503138949E-3</v>
      </c>
      <c r="F136" s="399">
        <v>14.47</v>
      </c>
      <c r="G136" s="400">
        <f t="shared" si="5"/>
        <v>1.6151685393258397E-2</v>
      </c>
    </row>
    <row r="137" spans="1:7" x14ac:dyDescent="0.2">
      <c r="A137" s="402">
        <v>42871</v>
      </c>
      <c r="C137" s="399">
        <v>50.691192999999998</v>
      </c>
      <c r="D137" s="400">
        <f t="shared" si="4"/>
        <v>-5.4565492274005756E-4</v>
      </c>
      <c r="F137" s="399">
        <v>14.67</v>
      </c>
      <c r="G137" s="400">
        <f t="shared" si="5"/>
        <v>1.3821700069108545E-2</v>
      </c>
    </row>
    <row r="138" spans="1:7" x14ac:dyDescent="0.2">
      <c r="A138" s="402">
        <v>42872</v>
      </c>
      <c r="C138" s="399">
        <v>49.759300000000003</v>
      </c>
      <c r="D138" s="400">
        <f t="shared" si="4"/>
        <v>-1.8383725946240714E-2</v>
      </c>
      <c r="F138" s="399">
        <v>14.02</v>
      </c>
      <c r="G138" s="400">
        <f t="shared" si="5"/>
        <v>-4.4308111792774385E-2</v>
      </c>
    </row>
    <row r="139" spans="1:7" x14ac:dyDescent="0.2">
      <c r="A139" s="402">
        <v>42873</v>
      </c>
      <c r="C139" s="399">
        <v>49.925376999999997</v>
      </c>
      <c r="D139" s="400">
        <f t="shared" si="4"/>
        <v>3.3376072412591995E-3</v>
      </c>
      <c r="F139" s="399">
        <v>13.93</v>
      </c>
      <c r="G139" s="400">
        <f t="shared" si="5"/>
        <v>-6.4194008559200766E-3</v>
      </c>
    </row>
    <row r="140" spans="1:7" x14ac:dyDescent="0.2">
      <c r="A140" s="402">
        <v>42874</v>
      </c>
      <c r="C140" s="399">
        <v>50.257530000000003</v>
      </c>
      <c r="D140" s="400">
        <f t="shared" si="4"/>
        <v>6.6529893204412272E-3</v>
      </c>
      <c r="F140" s="399">
        <v>14.22</v>
      </c>
      <c r="G140" s="400">
        <f t="shared" si="5"/>
        <v>2.0818377602297211E-2</v>
      </c>
    </row>
    <row r="141" spans="1:7" x14ac:dyDescent="0.2">
      <c r="A141" s="402">
        <v>42877</v>
      </c>
      <c r="C141" s="399">
        <v>50.552795000000003</v>
      </c>
      <c r="D141" s="400">
        <f t="shared" si="4"/>
        <v>5.87504001887873E-3</v>
      </c>
      <c r="F141" s="399">
        <v>14.16</v>
      </c>
      <c r="G141" s="400">
        <f t="shared" si="5"/>
        <v>-4.2194092827004814E-3</v>
      </c>
    </row>
    <row r="142" spans="1:7" x14ac:dyDescent="0.2">
      <c r="A142" s="402">
        <v>42878</v>
      </c>
      <c r="C142" s="399">
        <v>50.608147000000002</v>
      </c>
      <c r="D142" s="400">
        <f t="shared" si="4"/>
        <v>1.0949345135120581E-3</v>
      </c>
      <c r="F142" s="399">
        <v>13.94</v>
      </c>
      <c r="G142" s="400">
        <f t="shared" si="5"/>
        <v>-1.5536723163841804E-2</v>
      </c>
    </row>
    <row r="143" spans="1:7" x14ac:dyDescent="0.2">
      <c r="A143" s="402">
        <v>42879</v>
      </c>
      <c r="C143" s="399">
        <v>50.755775</v>
      </c>
      <c r="D143" s="400">
        <f t="shared" si="4"/>
        <v>2.9170797342175092E-3</v>
      </c>
      <c r="F143" s="399">
        <v>13.77</v>
      </c>
      <c r="G143" s="400">
        <f t="shared" si="5"/>
        <v>-1.2195121951219523E-2</v>
      </c>
    </row>
    <row r="144" spans="1:7" x14ac:dyDescent="0.2">
      <c r="A144" s="402">
        <v>42880</v>
      </c>
      <c r="C144" s="399">
        <v>50.986446000000001</v>
      </c>
      <c r="D144" s="400">
        <f t="shared" si="4"/>
        <v>4.544724221037022E-3</v>
      </c>
      <c r="F144" s="399">
        <v>13.81</v>
      </c>
      <c r="G144" s="400">
        <f t="shared" si="5"/>
        <v>2.9048656499637282E-3</v>
      </c>
    </row>
    <row r="145" spans="1:7" x14ac:dyDescent="0.2">
      <c r="A145" s="402">
        <v>42881</v>
      </c>
      <c r="C145" s="399">
        <v>50.977226000000002</v>
      </c>
      <c r="D145" s="400">
        <f t="shared" si="4"/>
        <v>-1.8083237258781359E-4</v>
      </c>
      <c r="F145" s="399">
        <v>13.89</v>
      </c>
      <c r="G145" s="400">
        <f t="shared" si="5"/>
        <v>5.7929036929760258E-3</v>
      </c>
    </row>
    <row r="146" spans="1:7" x14ac:dyDescent="0.2">
      <c r="A146" s="402">
        <v>42885</v>
      </c>
      <c r="C146" s="399">
        <v>50.894168999999998</v>
      </c>
      <c r="D146" s="400">
        <f t="shared" si="4"/>
        <v>-1.6292961880665091E-3</v>
      </c>
      <c r="F146" s="399">
        <v>13.52</v>
      </c>
      <c r="G146" s="400">
        <f t="shared" si="5"/>
        <v>-2.6637868970482481E-2</v>
      </c>
    </row>
    <row r="147" spans="1:7" x14ac:dyDescent="0.2">
      <c r="A147" s="402">
        <v>42886</v>
      </c>
      <c r="C147" s="399">
        <v>50.88496</v>
      </c>
      <c r="D147" s="400">
        <f t="shared" si="4"/>
        <v>-1.8094410776214875E-4</v>
      </c>
      <c r="F147" s="399">
        <v>13.66</v>
      </c>
      <c r="G147" s="400">
        <f t="shared" si="5"/>
        <v>1.0355029585798814E-2</v>
      </c>
    </row>
    <row r="148" spans="1:7" x14ac:dyDescent="0.2">
      <c r="A148" s="402">
        <v>42887</v>
      </c>
      <c r="C148" s="399">
        <v>51.337048000000003</v>
      </c>
      <c r="D148" s="400">
        <f t="shared" si="4"/>
        <v>8.8845112583364472E-3</v>
      </c>
      <c r="F148" s="399">
        <v>13.95</v>
      </c>
      <c r="G148" s="400">
        <f t="shared" si="5"/>
        <v>2.1229868228404003E-2</v>
      </c>
    </row>
    <row r="149" spans="1:7" x14ac:dyDescent="0.2">
      <c r="A149" s="402">
        <v>42888</v>
      </c>
      <c r="C149" s="399">
        <v>51.521586999999997</v>
      </c>
      <c r="D149" s="400">
        <f t="shared" si="4"/>
        <v>3.594655462074714E-3</v>
      </c>
      <c r="F149" s="399">
        <v>14.42</v>
      </c>
      <c r="G149" s="400">
        <f t="shared" si="5"/>
        <v>3.3691756272401507E-2</v>
      </c>
    </row>
    <row r="150" spans="1:7" x14ac:dyDescent="0.2">
      <c r="A150" s="402">
        <v>42891</v>
      </c>
      <c r="C150" s="399">
        <v>51.466220999999997</v>
      </c>
      <c r="D150" s="400">
        <f t="shared" si="4"/>
        <v>-1.0746175190604612E-3</v>
      </c>
      <c r="F150" s="399">
        <v>14.05</v>
      </c>
      <c r="G150" s="400">
        <f t="shared" si="5"/>
        <v>-2.5658807212205259E-2</v>
      </c>
    </row>
    <row r="151" spans="1:7" x14ac:dyDescent="0.2">
      <c r="A151" s="402">
        <v>42892</v>
      </c>
      <c r="C151" s="399">
        <v>51.309372000000003</v>
      </c>
      <c r="D151" s="400">
        <f t="shared" si="4"/>
        <v>-3.0476105871459769E-3</v>
      </c>
      <c r="F151" s="399">
        <v>13.96</v>
      </c>
      <c r="G151" s="400">
        <f t="shared" si="5"/>
        <v>-6.4056939501778709E-3</v>
      </c>
    </row>
    <row r="152" spans="1:7" x14ac:dyDescent="0.2">
      <c r="A152" s="402">
        <v>42893</v>
      </c>
      <c r="C152" s="399">
        <v>51.373955000000002</v>
      </c>
      <c r="D152" s="400">
        <f t="shared" si="4"/>
        <v>1.2586979236464124E-3</v>
      </c>
      <c r="F152" s="399">
        <v>14.23</v>
      </c>
      <c r="G152" s="400">
        <f t="shared" si="5"/>
        <v>1.934097421203429E-2</v>
      </c>
    </row>
    <row r="153" spans="1:7" x14ac:dyDescent="0.2">
      <c r="A153" s="402">
        <v>42894</v>
      </c>
      <c r="C153" s="399">
        <v>51.484679999999997</v>
      </c>
      <c r="D153" s="400">
        <f t="shared" si="4"/>
        <v>2.155274983208777E-3</v>
      </c>
      <c r="F153" s="399">
        <v>14.9</v>
      </c>
      <c r="G153" s="400">
        <f t="shared" si="5"/>
        <v>4.7083626141953605E-2</v>
      </c>
    </row>
    <row r="154" spans="1:7" x14ac:dyDescent="0.2">
      <c r="A154" s="402">
        <v>42895</v>
      </c>
      <c r="C154" s="399">
        <v>51.429324999999999</v>
      </c>
      <c r="D154" s="400">
        <f t="shared" si="4"/>
        <v>-1.0751742071621884E-3</v>
      </c>
      <c r="F154" s="399">
        <v>14.79</v>
      </c>
      <c r="G154" s="400">
        <f t="shared" si="5"/>
        <v>-7.3825503355705591E-3</v>
      </c>
    </row>
    <row r="155" spans="1:7" x14ac:dyDescent="0.2">
      <c r="A155" s="402">
        <v>42898</v>
      </c>
      <c r="C155" s="399">
        <v>51.410873000000002</v>
      </c>
      <c r="D155" s="400">
        <f t="shared" si="4"/>
        <v>-3.5878363171204519E-4</v>
      </c>
      <c r="F155" s="399">
        <v>14.89</v>
      </c>
      <c r="G155" s="400">
        <f t="shared" si="5"/>
        <v>6.7613252197431528E-3</v>
      </c>
    </row>
    <row r="156" spans="1:7" x14ac:dyDescent="0.2">
      <c r="A156" s="402">
        <v>42899</v>
      </c>
      <c r="C156" s="399">
        <v>51.678435999999998</v>
      </c>
      <c r="D156" s="400">
        <f t="shared" si="4"/>
        <v>5.2044049125561376E-3</v>
      </c>
      <c r="F156" s="399">
        <v>15.31</v>
      </c>
      <c r="G156" s="400">
        <f t="shared" si="5"/>
        <v>2.8206850235056979E-2</v>
      </c>
    </row>
    <row r="157" spans="1:7" x14ac:dyDescent="0.2">
      <c r="A157" s="402">
        <v>42900</v>
      </c>
      <c r="C157" s="399">
        <v>51.576946</v>
      </c>
      <c r="D157" s="400">
        <f t="shared" si="4"/>
        <v>-1.9638752225396017E-3</v>
      </c>
      <c r="F157" s="399">
        <v>15.57</v>
      </c>
      <c r="G157" s="400">
        <f t="shared" si="5"/>
        <v>1.6982364467668098E-2</v>
      </c>
    </row>
    <row r="158" spans="1:7" x14ac:dyDescent="0.2">
      <c r="A158" s="402">
        <v>42901</v>
      </c>
      <c r="C158" s="399">
        <v>51.457005000000002</v>
      </c>
      <c r="D158" s="400">
        <f t="shared" si="4"/>
        <v>-2.3254769679460496E-3</v>
      </c>
      <c r="F158" s="399">
        <v>15.36</v>
      </c>
      <c r="G158" s="400">
        <f t="shared" si="5"/>
        <v>-1.3487475915221592E-2</v>
      </c>
    </row>
    <row r="159" spans="1:7" x14ac:dyDescent="0.2">
      <c r="A159" s="402">
        <v>42902</v>
      </c>
      <c r="C159" s="399">
        <v>51.466220999999997</v>
      </c>
      <c r="D159" s="400">
        <f t="shared" si="4"/>
        <v>1.7910097954576543E-4</v>
      </c>
      <c r="F159" s="399">
        <v>15.31</v>
      </c>
      <c r="G159" s="400">
        <f t="shared" si="5"/>
        <v>-3.2552083333332593E-3</v>
      </c>
    </row>
    <row r="160" spans="1:7" x14ac:dyDescent="0.2">
      <c r="A160" s="402">
        <v>42905</v>
      </c>
      <c r="C160" s="399">
        <v>51.881431999999997</v>
      </c>
      <c r="D160" s="400">
        <f t="shared" si="4"/>
        <v>8.0676411038611562E-3</v>
      </c>
      <c r="F160" s="399">
        <v>15.33</v>
      </c>
      <c r="G160" s="400">
        <f t="shared" si="5"/>
        <v>1.3063357282820931E-3</v>
      </c>
    </row>
    <row r="161" spans="1:7" x14ac:dyDescent="0.2">
      <c r="A161" s="402">
        <v>42906</v>
      </c>
      <c r="C161" s="399">
        <v>51.530814999999997</v>
      </c>
      <c r="D161" s="400">
        <f t="shared" si="4"/>
        <v>-6.7580439953931482E-3</v>
      </c>
      <c r="F161" s="399">
        <v>15.04</v>
      </c>
      <c r="G161" s="400">
        <f t="shared" si="5"/>
        <v>-1.8917155903457328E-2</v>
      </c>
    </row>
    <row r="162" spans="1:7" x14ac:dyDescent="0.2">
      <c r="A162" s="402">
        <v>42907</v>
      </c>
      <c r="C162" s="399">
        <v>51.475451999999997</v>
      </c>
      <c r="D162" s="400">
        <f t="shared" si="4"/>
        <v>-1.0743668618475866E-3</v>
      </c>
      <c r="F162" s="399">
        <v>14.7</v>
      </c>
      <c r="G162" s="400">
        <f t="shared" si="5"/>
        <v>-2.2606382978723416E-2</v>
      </c>
    </row>
    <row r="163" spans="1:7" x14ac:dyDescent="0.2">
      <c r="A163" s="402">
        <v>42908</v>
      </c>
      <c r="C163" s="399">
        <v>51.475451999999997</v>
      </c>
      <c r="D163" s="400">
        <f t="shared" si="4"/>
        <v>0</v>
      </c>
      <c r="F163" s="399">
        <v>14.8</v>
      </c>
      <c r="G163" s="400">
        <f t="shared" si="5"/>
        <v>6.8027210884353817E-3</v>
      </c>
    </row>
    <row r="164" spans="1:7" x14ac:dyDescent="0.2">
      <c r="A164" s="402">
        <v>42909</v>
      </c>
      <c r="C164" s="399">
        <v>51.613852999999999</v>
      </c>
      <c r="D164" s="400">
        <f t="shared" si="4"/>
        <v>2.6886796448140071E-3</v>
      </c>
      <c r="F164" s="399">
        <v>15.1</v>
      </c>
      <c r="G164" s="400">
        <f t="shared" si="5"/>
        <v>2.0270270270270174E-2</v>
      </c>
    </row>
    <row r="165" spans="1:7" x14ac:dyDescent="0.2">
      <c r="A165" s="402">
        <v>42912</v>
      </c>
      <c r="C165" s="399">
        <v>51.641528999999998</v>
      </c>
      <c r="D165" s="400">
        <f t="shared" si="4"/>
        <v>5.362126326822203E-4</v>
      </c>
      <c r="F165" s="399">
        <v>14.95</v>
      </c>
      <c r="G165" s="400">
        <f t="shared" si="5"/>
        <v>-9.9337748344371368E-3</v>
      </c>
    </row>
    <row r="166" spans="1:7" x14ac:dyDescent="0.2">
      <c r="A166" s="402">
        <v>42913</v>
      </c>
      <c r="C166" s="399">
        <v>51.206940000000003</v>
      </c>
      <c r="D166" s="400">
        <f t="shared" si="4"/>
        <v>-8.4154944366576778E-3</v>
      </c>
      <c r="F166" s="399">
        <v>14.85</v>
      </c>
      <c r="G166" s="400">
        <f t="shared" si="5"/>
        <v>-6.6889632107023367E-3</v>
      </c>
    </row>
    <row r="167" spans="1:7" x14ac:dyDescent="0.2">
      <c r="A167" s="402">
        <v>42914</v>
      </c>
      <c r="C167" s="399">
        <v>51.707324999999997</v>
      </c>
      <c r="D167" s="400">
        <f t="shared" si="4"/>
        <v>9.7718199915870496E-3</v>
      </c>
      <c r="F167" s="399">
        <v>15.43</v>
      </c>
      <c r="G167" s="400">
        <f t="shared" si="5"/>
        <v>3.9057239057239013E-2</v>
      </c>
    </row>
    <row r="168" spans="1:7" x14ac:dyDescent="0.2">
      <c r="A168" s="402">
        <v>42915</v>
      </c>
      <c r="C168" s="399">
        <v>51.281063000000003</v>
      </c>
      <c r="D168" s="400">
        <f t="shared" si="4"/>
        <v>-8.2437449626333592E-3</v>
      </c>
      <c r="F168" s="399">
        <v>15.01</v>
      </c>
      <c r="G168" s="400">
        <f t="shared" si="5"/>
        <v>-2.7219701879455549E-2</v>
      </c>
    </row>
    <row r="169" spans="1:7" x14ac:dyDescent="0.2">
      <c r="A169" s="402">
        <v>42916</v>
      </c>
      <c r="C169" s="399">
        <v>51.355198000000001</v>
      </c>
      <c r="D169" s="400">
        <f t="shared" si="4"/>
        <v>1.4456603600436768E-3</v>
      </c>
      <c r="F169" s="399">
        <v>15.32</v>
      </c>
      <c r="G169" s="400">
        <f t="shared" si="5"/>
        <v>2.0652898067954784E-2</v>
      </c>
    </row>
    <row r="170" spans="1:7" x14ac:dyDescent="0.2">
      <c r="A170" s="402">
        <v>42919</v>
      </c>
      <c r="C170" s="399">
        <v>51.494194</v>
      </c>
      <c r="D170" s="400">
        <f t="shared" si="4"/>
        <v>2.7065614662804549E-3</v>
      </c>
      <c r="F170" s="399">
        <v>15.34</v>
      </c>
      <c r="G170" s="400">
        <f t="shared" si="5"/>
        <v>1.3054830287206887E-3</v>
      </c>
    </row>
    <row r="171" spans="1:7" x14ac:dyDescent="0.2">
      <c r="A171" s="402">
        <v>42921</v>
      </c>
      <c r="C171" s="399">
        <v>51.531261000000001</v>
      </c>
      <c r="D171" s="400">
        <f t="shared" si="4"/>
        <v>7.198287247685009E-4</v>
      </c>
      <c r="F171" s="399">
        <v>15.43</v>
      </c>
      <c r="G171" s="400">
        <f t="shared" si="5"/>
        <v>5.8670143415906484E-3</v>
      </c>
    </row>
    <row r="172" spans="1:7" x14ac:dyDescent="0.2">
      <c r="A172" s="402">
        <v>42922</v>
      </c>
      <c r="C172" s="399">
        <v>51.049399999999999</v>
      </c>
      <c r="D172" s="400">
        <f t="shared" si="4"/>
        <v>-9.3508482161925865E-3</v>
      </c>
      <c r="F172" s="399">
        <v>15.13</v>
      </c>
      <c r="G172" s="400">
        <f t="shared" si="5"/>
        <v>-1.9442644199611059E-2</v>
      </c>
    </row>
    <row r="173" spans="1:7" x14ac:dyDescent="0.2">
      <c r="A173" s="402">
        <v>42923</v>
      </c>
      <c r="C173" s="399">
        <v>51.392268999999999</v>
      </c>
      <c r="D173" s="400">
        <f t="shared" si="4"/>
        <v>6.716415863849523E-3</v>
      </c>
      <c r="F173" s="399">
        <v>15.59</v>
      </c>
      <c r="G173" s="400">
        <f t="shared" si="5"/>
        <v>3.0403172504956943E-2</v>
      </c>
    </row>
    <row r="174" spans="1:7" x14ac:dyDescent="0.2">
      <c r="A174" s="402">
        <v>42926</v>
      </c>
      <c r="C174" s="399">
        <v>51.420062999999999</v>
      </c>
      <c r="D174" s="400">
        <f t="shared" si="4"/>
        <v>5.4082064366522964E-4</v>
      </c>
      <c r="F174" s="399">
        <v>15.61</v>
      </c>
      <c r="G174" s="400">
        <f t="shared" si="5"/>
        <v>1.2828736369467908E-3</v>
      </c>
    </row>
    <row r="175" spans="1:7" x14ac:dyDescent="0.2">
      <c r="A175" s="402">
        <v>42927</v>
      </c>
      <c r="C175" s="399">
        <v>51.401535000000003</v>
      </c>
      <c r="D175" s="400">
        <f t="shared" si="4"/>
        <v>-3.6032627964688313E-4</v>
      </c>
      <c r="F175" s="399">
        <v>15.69</v>
      </c>
      <c r="G175" s="400">
        <f t="shared" si="5"/>
        <v>5.1249199231262477E-3</v>
      </c>
    </row>
    <row r="176" spans="1:7" x14ac:dyDescent="0.2">
      <c r="A176" s="402">
        <v>42928</v>
      </c>
      <c r="C176" s="399">
        <v>51.790725999999999</v>
      </c>
      <c r="D176" s="400">
        <f t="shared" si="4"/>
        <v>7.5715832221741053E-3</v>
      </c>
      <c r="F176" s="399">
        <v>15.82</v>
      </c>
      <c r="G176" s="400">
        <f t="shared" si="5"/>
        <v>8.2855321861059483E-3</v>
      </c>
    </row>
    <row r="177" spans="1:7" x14ac:dyDescent="0.2">
      <c r="A177" s="402">
        <v>42929</v>
      </c>
      <c r="C177" s="399">
        <v>51.846333000000001</v>
      </c>
      <c r="D177" s="400">
        <f t="shared" si="4"/>
        <v>1.0736864356757359E-3</v>
      </c>
      <c r="F177" s="399">
        <v>15.85</v>
      </c>
      <c r="G177" s="400">
        <f t="shared" si="5"/>
        <v>1.8963337547408532E-3</v>
      </c>
    </row>
    <row r="178" spans="1:7" x14ac:dyDescent="0.2">
      <c r="A178" s="402">
        <v>42930</v>
      </c>
      <c r="C178" s="399">
        <v>52.115059000000002</v>
      </c>
      <c r="D178" s="400">
        <f t="shared" si="4"/>
        <v>5.1831245230014034E-3</v>
      </c>
      <c r="F178" s="399">
        <v>15.93</v>
      </c>
      <c r="G178" s="400">
        <f t="shared" si="5"/>
        <v>5.0473186119874835E-3</v>
      </c>
    </row>
    <row r="179" spans="1:7" x14ac:dyDescent="0.2">
      <c r="A179" s="402">
        <v>42933</v>
      </c>
      <c r="C179" s="399">
        <v>52.115059000000002</v>
      </c>
      <c r="D179" s="400">
        <f t="shared" si="4"/>
        <v>0</v>
      </c>
      <c r="F179" s="399">
        <v>16.02</v>
      </c>
      <c r="G179" s="400">
        <f t="shared" si="5"/>
        <v>5.6497175141243527E-3</v>
      </c>
    </row>
    <row r="180" spans="1:7" x14ac:dyDescent="0.2">
      <c r="A180" s="402">
        <v>42934</v>
      </c>
      <c r="C180" s="399">
        <v>52.133595</v>
      </c>
      <c r="D180" s="400">
        <f t="shared" si="4"/>
        <v>3.5567454696727729E-4</v>
      </c>
      <c r="F180" s="399">
        <v>15.83</v>
      </c>
      <c r="G180" s="400">
        <f t="shared" si="5"/>
        <v>-1.1860174781523014E-2</v>
      </c>
    </row>
    <row r="181" spans="1:7" x14ac:dyDescent="0.2">
      <c r="A181" s="402">
        <v>42935</v>
      </c>
      <c r="C181" s="399">
        <v>52.439383999999997</v>
      </c>
      <c r="D181" s="400">
        <f t="shared" si="4"/>
        <v>5.8654884628615012E-3</v>
      </c>
      <c r="F181" s="399">
        <v>15.98</v>
      </c>
      <c r="G181" s="400">
        <f t="shared" si="5"/>
        <v>9.4756790903347543E-3</v>
      </c>
    </row>
    <row r="182" spans="1:7" x14ac:dyDescent="0.2">
      <c r="A182" s="402">
        <v>42936</v>
      </c>
      <c r="C182" s="399">
        <v>52.457915999999997</v>
      </c>
      <c r="D182" s="400">
        <f t="shared" si="4"/>
        <v>3.5339850674076523E-4</v>
      </c>
      <c r="F182" s="399">
        <v>16.049999</v>
      </c>
      <c r="G182" s="400">
        <f t="shared" si="5"/>
        <v>4.3804130162703458E-3</v>
      </c>
    </row>
    <row r="183" spans="1:7" x14ac:dyDescent="0.2">
      <c r="A183" s="402">
        <v>42937</v>
      </c>
      <c r="C183" s="399">
        <v>52.402321000000001</v>
      </c>
      <c r="D183" s="400">
        <f t="shared" si="4"/>
        <v>-1.0598019181699003E-3</v>
      </c>
      <c r="F183" s="399">
        <v>15.85</v>
      </c>
      <c r="G183" s="400">
        <f t="shared" si="5"/>
        <v>-1.2460997661121298E-2</v>
      </c>
    </row>
    <row r="184" spans="1:7" x14ac:dyDescent="0.2">
      <c r="A184" s="402">
        <v>42940</v>
      </c>
      <c r="C184" s="399">
        <v>52.402321000000001</v>
      </c>
      <c r="D184" s="400">
        <f t="shared" si="4"/>
        <v>0</v>
      </c>
      <c r="F184" s="399">
        <v>15.52</v>
      </c>
      <c r="G184" s="400">
        <f t="shared" si="5"/>
        <v>-2.0820189274447953E-2</v>
      </c>
    </row>
    <row r="185" spans="1:7" x14ac:dyDescent="0.2">
      <c r="A185" s="402">
        <v>42941</v>
      </c>
      <c r="C185" s="399">
        <v>52.559849</v>
      </c>
      <c r="D185" s="400">
        <f t="shared" si="4"/>
        <v>3.0061263889438194E-3</v>
      </c>
      <c r="F185" s="399">
        <v>15.77</v>
      </c>
      <c r="G185" s="400">
        <f t="shared" si="5"/>
        <v>1.6108247422680355E-2</v>
      </c>
    </row>
    <row r="186" spans="1:7" x14ac:dyDescent="0.2">
      <c r="A186" s="402">
        <v>42942</v>
      </c>
      <c r="C186" s="399">
        <v>52.494979999999998</v>
      </c>
      <c r="D186" s="400">
        <f t="shared" si="4"/>
        <v>-1.2341930434389692E-3</v>
      </c>
      <c r="F186" s="399">
        <v>15.6</v>
      </c>
      <c r="G186" s="400">
        <f t="shared" si="5"/>
        <v>-1.0779961953075401E-2</v>
      </c>
    </row>
    <row r="187" spans="1:7" x14ac:dyDescent="0.2">
      <c r="A187" s="402">
        <v>42943</v>
      </c>
      <c r="C187" s="399">
        <v>52.439383999999997</v>
      </c>
      <c r="D187" s="400">
        <f t="shared" si="4"/>
        <v>-1.0590726960940655E-3</v>
      </c>
      <c r="F187" s="399">
        <v>15.46</v>
      </c>
      <c r="G187" s="400">
        <f t="shared" si="5"/>
        <v>-8.9743589743589425E-3</v>
      </c>
    </row>
    <row r="188" spans="1:7" x14ac:dyDescent="0.2">
      <c r="A188" s="402">
        <v>42944</v>
      </c>
      <c r="C188" s="399">
        <v>52.365257</v>
      </c>
      <c r="D188" s="400">
        <f t="shared" si="4"/>
        <v>-1.4135749573258583E-3</v>
      </c>
      <c r="F188" s="399">
        <v>15.51</v>
      </c>
      <c r="G188" s="400">
        <f t="shared" si="5"/>
        <v>3.2341526520049957E-3</v>
      </c>
    </row>
    <row r="189" spans="1:7" x14ac:dyDescent="0.2">
      <c r="A189" s="402">
        <v>42947</v>
      </c>
      <c r="C189" s="399">
        <v>52.328189999999999</v>
      </c>
      <c r="D189" s="400">
        <f t="shared" si="4"/>
        <v>-7.0785482824997636E-4</v>
      </c>
      <c r="F189" s="399">
        <v>15.67</v>
      </c>
      <c r="G189" s="400">
        <f t="shared" si="5"/>
        <v>1.0315925209542165E-2</v>
      </c>
    </row>
    <row r="190" spans="1:7" x14ac:dyDescent="0.2">
      <c r="A190" s="402">
        <v>42948</v>
      </c>
      <c r="C190" s="399">
        <v>52.411583</v>
      </c>
      <c r="D190" s="400">
        <f t="shared" si="4"/>
        <v>1.5936534399527691E-3</v>
      </c>
      <c r="F190" s="399">
        <v>15.87</v>
      </c>
      <c r="G190" s="400">
        <f t="shared" si="5"/>
        <v>1.2763241863433361E-2</v>
      </c>
    </row>
    <row r="191" spans="1:7" x14ac:dyDescent="0.2">
      <c r="A191" s="402">
        <v>42949</v>
      </c>
      <c r="C191" s="399">
        <v>52.402321000000001</v>
      </c>
      <c r="D191" s="400">
        <f t="shared" si="4"/>
        <v>-1.7671666204011061E-4</v>
      </c>
      <c r="F191" s="399">
        <v>15.63</v>
      </c>
      <c r="G191" s="400">
        <f t="shared" si="5"/>
        <v>-1.512287334593565E-2</v>
      </c>
    </row>
    <row r="192" spans="1:7" x14ac:dyDescent="0.2">
      <c r="A192" s="402">
        <v>42950</v>
      </c>
      <c r="C192" s="399">
        <v>52.291114999999998</v>
      </c>
      <c r="D192" s="400">
        <f t="shared" si="4"/>
        <v>-2.1221579097613352E-3</v>
      </c>
      <c r="F192" s="399">
        <v>15.24</v>
      </c>
      <c r="G192" s="400">
        <f t="shared" si="5"/>
        <v>-2.4952015355086399E-2</v>
      </c>
    </row>
    <row r="193" spans="1:7" x14ac:dyDescent="0.2">
      <c r="A193" s="402">
        <v>42951</v>
      </c>
      <c r="C193" s="399">
        <v>52.383780999999999</v>
      </c>
      <c r="D193" s="400">
        <f t="shared" si="4"/>
        <v>1.7721175002676226E-3</v>
      </c>
      <c r="F193" s="399">
        <v>16.719999000000001</v>
      </c>
      <c r="G193" s="400">
        <f t="shared" si="5"/>
        <v>9.711279527559058E-2</v>
      </c>
    </row>
    <row r="194" spans="1:7" x14ac:dyDescent="0.2">
      <c r="A194" s="402">
        <v>42954</v>
      </c>
      <c r="C194" s="399">
        <v>52.485725000000002</v>
      </c>
      <c r="D194" s="400">
        <f t="shared" si="4"/>
        <v>1.9460985452730561E-3</v>
      </c>
      <c r="F194" s="399">
        <v>16.709999</v>
      </c>
      <c r="G194" s="400">
        <f t="shared" si="5"/>
        <v>-5.9808616017276162E-4</v>
      </c>
    </row>
    <row r="195" spans="1:7" x14ac:dyDescent="0.2">
      <c r="A195" s="402">
        <v>42955</v>
      </c>
      <c r="C195" s="399">
        <v>52.365257</v>
      </c>
      <c r="D195" s="400">
        <f t="shared" si="4"/>
        <v>-2.2952526615570568E-3</v>
      </c>
      <c r="F195" s="399">
        <v>16.629999000000002</v>
      </c>
      <c r="G195" s="400">
        <f t="shared" si="5"/>
        <v>-4.7875526503621257E-3</v>
      </c>
    </row>
    <row r="196" spans="1:7" x14ac:dyDescent="0.2">
      <c r="A196" s="402">
        <v>42956</v>
      </c>
      <c r="C196" s="399">
        <v>52.263325000000002</v>
      </c>
      <c r="D196" s="400">
        <f t="shared" si="4"/>
        <v>-1.9465578102672021E-3</v>
      </c>
      <c r="F196" s="399">
        <v>16.530000999999999</v>
      </c>
      <c r="G196" s="400">
        <f t="shared" si="5"/>
        <v>-6.0131092010290432E-3</v>
      </c>
    </row>
    <row r="197" spans="1:7" x14ac:dyDescent="0.2">
      <c r="A197" s="402">
        <v>42957</v>
      </c>
      <c r="C197" s="399">
        <v>51.521991999999997</v>
      </c>
      <c r="D197" s="400">
        <f t="shared" si="4"/>
        <v>-1.418457398185069E-2</v>
      </c>
      <c r="F197" s="399">
        <v>16.149999999999999</v>
      </c>
      <c r="G197" s="400">
        <f t="shared" si="5"/>
        <v>-2.2988564852476467E-2</v>
      </c>
    </row>
    <row r="198" spans="1:7" x14ac:dyDescent="0.2">
      <c r="A198" s="402">
        <v>42958</v>
      </c>
      <c r="C198" s="399">
        <v>51.605392000000002</v>
      </c>
      <c r="D198" s="400">
        <f t="shared" si="4"/>
        <v>1.6187262324796059E-3</v>
      </c>
      <c r="F198" s="399">
        <v>16.34</v>
      </c>
      <c r="G198" s="400">
        <f t="shared" si="5"/>
        <v>1.1764705882353121E-2</v>
      </c>
    </row>
    <row r="199" spans="1:7" x14ac:dyDescent="0.2">
      <c r="A199" s="402">
        <v>42961</v>
      </c>
      <c r="C199" s="399">
        <v>52.105797000000003</v>
      </c>
      <c r="D199" s="400">
        <f t="shared" ref="D199:D262" si="6">C199/C198-1</f>
        <v>9.6967580441982282E-3</v>
      </c>
      <c r="F199" s="399">
        <v>16.559999000000001</v>
      </c>
      <c r="G199" s="400">
        <f t="shared" ref="G199:G262" si="7">F199/F198-1</f>
        <v>1.3463831089351341E-2</v>
      </c>
    </row>
    <row r="200" spans="1:7" x14ac:dyDescent="0.2">
      <c r="A200" s="402">
        <v>42962</v>
      </c>
      <c r="C200" s="399">
        <v>52.087257000000001</v>
      </c>
      <c r="D200" s="400">
        <f t="shared" si="6"/>
        <v>-3.558145363365961E-4</v>
      </c>
      <c r="F200" s="399">
        <v>16.399999999999999</v>
      </c>
      <c r="G200" s="400">
        <f t="shared" si="7"/>
        <v>-9.6617759457595653E-3</v>
      </c>
    </row>
    <row r="201" spans="1:7" x14ac:dyDescent="0.2">
      <c r="A201" s="402">
        <v>42963</v>
      </c>
      <c r="C201" s="399">
        <v>52.152121999999999</v>
      </c>
      <c r="D201" s="400">
        <f t="shared" si="6"/>
        <v>1.2453141850030658E-3</v>
      </c>
      <c r="F201" s="399">
        <v>16.120000999999998</v>
      </c>
      <c r="G201" s="400">
        <f t="shared" si="7"/>
        <v>-1.7073109756097549E-2</v>
      </c>
    </row>
    <row r="202" spans="1:7" x14ac:dyDescent="0.2">
      <c r="A202" s="402">
        <v>42964</v>
      </c>
      <c r="C202" s="399">
        <v>51.373733999999999</v>
      </c>
      <c r="D202" s="400">
        <f t="shared" si="6"/>
        <v>-1.4925337074491396E-2</v>
      </c>
      <c r="F202" s="399">
        <v>15.82</v>
      </c>
      <c r="G202" s="400">
        <f t="shared" si="7"/>
        <v>-1.8610482716471144E-2</v>
      </c>
    </row>
    <row r="203" spans="1:7" x14ac:dyDescent="0.2">
      <c r="A203" s="402">
        <v>42965</v>
      </c>
      <c r="C203" s="399">
        <v>51.290332999999997</v>
      </c>
      <c r="D203" s="400">
        <f t="shared" si="6"/>
        <v>-1.6234171337439207E-3</v>
      </c>
      <c r="F203" s="399">
        <v>15.57</v>
      </c>
      <c r="G203" s="400">
        <f t="shared" si="7"/>
        <v>-1.5802781289506962E-2</v>
      </c>
    </row>
    <row r="204" spans="1:7" x14ac:dyDescent="0.2">
      <c r="A204" s="402">
        <v>42968</v>
      </c>
      <c r="C204" s="399">
        <v>51.290332999999997</v>
      </c>
      <c r="D204" s="400">
        <f t="shared" si="6"/>
        <v>0</v>
      </c>
      <c r="F204" s="399">
        <v>15.03</v>
      </c>
      <c r="G204" s="400">
        <f t="shared" si="7"/>
        <v>-3.4682080924855585E-2</v>
      </c>
    </row>
    <row r="205" spans="1:7" x14ac:dyDescent="0.2">
      <c r="A205" s="402">
        <v>42969</v>
      </c>
      <c r="C205" s="399">
        <v>51.846333000000001</v>
      </c>
      <c r="D205" s="400">
        <f t="shared" si="6"/>
        <v>1.0840249370188459E-2</v>
      </c>
      <c r="F205" s="399">
        <v>15.23</v>
      </c>
      <c r="G205" s="400">
        <f t="shared" si="7"/>
        <v>1.330671989354637E-2</v>
      </c>
    </row>
    <row r="206" spans="1:7" x14ac:dyDescent="0.2">
      <c r="A206" s="402">
        <v>42970</v>
      </c>
      <c r="C206" s="399">
        <v>51.670265000000001</v>
      </c>
      <c r="D206" s="400">
        <f t="shared" si="6"/>
        <v>-3.3959585917098245E-3</v>
      </c>
      <c r="F206" s="399">
        <v>14.84</v>
      </c>
      <c r="G206" s="400">
        <f t="shared" si="7"/>
        <v>-2.5607353906763053E-2</v>
      </c>
    </row>
    <row r="207" spans="1:7" x14ac:dyDescent="0.2">
      <c r="A207" s="402">
        <v>42971</v>
      </c>
      <c r="C207" s="399">
        <v>51.586860999999999</v>
      </c>
      <c r="D207" s="400">
        <f t="shared" si="6"/>
        <v>-1.6141585494094945E-3</v>
      </c>
      <c r="F207" s="399">
        <v>14.64</v>
      </c>
      <c r="G207" s="400">
        <f t="shared" si="7"/>
        <v>-1.3477088948786964E-2</v>
      </c>
    </row>
    <row r="208" spans="1:7" x14ac:dyDescent="0.2">
      <c r="A208" s="402">
        <v>42972</v>
      </c>
      <c r="C208" s="399">
        <v>51.735134000000002</v>
      </c>
      <c r="D208" s="400">
        <f t="shared" si="6"/>
        <v>2.8742396246983493E-3</v>
      </c>
      <c r="F208" s="399">
        <v>14.59</v>
      </c>
      <c r="G208" s="400">
        <f t="shared" si="7"/>
        <v>-3.415300546448119E-3</v>
      </c>
    </row>
    <row r="209" spans="1:7" x14ac:dyDescent="0.2">
      <c r="A209" s="402">
        <v>42975</v>
      </c>
      <c r="C209" s="399">
        <v>51.725867999999998</v>
      </c>
      <c r="D209" s="400">
        <f t="shared" si="6"/>
        <v>-1.791045907023614E-4</v>
      </c>
      <c r="F209" s="399">
        <v>15.4</v>
      </c>
      <c r="G209" s="400">
        <f t="shared" si="7"/>
        <v>5.5517477724468911E-2</v>
      </c>
    </row>
    <row r="210" spans="1:7" x14ac:dyDescent="0.2">
      <c r="A210" s="402">
        <v>42976</v>
      </c>
      <c r="C210" s="399">
        <v>51.799992000000003</v>
      </c>
      <c r="D210" s="400">
        <f t="shared" si="6"/>
        <v>1.4330160684785653E-3</v>
      </c>
      <c r="F210" s="399">
        <v>16.010000000000002</v>
      </c>
      <c r="G210" s="400">
        <f t="shared" si="7"/>
        <v>3.9610389610389651E-2</v>
      </c>
    </row>
    <row r="211" spans="1:7" x14ac:dyDescent="0.2">
      <c r="A211" s="402">
        <v>42977</v>
      </c>
      <c r="C211" s="399">
        <v>52.031661999999997</v>
      </c>
      <c r="D211" s="400">
        <f t="shared" si="6"/>
        <v>4.4723945131110998E-3</v>
      </c>
      <c r="F211" s="399">
        <v>16.290001</v>
      </c>
      <c r="G211" s="400">
        <f t="shared" si="7"/>
        <v>1.7489131792629564E-2</v>
      </c>
    </row>
    <row r="212" spans="1:7" x14ac:dyDescent="0.2">
      <c r="A212" s="402">
        <v>42978</v>
      </c>
      <c r="C212" s="399">
        <v>52.393054999999997</v>
      </c>
      <c r="D212" s="400">
        <f t="shared" si="6"/>
        <v>6.9456362935322868E-3</v>
      </c>
      <c r="F212" s="399">
        <v>16.280000999999999</v>
      </c>
      <c r="G212" s="400">
        <f t="shared" si="7"/>
        <v>-6.13873504366369E-4</v>
      </c>
    </row>
    <row r="213" spans="1:7" x14ac:dyDescent="0.2">
      <c r="A213" s="402">
        <v>42979</v>
      </c>
      <c r="C213" s="399">
        <v>52.541313000000002</v>
      </c>
      <c r="D213" s="400">
        <f t="shared" si="6"/>
        <v>2.8297261917635819E-3</v>
      </c>
      <c r="F213" s="399">
        <v>16.59</v>
      </c>
      <c r="G213" s="400">
        <f t="shared" si="7"/>
        <v>1.9041706447069817E-2</v>
      </c>
    </row>
    <row r="214" spans="1:7" x14ac:dyDescent="0.2">
      <c r="A214" s="402">
        <v>42983</v>
      </c>
      <c r="C214" s="399">
        <v>52.124324999999999</v>
      </c>
      <c r="D214" s="400">
        <f t="shared" si="6"/>
        <v>-7.9363833180188248E-3</v>
      </c>
      <c r="F214" s="399">
        <v>16.389999</v>
      </c>
      <c r="G214" s="400">
        <f t="shared" si="7"/>
        <v>-1.2055515370705261E-2</v>
      </c>
    </row>
    <row r="215" spans="1:7" x14ac:dyDescent="0.2">
      <c r="A215" s="402">
        <v>42984</v>
      </c>
      <c r="C215" s="399">
        <v>52.281849000000001</v>
      </c>
      <c r="D215" s="400">
        <f t="shared" si="6"/>
        <v>3.0220823003463959E-3</v>
      </c>
      <c r="F215" s="399">
        <v>16.77</v>
      </c>
      <c r="G215" s="400">
        <f t="shared" si="7"/>
        <v>2.3184931249843332E-2</v>
      </c>
    </row>
    <row r="216" spans="1:7" x14ac:dyDescent="0.2">
      <c r="A216" s="402">
        <v>42985</v>
      </c>
      <c r="C216" s="399">
        <v>52.216983999999997</v>
      </c>
      <c r="D216" s="400">
        <f t="shared" si="6"/>
        <v>-1.2406791504256942E-3</v>
      </c>
      <c r="F216" s="399">
        <v>16.57</v>
      </c>
      <c r="G216" s="400">
        <f t="shared" si="7"/>
        <v>-1.1926058437686349E-2</v>
      </c>
    </row>
    <row r="217" spans="1:7" x14ac:dyDescent="0.2">
      <c r="A217" s="402">
        <v>42986</v>
      </c>
      <c r="C217" s="399">
        <v>52.170653999999999</v>
      </c>
      <c r="D217" s="400">
        <f t="shared" si="6"/>
        <v>-8.8725921052812406E-4</v>
      </c>
      <c r="F217" s="399">
        <v>16.629999000000002</v>
      </c>
      <c r="G217" s="400">
        <f t="shared" si="7"/>
        <v>3.6209414604708723E-3</v>
      </c>
    </row>
    <row r="218" spans="1:7" x14ac:dyDescent="0.2">
      <c r="A218" s="402">
        <v>42989</v>
      </c>
      <c r="C218" s="399">
        <v>52.754452000000001</v>
      </c>
      <c r="D218" s="400">
        <f t="shared" si="6"/>
        <v>1.1190160660052406E-2</v>
      </c>
      <c r="F218" s="399">
        <v>16.77</v>
      </c>
      <c r="G218" s="400">
        <f t="shared" si="7"/>
        <v>8.4185813841599622E-3</v>
      </c>
    </row>
    <row r="219" spans="1:7" x14ac:dyDescent="0.2">
      <c r="A219" s="402">
        <v>42990</v>
      </c>
      <c r="C219" s="399">
        <v>52.967582999999998</v>
      </c>
      <c r="D219" s="400">
        <f t="shared" si="6"/>
        <v>4.040057131102337E-3</v>
      </c>
      <c r="F219" s="399">
        <v>16.989999999999998</v>
      </c>
      <c r="G219" s="400">
        <f t="shared" si="7"/>
        <v>1.3118664281454917E-2</v>
      </c>
    </row>
    <row r="220" spans="1:7" x14ac:dyDescent="0.2">
      <c r="A220" s="402">
        <v>42991</v>
      </c>
      <c r="C220" s="399">
        <v>53.013911999999998</v>
      </c>
      <c r="D220" s="400">
        <f t="shared" si="6"/>
        <v>8.7466705815142376E-4</v>
      </c>
      <c r="F220" s="399">
        <v>16.73</v>
      </c>
      <c r="G220" s="400">
        <f t="shared" si="7"/>
        <v>-1.53031194820481E-2</v>
      </c>
    </row>
    <row r="221" spans="1:7" x14ac:dyDescent="0.2">
      <c r="A221" s="402">
        <v>42992</v>
      </c>
      <c r="C221" s="399">
        <v>52.949047</v>
      </c>
      <c r="D221" s="400">
        <f t="shared" si="6"/>
        <v>-1.2235467550479884E-3</v>
      </c>
      <c r="F221" s="399">
        <v>16.309999000000001</v>
      </c>
      <c r="G221" s="400">
        <f t="shared" si="7"/>
        <v>-2.5104662283323309E-2</v>
      </c>
    </row>
    <row r="222" spans="1:7" x14ac:dyDescent="0.2">
      <c r="A222" s="402">
        <v>42993</v>
      </c>
      <c r="C222" s="399">
        <v>53.050975999999999</v>
      </c>
      <c r="D222" s="400">
        <f t="shared" si="6"/>
        <v>1.9250393685084077E-3</v>
      </c>
      <c r="F222" s="399">
        <v>16.219999000000001</v>
      </c>
      <c r="G222" s="400">
        <f t="shared" si="7"/>
        <v>-5.5180874014768566E-3</v>
      </c>
    </row>
    <row r="223" spans="1:7" x14ac:dyDescent="0.2">
      <c r="A223" s="402">
        <v>42996</v>
      </c>
      <c r="C223" s="399">
        <v>53.227032000000001</v>
      </c>
      <c r="D223" s="400">
        <f t="shared" si="6"/>
        <v>3.3186194350129927E-3</v>
      </c>
      <c r="F223" s="399">
        <v>16.43</v>
      </c>
      <c r="G223" s="400">
        <f t="shared" si="7"/>
        <v>1.2947041488720057E-2</v>
      </c>
    </row>
    <row r="224" spans="1:7" x14ac:dyDescent="0.2">
      <c r="A224" s="402">
        <v>42997</v>
      </c>
      <c r="C224" s="399">
        <v>53.254840999999999</v>
      </c>
      <c r="D224" s="400">
        <f t="shared" si="6"/>
        <v>5.2246009133094518E-4</v>
      </c>
      <c r="F224" s="399">
        <v>16.489999999999998</v>
      </c>
      <c r="G224" s="400">
        <f t="shared" si="7"/>
        <v>3.6518563603165077E-3</v>
      </c>
    </row>
    <row r="225" spans="1:7" x14ac:dyDescent="0.2">
      <c r="A225" s="402">
        <v>42998</v>
      </c>
      <c r="C225" s="399">
        <v>53.319698000000002</v>
      </c>
      <c r="D225" s="400">
        <f t="shared" si="6"/>
        <v>1.2178611142601437E-3</v>
      </c>
      <c r="F225" s="399">
        <v>16.620000999999998</v>
      </c>
      <c r="G225" s="400">
        <f t="shared" si="7"/>
        <v>7.8836264402668554E-3</v>
      </c>
    </row>
    <row r="226" spans="1:7" x14ac:dyDescent="0.2">
      <c r="A226" s="402">
        <v>42999</v>
      </c>
      <c r="C226" s="399">
        <v>53.180706000000001</v>
      </c>
      <c r="D226" s="400">
        <f t="shared" si="6"/>
        <v>-2.6067664524281886E-3</v>
      </c>
      <c r="F226" s="399">
        <v>16.75</v>
      </c>
      <c r="G226" s="400">
        <f t="shared" si="7"/>
        <v>7.8218406846064514E-3</v>
      </c>
    </row>
    <row r="227" spans="1:7" x14ac:dyDescent="0.2">
      <c r="A227" s="402">
        <v>43000</v>
      </c>
      <c r="C227" s="399">
        <v>53.208508000000002</v>
      </c>
      <c r="D227" s="400">
        <f t="shared" si="6"/>
        <v>5.2278358245194667E-4</v>
      </c>
      <c r="F227" s="399">
        <v>17.309999000000001</v>
      </c>
      <c r="G227" s="400">
        <f t="shared" si="7"/>
        <v>3.3432776119403096E-2</v>
      </c>
    </row>
    <row r="228" spans="1:7" x14ac:dyDescent="0.2">
      <c r="A228" s="402">
        <v>43003</v>
      </c>
      <c r="C228" s="399">
        <v>53.143642</v>
      </c>
      <c r="D228" s="400">
        <f t="shared" si="6"/>
        <v>-1.2190907514264548E-3</v>
      </c>
      <c r="F228" s="399">
        <v>17.329999999999998</v>
      </c>
      <c r="G228" s="400">
        <f t="shared" si="7"/>
        <v>1.155459338847864E-3</v>
      </c>
    </row>
    <row r="229" spans="1:7" x14ac:dyDescent="0.2">
      <c r="A229" s="402">
        <v>43004</v>
      </c>
      <c r="C229" s="399">
        <v>53.159466000000002</v>
      </c>
      <c r="D229" s="400">
        <f t="shared" si="6"/>
        <v>2.9775904331130754E-4</v>
      </c>
      <c r="F229" s="399">
        <v>17.540001</v>
      </c>
      <c r="G229" s="400">
        <f t="shared" si="7"/>
        <v>1.2117772648586378E-2</v>
      </c>
    </row>
    <row r="230" spans="1:7" x14ac:dyDescent="0.2">
      <c r="A230" s="402">
        <v>43005</v>
      </c>
      <c r="C230" s="399">
        <v>53.438769999999998</v>
      </c>
      <c r="D230" s="400">
        <f t="shared" si="6"/>
        <v>5.2540783611332298E-3</v>
      </c>
      <c r="F230" s="399">
        <v>17.610001</v>
      </c>
      <c r="G230" s="400">
        <f t="shared" si="7"/>
        <v>3.9908777656283423E-3</v>
      </c>
    </row>
    <row r="231" spans="1:7" x14ac:dyDescent="0.2">
      <c r="A231" s="402">
        <v>43006</v>
      </c>
      <c r="C231" s="399">
        <v>53.503928999999999</v>
      </c>
      <c r="D231" s="400">
        <f t="shared" si="6"/>
        <v>1.2193207291260055E-3</v>
      </c>
      <c r="F231" s="399">
        <v>17.690000999999999</v>
      </c>
      <c r="G231" s="400">
        <f t="shared" si="7"/>
        <v>4.5428731094334651E-3</v>
      </c>
    </row>
    <row r="232" spans="1:7" x14ac:dyDescent="0.2">
      <c r="A232" s="402">
        <v>43007</v>
      </c>
      <c r="C232" s="399">
        <v>53.652897000000003</v>
      </c>
      <c r="D232" s="400">
        <f t="shared" si="6"/>
        <v>2.7842441253240757E-3</v>
      </c>
      <c r="F232" s="399">
        <v>17.989999999999998</v>
      </c>
      <c r="G232" s="400">
        <f t="shared" si="7"/>
        <v>1.6958676260108829E-2</v>
      </c>
    </row>
    <row r="233" spans="1:7" x14ac:dyDescent="0.2">
      <c r="A233" s="402">
        <v>43010</v>
      </c>
      <c r="C233" s="399">
        <v>53.988048999999997</v>
      </c>
      <c r="D233" s="400">
        <f t="shared" si="6"/>
        <v>6.2466710791029278E-3</v>
      </c>
      <c r="F233" s="399">
        <v>17.739999999999998</v>
      </c>
      <c r="G233" s="400">
        <f t="shared" si="7"/>
        <v>-1.3896609227348478E-2</v>
      </c>
    </row>
    <row r="234" spans="1:7" x14ac:dyDescent="0.2">
      <c r="A234" s="402">
        <v>43011</v>
      </c>
      <c r="C234" s="399">
        <v>54.099769999999999</v>
      </c>
      <c r="D234" s="400">
        <f t="shared" si="6"/>
        <v>2.0693653886252328E-3</v>
      </c>
      <c r="F234" s="399">
        <v>18.010000000000002</v>
      </c>
      <c r="G234" s="400">
        <f t="shared" si="7"/>
        <v>1.5219842164599928E-2</v>
      </c>
    </row>
    <row r="235" spans="1:7" x14ac:dyDescent="0.2">
      <c r="A235" s="402">
        <v>43012</v>
      </c>
      <c r="C235" s="399">
        <v>54.127696999999998</v>
      </c>
      <c r="D235" s="400">
        <f t="shared" si="6"/>
        <v>5.1621291550785209E-4</v>
      </c>
      <c r="F235" s="399">
        <v>17.719999000000001</v>
      </c>
      <c r="G235" s="400">
        <f t="shared" si="7"/>
        <v>-1.6102220988339799E-2</v>
      </c>
    </row>
    <row r="236" spans="1:7" x14ac:dyDescent="0.2">
      <c r="A236" s="402">
        <v>43013</v>
      </c>
      <c r="C236" s="399">
        <v>54.434925</v>
      </c>
      <c r="D236" s="400">
        <f t="shared" si="6"/>
        <v>5.6759850691596725E-3</v>
      </c>
      <c r="F236" s="399">
        <v>17.489999999999998</v>
      </c>
      <c r="G236" s="400">
        <f t="shared" si="7"/>
        <v>-1.2979628271988175E-2</v>
      </c>
    </row>
    <row r="237" spans="1:7" x14ac:dyDescent="0.2">
      <c r="A237" s="402">
        <v>43014</v>
      </c>
      <c r="C237" s="399">
        <v>54.379063000000002</v>
      </c>
      <c r="D237" s="400">
        <f t="shared" si="6"/>
        <v>-1.0262161654488455E-3</v>
      </c>
      <c r="F237" s="399">
        <v>17.93</v>
      </c>
      <c r="G237" s="400">
        <f t="shared" si="7"/>
        <v>2.515723270440251E-2</v>
      </c>
    </row>
    <row r="238" spans="1:7" x14ac:dyDescent="0.2">
      <c r="A238" s="402">
        <v>43017</v>
      </c>
      <c r="C238" s="399">
        <v>54.267341999999999</v>
      </c>
      <c r="D238" s="400">
        <f t="shared" si="6"/>
        <v>-2.0544855655200145E-3</v>
      </c>
      <c r="F238" s="399">
        <v>17.709999</v>
      </c>
      <c r="G238" s="400">
        <f t="shared" si="7"/>
        <v>-1.2269994422755115E-2</v>
      </c>
    </row>
    <row r="239" spans="1:7" x14ac:dyDescent="0.2">
      <c r="A239" s="402">
        <v>43018</v>
      </c>
      <c r="C239" s="399">
        <v>54.397682000000003</v>
      </c>
      <c r="D239" s="400">
        <f t="shared" si="6"/>
        <v>2.4018128619605061E-3</v>
      </c>
      <c r="F239" s="399">
        <v>17.469999000000001</v>
      </c>
      <c r="G239" s="400">
        <f t="shared" si="7"/>
        <v>-1.3551666490777214E-2</v>
      </c>
    </row>
    <row r="240" spans="1:7" x14ac:dyDescent="0.2">
      <c r="A240" s="402">
        <v>43019</v>
      </c>
      <c r="C240" s="399">
        <v>54.434925</v>
      </c>
      <c r="D240" s="400">
        <f t="shared" si="6"/>
        <v>6.846431434339717E-4</v>
      </c>
      <c r="F240" s="399">
        <v>17.629999000000002</v>
      </c>
      <c r="G240" s="400">
        <f t="shared" si="7"/>
        <v>9.1585580514343956E-3</v>
      </c>
    </row>
    <row r="241" spans="1:7" x14ac:dyDescent="0.2">
      <c r="A241" s="402">
        <v>43020</v>
      </c>
      <c r="C241" s="399">
        <v>54.397682000000003</v>
      </c>
      <c r="D241" s="400">
        <f t="shared" si="6"/>
        <v>-6.8417472789750189E-4</v>
      </c>
      <c r="F241" s="399">
        <v>17.68</v>
      </c>
      <c r="G241" s="400">
        <f t="shared" si="7"/>
        <v>2.8361317547436204E-3</v>
      </c>
    </row>
    <row r="242" spans="1:7" x14ac:dyDescent="0.2">
      <c r="A242" s="402">
        <v>43021</v>
      </c>
      <c r="C242" s="399">
        <v>54.397682000000003</v>
      </c>
      <c r="D242" s="400">
        <f t="shared" si="6"/>
        <v>0</v>
      </c>
      <c r="F242" s="399">
        <v>17.389999</v>
      </c>
      <c r="G242" s="400">
        <f t="shared" si="7"/>
        <v>-1.6402771493212676E-2</v>
      </c>
    </row>
    <row r="243" spans="1:7" x14ac:dyDescent="0.2">
      <c r="A243" s="402">
        <v>43024</v>
      </c>
      <c r="C243" s="399">
        <v>54.509399000000002</v>
      </c>
      <c r="D243" s="400">
        <f t="shared" si="6"/>
        <v>2.0537088326668673E-3</v>
      </c>
      <c r="F243" s="399">
        <v>17.370000999999998</v>
      </c>
      <c r="G243" s="400">
        <f t="shared" si="7"/>
        <v>-1.1499713139719869E-3</v>
      </c>
    </row>
    <row r="244" spans="1:7" x14ac:dyDescent="0.2">
      <c r="A244" s="402">
        <v>43025</v>
      </c>
      <c r="C244" s="399">
        <v>54.518715</v>
      </c>
      <c r="D244" s="400">
        <f t="shared" si="6"/>
        <v>1.7090630553462383E-4</v>
      </c>
      <c r="F244" s="399">
        <v>17.120000999999998</v>
      </c>
      <c r="G244" s="400">
        <f t="shared" si="7"/>
        <v>-1.4392630144350549E-2</v>
      </c>
    </row>
    <row r="245" spans="1:7" x14ac:dyDescent="0.2">
      <c r="A245" s="402">
        <v>43026</v>
      </c>
      <c r="C245" s="399">
        <v>54.574565999999997</v>
      </c>
      <c r="D245" s="400">
        <f t="shared" si="6"/>
        <v>1.0244372047285566E-3</v>
      </c>
      <c r="F245" s="399">
        <v>17.209999</v>
      </c>
      <c r="G245" s="400">
        <f t="shared" si="7"/>
        <v>5.2568922163032106E-3</v>
      </c>
    </row>
    <row r="246" spans="1:7" x14ac:dyDescent="0.2">
      <c r="A246" s="402">
        <v>43027</v>
      </c>
      <c r="C246" s="399">
        <v>54.583877999999999</v>
      </c>
      <c r="D246" s="400">
        <f t="shared" si="6"/>
        <v>1.706289336318445E-4</v>
      </c>
      <c r="F246" s="399">
        <v>17.32</v>
      </c>
      <c r="G246" s="400">
        <f t="shared" si="7"/>
        <v>6.3916912487909094E-3</v>
      </c>
    </row>
    <row r="247" spans="1:7" x14ac:dyDescent="0.2">
      <c r="A247" s="402">
        <v>43028</v>
      </c>
      <c r="C247" s="399">
        <v>54.872481999999998</v>
      </c>
      <c r="D247" s="400">
        <f t="shared" si="6"/>
        <v>5.2873487662419283E-3</v>
      </c>
      <c r="F247" s="399">
        <v>17.899999999999999</v>
      </c>
      <c r="G247" s="400">
        <f t="shared" si="7"/>
        <v>3.3487297921477976E-2</v>
      </c>
    </row>
    <row r="248" spans="1:7" x14ac:dyDescent="0.2">
      <c r="A248" s="402">
        <v>43031</v>
      </c>
      <c r="C248" s="399">
        <v>54.649059000000001</v>
      </c>
      <c r="D248" s="400">
        <f t="shared" si="6"/>
        <v>-4.0716765828088253E-3</v>
      </c>
      <c r="F248" s="399">
        <v>18.030000999999999</v>
      </c>
      <c r="G248" s="400">
        <f t="shared" si="7"/>
        <v>7.2626256983239212E-3</v>
      </c>
    </row>
    <row r="249" spans="1:7" x14ac:dyDescent="0.2">
      <c r="A249" s="402">
        <v>43032</v>
      </c>
      <c r="C249" s="399">
        <v>54.732841000000001</v>
      </c>
      <c r="D249" s="400">
        <f t="shared" si="6"/>
        <v>1.5330913566142801E-3</v>
      </c>
      <c r="F249" s="399">
        <v>18.059999000000001</v>
      </c>
      <c r="G249" s="400">
        <f t="shared" si="7"/>
        <v>1.6637824923029232E-3</v>
      </c>
    </row>
    <row r="250" spans="1:7" x14ac:dyDescent="0.2">
      <c r="A250" s="402">
        <v>43033</v>
      </c>
      <c r="C250" s="399">
        <v>54.462856000000002</v>
      </c>
      <c r="D250" s="400">
        <f t="shared" si="6"/>
        <v>-4.932778841134855E-3</v>
      </c>
      <c r="F250" s="399">
        <v>17.559999000000001</v>
      </c>
      <c r="G250" s="400">
        <f t="shared" si="7"/>
        <v>-2.7685494334744987E-2</v>
      </c>
    </row>
    <row r="251" spans="1:7" x14ac:dyDescent="0.2">
      <c r="A251" s="402">
        <v>43034</v>
      </c>
      <c r="C251" s="399">
        <v>54.546635000000002</v>
      </c>
      <c r="D251" s="400">
        <f t="shared" si="6"/>
        <v>1.5382777575967399E-3</v>
      </c>
      <c r="F251" s="399">
        <v>17.870000999999998</v>
      </c>
      <c r="G251" s="400">
        <f t="shared" si="7"/>
        <v>1.7653873442703416E-2</v>
      </c>
    </row>
    <row r="252" spans="1:7" x14ac:dyDescent="0.2">
      <c r="A252" s="402">
        <v>43035</v>
      </c>
      <c r="C252" s="399">
        <v>54.956271999999998</v>
      </c>
      <c r="D252" s="400">
        <f t="shared" si="6"/>
        <v>7.5098491410148238E-3</v>
      </c>
      <c r="F252" s="399">
        <v>17.889999</v>
      </c>
      <c r="G252" s="400">
        <f t="shared" si="7"/>
        <v>1.1190821981488241E-3</v>
      </c>
    </row>
    <row r="253" spans="1:7" x14ac:dyDescent="0.2">
      <c r="A253" s="402">
        <v>43038</v>
      </c>
      <c r="C253" s="399">
        <v>54.751452999999998</v>
      </c>
      <c r="D253" s="400">
        <f t="shared" si="6"/>
        <v>-3.7269449426992063E-3</v>
      </c>
      <c r="F253" s="399">
        <v>17.790001</v>
      </c>
      <c r="G253" s="400">
        <f t="shared" si="7"/>
        <v>-5.589603442683222E-3</v>
      </c>
    </row>
    <row r="254" spans="1:7" x14ac:dyDescent="0.2">
      <c r="A254" s="402">
        <v>43039</v>
      </c>
      <c r="C254" s="399">
        <v>54.853859</v>
      </c>
      <c r="D254" s="400">
        <f t="shared" si="6"/>
        <v>1.8703795860905981E-3</v>
      </c>
      <c r="F254" s="399">
        <v>18.02</v>
      </c>
      <c r="G254" s="400">
        <f t="shared" si="7"/>
        <v>1.2928554641452816E-2</v>
      </c>
    </row>
    <row r="255" spans="1:7" x14ac:dyDescent="0.2">
      <c r="A255" s="402">
        <v>43040</v>
      </c>
      <c r="C255" s="399">
        <v>54.919037000000003</v>
      </c>
      <c r="D255" s="400">
        <f t="shared" si="6"/>
        <v>1.1882117537072023E-3</v>
      </c>
      <c r="F255" s="399">
        <v>18.02</v>
      </c>
      <c r="G255" s="400">
        <f t="shared" si="7"/>
        <v>0</v>
      </c>
    </row>
    <row r="256" spans="1:7" x14ac:dyDescent="0.2">
      <c r="A256" s="402">
        <v>43041</v>
      </c>
      <c r="C256" s="399">
        <v>54.946959999999997</v>
      </c>
      <c r="D256" s="400">
        <f t="shared" si="6"/>
        <v>5.0843935956113029E-4</v>
      </c>
      <c r="F256" s="399">
        <v>17.280000999999999</v>
      </c>
      <c r="G256" s="400">
        <f t="shared" si="7"/>
        <v>-4.1065427302996671E-2</v>
      </c>
    </row>
    <row r="257" spans="1:7" x14ac:dyDescent="0.2">
      <c r="A257" s="402">
        <v>43042</v>
      </c>
      <c r="C257" s="399">
        <v>55.114547999999999</v>
      </c>
      <c r="D257" s="400">
        <f t="shared" si="6"/>
        <v>3.0499958505438851E-3</v>
      </c>
      <c r="F257" s="399">
        <v>17.649999999999999</v>
      </c>
      <c r="G257" s="400">
        <f t="shared" si="7"/>
        <v>2.1411977927547676E-2</v>
      </c>
    </row>
    <row r="258" spans="1:7" x14ac:dyDescent="0.2">
      <c r="A258" s="402">
        <v>43045</v>
      </c>
      <c r="C258" s="399">
        <v>55.216960999999998</v>
      </c>
      <c r="D258" s="400">
        <f t="shared" si="6"/>
        <v>1.8581845214442616E-3</v>
      </c>
      <c r="F258" s="399">
        <v>17.93</v>
      </c>
      <c r="G258" s="400">
        <f t="shared" si="7"/>
        <v>1.5864022662889665E-2</v>
      </c>
    </row>
    <row r="259" spans="1:7" x14ac:dyDescent="0.2">
      <c r="A259" s="402">
        <v>43046</v>
      </c>
      <c r="C259" s="399">
        <v>55.114547999999999</v>
      </c>
      <c r="D259" s="400">
        <f t="shared" si="6"/>
        <v>-1.8547380758604515E-3</v>
      </c>
      <c r="F259" s="399">
        <v>17.440000999999999</v>
      </c>
      <c r="G259" s="400">
        <f t="shared" si="7"/>
        <v>-2.7328443948689385E-2</v>
      </c>
    </row>
    <row r="260" spans="1:7" x14ac:dyDescent="0.2">
      <c r="A260" s="402">
        <v>43047</v>
      </c>
      <c r="C260" s="399">
        <v>55.198326000000002</v>
      </c>
      <c r="D260" s="400">
        <f t="shared" si="6"/>
        <v>1.5200705265694392E-3</v>
      </c>
      <c r="F260" s="399">
        <v>17.52</v>
      </c>
      <c r="G260" s="400">
        <f t="shared" si="7"/>
        <v>4.5870983608315985E-3</v>
      </c>
    </row>
    <row r="261" spans="1:7" x14ac:dyDescent="0.2">
      <c r="A261" s="402">
        <v>43048</v>
      </c>
      <c r="C261" s="399">
        <v>54.956271999999998</v>
      </c>
      <c r="D261" s="400">
        <f t="shared" si="6"/>
        <v>-4.3851692169071255E-3</v>
      </c>
      <c r="F261" s="399">
        <v>18.360001</v>
      </c>
      <c r="G261" s="400">
        <f t="shared" si="7"/>
        <v>4.7945262557077761E-2</v>
      </c>
    </row>
    <row r="262" spans="1:7" x14ac:dyDescent="0.2">
      <c r="A262" s="402">
        <v>43049</v>
      </c>
      <c r="C262" s="399">
        <v>54.965587999999997</v>
      </c>
      <c r="D262" s="400">
        <f t="shared" si="6"/>
        <v>1.6951659311970069E-4</v>
      </c>
      <c r="F262" s="399">
        <v>18.459999</v>
      </c>
      <c r="G262" s="400">
        <f t="shared" si="7"/>
        <v>5.4465138645689581E-3</v>
      </c>
    </row>
    <row r="263" spans="1:7" x14ac:dyDescent="0.2">
      <c r="A263" s="402">
        <v>43052</v>
      </c>
      <c r="C263" s="399">
        <v>55.021453999999999</v>
      </c>
      <c r="D263" s="400">
        <f t="shared" ref="D263:D326" si="8">C263/C262-1</f>
        <v>1.0163813766532748E-3</v>
      </c>
      <c r="F263" s="399">
        <v>17.959999</v>
      </c>
      <c r="G263" s="400">
        <f t="shared" ref="G263:G326" si="9">F263/F262-1</f>
        <v>-2.7085591933130648E-2</v>
      </c>
    </row>
    <row r="264" spans="1:7" x14ac:dyDescent="0.2">
      <c r="A264" s="402">
        <v>43053</v>
      </c>
      <c r="C264" s="399">
        <v>54.891109</v>
      </c>
      <c r="D264" s="400">
        <f t="shared" si="8"/>
        <v>-2.3689850144635871E-3</v>
      </c>
      <c r="F264" s="399">
        <v>18.27</v>
      </c>
      <c r="G264" s="400">
        <f t="shared" si="9"/>
        <v>1.726063570493519E-2</v>
      </c>
    </row>
    <row r="265" spans="1:7" x14ac:dyDescent="0.2">
      <c r="A265" s="402">
        <v>43054</v>
      </c>
      <c r="C265" s="399">
        <v>54.583877999999999</v>
      </c>
      <c r="D265" s="400">
        <f t="shared" si="8"/>
        <v>-5.5970995229847054E-3</v>
      </c>
      <c r="F265" s="399">
        <v>18.469999000000001</v>
      </c>
      <c r="G265" s="400">
        <f t="shared" si="9"/>
        <v>1.094685276409435E-2</v>
      </c>
    </row>
    <row r="266" spans="1:7" x14ac:dyDescent="0.2">
      <c r="A266" s="402">
        <v>43055</v>
      </c>
      <c r="C266" s="399">
        <v>55.105232000000001</v>
      </c>
      <c r="D266" s="400">
        <f t="shared" si="8"/>
        <v>9.5514283539912537E-3</v>
      </c>
      <c r="F266" s="399">
        <v>18.670000000000002</v>
      </c>
      <c r="G266" s="400">
        <f t="shared" si="9"/>
        <v>1.082842505838788E-2</v>
      </c>
    </row>
    <row r="267" spans="1:7" x14ac:dyDescent="0.2">
      <c r="A267" s="402">
        <v>43056</v>
      </c>
      <c r="C267" s="399">
        <v>55.040061999999999</v>
      </c>
      <c r="D267" s="400">
        <f t="shared" si="8"/>
        <v>-1.1826463229480666E-3</v>
      </c>
      <c r="F267" s="399">
        <v>19.139999</v>
      </c>
      <c r="G267" s="400">
        <f t="shared" si="9"/>
        <v>2.5174022495982662E-2</v>
      </c>
    </row>
    <row r="268" spans="1:7" x14ac:dyDescent="0.2">
      <c r="A268" s="402">
        <v>43059</v>
      </c>
      <c r="C268" s="399">
        <v>55.123859000000003</v>
      </c>
      <c r="D268" s="400">
        <f t="shared" si="8"/>
        <v>1.5224728489586781E-3</v>
      </c>
      <c r="F268" s="399">
        <v>19.540001</v>
      </c>
      <c r="G268" s="400">
        <f t="shared" si="9"/>
        <v>2.089874717339324E-2</v>
      </c>
    </row>
    <row r="269" spans="1:7" x14ac:dyDescent="0.2">
      <c r="A269" s="402">
        <v>43060</v>
      </c>
      <c r="C269" s="399">
        <v>55.524180999999999</v>
      </c>
      <c r="D269" s="400">
        <f t="shared" si="8"/>
        <v>7.2622274140856646E-3</v>
      </c>
      <c r="F269" s="399">
        <v>19.450001</v>
      </c>
      <c r="G269" s="400">
        <f t="shared" si="9"/>
        <v>-4.6059363047115109E-3</v>
      </c>
    </row>
    <row r="270" spans="1:7" x14ac:dyDescent="0.2">
      <c r="A270" s="402">
        <v>43061</v>
      </c>
      <c r="C270" s="399">
        <v>55.486938000000002</v>
      </c>
      <c r="D270" s="400">
        <f t="shared" si="8"/>
        <v>-6.7075280227901768E-4</v>
      </c>
      <c r="F270" s="399">
        <v>19.52</v>
      </c>
      <c r="G270" s="400">
        <f t="shared" si="9"/>
        <v>3.5989201234487567E-3</v>
      </c>
    </row>
    <row r="271" spans="1:7" x14ac:dyDescent="0.2">
      <c r="A271" s="402">
        <v>43063</v>
      </c>
      <c r="C271" s="399">
        <v>55.580032000000003</v>
      </c>
      <c r="D271" s="400">
        <f t="shared" si="8"/>
        <v>1.6777642334488974E-3</v>
      </c>
      <c r="F271" s="399">
        <v>19.5</v>
      </c>
      <c r="G271" s="400">
        <f t="shared" si="9"/>
        <v>-1.0245901639344135E-3</v>
      </c>
    </row>
    <row r="272" spans="1:7" x14ac:dyDescent="0.2">
      <c r="A272" s="402">
        <v>43066</v>
      </c>
      <c r="C272" s="399">
        <v>55.561419999999998</v>
      </c>
      <c r="D272" s="400">
        <f t="shared" si="8"/>
        <v>-3.3486846499120038E-4</v>
      </c>
      <c r="F272" s="399">
        <v>19.489999999999998</v>
      </c>
      <c r="G272" s="400">
        <f t="shared" si="9"/>
        <v>-5.1282051282064423E-4</v>
      </c>
    </row>
    <row r="273" spans="1:7" x14ac:dyDescent="0.2">
      <c r="A273" s="402">
        <v>43067</v>
      </c>
      <c r="C273" s="399">
        <v>56.101387000000003</v>
      </c>
      <c r="D273" s="400">
        <f t="shared" si="8"/>
        <v>9.718380127793802E-3</v>
      </c>
      <c r="F273" s="399">
        <v>20.299999</v>
      </c>
      <c r="G273" s="400">
        <f t="shared" si="9"/>
        <v>4.1559722934838339E-2</v>
      </c>
    </row>
    <row r="274" spans="1:7" x14ac:dyDescent="0.2">
      <c r="A274" s="402">
        <v>43068</v>
      </c>
      <c r="C274" s="399">
        <v>56.120013999999998</v>
      </c>
      <c r="D274" s="400">
        <f t="shared" si="8"/>
        <v>3.3202387670017153E-4</v>
      </c>
      <c r="F274" s="399">
        <v>20.059999000000001</v>
      </c>
      <c r="G274" s="400">
        <f t="shared" si="9"/>
        <v>-1.1822660680919195E-2</v>
      </c>
    </row>
    <row r="275" spans="1:7" x14ac:dyDescent="0.2">
      <c r="A275" s="402">
        <v>43069</v>
      </c>
      <c r="C275" s="399">
        <v>56.520344000000001</v>
      </c>
      <c r="D275" s="400">
        <f t="shared" si="8"/>
        <v>7.1334622261498559E-3</v>
      </c>
      <c r="F275" s="399">
        <v>20.399999999999999</v>
      </c>
      <c r="G275" s="400">
        <f t="shared" si="9"/>
        <v>1.6949203237746735E-2</v>
      </c>
    </row>
    <row r="276" spans="1:7" x14ac:dyDescent="0.2">
      <c r="A276" s="402">
        <v>43070</v>
      </c>
      <c r="C276" s="399">
        <v>56.436546</v>
      </c>
      <c r="D276" s="400">
        <f t="shared" si="8"/>
        <v>-1.4826165955394988E-3</v>
      </c>
      <c r="F276" s="399">
        <v>19.98</v>
      </c>
      <c r="G276" s="400">
        <f t="shared" si="9"/>
        <v>-2.0588235294117574E-2</v>
      </c>
    </row>
    <row r="277" spans="1:7" x14ac:dyDescent="0.2">
      <c r="A277" s="402">
        <v>43073</v>
      </c>
      <c r="C277" s="399">
        <v>56.362068000000001</v>
      </c>
      <c r="D277" s="400">
        <f t="shared" si="8"/>
        <v>-1.3196767924102959E-3</v>
      </c>
      <c r="F277" s="399">
        <v>20.329999999999998</v>
      </c>
      <c r="G277" s="400">
        <f t="shared" si="9"/>
        <v>1.7517517517517511E-2</v>
      </c>
    </row>
    <row r="278" spans="1:7" x14ac:dyDescent="0.2">
      <c r="A278" s="402">
        <v>43074</v>
      </c>
      <c r="C278" s="399">
        <v>56.101387000000003</v>
      </c>
      <c r="D278" s="400">
        <f t="shared" si="8"/>
        <v>-4.6251141814029895E-3</v>
      </c>
      <c r="F278" s="399">
        <v>20.07</v>
      </c>
      <c r="G278" s="400">
        <f t="shared" si="9"/>
        <v>-1.2788981800295085E-2</v>
      </c>
    </row>
    <row r="279" spans="1:7" x14ac:dyDescent="0.2">
      <c r="A279" s="402">
        <v>43075</v>
      </c>
      <c r="C279" s="399">
        <v>56.082779000000002</v>
      </c>
      <c r="D279" s="400">
        <f t="shared" si="8"/>
        <v>-3.3168520414661451E-4</v>
      </c>
      <c r="F279" s="399">
        <v>20.129999000000002</v>
      </c>
      <c r="G279" s="400">
        <f t="shared" si="9"/>
        <v>2.9894867962132476E-3</v>
      </c>
    </row>
    <row r="280" spans="1:7" x14ac:dyDescent="0.2">
      <c r="A280" s="402">
        <v>43076</v>
      </c>
      <c r="C280" s="399">
        <v>56.287590000000002</v>
      </c>
      <c r="D280" s="400">
        <f t="shared" si="8"/>
        <v>3.6519409995714458E-3</v>
      </c>
      <c r="F280" s="399">
        <v>20.52</v>
      </c>
      <c r="G280" s="400">
        <f t="shared" si="9"/>
        <v>1.9374119193945161E-2</v>
      </c>
    </row>
    <row r="281" spans="1:7" x14ac:dyDescent="0.2">
      <c r="A281" s="402">
        <v>43077</v>
      </c>
      <c r="C281" s="399">
        <v>56.557568000000003</v>
      </c>
      <c r="D281" s="400">
        <f t="shared" si="8"/>
        <v>4.7964036122349896E-3</v>
      </c>
      <c r="F281" s="399">
        <v>20.5</v>
      </c>
      <c r="G281" s="400">
        <f t="shared" si="9"/>
        <v>-9.746588693957392E-4</v>
      </c>
    </row>
    <row r="282" spans="1:7" x14ac:dyDescent="0.2">
      <c r="A282" s="402">
        <v>43080</v>
      </c>
      <c r="C282" s="399">
        <v>56.715843</v>
      </c>
      <c r="D282" s="400">
        <f t="shared" si="8"/>
        <v>2.7984760589421231E-3</v>
      </c>
      <c r="F282" s="399">
        <v>20.440000999999999</v>
      </c>
      <c r="G282" s="400">
        <f t="shared" si="9"/>
        <v>-2.9267804878049253E-3</v>
      </c>
    </row>
    <row r="283" spans="1:7" x14ac:dyDescent="0.2">
      <c r="A283" s="402">
        <v>43081</v>
      </c>
      <c r="C283" s="399">
        <v>56.781016999999999</v>
      </c>
      <c r="D283" s="400">
        <f t="shared" si="8"/>
        <v>1.1491321745846772E-3</v>
      </c>
      <c r="F283" s="399">
        <v>20.170000000000002</v>
      </c>
      <c r="G283" s="400">
        <f t="shared" si="9"/>
        <v>-1.3209441623804108E-2</v>
      </c>
    </row>
    <row r="284" spans="1:7" x14ac:dyDescent="0.2">
      <c r="A284" s="402">
        <v>43082</v>
      </c>
      <c r="C284" s="399">
        <v>56.808937</v>
      </c>
      <c r="D284" s="400">
        <f t="shared" si="8"/>
        <v>4.9171363027888937E-4</v>
      </c>
      <c r="F284" s="399">
        <v>20.040001</v>
      </c>
      <c r="G284" s="400">
        <f t="shared" si="9"/>
        <v>-6.4451660882499651E-3</v>
      </c>
    </row>
    <row r="285" spans="1:7" x14ac:dyDescent="0.2">
      <c r="A285" s="402">
        <v>43083</v>
      </c>
      <c r="C285" s="399">
        <v>56.529651999999999</v>
      </c>
      <c r="D285" s="400">
        <f t="shared" si="8"/>
        <v>-4.916215911591526E-3</v>
      </c>
      <c r="F285" s="399">
        <v>19.73</v>
      </c>
      <c r="G285" s="400">
        <f t="shared" si="9"/>
        <v>-1.5469111004535407E-2</v>
      </c>
    </row>
    <row r="286" spans="1:7" x14ac:dyDescent="0.2">
      <c r="A286" s="402">
        <v>43084</v>
      </c>
      <c r="C286" s="399">
        <v>57.013759999999998</v>
      </c>
      <c r="D286" s="400">
        <f t="shared" si="8"/>
        <v>8.5637887882274999E-3</v>
      </c>
      <c r="F286" s="399">
        <v>20.049999</v>
      </c>
      <c r="G286" s="400">
        <f t="shared" si="9"/>
        <v>1.6218905220476421E-2</v>
      </c>
    </row>
    <row r="287" spans="1:7" x14ac:dyDescent="0.2">
      <c r="A287" s="402">
        <v>43087</v>
      </c>
      <c r="C287" s="399">
        <v>57.442013000000003</v>
      </c>
      <c r="D287" s="400">
        <f t="shared" si="8"/>
        <v>7.5113972486642311E-3</v>
      </c>
      <c r="F287" s="399">
        <v>20.440000999999999</v>
      </c>
      <c r="G287" s="400">
        <f t="shared" si="9"/>
        <v>1.9451472291843963E-2</v>
      </c>
    </row>
    <row r="288" spans="1:7" x14ac:dyDescent="0.2">
      <c r="A288" s="402">
        <v>43088</v>
      </c>
      <c r="C288" s="399">
        <v>57.200642000000002</v>
      </c>
      <c r="D288" s="400">
        <f t="shared" si="8"/>
        <v>-4.2019941049071807E-3</v>
      </c>
      <c r="F288" s="399">
        <v>20.16</v>
      </c>
      <c r="G288" s="400">
        <f t="shared" si="9"/>
        <v>-1.369867839047556E-2</v>
      </c>
    </row>
    <row r="289" spans="1:7" x14ac:dyDescent="0.2">
      <c r="A289" s="402">
        <v>43089</v>
      </c>
      <c r="C289" s="399">
        <v>57.191279999999999</v>
      </c>
      <c r="D289" s="400">
        <f t="shared" si="8"/>
        <v>-1.6366949168167277E-4</v>
      </c>
      <c r="F289" s="399">
        <v>20.469999000000001</v>
      </c>
      <c r="G289" s="400">
        <f t="shared" si="9"/>
        <v>1.5376934523809505E-2</v>
      </c>
    </row>
    <row r="290" spans="1:7" x14ac:dyDescent="0.2">
      <c r="A290" s="402">
        <v>43090</v>
      </c>
      <c r="C290" s="399">
        <v>57.340977000000002</v>
      </c>
      <c r="D290" s="400">
        <f t="shared" si="8"/>
        <v>2.6174794479159047E-3</v>
      </c>
      <c r="F290" s="399">
        <v>20.98</v>
      </c>
      <c r="G290" s="400">
        <f t="shared" si="9"/>
        <v>2.4914559106719913E-2</v>
      </c>
    </row>
    <row r="291" spans="1:7" x14ac:dyDescent="0.2">
      <c r="A291" s="402">
        <v>43091</v>
      </c>
      <c r="C291" s="399">
        <v>57.322262000000002</v>
      </c>
      <c r="D291" s="400">
        <f t="shared" si="8"/>
        <v>-3.2638090557823851E-4</v>
      </c>
      <c r="F291" s="399">
        <v>21.26</v>
      </c>
      <c r="G291" s="400">
        <f t="shared" si="9"/>
        <v>1.3346043851286904E-2</v>
      </c>
    </row>
    <row r="292" spans="1:7" x14ac:dyDescent="0.2">
      <c r="A292" s="402">
        <v>43095</v>
      </c>
      <c r="C292" s="399">
        <v>57.275489999999998</v>
      </c>
      <c r="D292" s="400">
        <f t="shared" si="8"/>
        <v>-8.1594826107878049E-4</v>
      </c>
      <c r="F292" s="399">
        <v>21.68</v>
      </c>
      <c r="G292" s="400">
        <f t="shared" si="9"/>
        <v>1.9755409219190945E-2</v>
      </c>
    </row>
    <row r="293" spans="1:7" x14ac:dyDescent="0.2">
      <c r="A293" s="402">
        <v>43096</v>
      </c>
      <c r="C293" s="399">
        <v>57.294196999999997</v>
      </c>
      <c r="D293" s="400">
        <f t="shared" si="8"/>
        <v>3.266144034734797E-4</v>
      </c>
      <c r="F293" s="399">
        <v>21.790001</v>
      </c>
      <c r="G293" s="400">
        <f t="shared" si="9"/>
        <v>5.0738468634685674E-3</v>
      </c>
    </row>
    <row r="294" spans="1:7" x14ac:dyDescent="0.2">
      <c r="A294" s="402">
        <v>43097</v>
      </c>
      <c r="C294" s="399">
        <v>57.425179</v>
      </c>
      <c r="D294" s="400">
        <f t="shared" si="8"/>
        <v>2.286130303911893E-3</v>
      </c>
      <c r="F294" s="399">
        <v>21.84</v>
      </c>
      <c r="G294" s="400">
        <f t="shared" si="9"/>
        <v>2.2945845665633957E-3</v>
      </c>
    </row>
    <row r="295" spans="1:7" x14ac:dyDescent="0.2">
      <c r="A295" s="402">
        <v>43098</v>
      </c>
      <c r="C295" s="399">
        <v>57.200642000000002</v>
      </c>
      <c r="D295" s="400">
        <f t="shared" si="8"/>
        <v>-3.9100792354517244E-3</v>
      </c>
      <c r="F295" s="399">
        <v>21.790001</v>
      </c>
      <c r="G295" s="400">
        <f t="shared" si="9"/>
        <v>-2.2893315018315263E-3</v>
      </c>
    </row>
    <row r="296" spans="1:7" x14ac:dyDescent="0.2">
      <c r="A296" s="402">
        <v>43102</v>
      </c>
      <c r="C296" s="399">
        <v>57.612293000000001</v>
      </c>
      <c r="D296" s="400">
        <f t="shared" si="8"/>
        <v>7.1966150309992205E-3</v>
      </c>
      <c r="F296" s="399">
        <v>22</v>
      </c>
      <c r="G296" s="400">
        <f t="shared" si="9"/>
        <v>9.6374020359155654E-3</v>
      </c>
    </row>
    <row r="297" spans="1:7" x14ac:dyDescent="0.2">
      <c r="A297" s="402">
        <v>43103</v>
      </c>
      <c r="C297" s="399">
        <v>57.930385999999999</v>
      </c>
      <c r="D297" s="400">
        <f t="shared" si="8"/>
        <v>5.5212695665489697E-3</v>
      </c>
      <c r="F297" s="399">
        <v>22.41</v>
      </c>
      <c r="G297" s="400">
        <f t="shared" si="9"/>
        <v>1.8636363636363562E-2</v>
      </c>
    </row>
    <row r="298" spans="1:7" x14ac:dyDescent="0.2">
      <c r="A298" s="402">
        <v>43104</v>
      </c>
      <c r="C298" s="399">
        <v>58.136208000000003</v>
      </c>
      <c r="D298" s="400">
        <f t="shared" si="8"/>
        <v>3.5529195334553787E-3</v>
      </c>
      <c r="F298" s="399">
        <v>22.35</v>
      </c>
      <c r="G298" s="400">
        <f t="shared" si="9"/>
        <v>-2.6773761713519972E-3</v>
      </c>
    </row>
    <row r="299" spans="1:7" x14ac:dyDescent="0.2">
      <c r="A299" s="402">
        <v>43105</v>
      </c>
      <c r="C299" s="399">
        <v>58.491722000000003</v>
      </c>
      <c r="D299" s="400">
        <f t="shared" si="8"/>
        <v>6.1151907258898408E-3</v>
      </c>
      <c r="F299" s="399">
        <v>22.780000999999999</v>
      </c>
      <c r="G299" s="400">
        <f t="shared" si="9"/>
        <v>1.923941834451881E-2</v>
      </c>
    </row>
    <row r="300" spans="1:7" x14ac:dyDescent="0.2">
      <c r="A300" s="402">
        <v>43108</v>
      </c>
      <c r="C300" s="399">
        <v>58.613354000000001</v>
      </c>
      <c r="D300" s="400">
        <f t="shared" si="8"/>
        <v>2.0794737416005571E-3</v>
      </c>
      <c r="F300" s="399">
        <v>22.67</v>
      </c>
      <c r="G300" s="400">
        <f t="shared" si="9"/>
        <v>-4.8288408766968827E-3</v>
      </c>
    </row>
    <row r="301" spans="1:7" x14ac:dyDescent="0.2">
      <c r="A301" s="402">
        <v>43109</v>
      </c>
      <c r="C301" s="399">
        <v>58.725616000000002</v>
      </c>
      <c r="D301" s="400">
        <f t="shared" si="8"/>
        <v>1.9152973228593329E-3</v>
      </c>
      <c r="F301" s="399">
        <v>22.68</v>
      </c>
      <c r="G301" s="400">
        <f t="shared" si="9"/>
        <v>4.4111160123505577E-4</v>
      </c>
    </row>
    <row r="302" spans="1:7" x14ac:dyDescent="0.2">
      <c r="A302" s="402">
        <v>43110</v>
      </c>
      <c r="C302" s="399">
        <v>58.641418000000002</v>
      </c>
      <c r="D302" s="400">
        <f t="shared" si="8"/>
        <v>-1.4337525212166913E-3</v>
      </c>
      <c r="F302" s="399">
        <v>22.129999000000002</v>
      </c>
      <c r="G302" s="400">
        <f t="shared" si="9"/>
        <v>-2.4250485008818212E-2</v>
      </c>
    </row>
    <row r="303" spans="1:7" x14ac:dyDescent="0.2">
      <c r="A303" s="402">
        <v>43111</v>
      </c>
      <c r="C303" s="399">
        <v>59.099845999999999</v>
      </c>
      <c r="D303" s="400">
        <f t="shared" si="8"/>
        <v>7.8174780834938673E-3</v>
      </c>
      <c r="F303" s="399">
        <v>22.459999</v>
      </c>
      <c r="G303" s="400">
        <f t="shared" si="9"/>
        <v>1.4911884993758839E-2</v>
      </c>
    </row>
    <row r="304" spans="1:7" x14ac:dyDescent="0.2">
      <c r="A304" s="402">
        <v>43112</v>
      </c>
      <c r="C304" s="399">
        <v>59.502136</v>
      </c>
      <c r="D304" s="400">
        <f t="shared" si="8"/>
        <v>6.8069551314904331E-3</v>
      </c>
      <c r="F304" s="399">
        <v>22.790001</v>
      </c>
      <c r="G304" s="400">
        <f t="shared" si="9"/>
        <v>1.4692876878578787E-2</v>
      </c>
    </row>
    <row r="305" spans="1:7" x14ac:dyDescent="0.2">
      <c r="A305" s="402">
        <v>43116</v>
      </c>
      <c r="C305" s="399">
        <v>59.221462000000002</v>
      </c>
      <c r="D305" s="400">
        <f t="shared" si="8"/>
        <v>-4.7170407462346908E-3</v>
      </c>
      <c r="F305" s="399">
        <v>22.15</v>
      </c>
      <c r="G305" s="400">
        <f t="shared" si="9"/>
        <v>-2.8082534967857287E-2</v>
      </c>
    </row>
    <row r="306" spans="1:7" x14ac:dyDescent="0.2">
      <c r="A306" s="402">
        <v>43117</v>
      </c>
      <c r="C306" s="399">
        <v>59.764099000000002</v>
      </c>
      <c r="D306" s="400">
        <f t="shared" si="8"/>
        <v>9.1628437001436414E-3</v>
      </c>
      <c r="F306" s="399">
        <v>22.790001</v>
      </c>
      <c r="G306" s="400">
        <f t="shared" si="9"/>
        <v>2.8893950338600538E-2</v>
      </c>
    </row>
    <row r="307" spans="1:7" x14ac:dyDescent="0.2">
      <c r="A307" s="402">
        <v>43118</v>
      </c>
      <c r="C307" s="399">
        <v>59.661194000000002</v>
      </c>
      <c r="D307" s="400">
        <f t="shared" si="8"/>
        <v>-1.7218531145261062E-3</v>
      </c>
      <c r="F307" s="399">
        <v>22.6</v>
      </c>
      <c r="G307" s="400">
        <f t="shared" si="9"/>
        <v>-8.33703342092873E-3</v>
      </c>
    </row>
    <row r="308" spans="1:7" x14ac:dyDescent="0.2">
      <c r="A308" s="402">
        <v>43119</v>
      </c>
      <c r="C308" s="399">
        <v>59.979270999999997</v>
      </c>
      <c r="D308" s="400">
        <f t="shared" si="8"/>
        <v>5.3313884398624722E-3</v>
      </c>
      <c r="F308" s="399">
        <v>22.309999000000001</v>
      </c>
      <c r="G308" s="400">
        <f t="shared" si="9"/>
        <v>-1.2831902654867222E-2</v>
      </c>
    </row>
    <row r="309" spans="1:7" x14ac:dyDescent="0.2">
      <c r="A309" s="402">
        <v>43122</v>
      </c>
      <c r="C309" s="399">
        <v>60.456425000000003</v>
      </c>
      <c r="D309" s="400">
        <f t="shared" si="8"/>
        <v>7.9553150954436713E-3</v>
      </c>
      <c r="F309" s="399">
        <v>22.74</v>
      </c>
      <c r="G309" s="400">
        <f t="shared" si="9"/>
        <v>1.927391390739186E-2</v>
      </c>
    </row>
    <row r="310" spans="1:7" x14ac:dyDescent="0.2">
      <c r="A310" s="402">
        <v>43123</v>
      </c>
      <c r="C310" s="399">
        <v>60.606102</v>
      </c>
      <c r="D310" s="400">
        <f t="shared" si="8"/>
        <v>2.4757831777184602E-3</v>
      </c>
      <c r="F310" s="399">
        <v>23.030000999999999</v>
      </c>
      <c r="G310" s="400">
        <f t="shared" si="9"/>
        <v>1.2752902374670194E-2</v>
      </c>
    </row>
    <row r="311" spans="1:7" x14ac:dyDescent="0.2">
      <c r="A311" s="402">
        <v>43124</v>
      </c>
      <c r="C311" s="399">
        <v>60.549973000000001</v>
      </c>
      <c r="D311" s="400">
        <f t="shared" si="8"/>
        <v>-9.2612786745460696E-4</v>
      </c>
      <c r="F311" s="399">
        <v>22.379999000000002</v>
      </c>
      <c r="G311" s="400">
        <f t="shared" si="9"/>
        <v>-2.8224141197388475E-2</v>
      </c>
    </row>
    <row r="312" spans="1:7" x14ac:dyDescent="0.2">
      <c r="A312" s="402">
        <v>43125</v>
      </c>
      <c r="C312" s="399">
        <v>60.559341000000003</v>
      </c>
      <c r="D312" s="400">
        <f t="shared" si="8"/>
        <v>1.5471518046750177E-4</v>
      </c>
      <c r="F312" s="399">
        <v>22.43</v>
      </c>
      <c r="G312" s="400">
        <f t="shared" si="9"/>
        <v>2.2341824054594728E-3</v>
      </c>
    </row>
    <row r="313" spans="1:7" x14ac:dyDescent="0.2">
      <c r="A313" s="402">
        <v>43126</v>
      </c>
      <c r="C313" s="399">
        <v>61.186169</v>
      </c>
      <c r="D313" s="400">
        <f t="shared" si="8"/>
        <v>1.0350641034881702E-2</v>
      </c>
      <c r="F313" s="399">
        <v>22.65</v>
      </c>
      <c r="G313" s="400">
        <f t="shared" si="9"/>
        <v>9.8082924654481207E-3</v>
      </c>
    </row>
    <row r="314" spans="1:7" x14ac:dyDescent="0.2">
      <c r="A314" s="402">
        <v>43129</v>
      </c>
      <c r="C314" s="399">
        <v>60.774509000000002</v>
      </c>
      <c r="D314" s="400">
        <f t="shared" si="8"/>
        <v>-6.7279910922352082E-3</v>
      </c>
      <c r="F314" s="399">
        <v>21.74</v>
      </c>
      <c r="G314" s="400">
        <f t="shared" si="9"/>
        <v>-4.0176600441501065E-2</v>
      </c>
    </row>
    <row r="315" spans="1:7" x14ac:dyDescent="0.2">
      <c r="A315" s="402">
        <v>43130</v>
      </c>
      <c r="C315" s="399">
        <v>60.138317000000001</v>
      </c>
      <c r="D315" s="400">
        <f t="shared" si="8"/>
        <v>-1.0468073053457316E-2</v>
      </c>
      <c r="F315" s="399">
        <v>21.52</v>
      </c>
      <c r="G315" s="400">
        <f t="shared" si="9"/>
        <v>-1.0119595216191324E-2</v>
      </c>
    </row>
    <row r="316" spans="1:7" x14ac:dyDescent="0.2">
      <c r="A316" s="402">
        <v>43131</v>
      </c>
      <c r="C316" s="399">
        <v>60.185111999999997</v>
      </c>
      <c r="D316" s="400">
        <f t="shared" si="8"/>
        <v>7.7812287297618354E-4</v>
      </c>
      <c r="F316" s="399">
        <v>21.42</v>
      </c>
      <c r="G316" s="400">
        <f t="shared" si="9"/>
        <v>-4.6468401486987609E-3</v>
      </c>
    </row>
    <row r="317" spans="1:7" x14ac:dyDescent="0.2">
      <c r="A317" s="402">
        <v>43132</v>
      </c>
      <c r="C317" s="399">
        <v>60.128967000000003</v>
      </c>
      <c r="D317" s="400">
        <f t="shared" si="8"/>
        <v>-9.328719036029165E-4</v>
      </c>
      <c r="F317" s="399">
        <v>21.9</v>
      </c>
      <c r="G317" s="400">
        <f t="shared" si="9"/>
        <v>2.2408963585434094E-2</v>
      </c>
    </row>
    <row r="318" spans="1:7" x14ac:dyDescent="0.2">
      <c r="A318" s="402">
        <v>43133</v>
      </c>
      <c r="C318" s="399">
        <v>58.875309000000001</v>
      </c>
      <c r="D318" s="400">
        <f t="shared" si="8"/>
        <v>-2.0849485074307061E-2</v>
      </c>
      <c r="F318" s="399">
        <v>20.82</v>
      </c>
      <c r="G318" s="400">
        <f t="shared" si="9"/>
        <v>-4.9315068493150593E-2</v>
      </c>
    </row>
    <row r="319" spans="1:7" x14ac:dyDescent="0.2">
      <c r="A319" s="402">
        <v>43136</v>
      </c>
      <c r="C319" s="399">
        <v>56.536388000000002</v>
      </c>
      <c r="D319" s="400">
        <f t="shared" si="8"/>
        <v>-3.9726687464179622E-2</v>
      </c>
      <c r="F319" s="399">
        <v>19.920000000000002</v>
      </c>
      <c r="G319" s="400">
        <f t="shared" si="9"/>
        <v>-4.3227665706051854E-2</v>
      </c>
    </row>
    <row r="320" spans="1:7" x14ac:dyDescent="0.2">
      <c r="A320" s="402">
        <v>43137</v>
      </c>
      <c r="C320" s="399">
        <v>57.453251000000002</v>
      </c>
      <c r="D320" s="400">
        <f t="shared" si="8"/>
        <v>1.6217219253553905E-2</v>
      </c>
      <c r="F320" s="399">
        <v>20.370000999999998</v>
      </c>
      <c r="G320" s="400">
        <f t="shared" si="9"/>
        <v>2.2590411646586261E-2</v>
      </c>
    </row>
    <row r="321" spans="1:7" x14ac:dyDescent="0.2">
      <c r="A321" s="402">
        <v>43138</v>
      </c>
      <c r="C321" s="399">
        <v>57.247421000000003</v>
      </c>
      <c r="D321" s="400">
        <f t="shared" si="8"/>
        <v>-3.582564892628981E-3</v>
      </c>
      <c r="F321" s="399">
        <v>20.379999000000002</v>
      </c>
      <c r="G321" s="400">
        <f t="shared" si="9"/>
        <v>4.9081980899279287E-4</v>
      </c>
    </row>
    <row r="322" spans="1:7" x14ac:dyDescent="0.2">
      <c r="A322" s="402">
        <v>43139</v>
      </c>
      <c r="C322" s="399">
        <v>55.142395</v>
      </c>
      <c r="D322" s="400">
        <f t="shared" si="8"/>
        <v>-3.6770669546843049E-2</v>
      </c>
      <c r="F322" s="399">
        <v>19.73</v>
      </c>
      <c r="G322" s="400">
        <f t="shared" si="9"/>
        <v>-3.1893966236210325E-2</v>
      </c>
    </row>
    <row r="323" spans="1:7" x14ac:dyDescent="0.2">
      <c r="A323" s="402">
        <v>43140</v>
      </c>
      <c r="C323" s="399">
        <v>55.928268000000003</v>
      </c>
      <c r="D323" s="400">
        <f t="shared" si="8"/>
        <v>1.4251702342634953E-2</v>
      </c>
      <c r="F323" s="399">
        <v>19.799999</v>
      </c>
      <c r="G323" s="400">
        <f t="shared" si="9"/>
        <v>3.5478459199189682E-3</v>
      </c>
    </row>
    <row r="324" spans="1:7" x14ac:dyDescent="0.2">
      <c r="A324" s="402">
        <v>43143</v>
      </c>
      <c r="C324" s="399">
        <v>56.639296999999999</v>
      </c>
      <c r="D324" s="400">
        <f t="shared" si="8"/>
        <v>1.271323116961165E-2</v>
      </c>
      <c r="F324" s="399">
        <v>19.530000999999999</v>
      </c>
      <c r="G324" s="400">
        <f t="shared" si="9"/>
        <v>-1.3636263314962815E-2</v>
      </c>
    </row>
    <row r="325" spans="1:7" x14ac:dyDescent="0.2">
      <c r="A325" s="402">
        <v>43144</v>
      </c>
      <c r="C325" s="399">
        <v>56.863833999999997</v>
      </c>
      <c r="D325" s="400">
        <f t="shared" si="8"/>
        <v>3.964332396286574E-3</v>
      </c>
      <c r="F325" s="399">
        <v>19.48</v>
      </c>
      <c r="G325" s="400">
        <f t="shared" si="9"/>
        <v>-2.5602149226719995E-3</v>
      </c>
    </row>
    <row r="326" spans="1:7" x14ac:dyDescent="0.2">
      <c r="A326" s="402">
        <v>43145</v>
      </c>
      <c r="C326" s="399">
        <v>57.677779999999998</v>
      </c>
      <c r="D326" s="400">
        <f t="shared" si="8"/>
        <v>1.4313948651439867E-2</v>
      </c>
      <c r="F326" s="399">
        <v>19.82</v>
      </c>
      <c r="G326" s="400">
        <f t="shared" si="9"/>
        <v>1.7453798767967044E-2</v>
      </c>
    </row>
    <row r="327" spans="1:7" x14ac:dyDescent="0.2">
      <c r="A327" s="402">
        <v>43146</v>
      </c>
      <c r="C327" s="399">
        <v>58.379458999999997</v>
      </c>
      <c r="D327" s="400">
        <f t="shared" ref="D327:D390" si="10">C327/C326-1</f>
        <v>1.2165499434964255E-2</v>
      </c>
      <c r="F327" s="399">
        <v>19.879999000000002</v>
      </c>
      <c r="G327" s="400">
        <f t="shared" ref="G327:G390" si="11">F327/F326-1</f>
        <v>3.0271947527751308E-3</v>
      </c>
    </row>
    <row r="328" spans="1:7" x14ac:dyDescent="0.2">
      <c r="A328" s="402">
        <v>43147</v>
      </c>
      <c r="C328" s="399">
        <v>58.407527999999999</v>
      </c>
      <c r="D328" s="400">
        <f t="shared" si="10"/>
        <v>4.8080267410499644E-4</v>
      </c>
      <c r="F328" s="399">
        <v>20.549999</v>
      </c>
      <c r="G328" s="400">
        <f t="shared" si="11"/>
        <v>3.3702214974960398E-2</v>
      </c>
    </row>
    <row r="329" spans="1:7" x14ac:dyDescent="0.2">
      <c r="A329" s="402">
        <v>43151</v>
      </c>
      <c r="C329" s="399">
        <v>58.033298000000002</v>
      </c>
      <c r="D329" s="400">
        <f t="shared" si="10"/>
        <v>-6.4072220279549619E-3</v>
      </c>
      <c r="F329" s="399">
        <v>20.389999</v>
      </c>
      <c r="G329" s="400">
        <f t="shared" si="11"/>
        <v>-7.7858884567342246E-3</v>
      </c>
    </row>
    <row r="330" spans="1:7" x14ac:dyDescent="0.2">
      <c r="A330" s="402">
        <v>43152</v>
      </c>
      <c r="C330" s="399">
        <v>57.761986</v>
      </c>
      <c r="D330" s="400">
        <f t="shared" si="10"/>
        <v>-4.675109107188824E-3</v>
      </c>
      <c r="F330" s="399">
        <v>20.350000000000001</v>
      </c>
      <c r="G330" s="400">
        <f t="shared" si="11"/>
        <v>-1.9616970064587624E-3</v>
      </c>
    </row>
    <row r="331" spans="1:7" x14ac:dyDescent="0.2">
      <c r="A331" s="402">
        <v>43153</v>
      </c>
      <c r="C331" s="399">
        <v>57.790053999999998</v>
      </c>
      <c r="D331" s="400">
        <f t="shared" si="10"/>
        <v>4.859251203723769E-4</v>
      </c>
      <c r="F331" s="399">
        <v>20.23</v>
      </c>
      <c r="G331" s="400">
        <f t="shared" si="11"/>
        <v>-5.8968058968059678E-3</v>
      </c>
    </row>
    <row r="332" spans="1:7" x14ac:dyDescent="0.2">
      <c r="A332" s="402">
        <v>43154</v>
      </c>
      <c r="C332" s="399">
        <v>58.669486999999997</v>
      </c>
      <c r="D332" s="400">
        <f t="shared" si="10"/>
        <v>1.521772241292596E-2</v>
      </c>
      <c r="F332" s="399">
        <v>20.77</v>
      </c>
      <c r="G332" s="400">
        <f t="shared" si="11"/>
        <v>2.6693030153237762E-2</v>
      </c>
    </row>
    <row r="333" spans="1:7" x14ac:dyDescent="0.2">
      <c r="A333" s="402">
        <v>43157</v>
      </c>
      <c r="C333" s="399">
        <v>59.315033</v>
      </c>
      <c r="D333" s="400">
        <f t="shared" si="10"/>
        <v>1.1003096038661564E-2</v>
      </c>
      <c r="F333" s="399">
        <v>20.51</v>
      </c>
      <c r="G333" s="400">
        <f t="shared" si="11"/>
        <v>-1.2518054886855978E-2</v>
      </c>
    </row>
    <row r="334" spans="1:7" x14ac:dyDescent="0.2">
      <c r="A334" s="402">
        <v>43158</v>
      </c>
      <c r="C334" s="399">
        <v>58.566574000000003</v>
      </c>
      <c r="D334" s="400">
        <f t="shared" si="10"/>
        <v>-1.2618369444386879E-2</v>
      </c>
      <c r="F334" s="399">
        <v>19.649999999999999</v>
      </c>
      <c r="G334" s="400">
        <f t="shared" si="11"/>
        <v>-4.1930765480253651E-2</v>
      </c>
    </row>
    <row r="335" spans="1:7" x14ac:dyDescent="0.2">
      <c r="A335" s="402">
        <v>43159</v>
      </c>
      <c r="C335" s="399">
        <v>57.902316999999996</v>
      </c>
      <c r="D335" s="400">
        <f t="shared" si="10"/>
        <v>-1.1341913221695421E-2</v>
      </c>
      <c r="F335" s="399">
        <v>19.18</v>
      </c>
      <c r="G335" s="400">
        <f t="shared" si="11"/>
        <v>-2.3918575063613168E-2</v>
      </c>
    </row>
    <row r="336" spans="1:7" x14ac:dyDescent="0.2">
      <c r="A336" s="402">
        <v>43160</v>
      </c>
      <c r="C336" s="399">
        <v>57.228706000000003</v>
      </c>
      <c r="D336" s="400">
        <f t="shared" si="10"/>
        <v>-1.1633575906815463E-2</v>
      </c>
      <c r="F336" s="399">
        <v>21.190000999999999</v>
      </c>
      <c r="G336" s="400">
        <f t="shared" si="11"/>
        <v>0.10479671532846702</v>
      </c>
    </row>
    <row r="337" spans="1:7" x14ac:dyDescent="0.2">
      <c r="A337" s="402">
        <v>43161</v>
      </c>
      <c r="C337" s="399">
        <v>57.574874999999999</v>
      </c>
      <c r="D337" s="400">
        <f t="shared" si="10"/>
        <v>6.0488699499863241E-3</v>
      </c>
      <c r="F337" s="399">
        <v>21.43</v>
      </c>
      <c r="G337" s="400">
        <f t="shared" si="11"/>
        <v>1.1326049489096324E-2</v>
      </c>
    </row>
    <row r="338" spans="1:7" x14ac:dyDescent="0.2">
      <c r="A338" s="402">
        <v>43164</v>
      </c>
      <c r="C338" s="399">
        <v>58.248469999999998</v>
      </c>
      <c r="D338" s="400">
        <f t="shared" si="10"/>
        <v>1.169946091936791E-2</v>
      </c>
      <c r="F338" s="399">
        <v>21.07</v>
      </c>
      <c r="G338" s="400">
        <f t="shared" si="11"/>
        <v>-1.6798880074661682E-2</v>
      </c>
    </row>
    <row r="339" spans="1:7" x14ac:dyDescent="0.2">
      <c r="A339" s="402">
        <v>43165</v>
      </c>
      <c r="C339" s="399">
        <v>58.473014999999997</v>
      </c>
      <c r="D339" s="400">
        <f t="shared" si="10"/>
        <v>3.8549510399157327E-3</v>
      </c>
      <c r="F339" s="399">
        <v>21.48</v>
      </c>
      <c r="G339" s="400">
        <f t="shared" si="11"/>
        <v>1.9458946369245389E-2</v>
      </c>
    </row>
    <row r="340" spans="1:7" x14ac:dyDescent="0.2">
      <c r="A340" s="402">
        <v>43166</v>
      </c>
      <c r="C340" s="399">
        <v>58.501072000000001</v>
      </c>
      <c r="D340" s="400">
        <f t="shared" si="10"/>
        <v>4.7982817373104503E-4</v>
      </c>
      <c r="F340" s="399">
        <v>21.610001</v>
      </c>
      <c r="G340" s="400">
        <f t="shared" si="11"/>
        <v>6.052188081936638E-3</v>
      </c>
    </row>
    <row r="341" spans="1:7" x14ac:dyDescent="0.2">
      <c r="A341" s="402">
        <v>43167</v>
      </c>
      <c r="C341" s="399">
        <v>58.734966</v>
      </c>
      <c r="D341" s="400">
        <f t="shared" si="10"/>
        <v>3.9981147695891117E-3</v>
      </c>
      <c r="F341" s="399">
        <v>21.17</v>
      </c>
      <c r="G341" s="400">
        <f t="shared" si="11"/>
        <v>-2.0360989340074465E-2</v>
      </c>
    </row>
    <row r="342" spans="1:7" x14ac:dyDescent="0.2">
      <c r="A342" s="402">
        <v>43168</v>
      </c>
      <c r="C342" s="399">
        <v>59.717319000000003</v>
      </c>
      <c r="D342" s="400">
        <f t="shared" si="10"/>
        <v>1.6725182066164912E-2</v>
      </c>
      <c r="F342" s="399">
        <v>21.57</v>
      </c>
      <c r="G342" s="400">
        <f t="shared" si="11"/>
        <v>1.8894662257912032E-2</v>
      </c>
    </row>
    <row r="343" spans="1:7" x14ac:dyDescent="0.2">
      <c r="A343" s="402">
        <v>43171</v>
      </c>
      <c r="C343" s="399">
        <v>59.679904999999998</v>
      </c>
      <c r="D343" s="400">
        <f t="shared" si="10"/>
        <v>-6.2651841419747445E-4</v>
      </c>
      <c r="F343" s="399">
        <v>21.639999</v>
      </c>
      <c r="G343" s="400">
        <f t="shared" si="11"/>
        <v>3.2452016689845653E-3</v>
      </c>
    </row>
    <row r="344" spans="1:7" x14ac:dyDescent="0.2">
      <c r="A344" s="402">
        <v>43172</v>
      </c>
      <c r="C344" s="399">
        <v>59.296317999999999</v>
      </c>
      <c r="D344" s="400">
        <f t="shared" si="10"/>
        <v>-6.4274063438941598E-3</v>
      </c>
      <c r="F344" s="399">
        <v>21.9</v>
      </c>
      <c r="G344" s="400">
        <f t="shared" si="11"/>
        <v>1.2014834196618862E-2</v>
      </c>
    </row>
    <row r="345" spans="1:7" x14ac:dyDescent="0.2">
      <c r="A345" s="402">
        <v>43173</v>
      </c>
      <c r="C345" s="399">
        <v>59.015652000000003</v>
      </c>
      <c r="D345" s="400">
        <f t="shared" si="10"/>
        <v>-4.7332787172383872E-3</v>
      </c>
      <c r="F345" s="399">
        <v>21.780000999999999</v>
      </c>
      <c r="G345" s="400">
        <f t="shared" si="11"/>
        <v>-5.4794063926940639E-3</v>
      </c>
    </row>
    <row r="346" spans="1:7" x14ac:dyDescent="0.2">
      <c r="A346" s="402">
        <v>43174</v>
      </c>
      <c r="C346" s="399">
        <v>58.931446000000001</v>
      </c>
      <c r="D346" s="400">
        <f t="shared" si="10"/>
        <v>-1.4268418147782569E-3</v>
      </c>
      <c r="F346" s="399">
        <v>21.040001</v>
      </c>
      <c r="G346" s="400">
        <f t="shared" si="11"/>
        <v>-3.3976123325246799E-2</v>
      </c>
    </row>
    <row r="347" spans="1:7" x14ac:dyDescent="0.2">
      <c r="A347" s="402">
        <v>43175</v>
      </c>
      <c r="C347" s="399">
        <v>58.987578999999997</v>
      </c>
      <c r="D347" s="400">
        <f t="shared" si="10"/>
        <v>9.5251353581238263E-4</v>
      </c>
      <c r="F347" s="399">
        <v>20.799999</v>
      </c>
      <c r="G347" s="400">
        <f t="shared" si="11"/>
        <v>-1.1406938621343232E-2</v>
      </c>
    </row>
    <row r="348" spans="1:7" x14ac:dyDescent="0.2">
      <c r="A348" s="402">
        <v>43178</v>
      </c>
      <c r="C348" s="399">
        <v>58.276539</v>
      </c>
      <c r="D348" s="400">
        <f t="shared" si="10"/>
        <v>-1.2054063110472746E-2</v>
      </c>
      <c r="F348" s="399">
        <v>20.73</v>
      </c>
      <c r="G348" s="400">
        <f t="shared" si="11"/>
        <v>-3.365336700256516E-3</v>
      </c>
    </row>
    <row r="349" spans="1:7" x14ac:dyDescent="0.2">
      <c r="A349" s="402">
        <v>43179</v>
      </c>
      <c r="C349" s="399">
        <v>58.360751999999998</v>
      </c>
      <c r="D349" s="400">
        <f t="shared" si="10"/>
        <v>1.4450583621652413E-3</v>
      </c>
      <c r="F349" s="399">
        <v>20.65</v>
      </c>
      <c r="G349" s="400">
        <f t="shared" si="11"/>
        <v>-3.8591413410516973E-3</v>
      </c>
    </row>
    <row r="350" spans="1:7" x14ac:dyDescent="0.2">
      <c r="A350" s="402">
        <v>43180</v>
      </c>
      <c r="C350" s="399">
        <v>58.313969</v>
      </c>
      <c r="D350" s="400">
        <f t="shared" si="10"/>
        <v>-8.0161749800611304E-4</v>
      </c>
      <c r="F350" s="399">
        <v>21.059999000000001</v>
      </c>
      <c r="G350" s="400">
        <f t="shared" si="11"/>
        <v>1.9854673123486766E-2</v>
      </c>
    </row>
    <row r="351" spans="1:7" x14ac:dyDescent="0.2">
      <c r="A351" s="402">
        <v>43181</v>
      </c>
      <c r="C351" s="399">
        <v>56.875874000000003</v>
      </c>
      <c r="D351" s="400">
        <f t="shared" si="10"/>
        <v>-2.4661243689312218E-2</v>
      </c>
      <c r="F351" s="399">
        <v>20.329999999999998</v>
      </c>
      <c r="G351" s="400">
        <f t="shared" si="11"/>
        <v>-3.4662822158728623E-2</v>
      </c>
    </row>
    <row r="352" spans="1:7" x14ac:dyDescent="0.2">
      <c r="A352" s="402">
        <v>43182</v>
      </c>
      <c r="C352" s="399">
        <v>55.682934000000003</v>
      </c>
      <c r="D352" s="400">
        <f t="shared" si="10"/>
        <v>-2.097444691575201E-2</v>
      </c>
      <c r="F352" s="399">
        <v>19.879999000000002</v>
      </c>
      <c r="G352" s="400">
        <f t="shared" si="11"/>
        <v>-2.2134825381209922E-2</v>
      </c>
    </row>
    <row r="353" spans="1:7" x14ac:dyDescent="0.2">
      <c r="A353" s="402">
        <v>43185</v>
      </c>
      <c r="C353" s="399">
        <v>57.157665000000001</v>
      </c>
      <c r="D353" s="400">
        <f t="shared" si="10"/>
        <v>2.6484434171518245E-2</v>
      </c>
      <c r="F353" s="399">
        <v>20.149999999999999</v>
      </c>
      <c r="G353" s="400">
        <f t="shared" si="11"/>
        <v>1.3581539918588348E-2</v>
      </c>
    </row>
    <row r="354" spans="1:7" x14ac:dyDescent="0.2">
      <c r="A354" s="402">
        <v>43186</v>
      </c>
      <c r="C354" s="399">
        <v>56.143196000000003</v>
      </c>
      <c r="D354" s="400">
        <f t="shared" si="10"/>
        <v>-1.7748608170050306E-2</v>
      </c>
      <c r="F354" s="399">
        <v>19.66</v>
      </c>
      <c r="G354" s="400">
        <f t="shared" si="11"/>
        <v>-2.4317617866004837E-2</v>
      </c>
    </row>
    <row r="355" spans="1:7" x14ac:dyDescent="0.2">
      <c r="A355" s="402">
        <v>43187</v>
      </c>
      <c r="C355" s="399">
        <v>56.002293000000002</v>
      </c>
      <c r="D355" s="400">
        <f t="shared" si="10"/>
        <v>-2.5097074986610846E-3</v>
      </c>
      <c r="F355" s="399">
        <v>19.610001</v>
      </c>
      <c r="G355" s="400">
        <f t="shared" si="11"/>
        <v>-2.5431841302135938E-3</v>
      </c>
    </row>
    <row r="356" spans="1:7" x14ac:dyDescent="0.2">
      <c r="A356" s="402">
        <v>43188</v>
      </c>
      <c r="C356" s="399">
        <v>56.791328</v>
      </c>
      <c r="D356" s="400">
        <f t="shared" si="10"/>
        <v>1.408933380638544E-2</v>
      </c>
      <c r="F356" s="399">
        <v>19.84</v>
      </c>
      <c r="G356" s="400">
        <f t="shared" si="11"/>
        <v>1.1728658249430923E-2</v>
      </c>
    </row>
    <row r="357" spans="1:7" x14ac:dyDescent="0.2">
      <c r="A357" s="402">
        <v>43192</v>
      </c>
      <c r="C357" s="399">
        <v>55.476287999999997</v>
      </c>
      <c r="D357" s="400">
        <f t="shared" si="10"/>
        <v>-2.3155647989073325E-2</v>
      </c>
      <c r="F357" s="399">
        <v>18.75</v>
      </c>
      <c r="G357" s="400">
        <f t="shared" si="11"/>
        <v>-5.4939516129032251E-2</v>
      </c>
    </row>
    <row r="358" spans="1:7" x14ac:dyDescent="0.2">
      <c r="A358" s="402">
        <v>43193</v>
      </c>
      <c r="C358" s="399">
        <v>56.161987000000003</v>
      </c>
      <c r="D358" s="400">
        <f t="shared" si="10"/>
        <v>1.2360217756458569E-2</v>
      </c>
      <c r="F358" s="399">
        <v>18.93</v>
      </c>
      <c r="G358" s="400">
        <f t="shared" si="11"/>
        <v>9.6000000000000529E-3</v>
      </c>
    </row>
    <row r="359" spans="1:7" x14ac:dyDescent="0.2">
      <c r="A359" s="402">
        <v>43194</v>
      </c>
      <c r="C359" s="399">
        <v>56.847690999999998</v>
      </c>
      <c r="D359" s="400">
        <f t="shared" si="10"/>
        <v>1.2209397078490003E-2</v>
      </c>
      <c r="F359" s="399">
        <v>19.579999999999998</v>
      </c>
      <c r="G359" s="400">
        <f t="shared" si="11"/>
        <v>3.4337031167458898E-2</v>
      </c>
    </row>
    <row r="360" spans="1:7" x14ac:dyDescent="0.2">
      <c r="A360" s="402">
        <v>43195</v>
      </c>
      <c r="C360" s="399">
        <v>57.214030999999999</v>
      </c>
      <c r="D360" s="400">
        <f t="shared" si="10"/>
        <v>6.4442371107034102E-3</v>
      </c>
      <c r="F360" s="399">
        <v>19.870000999999998</v>
      </c>
      <c r="G360" s="400">
        <f t="shared" si="11"/>
        <v>1.4811082737487213E-2</v>
      </c>
    </row>
    <row r="361" spans="1:7" x14ac:dyDescent="0.2">
      <c r="A361" s="402">
        <v>43196</v>
      </c>
      <c r="C361" s="399">
        <v>56.002293000000002</v>
      </c>
      <c r="D361" s="400">
        <f t="shared" si="10"/>
        <v>-2.11790356110374E-2</v>
      </c>
      <c r="F361" s="399">
        <v>19.700001</v>
      </c>
      <c r="G361" s="400">
        <f t="shared" si="11"/>
        <v>-8.5556110440053734E-3</v>
      </c>
    </row>
    <row r="362" spans="1:7" x14ac:dyDescent="0.2">
      <c r="A362" s="402">
        <v>43199</v>
      </c>
      <c r="C362" s="399">
        <v>56.152591999999999</v>
      </c>
      <c r="D362" s="400">
        <f t="shared" si="10"/>
        <v>2.6838008222269671E-3</v>
      </c>
      <c r="F362" s="399">
        <v>19.059999000000001</v>
      </c>
      <c r="G362" s="400">
        <f t="shared" si="11"/>
        <v>-3.2487409518405563E-2</v>
      </c>
    </row>
    <row r="363" spans="1:7" x14ac:dyDescent="0.2">
      <c r="A363" s="402">
        <v>43200</v>
      </c>
      <c r="C363" s="399">
        <v>57.110698999999997</v>
      </c>
      <c r="D363" s="400">
        <f t="shared" si="10"/>
        <v>1.7062560531488913E-2</v>
      </c>
      <c r="F363" s="399">
        <v>19.32</v>
      </c>
      <c r="G363" s="400">
        <f t="shared" si="11"/>
        <v>1.364118644497303E-2</v>
      </c>
    </row>
    <row r="364" spans="1:7" x14ac:dyDescent="0.2">
      <c r="A364" s="402">
        <v>43201</v>
      </c>
      <c r="C364" s="399">
        <v>56.866478000000001</v>
      </c>
      <c r="D364" s="400">
        <f t="shared" si="10"/>
        <v>-4.2762740480553063E-3</v>
      </c>
      <c r="F364" s="399">
        <v>19.209999</v>
      </c>
      <c r="G364" s="400">
        <f t="shared" si="11"/>
        <v>-5.6936335403726668E-3</v>
      </c>
    </row>
    <row r="365" spans="1:7" x14ac:dyDescent="0.2">
      <c r="A365" s="402">
        <v>43202</v>
      </c>
      <c r="C365" s="399">
        <v>57.307952999999998</v>
      </c>
      <c r="D365" s="400">
        <f t="shared" si="10"/>
        <v>7.7633610437417566E-3</v>
      </c>
      <c r="F365" s="399">
        <v>19.23</v>
      </c>
      <c r="G365" s="400">
        <f t="shared" si="11"/>
        <v>1.0411765247879678E-3</v>
      </c>
    </row>
    <row r="366" spans="1:7" x14ac:dyDescent="0.2">
      <c r="A366" s="402">
        <v>43203</v>
      </c>
      <c r="C366" s="399">
        <v>57.148269999999997</v>
      </c>
      <c r="D366" s="400">
        <f t="shared" si="10"/>
        <v>-2.7864020897763186E-3</v>
      </c>
      <c r="F366" s="399">
        <v>19.200001</v>
      </c>
      <c r="G366" s="400">
        <f t="shared" si="11"/>
        <v>-1.5600104004159787E-3</v>
      </c>
    </row>
    <row r="367" spans="1:7" x14ac:dyDescent="0.2">
      <c r="A367" s="402">
        <v>43206</v>
      </c>
      <c r="C367" s="399">
        <v>57.608542999999997</v>
      </c>
      <c r="D367" s="400">
        <f t="shared" si="10"/>
        <v>8.0540145834686605E-3</v>
      </c>
      <c r="F367" s="399">
        <v>19.629999000000002</v>
      </c>
      <c r="G367" s="400">
        <f t="shared" si="11"/>
        <v>2.2395728000222492E-2</v>
      </c>
    </row>
    <row r="368" spans="1:7" x14ac:dyDescent="0.2">
      <c r="A368" s="402">
        <v>43207</v>
      </c>
      <c r="C368" s="399">
        <v>58.237884999999999</v>
      </c>
      <c r="D368" s="400">
        <f t="shared" si="10"/>
        <v>1.0924456117558767E-2</v>
      </c>
      <c r="F368" s="399">
        <v>19.780000999999999</v>
      </c>
      <c r="G368" s="400">
        <f t="shared" si="11"/>
        <v>7.6414675314042668E-3</v>
      </c>
    </row>
    <row r="369" spans="1:7" x14ac:dyDescent="0.2">
      <c r="A369" s="402">
        <v>43208</v>
      </c>
      <c r="C369" s="399">
        <v>58.313034000000002</v>
      </c>
      <c r="D369" s="400">
        <f t="shared" si="10"/>
        <v>1.290379964863142E-3</v>
      </c>
      <c r="F369" s="399">
        <v>19.709999</v>
      </c>
      <c r="G369" s="400">
        <f t="shared" si="11"/>
        <v>-3.5390291436283583E-3</v>
      </c>
    </row>
    <row r="370" spans="1:7" x14ac:dyDescent="0.2">
      <c r="A370" s="402">
        <v>43209</v>
      </c>
      <c r="C370" s="399">
        <v>57.993670999999999</v>
      </c>
      <c r="D370" s="400">
        <f t="shared" si="10"/>
        <v>-5.476700114763422E-3</v>
      </c>
      <c r="F370" s="399">
        <v>19.149999999999999</v>
      </c>
      <c r="G370" s="400">
        <f t="shared" si="11"/>
        <v>-2.8411924323283877E-2</v>
      </c>
    </row>
    <row r="371" spans="1:7" x14ac:dyDescent="0.2">
      <c r="A371" s="402">
        <v>43210</v>
      </c>
      <c r="C371" s="399">
        <v>57.524006</v>
      </c>
      <c r="D371" s="400">
        <f t="shared" si="10"/>
        <v>-8.0985561338235978E-3</v>
      </c>
      <c r="F371" s="399">
        <v>18.739999999999998</v>
      </c>
      <c r="G371" s="400">
        <f t="shared" si="11"/>
        <v>-2.1409921671018295E-2</v>
      </c>
    </row>
    <row r="372" spans="1:7" x14ac:dyDescent="0.2">
      <c r="A372" s="402">
        <v>43213</v>
      </c>
      <c r="C372" s="399">
        <v>57.495826999999998</v>
      </c>
      <c r="D372" s="400">
        <f t="shared" si="10"/>
        <v>-4.898650486894196E-4</v>
      </c>
      <c r="F372" s="399">
        <v>18.459999</v>
      </c>
      <c r="G372" s="400">
        <f t="shared" si="11"/>
        <v>-1.4941355389541E-2</v>
      </c>
    </row>
    <row r="373" spans="1:7" x14ac:dyDescent="0.2">
      <c r="A373" s="402">
        <v>43214</v>
      </c>
      <c r="C373" s="399">
        <v>56.781936999999999</v>
      </c>
      <c r="D373" s="400">
        <f t="shared" si="10"/>
        <v>-1.2416379366105956E-2</v>
      </c>
      <c r="F373" s="399">
        <v>18.120000999999998</v>
      </c>
      <c r="G373" s="400">
        <f t="shared" si="11"/>
        <v>-1.8418094172161226E-2</v>
      </c>
    </row>
    <row r="374" spans="1:7" x14ac:dyDescent="0.2">
      <c r="A374" s="402">
        <v>43215</v>
      </c>
      <c r="C374" s="399">
        <v>56.866478000000001</v>
      </c>
      <c r="D374" s="400">
        <f t="shared" si="10"/>
        <v>1.4888713641452167E-3</v>
      </c>
      <c r="F374" s="399">
        <v>18.079999999999998</v>
      </c>
      <c r="G374" s="400">
        <f t="shared" si="11"/>
        <v>-2.2075605845717217E-3</v>
      </c>
    </row>
    <row r="375" spans="1:7" x14ac:dyDescent="0.2">
      <c r="A375" s="402">
        <v>43216</v>
      </c>
      <c r="C375" s="399">
        <v>57.420670000000001</v>
      </c>
      <c r="D375" s="400">
        <f t="shared" si="10"/>
        <v>9.7454954041640285E-3</v>
      </c>
      <c r="F375" s="399">
        <v>18.34</v>
      </c>
      <c r="G375" s="400">
        <f t="shared" si="11"/>
        <v>1.4380530973451489E-2</v>
      </c>
    </row>
    <row r="376" spans="1:7" x14ac:dyDescent="0.2">
      <c r="A376" s="402">
        <v>43217</v>
      </c>
      <c r="C376" s="399">
        <v>57.439461000000001</v>
      </c>
      <c r="D376" s="400">
        <f t="shared" si="10"/>
        <v>3.2725149323398206E-4</v>
      </c>
      <c r="F376" s="399">
        <v>18.25</v>
      </c>
      <c r="G376" s="400">
        <f t="shared" si="11"/>
        <v>-4.9073064340239281E-3</v>
      </c>
    </row>
    <row r="377" spans="1:7" x14ac:dyDescent="0.2">
      <c r="A377" s="402">
        <v>43220</v>
      </c>
      <c r="C377" s="399">
        <v>56.969799000000002</v>
      </c>
      <c r="D377" s="400">
        <f t="shared" si="10"/>
        <v>-8.1766435795767034E-3</v>
      </c>
      <c r="F377" s="399">
        <v>18.23</v>
      </c>
      <c r="G377" s="400">
        <f t="shared" si="11"/>
        <v>-1.0958904109589218E-3</v>
      </c>
    </row>
    <row r="378" spans="1:7" x14ac:dyDescent="0.2">
      <c r="A378" s="402">
        <v>43221</v>
      </c>
      <c r="C378" s="399">
        <v>57.101311000000003</v>
      </c>
      <c r="D378" s="400">
        <f t="shared" si="10"/>
        <v>2.3084511848110445E-3</v>
      </c>
      <c r="F378" s="399">
        <v>18.799999</v>
      </c>
      <c r="G378" s="400">
        <f t="shared" si="11"/>
        <v>3.126708721887006E-2</v>
      </c>
    </row>
    <row r="379" spans="1:7" x14ac:dyDescent="0.2">
      <c r="A379" s="402">
        <v>43222</v>
      </c>
      <c r="C379" s="399">
        <v>56.781936999999999</v>
      </c>
      <c r="D379" s="400">
        <f t="shared" si="10"/>
        <v>-5.5931115136743648E-3</v>
      </c>
      <c r="F379" s="399">
        <v>18.59</v>
      </c>
      <c r="G379" s="400">
        <f t="shared" si="11"/>
        <v>-1.1170160168625487E-2</v>
      </c>
    </row>
    <row r="380" spans="1:7" x14ac:dyDescent="0.2">
      <c r="A380" s="402">
        <v>43223</v>
      </c>
      <c r="C380" s="399">
        <v>56.641036999999997</v>
      </c>
      <c r="D380" s="400">
        <f t="shared" si="10"/>
        <v>-2.481422921518206E-3</v>
      </c>
      <c r="F380" s="399">
        <v>18.57</v>
      </c>
      <c r="G380" s="400">
        <f t="shared" si="11"/>
        <v>-1.0758472296933386E-3</v>
      </c>
    </row>
    <row r="381" spans="1:7" x14ac:dyDescent="0.2">
      <c r="A381" s="402">
        <v>43224</v>
      </c>
      <c r="C381" s="399">
        <v>57.383102000000001</v>
      </c>
      <c r="D381" s="400">
        <f t="shared" si="10"/>
        <v>1.3101190220087267E-2</v>
      </c>
      <c r="F381" s="399">
        <v>18.579999999999998</v>
      </c>
      <c r="G381" s="400">
        <f t="shared" si="11"/>
        <v>5.3850296176616297E-4</v>
      </c>
    </row>
    <row r="382" spans="1:7" x14ac:dyDescent="0.2">
      <c r="A382" s="402">
        <v>43227</v>
      </c>
      <c r="C382" s="399">
        <v>57.636723000000003</v>
      </c>
      <c r="D382" s="400">
        <f t="shared" si="10"/>
        <v>4.4197854622778365E-3</v>
      </c>
      <c r="F382" s="399">
        <v>18.870000999999998</v>
      </c>
      <c r="G382" s="400">
        <f t="shared" si="11"/>
        <v>1.5608234660925646E-2</v>
      </c>
    </row>
    <row r="383" spans="1:7" x14ac:dyDescent="0.2">
      <c r="A383" s="402">
        <v>43228</v>
      </c>
      <c r="C383" s="399">
        <v>57.655506000000003</v>
      </c>
      <c r="D383" s="400">
        <f t="shared" si="10"/>
        <v>3.2588598071403574E-4</v>
      </c>
      <c r="F383" s="399">
        <v>19.719999000000001</v>
      </c>
      <c r="G383" s="400">
        <f t="shared" si="11"/>
        <v>4.5044936669584867E-2</v>
      </c>
    </row>
    <row r="384" spans="1:7" x14ac:dyDescent="0.2">
      <c r="A384" s="402">
        <v>43229</v>
      </c>
      <c r="C384" s="399">
        <v>58.181519000000002</v>
      </c>
      <c r="D384" s="400">
        <f t="shared" si="10"/>
        <v>9.1233784332758194E-3</v>
      </c>
      <c r="F384" s="399">
        <v>19.75</v>
      </c>
      <c r="G384" s="400">
        <f t="shared" si="11"/>
        <v>1.52134896152889E-3</v>
      </c>
    </row>
    <row r="385" spans="1:7" x14ac:dyDescent="0.2">
      <c r="A385" s="402">
        <v>43230</v>
      </c>
      <c r="C385" s="399">
        <v>58.698154000000002</v>
      </c>
      <c r="D385" s="400">
        <f t="shared" si="10"/>
        <v>8.8797097236323896E-3</v>
      </c>
      <c r="F385" s="399">
        <v>19.110001</v>
      </c>
      <c r="G385" s="400">
        <f t="shared" si="11"/>
        <v>-3.2405012658227816E-2</v>
      </c>
    </row>
    <row r="386" spans="1:7" x14ac:dyDescent="0.2">
      <c r="A386" s="402">
        <v>43231</v>
      </c>
      <c r="C386" s="399">
        <v>58.829658999999999</v>
      </c>
      <c r="D386" s="400">
        <f t="shared" si="10"/>
        <v>2.2403600631120124E-3</v>
      </c>
      <c r="F386" s="399">
        <v>18.899999999999999</v>
      </c>
      <c r="G386" s="400">
        <f t="shared" si="11"/>
        <v>-1.0989062742592259E-2</v>
      </c>
    </row>
    <row r="387" spans="1:7" x14ac:dyDescent="0.2">
      <c r="A387" s="402">
        <v>43234</v>
      </c>
      <c r="C387" s="399">
        <v>58.84845</v>
      </c>
      <c r="D387" s="400">
        <f t="shared" si="10"/>
        <v>3.194137161326438E-4</v>
      </c>
      <c r="F387" s="399">
        <v>18.57</v>
      </c>
      <c r="G387" s="400">
        <f t="shared" si="11"/>
        <v>-1.7460317460317398E-2</v>
      </c>
    </row>
    <row r="388" spans="1:7" x14ac:dyDescent="0.2">
      <c r="A388" s="402">
        <v>43235</v>
      </c>
      <c r="C388" s="399">
        <v>58.482117000000002</v>
      </c>
      <c r="D388" s="400">
        <f t="shared" si="10"/>
        <v>-6.2250237686803933E-3</v>
      </c>
      <c r="F388" s="399">
        <v>18.200001</v>
      </c>
      <c r="G388" s="400">
        <f t="shared" si="11"/>
        <v>-1.9924555735056582E-2</v>
      </c>
    </row>
    <row r="389" spans="1:7" x14ac:dyDescent="0.2">
      <c r="A389" s="402">
        <v>43236</v>
      </c>
      <c r="C389" s="399">
        <v>58.773299999999999</v>
      </c>
      <c r="D389" s="400">
        <f t="shared" si="10"/>
        <v>4.9790092243069406E-3</v>
      </c>
      <c r="F389" s="399">
        <v>18.969999000000001</v>
      </c>
      <c r="G389" s="400">
        <f t="shared" si="11"/>
        <v>4.2307580092990182E-2</v>
      </c>
    </row>
    <row r="390" spans="1:7" x14ac:dyDescent="0.2">
      <c r="A390" s="402">
        <v>43237</v>
      </c>
      <c r="C390" s="399">
        <v>58.782688</v>
      </c>
      <c r="D390" s="400">
        <f t="shared" si="10"/>
        <v>1.5973239549249563E-4</v>
      </c>
      <c r="F390" s="399">
        <v>19.010000000000002</v>
      </c>
      <c r="G390" s="400">
        <f t="shared" si="11"/>
        <v>2.1086453404663974E-3</v>
      </c>
    </row>
    <row r="391" spans="1:7" x14ac:dyDescent="0.2">
      <c r="A391" s="402">
        <v>43238</v>
      </c>
      <c r="C391" s="399">
        <v>58.651184000000001</v>
      </c>
      <c r="D391" s="400">
        <f t="shared" ref="D391:D454" si="12">C391/C390-1</f>
        <v>-2.2371212422269693E-3</v>
      </c>
      <c r="F391" s="399">
        <v>19.790001</v>
      </c>
      <c r="G391" s="400">
        <f t="shared" ref="G391:G454" si="13">F391/F390-1</f>
        <v>4.1031088900578494E-2</v>
      </c>
    </row>
    <row r="392" spans="1:7" x14ac:dyDescent="0.2">
      <c r="A392" s="402">
        <v>43241</v>
      </c>
      <c r="C392" s="399">
        <v>59.064487</v>
      </c>
      <c r="D392" s="400">
        <f t="shared" si="12"/>
        <v>7.0467972138466006E-3</v>
      </c>
      <c r="F392" s="399">
        <v>19.719999000000001</v>
      </c>
      <c r="G392" s="400">
        <f t="shared" si="13"/>
        <v>-3.5372408520847332E-3</v>
      </c>
    </row>
    <row r="393" spans="1:7" x14ac:dyDescent="0.2">
      <c r="A393" s="402">
        <v>43242</v>
      </c>
      <c r="C393" s="399">
        <v>58.867226000000002</v>
      </c>
      <c r="D393" s="400">
        <f t="shared" si="12"/>
        <v>-3.3397564258874635E-3</v>
      </c>
      <c r="F393" s="399">
        <v>19.450001</v>
      </c>
      <c r="G393" s="400">
        <f t="shared" si="13"/>
        <v>-1.3691582844400751E-2</v>
      </c>
    </row>
    <row r="394" spans="1:7" x14ac:dyDescent="0.2">
      <c r="A394" s="402">
        <v>43243</v>
      </c>
      <c r="C394" s="399">
        <v>59.017524999999999</v>
      </c>
      <c r="D394" s="400">
        <f t="shared" si="12"/>
        <v>2.5531863859187265E-3</v>
      </c>
      <c r="F394" s="399">
        <v>19.41</v>
      </c>
      <c r="G394" s="400">
        <f t="shared" si="13"/>
        <v>-2.0566065780664999E-3</v>
      </c>
    </row>
    <row r="395" spans="1:7" x14ac:dyDescent="0.2">
      <c r="A395" s="402">
        <v>43244</v>
      </c>
      <c r="C395" s="399">
        <v>58.942374999999998</v>
      </c>
      <c r="D395" s="400">
        <f t="shared" si="12"/>
        <v>-1.2733505852711158E-3</v>
      </c>
      <c r="F395" s="399">
        <v>19.299999</v>
      </c>
      <c r="G395" s="400">
        <f t="shared" si="13"/>
        <v>-5.6672333848531986E-3</v>
      </c>
    </row>
    <row r="396" spans="1:7" x14ac:dyDescent="0.2">
      <c r="A396" s="402">
        <v>43245</v>
      </c>
      <c r="C396" s="399">
        <v>58.820255000000003</v>
      </c>
      <c r="D396" s="400">
        <f t="shared" si="12"/>
        <v>-2.0718540778174033E-3</v>
      </c>
      <c r="F396" s="399">
        <v>19.489999999999998</v>
      </c>
      <c r="G396" s="400">
        <f t="shared" si="13"/>
        <v>9.844611909047174E-3</v>
      </c>
    </row>
    <row r="397" spans="1:7" x14ac:dyDescent="0.2">
      <c r="A397" s="402">
        <v>43249</v>
      </c>
      <c r="C397" s="399">
        <v>58.228481000000002</v>
      </c>
      <c r="D397" s="400">
        <f t="shared" si="12"/>
        <v>-1.0060718029869187E-2</v>
      </c>
      <c r="F397" s="399">
        <v>19.399999999999999</v>
      </c>
      <c r="G397" s="400">
        <f t="shared" si="13"/>
        <v>-4.6177526936890256E-3</v>
      </c>
    </row>
    <row r="398" spans="1:7" x14ac:dyDescent="0.2">
      <c r="A398" s="402">
        <v>43250</v>
      </c>
      <c r="C398" s="399">
        <v>58.989348999999997</v>
      </c>
      <c r="D398" s="400">
        <f t="shared" si="12"/>
        <v>1.3066938840461839E-2</v>
      </c>
      <c r="F398" s="399">
        <v>19.489999999999998</v>
      </c>
      <c r="G398" s="400">
        <f t="shared" si="13"/>
        <v>4.6391752577319423E-3</v>
      </c>
    </row>
    <row r="399" spans="1:7" x14ac:dyDescent="0.2">
      <c r="A399" s="402">
        <v>43251</v>
      </c>
      <c r="C399" s="399">
        <v>58.566650000000003</v>
      </c>
      <c r="D399" s="400">
        <f t="shared" si="12"/>
        <v>-7.1656834185438445E-3</v>
      </c>
      <c r="F399" s="399">
        <v>19.579999999999998</v>
      </c>
      <c r="G399" s="400">
        <f t="shared" si="13"/>
        <v>4.6177526936890256E-3</v>
      </c>
    </row>
    <row r="400" spans="1:7" x14ac:dyDescent="0.2">
      <c r="A400" s="402">
        <v>43252</v>
      </c>
      <c r="C400" s="399">
        <v>59.186591999999997</v>
      </c>
      <c r="D400" s="400">
        <f t="shared" si="12"/>
        <v>1.0585239210369579E-2</v>
      </c>
      <c r="F400" s="399">
        <v>19.059999000000001</v>
      </c>
      <c r="G400" s="400">
        <f t="shared" si="13"/>
        <v>-2.6557763023493219E-2</v>
      </c>
    </row>
    <row r="401" spans="1:7" x14ac:dyDescent="0.2">
      <c r="A401" s="402">
        <v>43255</v>
      </c>
      <c r="C401" s="399">
        <v>59.468398999999998</v>
      </c>
      <c r="D401" s="400">
        <f t="shared" si="12"/>
        <v>4.7613317556787216E-3</v>
      </c>
      <c r="F401" s="399">
        <v>19.5</v>
      </c>
      <c r="G401" s="400">
        <f t="shared" si="13"/>
        <v>2.30850484304852E-2</v>
      </c>
    </row>
    <row r="402" spans="1:7" x14ac:dyDescent="0.2">
      <c r="A402" s="402">
        <v>43256</v>
      </c>
      <c r="C402" s="399">
        <v>59.534148999999999</v>
      </c>
      <c r="D402" s="400">
        <f t="shared" si="12"/>
        <v>1.1056292267090928E-3</v>
      </c>
      <c r="F402" s="399">
        <v>19.52</v>
      </c>
      <c r="G402" s="400">
        <f t="shared" si="13"/>
        <v>1.0256410256410664E-3</v>
      </c>
    </row>
    <row r="403" spans="1:7" x14ac:dyDescent="0.2">
      <c r="A403" s="402">
        <v>43257</v>
      </c>
      <c r="C403" s="399">
        <v>60.060164999999998</v>
      </c>
      <c r="D403" s="400">
        <f t="shared" si="12"/>
        <v>8.8355340394636883E-3</v>
      </c>
      <c r="F403" s="399">
        <v>19.5</v>
      </c>
      <c r="G403" s="400">
        <f t="shared" si="13"/>
        <v>-1.0245901639344135E-3</v>
      </c>
    </row>
    <row r="404" spans="1:7" x14ac:dyDescent="0.2">
      <c r="A404" s="402">
        <v>43258</v>
      </c>
      <c r="C404" s="399">
        <v>60.013199</v>
      </c>
      <c r="D404" s="400">
        <f t="shared" si="12"/>
        <v>-7.8198253368100268E-4</v>
      </c>
      <c r="F404" s="399">
        <v>19.799999</v>
      </c>
      <c r="G404" s="400">
        <f t="shared" si="13"/>
        <v>1.5384564102564058E-2</v>
      </c>
    </row>
    <row r="405" spans="1:7" x14ac:dyDescent="0.2">
      <c r="A405" s="402">
        <v>43259</v>
      </c>
      <c r="C405" s="399">
        <v>60.191676999999999</v>
      </c>
      <c r="D405" s="400">
        <f t="shared" si="12"/>
        <v>2.9739791074960831E-3</v>
      </c>
      <c r="F405" s="399">
        <v>20.280000999999999</v>
      </c>
      <c r="G405" s="400">
        <f t="shared" si="13"/>
        <v>2.4242526476895288E-2</v>
      </c>
    </row>
    <row r="406" spans="1:7" x14ac:dyDescent="0.2">
      <c r="A406" s="402">
        <v>43262</v>
      </c>
      <c r="C406" s="399">
        <v>60.276211000000004</v>
      </c>
      <c r="D406" s="400">
        <f t="shared" si="12"/>
        <v>1.4044134374260331E-3</v>
      </c>
      <c r="F406" s="399">
        <v>20.299999</v>
      </c>
      <c r="G406" s="400">
        <f t="shared" si="13"/>
        <v>9.8609462593235442E-4</v>
      </c>
    </row>
    <row r="407" spans="1:7" x14ac:dyDescent="0.2">
      <c r="A407" s="402">
        <v>43263</v>
      </c>
      <c r="C407" s="399">
        <v>60.388924000000003</v>
      </c>
      <c r="D407" s="400">
        <f t="shared" si="12"/>
        <v>1.8699416922540735E-3</v>
      </c>
      <c r="F407" s="399">
        <v>20.77</v>
      </c>
      <c r="G407" s="400">
        <f t="shared" si="13"/>
        <v>2.3152759761219777E-2</v>
      </c>
    </row>
    <row r="408" spans="1:7" x14ac:dyDescent="0.2">
      <c r="A408" s="402">
        <v>43264</v>
      </c>
      <c r="C408" s="399">
        <v>60.144703</v>
      </c>
      <c r="D408" s="400">
        <f t="shared" si="12"/>
        <v>-4.0441356431520914E-3</v>
      </c>
      <c r="F408" s="399">
        <v>19.59</v>
      </c>
      <c r="G408" s="400">
        <f t="shared" si="13"/>
        <v>-5.6812710640346653E-2</v>
      </c>
    </row>
    <row r="409" spans="1:7" x14ac:dyDescent="0.2">
      <c r="A409" s="402">
        <v>43265</v>
      </c>
      <c r="C409" s="399">
        <v>60.351353000000003</v>
      </c>
      <c r="D409" s="400">
        <f t="shared" si="12"/>
        <v>3.4358802968901259E-3</v>
      </c>
      <c r="F409" s="399">
        <v>19.049999</v>
      </c>
      <c r="G409" s="400">
        <f t="shared" si="13"/>
        <v>-2.7565135273098562E-2</v>
      </c>
    </row>
    <row r="410" spans="1:7" x14ac:dyDescent="0.2">
      <c r="A410" s="402">
        <v>43266</v>
      </c>
      <c r="C410" s="399">
        <v>60.285603000000002</v>
      </c>
      <c r="D410" s="400">
        <f t="shared" si="12"/>
        <v>-1.0894536200373173E-3</v>
      </c>
      <c r="F410" s="399">
        <v>18.879999000000002</v>
      </c>
      <c r="G410" s="400">
        <f t="shared" si="13"/>
        <v>-8.9238849828809919E-3</v>
      </c>
    </row>
    <row r="411" spans="1:7" x14ac:dyDescent="0.2">
      <c r="A411" s="402">
        <v>43269</v>
      </c>
      <c r="C411" s="399">
        <v>60.238636</v>
      </c>
      <c r="D411" s="400">
        <f t="shared" si="12"/>
        <v>-7.7907489786577244E-4</v>
      </c>
      <c r="F411" s="399">
        <v>18.879999000000002</v>
      </c>
      <c r="G411" s="400">
        <f t="shared" si="13"/>
        <v>0</v>
      </c>
    </row>
    <row r="412" spans="1:7" x14ac:dyDescent="0.2">
      <c r="A412" s="402">
        <v>43270</v>
      </c>
      <c r="C412" s="399">
        <v>60.013199</v>
      </c>
      <c r="D412" s="400">
        <f t="shared" si="12"/>
        <v>-3.7423988152719412E-3</v>
      </c>
      <c r="F412" s="399">
        <v>18.959999</v>
      </c>
      <c r="G412" s="400">
        <f t="shared" si="13"/>
        <v>4.2372883600256817E-3</v>
      </c>
    </row>
    <row r="413" spans="1:7" x14ac:dyDescent="0.2">
      <c r="A413" s="402">
        <v>43271</v>
      </c>
      <c r="C413" s="399">
        <v>60.182277999999997</v>
      </c>
      <c r="D413" s="400">
        <f t="shared" si="12"/>
        <v>2.817363560306152E-3</v>
      </c>
      <c r="F413" s="399">
        <v>19.549999</v>
      </c>
      <c r="G413" s="400">
        <f t="shared" si="13"/>
        <v>3.1118145101167949E-2</v>
      </c>
    </row>
    <row r="414" spans="1:7" x14ac:dyDescent="0.2">
      <c r="A414" s="402">
        <v>43272</v>
      </c>
      <c r="C414" s="399">
        <v>59.759585999999999</v>
      </c>
      <c r="D414" s="400">
        <f t="shared" si="12"/>
        <v>-7.0235294184111119E-3</v>
      </c>
      <c r="F414" s="399">
        <v>19.02</v>
      </c>
      <c r="G414" s="400">
        <f t="shared" si="13"/>
        <v>-2.7109924660354223E-2</v>
      </c>
    </row>
    <row r="415" spans="1:7" x14ac:dyDescent="0.2">
      <c r="A415" s="402">
        <v>43273</v>
      </c>
      <c r="C415" s="399">
        <v>59.806548999999997</v>
      </c>
      <c r="D415" s="400">
        <f t="shared" si="12"/>
        <v>7.8586555134441127E-4</v>
      </c>
      <c r="F415" s="399">
        <v>18.450001</v>
      </c>
      <c r="G415" s="400">
        <f t="shared" si="13"/>
        <v>-2.9968401682439527E-2</v>
      </c>
    </row>
    <row r="416" spans="1:7" x14ac:dyDescent="0.2">
      <c r="A416" s="402">
        <v>43276</v>
      </c>
      <c r="C416" s="399">
        <v>58.989348999999997</v>
      </c>
      <c r="D416" s="400">
        <f t="shared" si="12"/>
        <v>-1.3664055419750132E-2</v>
      </c>
      <c r="F416" s="399">
        <v>18.200001</v>
      </c>
      <c r="G416" s="400">
        <f t="shared" si="13"/>
        <v>-1.3550134766930344E-2</v>
      </c>
    </row>
    <row r="417" spans="1:7" x14ac:dyDescent="0.2">
      <c r="A417" s="402">
        <v>43277</v>
      </c>
      <c r="C417" s="399">
        <v>59.120449000000001</v>
      </c>
      <c r="D417" s="400">
        <f t="shared" si="12"/>
        <v>2.222435104344056E-3</v>
      </c>
      <c r="F417" s="399">
        <v>18.920000000000002</v>
      </c>
      <c r="G417" s="400">
        <f t="shared" si="13"/>
        <v>3.9560382441737207E-2</v>
      </c>
    </row>
    <row r="418" spans="1:7" x14ac:dyDescent="0.2">
      <c r="A418" s="402">
        <v>43278</v>
      </c>
      <c r="C418" s="399">
        <v>58.573376000000003</v>
      </c>
      <c r="D418" s="400">
        <f t="shared" si="12"/>
        <v>-9.2535325636650123E-3</v>
      </c>
      <c r="F418" s="399">
        <v>18.129999000000002</v>
      </c>
      <c r="G418" s="400">
        <f t="shared" si="13"/>
        <v>-4.1754809725158548E-2</v>
      </c>
    </row>
    <row r="419" spans="1:7" x14ac:dyDescent="0.2">
      <c r="A419" s="402">
        <v>43279</v>
      </c>
      <c r="C419" s="399">
        <v>58.922375000000002</v>
      </c>
      <c r="D419" s="400">
        <f t="shared" si="12"/>
        <v>5.9583214052745248E-3</v>
      </c>
      <c r="F419" s="399">
        <v>18.110001</v>
      </c>
      <c r="G419" s="400">
        <f t="shared" si="13"/>
        <v>-1.1030337067311491E-3</v>
      </c>
    </row>
    <row r="420" spans="1:7" x14ac:dyDescent="0.2">
      <c r="A420" s="402">
        <v>43280</v>
      </c>
      <c r="C420" s="399">
        <v>58.969540000000002</v>
      </c>
      <c r="D420" s="400">
        <f t="shared" si="12"/>
        <v>8.004599271498325E-4</v>
      </c>
      <c r="F420" s="399">
        <v>18.290001</v>
      </c>
      <c r="G420" s="400">
        <f t="shared" si="13"/>
        <v>9.9392595284781837E-3</v>
      </c>
    </row>
    <row r="421" spans="1:7" x14ac:dyDescent="0.2">
      <c r="A421" s="402">
        <v>43283</v>
      </c>
      <c r="C421" s="399">
        <v>59.158172999999998</v>
      </c>
      <c r="D421" s="400">
        <f t="shared" si="12"/>
        <v>3.1988209506126353E-3</v>
      </c>
      <c r="F421" s="399">
        <v>18.34</v>
      </c>
      <c r="G421" s="400">
        <f t="shared" si="13"/>
        <v>2.733679456879079E-3</v>
      </c>
    </row>
    <row r="422" spans="1:7" x14ac:dyDescent="0.2">
      <c r="A422" s="402">
        <v>43284</v>
      </c>
      <c r="C422" s="399">
        <v>58.96011</v>
      </c>
      <c r="D422" s="400">
        <f t="shared" si="12"/>
        <v>-3.3480242873625832E-3</v>
      </c>
      <c r="F422" s="399">
        <v>18.379999000000002</v>
      </c>
      <c r="G422" s="400">
        <f t="shared" si="13"/>
        <v>2.18097055616151E-3</v>
      </c>
    </row>
    <row r="423" spans="1:7" x14ac:dyDescent="0.2">
      <c r="A423" s="402">
        <v>43286</v>
      </c>
      <c r="C423" s="399">
        <v>59.450572999999999</v>
      </c>
      <c r="D423" s="400">
        <f t="shared" si="12"/>
        <v>8.3185563934666806E-3</v>
      </c>
      <c r="F423" s="399">
        <v>18.43</v>
      </c>
      <c r="G423" s="400">
        <f t="shared" si="13"/>
        <v>2.7204027595431057E-3</v>
      </c>
    </row>
    <row r="424" spans="1:7" x14ac:dyDescent="0.2">
      <c r="A424" s="402">
        <v>43287</v>
      </c>
      <c r="C424" s="399">
        <v>59.969344999999997</v>
      </c>
      <c r="D424" s="400">
        <f t="shared" si="12"/>
        <v>8.7261059704166755E-3</v>
      </c>
      <c r="F424" s="399">
        <v>18.219999000000001</v>
      </c>
      <c r="G424" s="400">
        <f t="shared" si="13"/>
        <v>-1.1394519804666214E-2</v>
      </c>
    </row>
    <row r="425" spans="1:7" x14ac:dyDescent="0.2">
      <c r="A425" s="402">
        <v>43290</v>
      </c>
      <c r="C425" s="399">
        <v>60.535259000000003</v>
      </c>
      <c r="D425" s="400">
        <f t="shared" si="12"/>
        <v>9.4367213782309278E-3</v>
      </c>
      <c r="F425" s="399">
        <v>18.82</v>
      </c>
      <c r="G425" s="400">
        <f t="shared" si="13"/>
        <v>3.2930901917173516E-2</v>
      </c>
    </row>
    <row r="426" spans="1:7" x14ac:dyDescent="0.2">
      <c r="A426" s="402">
        <v>43291</v>
      </c>
      <c r="C426" s="399">
        <v>60.657882999999998</v>
      </c>
      <c r="D426" s="400">
        <f t="shared" si="12"/>
        <v>2.0256624325336592E-3</v>
      </c>
      <c r="F426" s="399">
        <v>18.459999</v>
      </c>
      <c r="G426" s="400">
        <f t="shared" si="13"/>
        <v>-1.9128639744952158E-2</v>
      </c>
    </row>
    <row r="427" spans="1:7" x14ac:dyDescent="0.2">
      <c r="A427" s="402">
        <v>43292</v>
      </c>
      <c r="C427" s="399">
        <v>60.242874</v>
      </c>
      <c r="D427" s="400">
        <f t="shared" si="12"/>
        <v>-6.8417982869596328E-3</v>
      </c>
      <c r="F427" s="399">
        <v>18.170000000000002</v>
      </c>
      <c r="G427" s="400">
        <f t="shared" si="13"/>
        <v>-1.5709589150031844E-2</v>
      </c>
    </row>
    <row r="428" spans="1:7" x14ac:dyDescent="0.2">
      <c r="A428" s="402">
        <v>43293</v>
      </c>
      <c r="C428" s="399">
        <v>60.733345</v>
      </c>
      <c r="D428" s="400">
        <f t="shared" si="12"/>
        <v>8.1415604441448242E-3</v>
      </c>
      <c r="F428" s="399">
        <v>18.139999</v>
      </c>
      <c r="G428" s="400">
        <f t="shared" si="13"/>
        <v>-1.651128233351784E-3</v>
      </c>
    </row>
    <row r="429" spans="1:7" x14ac:dyDescent="0.2">
      <c r="A429" s="402">
        <v>43294</v>
      </c>
      <c r="C429" s="399">
        <v>60.789928000000003</v>
      </c>
      <c r="D429" s="400">
        <f t="shared" si="12"/>
        <v>9.3166282871459671E-4</v>
      </c>
      <c r="F429" s="399">
        <v>18.18</v>
      </c>
      <c r="G429" s="400">
        <f t="shared" si="13"/>
        <v>2.2051269131821982E-3</v>
      </c>
    </row>
    <row r="430" spans="1:7" x14ac:dyDescent="0.2">
      <c r="A430" s="402">
        <v>43297</v>
      </c>
      <c r="C430" s="399">
        <v>60.667313</v>
      </c>
      <c r="D430" s="400">
        <f t="shared" si="12"/>
        <v>-2.0170282155952401E-3</v>
      </c>
      <c r="F430" s="399">
        <v>17.950001</v>
      </c>
      <c r="G430" s="400">
        <f t="shared" si="13"/>
        <v>-1.2651210121012113E-2</v>
      </c>
    </row>
    <row r="431" spans="1:7" x14ac:dyDescent="0.2">
      <c r="A431" s="402">
        <v>43298</v>
      </c>
      <c r="C431" s="399">
        <v>60.931412000000002</v>
      </c>
      <c r="D431" s="400">
        <f t="shared" si="12"/>
        <v>4.3532338410965377E-3</v>
      </c>
      <c r="F431" s="399">
        <v>18.32</v>
      </c>
      <c r="G431" s="400">
        <f t="shared" si="13"/>
        <v>2.0612756511824148E-2</v>
      </c>
    </row>
    <row r="432" spans="1:7" x14ac:dyDescent="0.2">
      <c r="A432" s="402">
        <v>43299</v>
      </c>
      <c r="C432" s="399">
        <v>61.082329000000001</v>
      </c>
      <c r="D432" s="400">
        <f t="shared" si="12"/>
        <v>2.4768341163667884E-3</v>
      </c>
      <c r="F432" s="399">
        <v>18.290001</v>
      </c>
      <c r="G432" s="400">
        <f t="shared" si="13"/>
        <v>-1.6374999999999584E-3</v>
      </c>
    </row>
    <row r="433" spans="1:7" x14ac:dyDescent="0.2">
      <c r="A433" s="402">
        <v>43300</v>
      </c>
      <c r="C433" s="399">
        <v>60.931412000000002</v>
      </c>
      <c r="D433" s="400">
        <f t="shared" si="12"/>
        <v>-2.4707145662372643E-3</v>
      </c>
      <c r="F433" s="399">
        <v>18.559999000000001</v>
      </c>
      <c r="G433" s="400">
        <f t="shared" si="13"/>
        <v>1.4762054961068749E-2</v>
      </c>
    </row>
    <row r="434" spans="1:7" x14ac:dyDescent="0.2">
      <c r="A434" s="402">
        <v>43301</v>
      </c>
      <c r="C434" s="399">
        <v>60.837090000000003</v>
      </c>
      <c r="D434" s="400">
        <f t="shared" si="12"/>
        <v>-1.5480028593461981E-3</v>
      </c>
      <c r="F434" s="399">
        <v>18.219999000000001</v>
      </c>
      <c r="G434" s="400">
        <f t="shared" si="13"/>
        <v>-1.8318966504254686E-2</v>
      </c>
    </row>
    <row r="435" spans="1:7" x14ac:dyDescent="0.2">
      <c r="A435" s="402">
        <v>43304</v>
      </c>
      <c r="C435" s="399">
        <v>60.921982</v>
      </c>
      <c r="D435" s="400">
        <f t="shared" si="12"/>
        <v>1.3953987608545937E-3</v>
      </c>
      <c r="F435" s="399">
        <v>17.91</v>
      </c>
      <c r="G435" s="400">
        <f t="shared" si="13"/>
        <v>-1.7014216082009703E-2</v>
      </c>
    </row>
    <row r="436" spans="1:7" x14ac:dyDescent="0.2">
      <c r="A436" s="402">
        <v>43305</v>
      </c>
      <c r="C436" s="399">
        <v>61.063457</v>
      </c>
      <c r="D436" s="400">
        <f t="shared" si="12"/>
        <v>2.3222323922422738E-3</v>
      </c>
      <c r="F436" s="399">
        <v>17.350000000000001</v>
      </c>
      <c r="G436" s="400">
        <f t="shared" si="13"/>
        <v>-3.1267448352875427E-2</v>
      </c>
    </row>
    <row r="437" spans="1:7" x14ac:dyDescent="0.2">
      <c r="A437" s="402">
        <v>43306</v>
      </c>
      <c r="C437" s="399">
        <v>61.563361999999998</v>
      </c>
      <c r="D437" s="400">
        <f t="shared" si="12"/>
        <v>8.1866475394605231E-3</v>
      </c>
      <c r="F437" s="399">
        <v>16.899999999999999</v>
      </c>
      <c r="G437" s="400">
        <f t="shared" si="13"/>
        <v>-2.5936599423631246E-2</v>
      </c>
    </row>
    <row r="438" spans="1:7" x14ac:dyDescent="0.2">
      <c r="A438" s="402">
        <v>43307</v>
      </c>
      <c r="C438" s="399">
        <v>61.450180000000003</v>
      </c>
      <c r="D438" s="400">
        <f t="shared" si="12"/>
        <v>-1.8384635978780928E-3</v>
      </c>
      <c r="F438" s="399">
        <v>17.219999000000001</v>
      </c>
      <c r="G438" s="400">
        <f t="shared" si="13"/>
        <v>1.8934852071005981E-2</v>
      </c>
    </row>
    <row r="439" spans="1:7" x14ac:dyDescent="0.2">
      <c r="A439" s="402">
        <v>43308</v>
      </c>
      <c r="C439" s="399">
        <v>60.969150999999997</v>
      </c>
      <c r="D439" s="400">
        <f t="shared" si="12"/>
        <v>-7.8279510328530533E-3</v>
      </c>
      <c r="F439" s="399">
        <v>16.940000999999999</v>
      </c>
      <c r="G439" s="400">
        <f t="shared" si="13"/>
        <v>-1.6260047401861155E-2</v>
      </c>
    </row>
    <row r="440" spans="1:7" x14ac:dyDescent="0.2">
      <c r="A440" s="402">
        <v>43311</v>
      </c>
      <c r="C440" s="399">
        <v>60.601287999999997</v>
      </c>
      <c r="D440" s="400">
        <f t="shared" si="12"/>
        <v>-6.0335922998173697E-3</v>
      </c>
      <c r="F440" s="399">
        <v>17.489999999999998</v>
      </c>
      <c r="G440" s="400">
        <f t="shared" si="13"/>
        <v>3.2467471519039393E-2</v>
      </c>
    </row>
    <row r="441" spans="1:7" x14ac:dyDescent="0.2">
      <c r="A441" s="402">
        <v>43312</v>
      </c>
      <c r="C441" s="399">
        <v>60.912556000000002</v>
      </c>
      <c r="D441" s="400">
        <f t="shared" si="12"/>
        <v>5.1363264754373805E-3</v>
      </c>
      <c r="F441" s="399">
        <v>17.93</v>
      </c>
      <c r="G441" s="400">
        <f t="shared" si="13"/>
        <v>2.515723270440251E-2</v>
      </c>
    </row>
    <row r="442" spans="1:7" x14ac:dyDescent="0.2">
      <c r="A442" s="402">
        <v>43313</v>
      </c>
      <c r="C442" s="399">
        <v>60.884253999999999</v>
      </c>
      <c r="D442" s="400">
        <f t="shared" si="12"/>
        <v>-4.6463326871393207E-4</v>
      </c>
      <c r="F442" s="399">
        <v>17.620000999999998</v>
      </c>
      <c r="G442" s="400">
        <f t="shared" si="13"/>
        <v>-1.7289403234802103E-2</v>
      </c>
    </row>
    <row r="443" spans="1:7" x14ac:dyDescent="0.2">
      <c r="A443" s="402">
        <v>43314</v>
      </c>
      <c r="C443" s="399">
        <v>61.242676000000003</v>
      </c>
      <c r="D443" s="400">
        <f t="shared" si="12"/>
        <v>5.8869408172432802E-3</v>
      </c>
      <c r="F443" s="399">
        <v>17.620000999999998</v>
      </c>
      <c r="G443" s="400">
        <f t="shared" si="13"/>
        <v>0</v>
      </c>
    </row>
    <row r="444" spans="1:7" x14ac:dyDescent="0.2">
      <c r="A444" s="402">
        <v>43315</v>
      </c>
      <c r="C444" s="399">
        <v>61.440742</v>
      </c>
      <c r="D444" s="400">
        <f t="shared" si="12"/>
        <v>3.2341173334751172E-3</v>
      </c>
      <c r="F444" s="399">
        <v>17.639999</v>
      </c>
      <c r="G444" s="400">
        <f t="shared" si="13"/>
        <v>1.1349602080046317E-3</v>
      </c>
    </row>
    <row r="445" spans="1:7" x14ac:dyDescent="0.2">
      <c r="A445" s="402">
        <v>43318</v>
      </c>
      <c r="C445" s="399">
        <v>61.723697999999999</v>
      </c>
      <c r="D445" s="400">
        <f t="shared" si="12"/>
        <v>4.6053480278607228E-3</v>
      </c>
      <c r="F445" s="399">
        <v>17.75</v>
      </c>
      <c r="G445" s="400">
        <f t="shared" si="13"/>
        <v>6.2358847072496726E-3</v>
      </c>
    </row>
    <row r="446" spans="1:7" x14ac:dyDescent="0.2">
      <c r="A446" s="402">
        <v>43319</v>
      </c>
      <c r="C446" s="399">
        <v>61.893497000000004</v>
      </c>
      <c r="D446" s="400">
        <f t="shared" si="12"/>
        <v>2.7509531266258769E-3</v>
      </c>
      <c r="F446" s="399">
        <v>17.829999999999998</v>
      </c>
      <c r="G446" s="400">
        <f t="shared" si="13"/>
        <v>4.5070422535209431E-3</v>
      </c>
    </row>
    <row r="447" spans="1:7" x14ac:dyDescent="0.2">
      <c r="A447" s="402">
        <v>43320</v>
      </c>
      <c r="C447" s="399">
        <v>61.874614999999999</v>
      </c>
      <c r="D447" s="400">
        <f t="shared" si="12"/>
        <v>-3.0507243757782465E-4</v>
      </c>
      <c r="F447" s="399">
        <v>17.510000000000002</v>
      </c>
      <c r="G447" s="400">
        <f t="shared" si="13"/>
        <v>-1.7947279865395238E-2</v>
      </c>
    </row>
    <row r="448" spans="1:7" x14ac:dyDescent="0.2">
      <c r="A448" s="402">
        <v>43321</v>
      </c>
      <c r="C448" s="399">
        <v>61.827461</v>
      </c>
      <c r="D448" s="400">
        <f t="shared" si="12"/>
        <v>-7.6208959037560309E-4</v>
      </c>
      <c r="F448" s="399">
        <v>17.920000000000002</v>
      </c>
      <c r="G448" s="400">
        <f t="shared" si="13"/>
        <v>2.3415191319246187E-2</v>
      </c>
    </row>
    <row r="449" spans="1:7" x14ac:dyDescent="0.2">
      <c r="A449" s="402">
        <v>43322</v>
      </c>
      <c r="C449" s="399">
        <v>61.450180000000003</v>
      </c>
      <c r="D449" s="400">
        <f t="shared" si="12"/>
        <v>-6.1021590390069047E-3</v>
      </c>
      <c r="F449" s="399">
        <v>16.91</v>
      </c>
      <c r="G449" s="400">
        <f t="shared" si="13"/>
        <v>-5.6361607142857206E-2</v>
      </c>
    </row>
    <row r="450" spans="1:7" x14ac:dyDescent="0.2">
      <c r="A450" s="402">
        <v>43325</v>
      </c>
      <c r="C450" s="399">
        <v>61.176654999999997</v>
      </c>
      <c r="D450" s="400">
        <f t="shared" si="12"/>
        <v>-4.4511667825872792E-3</v>
      </c>
      <c r="F450" s="399">
        <v>16</v>
      </c>
      <c r="G450" s="400">
        <f t="shared" si="13"/>
        <v>-5.3814311058545283E-2</v>
      </c>
    </row>
    <row r="451" spans="1:7" x14ac:dyDescent="0.2">
      <c r="A451" s="402">
        <v>43326</v>
      </c>
      <c r="C451" s="399">
        <v>61.572795999999997</v>
      </c>
      <c r="D451" s="400">
        <f t="shared" si="12"/>
        <v>6.4753622112878606E-3</v>
      </c>
      <c r="F451" s="399">
        <v>16.860001</v>
      </c>
      <c r="G451" s="400">
        <f t="shared" si="13"/>
        <v>5.3750062500000029E-2</v>
      </c>
    </row>
    <row r="452" spans="1:7" x14ac:dyDescent="0.2">
      <c r="A452" s="402">
        <v>43327</v>
      </c>
      <c r="C452" s="399">
        <v>61.120063999999999</v>
      </c>
      <c r="D452" s="400">
        <f t="shared" si="12"/>
        <v>-7.3527926196497173E-3</v>
      </c>
      <c r="F452" s="399">
        <v>16.48</v>
      </c>
      <c r="G452" s="400">
        <f t="shared" si="13"/>
        <v>-2.2538610762834477E-2</v>
      </c>
    </row>
    <row r="453" spans="1:7" x14ac:dyDescent="0.2">
      <c r="A453" s="402">
        <v>43328</v>
      </c>
      <c r="C453" s="399">
        <v>61.610523000000001</v>
      </c>
      <c r="D453" s="400">
        <f t="shared" si="12"/>
        <v>8.0245171209245569E-3</v>
      </c>
      <c r="F453" s="399">
        <v>16.889999</v>
      </c>
      <c r="G453" s="400">
        <f t="shared" si="13"/>
        <v>2.4878580097087433E-2</v>
      </c>
    </row>
    <row r="454" spans="1:7" x14ac:dyDescent="0.2">
      <c r="A454" s="402">
        <v>43329</v>
      </c>
      <c r="C454" s="399">
        <v>61.818019999999997</v>
      </c>
      <c r="D454" s="400">
        <f t="shared" si="12"/>
        <v>3.3678824638445626E-3</v>
      </c>
      <c r="F454" s="399">
        <v>17.09</v>
      </c>
      <c r="G454" s="400">
        <f t="shared" si="13"/>
        <v>1.1841386136257404E-2</v>
      </c>
    </row>
    <row r="455" spans="1:7" x14ac:dyDescent="0.2">
      <c r="A455" s="402">
        <v>43332</v>
      </c>
      <c r="C455" s="399">
        <v>61.987819999999999</v>
      </c>
      <c r="D455" s="400">
        <f t="shared" ref="D455:D518" si="14">C455/C454-1</f>
        <v>2.7467718959617304E-3</v>
      </c>
      <c r="F455" s="399">
        <v>16.73</v>
      </c>
      <c r="G455" s="400">
        <f t="shared" ref="G455:G518" si="15">F455/F454-1</f>
        <v>-2.1064950263311899E-2</v>
      </c>
    </row>
    <row r="456" spans="1:7" x14ac:dyDescent="0.2">
      <c r="A456" s="402">
        <v>43333</v>
      </c>
      <c r="C456" s="399">
        <v>62.185886000000004</v>
      </c>
      <c r="D456" s="400">
        <f t="shared" si="14"/>
        <v>3.1952406133979316E-3</v>
      </c>
      <c r="F456" s="399">
        <v>17.129999000000002</v>
      </c>
      <c r="G456" s="400">
        <f t="shared" si="15"/>
        <v>2.3909085475194436E-2</v>
      </c>
    </row>
    <row r="457" spans="1:7" x14ac:dyDescent="0.2">
      <c r="A457" s="402">
        <v>43334</v>
      </c>
      <c r="C457" s="399">
        <v>62.195320000000002</v>
      </c>
      <c r="D457" s="400">
        <f t="shared" si="14"/>
        <v>1.5170644991702176E-4</v>
      </c>
      <c r="F457" s="399">
        <v>16.670000000000002</v>
      </c>
      <c r="G457" s="400">
        <f t="shared" si="15"/>
        <v>-2.6853416628920934E-2</v>
      </c>
    </row>
    <row r="458" spans="1:7" x14ac:dyDescent="0.2">
      <c r="A458" s="402">
        <v>43335</v>
      </c>
      <c r="C458" s="399">
        <v>62.053840999999998</v>
      </c>
      <c r="D458" s="400">
        <f t="shared" si="14"/>
        <v>-2.2747531486292383E-3</v>
      </c>
      <c r="F458" s="399">
        <v>16.219999000000001</v>
      </c>
      <c r="G458" s="400">
        <f t="shared" si="15"/>
        <v>-2.6994661067786474E-2</v>
      </c>
    </row>
    <row r="459" spans="1:7" x14ac:dyDescent="0.2">
      <c r="A459" s="402">
        <v>43336</v>
      </c>
      <c r="C459" s="399">
        <v>62.440544000000003</v>
      </c>
      <c r="D459" s="400">
        <f t="shared" si="14"/>
        <v>6.2317335038133415E-3</v>
      </c>
      <c r="F459" s="399">
        <v>16.100000000000001</v>
      </c>
      <c r="G459" s="400">
        <f t="shared" si="15"/>
        <v>-7.3982125399637555E-3</v>
      </c>
    </row>
    <row r="460" spans="1:7" x14ac:dyDescent="0.2">
      <c r="A460" s="402">
        <v>43339</v>
      </c>
      <c r="C460" s="399">
        <v>62.902721</v>
      </c>
      <c r="D460" s="400">
        <f t="shared" si="14"/>
        <v>7.401873372531842E-3</v>
      </c>
      <c r="F460" s="399">
        <v>16.379999000000002</v>
      </c>
      <c r="G460" s="400">
        <f t="shared" si="15"/>
        <v>1.7391242236024951E-2</v>
      </c>
    </row>
    <row r="461" spans="1:7" x14ac:dyDescent="0.2">
      <c r="A461" s="402">
        <v>43340</v>
      </c>
      <c r="C461" s="399">
        <v>62.902721</v>
      </c>
      <c r="D461" s="400">
        <f t="shared" si="14"/>
        <v>0</v>
      </c>
      <c r="F461" s="399">
        <v>15.99</v>
      </c>
      <c r="G461" s="400">
        <f t="shared" si="15"/>
        <v>-2.3809464213032094E-2</v>
      </c>
    </row>
    <row r="462" spans="1:7" x14ac:dyDescent="0.2">
      <c r="A462" s="402">
        <v>43341</v>
      </c>
      <c r="C462" s="399">
        <v>63.261153999999998</v>
      </c>
      <c r="D462" s="400">
        <f t="shared" si="14"/>
        <v>5.6982113699024506E-3</v>
      </c>
      <c r="F462" s="399">
        <v>16.18</v>
      </c>
      <c r="G462" s="400">
        <f t="shared" si="15"/>
        <v>1.1882426516572897E-2</v>
      </c>
    </row>
    <row r="463" spans="1:7" x14ac:dyDescent="0.2">
      <c r="A463" s="402">
        <v>43342</v>
      </c>
      <c r="C463" s="399">
        <v>63.015911000000003</v>
      </c>
      <c r="D463" s="400">
        <f t="shared" si="14"/>
        <v>-3.8766760404022049E-3</v>
      </c>
      <c r="F463" s="399">
        <v>15.85</v>
      </c>
      <c r="G463" s="400">
        <f t="shared" si="15"/>
        <v>-2.0395550061804713E-2</v>
      </c>
    </row>
    <row r="464" spans="1:7" x14ac:dyDescent="0.2">
      <c r="A464" s="402">
        <v>43343</v>
      </c>
      <c r="C464" s="399">
        <v>63.034779</v>
      </c>
      <c r="D464" s="400">
        <f t="shared" si="14"/>
        <v>2.9941644420561353E-4</v>
      </c>
      <c r="F464" s="399">
        <v>15.62</v>
      </c>
      <c r="G464" s="400">
        <f t="shared" si="15"/>
        <v>-1.4511041009463765E-2</v>
      </c>
    </row>
    <row r="465" spans="1:7" x14ac:dyDescent="0.2">
      <c r="A465" s="402">
        <v>43347</v>
      </c>
      <c r="C465" s="399">
        <v>62.931026000000003</v>
      </c>
      <c r="D465" s="400">
        <f t="shared" si="14"/>
        <v>-1.6459643651641764E-3</v>
      </c>
      <c r="F465" s="399">
        <v>15.47</v>
      </c>
      <c r="G465" s="400">
        <f t="shared" si="15"/>
        <v>-9.6030729833546102E-3</v>
      </c>
    </row>
    <row r="466" spans="1:7" x14ac:dyDescent="0.2">
      <c r="A466" s="402">
        <v>43348</v>
      </c>
      <c r="C466" s="399">
        <v>62.761253000000004</v>
      </c>
      <c r="D466" s="400">
        <f t="shared" si="14"/>
        <v>-2.6977631033696658E-3</v>
      </c>
      <c r="F466" s="399">
        <v>15.98</v>
      </c>
      <c r="G466" s="400">
        <f t="shared" si="15"/>
        <v>3.296703296703285E-2</v>
      </c>
    </row>
    <row r="467" spans="1:7" x14ac:dyDescent="0.2">
      <c r="A467" s="402">
        <v>43349</v>
      </c>
      <c r="C467" s="399">
        <v>62.525440000000003</v>
      </c>
      <c r="D467" s="400">
        <f t="shared" si="14"/>
        <v>-3.7573022960519786E-3</v>
      </c>
      <c r="F467" s="399">
        <v>16.079999999999998</v>
      </c>
      <c r="G467" s="400">
        <f t="shared" si="15"/>
        <v>6.2578222778471027E-3</v>
      </c>
    </row>
    <row r="468" spans="1:7" x14ac:dyDescent="0.2">
      <c r="A468" s="402">
        <v>43350</v>
      </c>
      <c r="C468" s="399">
        <v>62.393391000000001</v>
      </c>
      <c r="D468" s="400">
        <f t="shared" si="14"/>
        <v>-2.1119243623075601E-3</v>
      </c>
      <c r="F468" s="399">
        <v>15.96</v>
      </c>
      <c r="G468" s="400">
        <f t="shared" si="15"/>
        <v>-7.4626865671639786E-3</v>
      </c>
    </row>
    <row r="469" spans="1:7" x14ac:dyDescent="0.2">
      <c r="A469" s="402">
        <v>43353</v>
      </c>
      <c r="C469" s="399">
        <v>62.534882000000003</v>
      </c>
      <c r="D469" s="400">
        <f t="shared" si="14"/>
        <v>2.2677241568742623E-3</v>
      </c>
      <c r="F469" s="399">
        <v>16.73</v>
      </c>
      <c r="G469" s="400">
        <f t="shared" si="15"/>
        <v>4.8245614035087758E-2</v>
      </c>
    </row>
    <row r="470" spans="1:7" x14ac:dyDescent="0.2">
      <c r="A470" s="402">
        <v>43354</v>
      </c>
      <c r="C470" s="399">
        <v>62.723511000000002</v>
      </c>
      <c r="D470" s="400">
        <f t="shared" si="14"/>
        <v>3.0163805218341722E-3</v>
      </c>
      <c r="F470" s="399">
        <v>16.809999000000001</v>
      </c>
      <c r="G470" s="400">
        <f t="shared" si="15"/>
        <v>4.7817692767484488E-3</v>
      </c>
    </row>
    <row r="471" spans="1:7" x14ac:dyDescent="0.2">
      <c r="A471" s="402">
        <v>43355</v>
      </c>
      <c r="C471" s="399">
        <v>62.742373999999998</v>
      </c>
      <c r="D471" s="400">
        <f t="shared" si="14"/>
        <v>3.0073252755258295E-4</v>
      </c>
      <c r="F471" s="399">
        <v>17.110001</v>
      </c>
      <c r="G471" s="400">
        <f t="shared" si="15"/>
        <v>1.7846639967081357E-2</v>
      </c>
    </row>
    <row r="472" spans="1:7" x14ac:dyDescent="0.2">
      <c r="A472" s="402">
        <v>43356</v>
      </c>
      <c r="C472" s="399">
        <v>63.053615999999998</v>
      </c>
      <c r="D472" s="400">
        <f t="shared" si="14"/>
        <v>4.960634737856795E-3</v>
      </c>
      <c r="F472" s="399">
        <v>16.209999</v>
      </c>
      <c r="G472" s="400">
        <f t="shared" si="15"/>
        <v>-5.2600932051377502E-2</v>
      </c>
    </row>
    <row r="473" spans="1:7" x14ac:dyDescent="0.2">
      <c r="A473" s="402">
        <v>43357</v>
      </c>
      <c r="C473" s="399">
        <v>63.100807000000003</v>
      </c>
      <c r="D473" s="400">
        <f t="shared" si="14"/>
        <v>7.4842654543405551E-4</v>
      </c>
      <c r="F473" s="399">
        <v>16.48</v>
      </c>
      <c r="G473" s="400">
        <f t="shared" si="15"/>
        <v>1.6656447665419405E-2</v>
      </c>
    </row>
    <row r="474" spans="1:7" x14ac:dyDescent="0.2">
      <c r="A474" s="402">
        <v>43360</v>
      </c>
      <c r="C474" s="399">
        <v>62.685780000000001</v>
      </c>
      <c r="D474" s="400">
        <f t="shared" si="14"/>
        <v>-6.5772058984919779E-3</v>
      </c>
      <c r="F474" s="399">
        <v>16.209999</v>
      </c>
      <c r="G474" s="400">
        <f t="shared" si="15"/>
        <v>-1.6383555825242757E-2</v>
      </c>
    </row>
    <row r="475" spans="1:7" x14ac:dyDescent="0.2">
      <c r="A475" s="402">
        <v>43361</v>
      </c>
      <c r="C475" s="399">
        <v>63.025337</v>
      </c>
      <c r="D475" s="400">
        <f t="shared" si="14"/>
        <v>5.416810638712688E-3</v>
      </c>
      <c r="F475" s="399">
        <v>16.170000000000002</v>
      </c>
      <c r="G475" s="400">
        <f t="shared" si="15"/>
        <v>-2.4675510467334627E-3</v>
      </c>
    </row>
    <row r="476" spans="1:7" x14ac:dyDescent="0.2">
      <c r="A476" s="402">
        <v>43362</v>
      </c>
      <c r="C476" s="399">
        <v>63.072510000000001</v>
      </c>
      <c r="D476" s="400">
        <f t="shared" si="14"/>
        <v>7.4847675943412462E-4</v>
      </c>
      <c r="F476" s="399">
        <v>15.99</v>
      </c>
      <c r="G476" s="400">
        <f t="shared" si="15"/>
        <v>-1.1131725417439786E-2</v>
      </c>
    </row>
    <row r="477" spans="1:7" x14ac:dyDescent="0.2">
      <c r="A477" s="402">
        <v>43363</v>
      </c>
      <c r="C477" s="399">
        <v>63.534694999999999</v>
      </c>
      <c r="D477" s="400">
        <f t="shared" si="14"/>
        <v>7.327835851149711E-3</v>
      </c>
      <c r="F477" s="399">
        <v>15.98</v>
      </c>
      <c r="G477" s="400">
        <f t="shared" si="15"/>
        <v>-6.2539086929325194E-4</v>
      </c>
    </row>
    <row r="478" spans="1:7" x14ac:dyDescent="0.2">
      <c r="A478" s="402">
        <v>43364</v>
      </c>
      <c r="C478" s="399">
        <v>63.506366999999997</v>
      </c>
      <c r="D478" s="400">
        <f t="shared" si="14"/>
        <v>-4.4586662452694714E-4</v>
      </c>
      <c r="F478" s="399">
        <v>15.68</v>
      </c>
      <c r="G478" s="400">
        <f t="shared" si="15"/>
        <v>-1.8773466833541974E-2</v>
      </c>
    </row>
    <row r="479" spans="1:7" x14ac:dyDescent="0.2">
      <c r="A479" s="402">
        <v>43367</v>
      </c>
      <c r="C479" s="399">
        <v>63.280003000000001</v>
      </c>
      <c r="D479" s="400">
        <f t="shared" si="14"/>
        <v>-3.5644300043174981E-3</v>
      </c>
      <c r="F479" s="399">
        <v>15.45</v>
      </c>
      <c r="G479" s="400">
        <f t="shared" si="15"/>
        <v>-1.4668367346938771E-2</v>
      </c>
    </row>
    <row r="480" spans="1:7" x14ac:dyDescent="0.2">
      <c r="A480" s="402">
        <v>43368</v>
      </c>
      <c r="C480" s="399">
        <v>63.232857000000003</v>
      </c>
      <c r="D480" s="400">
        <f t="shared" si="14"/>
        <v>-7.4503789135405007E-4</v>
      </c>
      <c r="F480" s="399">
        <v>15.22</v>
      </c>
      <c r="G480" s="400">
        <f t="shared" si="15"/>
        <v>-1.4886731391585695E-2</v>
      </c>
    </row>
    <row r="481" spans="1:7" x14ac:dyDescent="0.2">
      <c r="A481" s="402">
        <v>43369</v>
      </c>
      <c r="C481" s="399">
        <v>62.984627000000003</v>
      </c>
      <c r="D481" s="400">
        <f t="shared" si="14"/>
        <v>-3.9256489707557574E-3</v>
      </c>
      <c r="F481" s="399">
        <v>14.87</v>
      </c>
      <c r="G481" s="400">
        <f t="shared" si="15"/>
        <v>-2.2996057818659765E-2</v>
      </c>
    </row>
    <row r="482" spans="1:7" x14ac:dyDescent="0.2">
      <c r="A482" s="402">
        <v>43370</v>
      </c>
      <c r="C482" s="399">
        <v>63.145690999999999</v>
      </c>
      <c r="D482" s="400">
        <f t="shared" si="14"/>
        <v>2.5571954248453377E-3</v>
      </c>
      <c r="F482" s="399">
        <v>14.81</v>
      </c>
      <c r="G482" s="400">
        <f t="shared" si="15"/>
        <v>-4.0349697377268789E-3</v>
      </c>
    </row>
    <row r="483" spans="1:7" x14ac:dyDescent="0.2">
      <c r="A483" s="402">
        <v>43371</v>
      </c>
      <c r="C483" s="399">
        <v>63.126728</v>
      </c>
      <c r="D483" s="400">
        <f t="shared" si="14"/>
        <v>-3.0030552678561584E-4</v>
      </c>
      <c r="F483" s="399">
        <v>14.68</v>
      </c>
      <c r="G483" s="400">
        <f t="shared" si="15"/>
        <v>-8.7778528021607016E-3</v>
      </c>
    </row>
    <row r="484" spans="1:7" x14ac:dyDescent="0.2">
      <c r="A484" s="402">
        <v>43374</v>
      </c>
      <c r="C484" s="399">
        <v>63.249896999999997</v>
      </c>
      <c r="D484" s="400">
        <f t="shared" si="14"/>
        <v>1.9511386682355969E-3</v>
      </c>
      <c r="F484" s="399">
        <v>14.1</v>
      </c>
      <c r="G484" s="400">
        <f t="shared" si="15"/>
        <v>-3.9509536784741117E-2</v>
      </c>
    </row>
    <row r="485" spans="1:7" x14ac:dyDescent="0.2">
      <c r="A485" s="402">
        <v>43375</v>
      </c>
      <c r="C485" s="399">
        <v>63.164639000000001</v>
      </c>
      <c r="D485" s="400">
        <f t="shared" si="14"/>
        <v>-1.3479547642583078E-3</v>
      </c>
      <c r="F485" s="399">
        <v>14.08</v>
      </c>
      <c r="G485" s="400">
        <f t="shared" si="15"/>
        <v>-1.4184397163120588E-3</v>
      </c>
    </row>
    <row r="486" spans="1:7" x14ac:dyDescent="0.2">
      <c r="A486" s="402">
        <v>43376</v>
      </c>
      <c r="C486" s="399">
        <v>63.221480999999997</v>
      </c>
      <c r="D486" s="400">
        <f t="shared" si="14"/>
        <v>8.9990223802272062E-4</v>
      </c>
      <c r="F486" s="399">
        <v>14.22</v>
      </c>
      <c r="G486" s="400">
        <f t="shared" si="15"/>
        <v>9.9431818181818787E-3</v>
      </c>
    </row>
    <row r="487" spans="1:7" x14ac:dyDescent="0.2">
      <c r="A487" s="402">
        <v>43377</v>
      </c>
      <c r="C487" s="399">
        <v>62.709881000000003</v>
      </c>
      <c r="D487" s="400">
        <f t="shared" si="14"/>
        <v>-8.0921862618180684E-3</v>
      </c>
      <c r="F487" s="399">
        <v>14.07</v>
      </c>
      <c r="G487" s="400">
        <f t="shared" si="15"/>
        <v>-1.0548523206751037E-2</v>
      </c>
    </row>
    <row r="488" spans="1:7" x14ac:dyDescent="0.2">
      <c r="A488" s="402">
        <v>43378</v>
      </c>
      <c r="C488" s="399">
        <v>62.283524</v>
      </c>
      <c r="D488" s="400">
        <f t="shared" si="14"/>
        <v>-6.7988807058970702E-3</v>
      </c>
      <c r="F488" s="399">
        <v>13.96</v>
      </c>
      <c r="G488" s="400">
        <f t="shared" si="15"/>
        <v>-7.8180525941720092E-3</v>
      </c>
    </row>
    <row r="489" spans="1:7" x14ac:dyDescent="0.2">
      <c r="A489" s="402">
        <v>43381</v>
      </c>
      <c r="C489" s="399">
        <v>62.236172000000003</v>
      </c>
      <c r="D489" s="400">
        <f t="shared" si="14"/>
        <v>-7.6026526694272789E-4</v>
      </c>
      <c r="F489" s="399">
        <v>14.1</v>
      </c>
      <c r="G489" s="400">
        <f t="shared" si="15"/>
        <v>1.0028653295128809E-2</v>
      </c>
    </row>
    <row r="490" spans="1:7" x14ac:dyDescent="0.2">
      <c r="A490" s="402">
        <v>43382</v>
      </c>
      <c r="C490" s="399">
        <v>62.131946999999997</v>
      </c>
      <c r="D490" s="400">
        <f t="shared" si="14"/>
        <v>-1.6746691939858449E-3</v>
      </c>
      <c r="F490" s="399">
        <v>13.5</v>
      </c>
      <c r="G490" s="400">
        <f t="shared" si="15"/>
        <v>-4.2553191489361653E-2</v>
      </c>
    </row>
    <row r="491" spans="1:7" x14ac:dyDescent="0.2">
      <c r="A491" s="402">
        <v>43383</v>
      </c>
      <c r="C491" s="399">
        <v>60.132885000000002</v>
      </c>
      <c r="D491" s="400">
        <f t="shared" si="14"/>
        <v>-3.2174462519257485E-2</v>
      </c>
      <c r="F491" s="399">
        <v>13.48</v>
      </c>
      <c r="G491" s="400">
        <f t="shared" si="15"/>
        <v>-1.481481481481417E-3</v>
      </c>
    </row>
    <row r="492" spans="1:7" x14ac:dyDescent="0.2">
      <c r="A492" s="402">
        <v>43384</v>
      </c>
      <c r="C492" s="399">
        <v>58.882286000000001</v>
      </c>
      <c r="D492" s="400">
        <f t="shared" si="14"/>
        <v>-2.0797255944064563E-2</v>
      </c>
      <c r="F492" s="399">
        <v>13.37</v>
      </c>
      <c r="G492" s="400">
        <f t="shared" si="15"/>
        <v>-8.1602373887241786E-3</v>
      </c>
    </row>
    <row r="493" spans="1:7" x14ac:dyDescent="0.2">
      <c r="A493" s="402">
        <v>43385</v>
      </c>
      <c r="C493" s="399">
        <v>59.649695999999999</v>
      </c>
      <c r="D493" s="400">
        <f t="shared" si="14"/>
        <v>1.3032951879619503E-2</v>
      </c>
      <c r="F493" s="399">
        <v>13.09</v>
      </c>
      <c r="G493" s="400">
        <f t="shared" si="15"/>
        <v>-2.0942408376963262E-2</v>
      </c>
    </row>
    <row r="494" spans="1:7" x14ac:dyDescent="0.2">
      <c r="A494" s="402">
        <v>43388</v>
      </c>
      <c r="C494" s="399">
        <v>59.412849000000001</v>
      </c>
      <c r="D494" s="400">
        <f t="shared" si="14"/>
        <v>-3.9706321386784316E-3</v>
      </c>
      <c r="F494" s="399">
        <v>13.16</v>
      </c>
      <c r="G494" s="400">
        <f t="shared" si="15"/>
        <v>5.3475935828877219E-3</v>
      </c>
    </row>
    <row r="495" spans="1:7" x14ac:dyDescent="0.2">
      <c r="A495" s="402">
        <v>43389</v>
      </c>
      <c r="C495" s="399">
        <v>60.691859999999998</v>
      </c>
      <c r="D495" s="400">
        <f t="shared" si="14"/>
        <v>2.1527515032985445E-2</v>
      </c>
      <c r="F495" s="399">
        <v>13.65</v>
      </c>
      <c r="G495" s="400">
        <f t="shared" si="15"/>
        <v>3.7234042553191404E-2</v>
      </c>
    </row>
    <row r="496" spans="1:7" x14ac:dyDescent="0.2">
      <c r="A496" s="402">
        <v>43390</v>
      </c>
      <c r="C496" s="399">
        <v>60.701340000000002</v>
      </c>
      <c r="D496" s="400">
        <f t="shared" si="14"/>
        <v>1.5619887082052308E-4</v>
      </c>
      <c r="F496" s="399">
        <v>13.13</v>
      </c>
      <c r="G496" s="400">
        <f t="shared" si="15"/>
        <v>-3.8095238095238071E-2</v>
      </c>
    </row>
    <row r="497" spans="1:7" x14ac:dyDescent="0.2">
      <c r="A497" s="402">
        <v>43391</v>
      </c>
      <c r="C497" s="399">
        <v>59.782341000000002</v>
      </c>
      <c r="D497" s="400">
        <f t="shared" si="14"/>
        <v>-1.5139682254131426E-2</v>
      </c>
      <c r="F497" s="399">
        <v>12.54</v>
      </c>
      <c r="G497" s="400">
        <f t="shared" si="15"/>
        <v>-4.4935262757045069E-2</v>
      </c>
    </row>
    <row r="498" spans="1:7" x14ac:dyDescent="0.2">
      <c r="A498" s="402">
        <v>43392</v>
      </c>
      <c r="C498" s="399">
        <v>59.659176000000002</v>
      </c>
      <c r="D498" s="400">
        <f t="shared" si="14"/>
        <v>-2.0602237707619819E-3</v>
      </c>
      <c r="F498" s="399">
        <v>12.11</v>
      </c>
      <c r="G498" s="400">
        <f t="shared" si="15"/>
        <v>-3.4290271132376371E-2</v>
      </c>
    </row>
    <row r="499" spans="1:7" x14ac:dyDescent="0.2">
      <c r="A499" s="402">
        <v>43395</v>
      </c>
      <c r="C499" s="399">
        <v>59.422314</v>
      </c>
      <c r="D499" s="400">
        <f t="shared" si="14"/>
        <v>-3.9702526229997703E-3</v>
      </c>
      <c r="F499" s="399">
        <v>11.82</v>
      </c>
      <c r="G499" s="400">
        <f t="shared" si="15"/>
        <v>-2.3947151114781073E-2</v>
      </c>
    </row>
    <row r="500" spans="1:7" x14ac:dyDescent="0.2">
      <c r="A500" s="402">
        <v>43396</v>
      </c>
      <c r="C500" s="399">
        <v>59.071773999999998</v>
      </c>
      <c r="D500" s="400">
        <f t="shared" si="14"/>
        <v>-5.8991307541473859E-3</v>
      </c>
      <c r="F500" s="399">
        <v>12.15</v>
      </c>
      <c r="G500" s="400">
        <f t="shared" si="15"/>
        <v>2.7918781725888353E-2</v>
      </c>
    </row>
    <row r="501" spans="1:7" x14ac:dyDescent="0.2">
      <c r="A501" s="402">
        <v>43397</v>
      </c>
      <c r="C501" s="399">
        <v>57.214821000000001</v>
      </c>
      <c r="D501" s="400">
        <f t="shared" si="14"/>
        <v>-3.1435538062560942E-2</v>
      </c>
      <c r="F501" s="399">
        <v>11.96</v>
      </c>
      <c r="G501" s="400">
        <f t="shared" si="15"/>
        <v>-1.56378600823045E-2</v>
      </c>
    </row>
    <row r="502" spans="1:7" x14ac:dyDescent="0.2">
      <c r="A502" s="402">
        <v>43398</v>
      </c>
      <c r="C502" s="399">
        <v>58.285407999999997</v>
      </c>
      <c r="D502" s="400">
        <f t="shared" si="14"/>
        <v>1.8711707583599635E-2</v>
      </c>
      <c r="F502" s="399">
        <v>12.31</v>
      </c>
      <c r="G502" s="400">
        <f t="shared" si="15"/>
        <v>2.9264214046822667E-2</v>
      </c>
    </row>
    <row r="503" spans="1:7" x14ac:dyDescent="0.2">
      <c r="A503" s="402">
        <v>43399</v>
      </c>
      <c r="C503" s="399">
        <v>57.281135999999996</v>
      </c>
      <c r="D503" s="400">
        <f t="shared" si="14"/>
        <v>-1.7230247406005983E-2</v>
      </c>
      <c r="F503" s="399">
        <v>12.1</v>
      </c>
      <c r="G503" s="400">
        <f t="shared" si="15"/>
        <v>-1.7059301380991099E-2</v>
      </c>
    </row>
    <row r="504" spans="1:7" x14ac:dyDescent="0.2">
      <c r="A504" s="402">
        <v>43402</v>
      </c>
      <c r="C504" s="399">
        <v>56.968487000000003</v>
      </c>
      <c r="D504" s="400">
        <f t="shared" si="14"/>
        <v>-5.4581494333491021E-3</v>
      </c>
      <c r="F504" s="399">
        <v>11.85</v>
      </c>
      <c r="G504" s="400">
        <f t="shared" si="15"/>
        <v>-2.0661157024793431E-2</v>
      </c>
    </row>
    <row r="505" spans="1:7" x14ac:dyDescent="0.2">
      <c r="A505" s="402">
        <v>43403</v>
      </c>
      <c r="C505" s="399">
        <v>57.840114999999997</v>
      </c>
      <c r="D505" s="400">
        <f t="shared" si="14"/>
        <v>1.5300178149368682E-2</v>
      </c>
      <c r="F505" s="399">
        <v>12.57</v>
      </c>
      <c r="G505" s="400">
        <f t="shared" si="15"/>
        <v>6.0759493670886178E-2</v>
      </c>
    </row>
    <row r="506" spans="1:7" x14ac:dyDescent="0.2">
      <c r="A506" s="402">
        <v>43404</v>
      </c>
      <c r="C506" s="399">
        <v>58.484371000000003</v>
      </c>
      <c r="D506" s="400">
        <f t="shared" si="14"/>
        <v>1.1138567065435589E-2</v>
      </c>
      <c r="F506" s="399">
        <v>12.38</v>
      </c>
      <c r="G506" s="400">
        <f t="shared" si="15"/>
        <v>-1.511535401750197E-2</v>
      </c>
    </row>
    <row r="507" spans="1:7" x14ac:dyDescent="0.2">
      <c r="A507" s="402">
        <v>43405</v>
      </c>
      <c r="C507" s="399">
        <v>59.204411</v>
      </c>
      <c r="D507" s="400">
        <f t="shared" si="14"/>
        <v>1.2311665282336737E-2</v>
      </c>
      <c r="F507" s="399">
        <v>13.08</v>
      </c>
      <c r="G507" s="400">
        <f t="shared" si="15"/>
        <v>5.6542810985460434E-2</v>
      </c>
    </row>
    <row r="508" spans="1:7" x14ac:dyDescent="0.2">
      <c r="A508" s="402">
        <v>43406</v>
      </c>
      <c r="C508" s="399">
        <v>58.825439000000003</v>
      </c>
      <c r="D508" s="400">
        <f t="shared" si="14"/>
        <v>-6.4010771089335616E-3</v>
      </c>
      <c r="F508" s="399">
        <v>14.58</v>
      </c>
      <c r="G508" s="400">
        <f t="shared" si="15"/>
        <v>0.1146788990825689</v>
      </c>
    </row>
    <row r="509" spans="1:7" x14ac:dyDescent="0.2">
      <c r="A509" s="402">
        <v>43409</v>
      </c>
      <c r="C509" s="399">
        <v>59.147564000000003</v>
      </c>
      <c r="D509" s="400">
        <f t="shared" si="14"/>
        <v>5.4759472343248738E-3</v>
      </c>
      <c r="F509" s="399">
        <v>13.71</v>
      </c>
      <c r="G509" s="400">
        <f t="shared" si="15"/>
        <v>-5.967078189300401E-2</v>
      </c>
    </row>
    <row r="510" spans="1:7" x14ac:dyDescent="0.2">
      <c r="A510" s="402">
        <v>43410</v>
      </c>
      <c r="C510" s="399">
        <v>59.517055999999997</v>
      </c>
      <c r="D510" s="400">
        <f t="shared" si="14"/>
        <v>6.246952114545179E-3</v>
      </c>
      <c r="F510" s="399">
        <v>13.86</v>
      </c>
      <c r="G510" s="400">
        <f t="shared" si="15"/>
        <v>1.094091903719896E-2</v>
      </c>
    </row>
    <row r="511" spans="1:7" x14ac:dyDescent="0.2">
      <c r="A511" s="402">
        <v>43411</v>
      </c>
      <c r="C511" s="399">
        <v>60.720286999999999</v>
      </c>
      <c r="D511" s="400">
        <f t="shared" si="14"/>
        <v>2.0216574556376044E-2</v>
      </c>
      <c r="F511" s="399">
        <v>13.61</v>
      </c>
      <c r="G511" s="400">
        <f t="shared" si="15"/>
        <v>-1.8037518037518074E-2</v>
      </c>
    </row>
    <row r="512" spans="1:7" x14ac:dyDescent="0.2">
      <c r="A512" s="402">
        <v>43412</v>
      </c>
      <c r="C512" s="399">
        <v>60.606605999999999</v>
      </c>
      <c r="D512" s="400">
        <f t="shared" si="14"/>
        <v>-1.8722078833388611E-3</v>
      </c>
      <c r="F512" s="399">
        <v>13.06</v>
      </c>
      <c r="G512" s="400">
        <f t="shared" si="15"/>
        <v>-4.0411462160176215E-2</v>
      </c>
    </row>
    <row r="513" spans="1:7" x14ac:dyDescent="0.2">
      <c r="A513" s="402">
        <v>43413</v>
      </c>
      <c r="C513" s="399">
        <v>59.981304000000002</v>
      </c>
      <c r="D513" s="400">
        <f t="shared" si="14"/>
        <v>-1.031739015380595E-2</v>
      </c>
      <c r="F513" s="399">
        <v>12.83</v>
      </c>
      <c r="G513" s="400">
        <f t="shared" si="15"/>
        <v>-1.7611026033690691E-2</v>
      </c>
    </row>
    <row r="514" spans="1:7" x14ac:dyDescent="0.2">
      <c r="A514" s="402">
        <v>43416</v>
      </c>
      <c r="C514" s="399">
        <v>58.825439000000003</v>
      </c>
      <c r="D514" s="400">
        <f t="shared" si="14"/>
        <v>-1.9270421329953047E-2</v>
      </c>
      <c r="F514" s="399">
        <v>12.63</v>
      </c>
      <c r="G514" s="400">
        <f t="shared" si="15"/>
        <v>-1.5588464536243074E-2</v>
      </c>
    </row>
    <row r="515" spans="1:7" x14ac:dyDescent="0.2">
      <c r="A515" s="402">
        <v>43417</v>
      </c>
      <c r="C515" s="399">
        <v>58.740177000000003</v>
      </c>
      <c r="D515" s="400">
        <f t="shared" si="14"/>
        <v>-1.4494069479022986E-3</v>
      </c>
      <c r="F515" s="399">
        <v>13.03</v>
      </c>
      <c r="G515" s="400">
        <f t="shared" si="15"/>
        <v>3.1670625494853333E-2</v>
      </c>
    </row>
    <row r="516" spans="1:7" x14ac:dyDescent="0.2">
      <c r="A516" s="402">
        <v>43418</v>
      </c>
      <c r="C516" s="399">
        <v>58.285407999999997</v>
      </c>
      <c r="D516" s="400">
        <f t="shared" si="14"/>
        <v>-7.7420434058277365E-3</v>
      </c>
      <c r="F516" s="399">
        <v>12.85</v>
      </c>
      <c r="G516" s="400">
        <f t="shared" si="15"/>
        <v>-1.3814274750575617E-2</v>
      </c>
    </row>
    <row r="517" spans="1:7" x14ac:dyDescent="0.2">
      <c r="A517" s="402">
        <v>43419</v>
      </c>
      <c r="C517" s="399">
        <v>58.967556000000002</v>
      </c>
      <c r="D517" s="400">
        <f t="shared" si="14"/>
        <v>1.1703581109014483E-2</v>
      </c>
      <c r="F517" s="399">
        <v>12.38</v>
      </c>
      <c r="G517" s="400">
        <f t="shared" si="15"/>
        <v>-3.6575875486381193E-2</v>
      </c>
    </row>
    <row r="518" spans="1:7" x14ac:dyDescent="0.2">
      <c r="A518" s="402">
        <v>43420</v>
      </c>
      <c r="C518" s="399">
        <v>59.090716999999998</v>
      </c>
      <c r="D518" s="400">
        <f t="shared" si="14"/>
        <v>2.0886231065773142E-3</v>
      </c>
      <c r="F518" s="399">
        <v>12.43</v>
      </c>
      <c r="G518" s="400">
        <f t="shared" si="15"/>
        <v>4.0387722132471104E-3</v>
      </c>
    </row>
    <row r="519" spans="1:7" x14ac:dyDescent="0.2">
      <c r="A519" s="402">
        <v>43423</v>
      </c>
      <c r="C519" s="399">
        <v>58.048552999999998</v>
      </c>
      <c r="D519" s="400">
        <f t="shared" ref="D519:D582" si="16">C519/C518-1</f>
        <v>-1.7636678871234546E-2</v>
      </c>
      <c r="F519" s="399">
        <v>12.55</v>
      </c>
      <c r="G519" s="400">
        <f t="shared" ref="G519:G582" si="17">F519/F518-1</f>
        <v>9.6540627514078992E-3</v>
      </c>
    </row>
    <row r="520" spans="1:7" x14ac:dyDescent="0.2">
      <c r="A520" s="402">
        <v>43424</v>
      </c>
      <c r="C520" s="399">
        <v>57.015861999999998</v>
      </c>
      <c r="D520" s="400">
        <f t="shared" si="16"/>
        <v>-1.7790124759871295E-2</v>
      </c>
      <c r="F520" s="399">
        <v>12.51</v>
      </c>
      <c r="G520" s="400">
        <f t="shared" si="17"/>
        <v>-3.1872509960160222E-3</v>
      </c>
    </row>
    <row r="521" spans="1:7" x14ac:dyDescent="0.2">
      <c r="A521" s="402">
        <v>43425</v>
      </c>
      <c r="C521" s="399">
        <v>57.271667000000001</v>
      </c>
      <c r="D521" s="400">
        <f t="shared" si="16"/>
        <v>4.4865584948974302E-3</v>
      </c>
      <c r="F521" s="399">
        <v>12.88</v>
      </c>
      <c r="G521" s="400">
        <f t="shared" si="17"/>
        <v>2.9576338928857027E-2</v>
      </c>
    </row>
    <row r="522" spans="1:7" x14ac:dyDescent="0.2">
      <c r="A522" s="402">
        <v>43427</v>
      </c>
      <c r="C522" s="399">
        <v>56.996913999999997</v>
      </c>
      <c r="D522" s="400">
        <f t="shared" si="16"/>
        <v>-4.7973634153167799E-3</v>
      </c>
      <c r="F522" s="399">
        <v>12.92</v>
      </c>
      <c r="G522" s="400">
        <f t="shared" si="17"/>
        <v>3.1055900621117516E-3</v>
      </c>
    </row>
    <row r="523" spans="1:7" x14ac:dyDescent="0.2">
      <c r="A523" s="402">
        <v>43430</v>
      </c>
      <c r="C523" s="399">
        <v>57.859062000000002</v>
      </c>
      <c r="D523" s="400">
        <f t="shared" si="16"/>
        <v>1.5126222447762849E-2</v>
      </c>
      <c r="F523" s="399">
        <v>12.9</v>
      </c>
      <c r="G523" s="400">
        <f t="shared" si="17"/>
        <v>-1.5479876160990891E-3</v>
      </c>
    </row>
    <row r="524" spans="1:7" x14ac:dyDescent="0.2">
      <c r="A524" s="402">
        <v>43431</v>
      </c>
      <c r="C524" s="399">
        <v>57.972754999999999</v>
      </c>
      <c r="D524" s="400">
        <f t="shared" si="16"/>
        <v>1.9649990177856846E-3</v>
      </c>
      <c r="F524" s="399">
        <v>13.02</v>
      </c>
      <c r="G524" s="400">
        <f t="shared" si="17"/>
        <v>9.302325581395321E-3</v>
      </c>
    </row>
    <row r="525" spans="1:7" x14ac:dyDescent="0.2">
      <c r="A525" s="402">
        <v>43432</v>
      </c>
      <c r="C525" s="399">
        <v>59.299151999999999</v>
      </c>
      <c r="D525" s="400">
        <f t="shared" si="16"/>
        <v>2.2879661316768551E-2</v>
      </c>
      <c r="F525" s="399">
        <v>13.45</v>
      </c>
      <c r="G525" s="400">
        <f t="shared" si="17"/>
        <v>3.3026113671274837E-2</v>
      </c>
    </row>
    <row r="526" spans="1:7" x14ac:dyDescent="0.2">
      <c r="A526" s="402">
        <v>43433</v>
      </c>
      <c r="C526" s="399">
        <v>59.194938999999998</v>
      </c>
      <c r="D526" s="400">
        <f t="shared" si="16"/>
        <v>-1.7574113032847727E-3</v>
      </c>
      <c r="F526" s="399">
        <v>13.39</v>
      </c>
      <c r="G526" s="400">
        <f t="shared" si="17"/>
        <v>-4.4609665427508549E-3</v>
      </c>
    </row>
    <row r="527" spans="1:7" x14ac:dyDescent="0.2">
      <c r="A527" s="402">
        <v>43434</v>
      </c>
      <c r="C527" s="399">
        <v>59.602325</v>
      </c>
      <c r="D527" s="400">
        <f t="shared" si="16"/>
        <v>6.8821086208061821E-3</v>
      </c>
      <c r="F527" s="399">
        <v>13.53</v>
      </c>
      <c r="G527" s="400">
        <f t="shared" si="17"/>
        <v>1.0455563853622118E-2</v>
      </c>
    </row>
    <row r="528" spans="1:7" x14ac:dyDescent="0.2">
      <c r="A528" s="402">
        <v>43437</v>
      </c>
      <c r="C528" s="399">
        <v>60.331848000000001</v>
      </c>
      <c r="D528" s="400">
        <f t="shared" si="16"/>
        <v>1.2239841314915179E-2</v>
      </c>
      <c r="F528" s="399">
        <v>14.28</v>
      </c>
      <c r="G528" s="400">
        <f t="shared" si="17"/>
        <v>5.5432372505543226E-2</v>
      </c>
    </row>
    <row r="529" spans="1:7" x14ac:dyDescent="0.2">
      <c r="A529" s="402">
        <v>43438</v>
      </c>
      <c r="C529" s="399">
        <v>58.370682000000002</v>
      </c>
      <c r="D529" s="400">
        <f t="shared" si="16"/>
        <v>-3.2506314078096787E-2</v>
      </c>
      <c r="F529" s="399">
        <v>12.25</v>
      </c>
      <c r="G529" s="400">
        <f t="shared" si="17"/>
        <v>-0.14215686274509798</v>
      </c>
    </row>
    <row r="530" spans="1:7" x14ac:dyDescent="0.2">
      <c r="A530" s="402">
        <v>43440</v>
      </c>
      <c r="C530" s="399">
        <v>58.247512999999998</v>
      </c>
      <c r="D530" s="400">
        <f t="shared" si="16"/>
        <v>-2.1101175415425555E-3</v>
      </c>
      <c r="F530" s="399">
        <v>12.5</v>
      </c>
      <c r="G530" s="400">
        <f t="shared" si="17"/>
        <v>2.0408163265306145E-2</v>
      </c>
    </row>
    <row r="531" spans="1:7" x14ac:dyDescent="0.2">
      <c r="A531" s="402">
        <v>43441</v>
      </c>
      <c r="C531" s="399">
        <v>56.930599000000001</v>
      </c>
      <c r="D531" s="400">
        <f t="shared" si="16"/>
        <v>-2.2608930959850504E-2</v>
      </c>
      <c r="F531" s="399">
        <v>12.04</v>
      </c>
      <c r="G531" s="400">
        <f t="shared" si="17"/>
        <v>-3.6800000000000055E-2</v>
      </c>
    </row>
    <row r="532" spans="1:7" x14ac:dyDescent="0.2">
      <c r="A532" s="402">
        <v>43444</v>
      </c>
      <c r="C532" s="399">
        <v>56.949547000000003</v>
      </c>
      <c r="D532" s="400">
        <f t="shared" si="16"/>
        <v>3.3282628907516099E-4</v>
      </c>
      <c r="F532" s="399">
        <v>11.57</v>
      </c>
      <c r="G532" s="400">
        <f t="shared" si="17"/>
        <v>-3.9036544850498234E-2</v>
      </c>
    </row>
    <row r="533" spans="1:7" x14ac:dyDescent="0.2">
      <c r="A533" s="402">
        <v>43445</v>
      </c>
      <c r="C533" s="399">
        <v>56.940066999999999</v>
      </c>
      <c r="D533" s="400">
        <f t="shared" si="16"/>
        <v>-1.664631327094046E-4</v>
      </c>
      <c r="F533" s="399">
        <v>11.41</v>
      </c>
      <c r="G533" s="400">
        <f t="shared" si="17"/>
        <v>-1.3828867761452091E-2</v>
      </c>
    </row>
    <row r="534" spans="1:7" x14ac:dyDescent="0.2">
      <c r="A534" s="402">
        <v>43446</v>
      </c>
      <c r="C534" s="399">
        <v>57.281135999999996</v>
      </c>
      <c r="D534" s="400">
        <f t="shared" si="16"/>
        <v>5.98996485199077E-3</v>
      </c>
      <c r="F534" s="399">
        <v>11.33</v>
      </c>
      <c r="G534" s="400">
        <f t="shared" si="17"/>
        <v>-7.0113935144610062E-3</v>
      </c>
    </row>
    <row r="535" spans="1:7" x14ac:dyDescent="0.2">
      <c r="A535" s="402">
        <v>43447</v>
      </c>
      <c r="C535" s="399">
        <v>57.129550999999999</v>
      </c>
      <c r="D535" s="400">
        <f t="shared" si="16"/>
        <v>-2.6463336900300893E-3</v>
      </c>
      <c r="F535" s="399">
        <v>11.16</v>
      </c>
      <c r="G535" s="400">
        <f t="shared" si="17"/>
        <v>-1.5004413062665534E-2</v>
      </c>
    </row>
    <row r="536" spans="1:7" x14ac:dyDescent="0.2">
      <c r="A536" s="402">
        <v>43448</v>
      </c>
      <c r="C536" s="399">
        <v>56.125286000000003</v>
      </c>
      <c r="D536" s="400">
        <f t="shared" si="16"/>
        <v>-1.7578730839316381E-2</v>
      </c>
      <c r="F536" s="399">
        <v>10.98</v>
      </c>
      <c r="G536" s="400">
        <f t="shared" si="17"/>
        <v>-1.6129032258064502E-2</v>
      </c>
    </row>
    <row r="537" spans="1:7" x14ac:dyDescent="0.2">
      <c r="A537" s="402">
        <v>43451</v>
      </c>
      <c r="C537" s="399">
        <v>54.952098999999997</v>
      </c>
      <c r="D537" s="400">
        <f t="shared" si="16"/>
        <v>-2.0903002614543587E-2</v>
      </c>
      <c r="F537" s="399">
        <v>10.88</v>
      </c>
      <c r="G537" s="400">
        <f t="shared" si="17"/>
        <v>-9.1074681238615396E-3</v>
      </c>
    </row>
    <row r="538" spans="1:7" x14ac:dyDescent="0.2">
      <c r="A538" s="402">
        <v>43452</v>
      </c>
      <c r="C538" s="399">
        <v>54.923507999999998</v>
      </c>
      <c r="D538" s="400">
        <f t="shared" si="16"/>
        <v>-5.2028949794979962E-4</v>
      </c>
      <c r="F538" s="399">
        <v>11.4</v>
      </c>
      <c r="G538" s="400">
        <f t="shared" si="17"/>
        <v>4.7794117647058876E-2</v>
      </c>
    </row>
    <row r="539" spans="1:7" x14ac:dyDescent="0.2">
      <c r="A539" s="402">
        <v>43453</v>
      </c>
      <c r="C539" s="399">
        <v>54.075305999999998</v>
      </c>
      <c r="D539" s="400">
        <f t="shared" si="16"/>
        <v>-1.5443332570818313E-2</v>
      </c>
      <c r="F539" s="399">
        <v>11.36</v>
      </c>
      <c r="G539" s="400">
        <f t="shared" si="17"/>
        <v>-3.5087719298246833E-3</v>
      </c>
    </row>
    <row r="540" spans="1:7" x14ac:dyDescent="0.2">
      <c r="A540" s="402">
        <v>43454</v>
      </c>
      <c r="C540" s="399">
        <v>53.169918000000003</v>
      </c>
      <c r="D540" s="400">
        <f t="shared" si="16"/>
        <v>-1.6743095267921282E-2</v>
      </c>
      <c r="F540" s="399">
        <v>10.97</v>
      </c>
      <c r="G540" s="400">
        <f t="shared" si="17"/>
        <v>-3.4330985915492884E-2</v>
      </c>
    </row>
    <row r="541" spans="1:7" x14ac:dyDescent="0.2">
      <c r="A541" s="402">
        <v>43455</v>
      </c>
      <c r="C541" s="399">
        <v>52.045338000000001</v>
      </c>
      <c r="D541" s="400">
        <f t="shared" si="16"/>
        <v>-2.1150681481209022E-2</v>
      </c>
      <c r="F541" s="399">
        <v>10.74</v>
      </c>
      <c r="G541" s="400">
        <f t="shared" si="17"/>
        <v>-2.096627164995446E-2</v>
      </c>
    </row>
    <row r="542" spans="1:7" x14ac:dyDescent="0.2">
      <c r="A542" s="402">
        <v>43458</v>
      </c>
      <c r="C542" s="399">
        <v>50.749203000000001</v>
      </c>
      <c r="D542" s="400">
        <f t="shared" si="16"/>
        <v>-2.4903959697600619E-2</v>
      </c>
      <c r="F542" s="399">
        <v>10.23</v>
      </c>
      <c r="G542" s="400">
        <f t="shared" si="17"/>
        <v>-4.748603351955305E-2</v>
      </c>
    </row>
    <row r="543" spans="1:7" x14ac:dyDescent="0.2">
      <c r="A543" s="402">
        <v>43460</v>
      </c>
      <c r="C543" s="399">
        <v>53.179451</v>
      </c>
      <c r="D543" s="400">
        <f t="shared" si="16"/>
        <v>4.788741214320158E-2</v>
      </c>
      <c r="F543" s="399">
        <v>10.8</v>
      </c>
      <c r="G543" s="400">
        <f t="shared" si="17"/>
        <v>5.5718475073313734E-2</v>
      </c>
    </row>
    <row r="544" spans="1:7" x14ac:dyDescent="0.2">
      <c r="A544" s="402">
        <v>43461</v>
      </c>
      <c r="C544" s="399">
        <v>53.684562999999997</v>
      </c>
      <c r="D544" s="400">
        <f t="shared" si="16"/>
        <v>9.4982552565274769E-3</v>
      </c>
      <c r="F544" s="399">
        <v>10.92</v>
      </c>
      <c r="G544" s="400">
        <f t="shared" si="17"/>
        <v>1.1111111111111072E-2</v>
      </c>
    </row>
    <row r="545" spans="1:7" x14ac:dyDescent="0.2">
      <c r="A545" s="402">
        <v>43462</v>
      </c>
      <c r="C545" s="399">
        <v>53.637816999999998</v>
      </c>
      <c r="D545" s="400">
        <f t="shared" si="16"/>
        <v>-8.7075310643769388E-4</v>
      </c>
      <c r="F545" s="399">
        <v>10.94</v>
      </c>
      <c r="G545" s="400">
        <f t="shared" si="17"/>
        <v>1.831501831501825E-3</v>
      </c>
    </row>
    <row r="546" spans="1:7" x14ac:dyDescent="0.2">
      <c r="A546" s="402">
        <v>43465</v>
      </c>
      <c r="C546" s="399">
        <v>54.153008</v>
      </c>
      <c r="D546" s="400">
        <f t="shared" si="16"/>
        <v>9.6049956693800009E-3</v>
      </c>
      <c r="F546" s="399">
        <v>10.91</v>
      </c>
      <c r="G546" s="400">
        <f t="shared" si="17"/>
        <v>-2.7422303473491061E-3</v>
      </c>
    </row>
    <row r="547" spans="1:7" x14ac:dyDescent="0.2">
      <c r="A547" s="402">
        <v>43467</v>
      </c>
      <c r="C547" s="399">
        <v>54.124386000000001</v>
      </c>
      <c r="D547" s="400">
        <f t="shared" si="16"/>
        <v>-5.285394303489177E-4</v>
      </c>
      <c r="F547" s="399">
        <v>11.51</v>
      </c>
      <c r="G547" s="400">
        <f t="shared" si="17"/>
        <v>5.4995417048579354E-2</v>
      </c>
    </row>
    <row r="548" spans="1:7" x14ac:dyDescent="0.2">
      <c r="A548" s="402">
        <v>43468</v>
      </c>
      <c r="C548" s="399">
        <v>52.903174999999997</v>
      </c>
      <c r="D548" s="400">
        <f t="shared" si="16"/>
        <v>-2.2563045796029968E-2</v>
      </c>
      <c r="F548" s="399">
        <v>11.48</v>
      </c>
      <c r="G548" s="400">
        <f t="shared" si="17"/>
        <v>-2.6064291920069316E-3</v>
      </c>
    </row>
    <row r="549" spans="1:7" x14ac:dyDescent="0.2">
      <c r="A549" s="402">
        <v>43469</v>
      </c>
      <c r="C549" s="399">
        <v>54.706367</v>
      </c>
      <c r="D549" s="400">
        <f t="shared" si="16"/>
        <v>3.4084759563107525E-2</v>
      </c>
      <c r="F549" s="399">
        <v>12.1</v>
      </c>
      <c r="G549" s="400">
        <f t="shared" si="17"/>
        <v>5.4006968641114872E-2</v>
      </c>
    </row>
    <row r="550" spans="1:7" x14ac:dyDescent="0.2">
      <c r="A550" s="402">
        <v>43472</v>
      </c>
      <c r="C550" s="399">
        <v>55.221569000000002</v>
      </c>
      <c r="D550" s="400">
        <f t="shared" si="16"/>
        <v>9.4175875360176242E-3</v>
      </c>
      <c r="F550" s="399">
        <v>12.5</v>
      </c>
      <c r="G550" s="400">
        <f t="shared" si="17"/>
        <v>3.3057851239669533E-2</v>
      </c>
    </row>
    <row r="551" spans="1:7" x14ac:dyDescent="0.2">
      <c r="A551" s="402">
        <v>43473</v>
      </c>
      <c r="C551" s="399">
        <v>55.784466000000002</v>
      </c>
      <c r="D551" s="400">
        <f t="shared" si="16"/>
        <v>1.0193426412784534E-2</v>
      </c>
      <c r="F551" s="399">
        <v>12.59</v>
      </c>
      <c r="G551" s="400">
        <f t="shared" si="17"/>
        <v>7.2000000000000952E-3</v>
      </c>
    </row>
    <row r="552" spans="1:7" x14ac:dyDescent="0.2">
      <c r="A552" s="402">
        <v>43474</v>
      </c>
      <c r="C552" s="399">
        <v>56.099311999999998</v>
      </c>
      <c r="D552" s="400">
        <f t="shared" si="16"/>
        <v>5.6439726428501036E-3</v>
      </c>
      <c r="F552" s="399">
        <v>12.93</v>
      </c>
      <c r="G552" s="400">
        <f t="shared" si="17"/>
        <v>2.7005559968228843E-2</v>
      </c>
    </row>
    <row r="553" spans="1:7" x14ac:dyDescent="0.2">
      <c r="A553" s="402">
        <v>43475</v>
      </c>
      <c r="C553" s="399">
        <v>56.328285000000001</v>
      </c>
      <c r="D553" s="400">
        <f t="shared" si="16"/>
        <v>4.0815652070742559E-3</v>
      </c>
      <c r="F553" s="399">
        <v>12.4</v>
      </c>
      <c r="G553" s="400">
        <f t="shared" si="17"/>
        <v>-4.0989945862335619E-2</v>
      </c>
    </row>
    <row r="554" spans="1:7" x14ac:dyDescent="0.2">
      <c r="A554" s="402">
        <v>43476</v>
      </c>
      <c r="C554" s="399">
        <v>56.347374000000002</v>
      </c>
      <c r="D554" s="400">
        <f t="shared" si="16"/>
        <v>3.3888835777617921E-4</v>
      </c>
      <c r="F554" s="399">
        <v>12.42</v>
      </c>
      <c r="G554" s="400">
        <f t="shared" si="17"/>
        <v>1.612903225806317E-3</v>
      </c>
    </row>
    <row r="555" spans="1:7" x14ac:dyDescent="0.2">
      <c r="A555" s="402">
        <v>43479</v>
      </c>
      <c r="C555" s="399">
        <v>56.003901999999997</v>
      </c>
      <c r="D555" s="400">
        <f t="shared" si="16"/>
        <v>-6.0956168072713313E-3</v>
      </c>
      <c r="F555" s="399">
        <v>12.4</v>
      </c>
      <c r="G555" s="400">
        <f t="shared" si="17"/>
        <v>-1.6103059581320522E-3</v>
      </c>
    </row>
    <row r="556" spans="1:7" x14ac:dyDescent="0.2">
      <c r="A556" s="402">
        <v>43480</v>
      </c>
      <c r="C556" s="399">
        <v>56.604976999999998</v>
      </c>
      <c r="D556" s="400">
        <f t="shared" si="16"/>
        <v>1.0732734301263536E-2</v>
      </c>
      <c r="F556" s="399">
        <v>12.21</v>
      </c>
      <c r="G556" s="400">
        <f t="shared" si="17"/>
        <v>-1.5322580645161232E-2</v>
      </c>
    </row>
    <row r="557" spans="1:7" x14ac:dyDescent="0.2">
      <c r="A557" s="402">
        <v>43481</v>
      </c>
      <c r="C557" s="399">
        <v>56.795775999999996</v>
      </c>
      <c r="D557" s="400">
        <f t="shared" si="16"/>
        <v>3.3707106709008894E-3</v>
      </c>
      <c r="F557" s="399">
        <v>12.15</v>
      </c>
      <c r="G557" s="400">
        <f t="shared" si="17"/>
        <v>-4.9140049140049546E-3</v>
      </c>
    </row>
    <row r="558" spans="1:7" x14ac:dyDescent="0.2">
      <c r="A558" s="402">
        <v>43482</v>
      </c>
      <c r="C558" s="399">
        <v>57.215572000000002</v>
      </c>
      <c r="D558" s="400">
        <f t="shared" si="16"/>
        <v>7.3913243125687256E-3</v>
      </c>
      <c r="F558" s="399">
        <v>12.5</v>
      </c>
      <c r="G558" s="400">
        <f t="shared" si="17"/>
        <v>2.8806584362139898E-2</v>
      </c>
    </row>
    <row r="559" spans="1:7" x14ac:dyDescent="0.2">
      <c r="A559" s="402">
        <v>43483</v>
      </c>
      <c r="C559" s="399">
        <v>57.969292000000003</v>
      </c>
      <c r="D559" s="400">
        <f t="shared" si="16"/>
        <v>1.3173336797192237E-2</v>
      </c>
      <c r="F559" s="399">
        <v>12.52</v>
      </c>
      <c r="G559" s="400">
        <f t="shared" si="17"/>
        <v>1.6000000000000458E-3</v>
      </c>
    </row>
    <row r="560" spans="1:7" x14ac:dyDescent="0.2">
      <c r="A560" s="402">
        <v>43487</v>
      </c>
      <c r="C560" s="399">
        <v>57.196494999999999</v>
      </c>
      <c r="D560" s="400">
        <f t="shared" si="16"/>
        <v>-1.3331144358292413E-2</v>
      </c>
      <c r="F560" s="399">
        <v>12.37</v>
      </c>
      <c r="G560" s="400">
        <f t="shared" si="17"/>
        <v>-1.198083067092659E-2</v>
      </c>
    </row>
    <row r="561" spans="1:7" x14ac:dyDescent="0.2">
      <c r="A561" s="402">
        <v>43488</v>
      </c>
      <c r="C561" s="399">
        <v>57.234661000000003</v>
      </c>
      <c r="D561" s="400">
        <f t="shared" si="16"/>
        <v>6.6727865055371538E-4</v>
      </c>
      <c r="F561" s="399">
        <v>12.1</v>
      </c>
      <c r="G561" s="400">
        <f t="shared" si="17"/>
        <v>-2.1827000808407382E-2</v>
      </c>
    </row>
    <row r="562" spans="1:7" x14ac:dyDescent="0.2">
      <c r="A562" s="402">
        <v>43489</v>
      </c>
      <c r="C562" s="399">
        <v>57.358680999999997</v>
      </c>
      <c r="D562" s="400">
        <f t="shared" si="16"/>
        <v>2.1668687790428187E-3</v>
      </c>
      <c r="F562" s="399">
        <v>12.6</v>
      </c>
      <c r="G562" s="400">
        <f t="shared" si="17"/>
        <v>4.1322314049586861E-2</v>
      </c>
    </row>
    <row r="563" spans="1:7" x14ac:dyDescent="0.2">
      <c r="A563" s="402">
        <v>43490</v>
      </c>
      <c r="C563" s="399">
        <v>57.864337999999996</v>
      </c>
      <c r="D563" s="400">
        <f t="shared" si="16"/>
        <v>8.8157013233969295E-3</v>
      </c>
      <c r="F563" s="399">
        <v>12.69</v>
      </c>
      <c r="G563" s="400">
        <f t="shared" si="17"/>
        <v>7.1428571428571175E-3</v>
      </c>
    </row>
    <row r="564" spans="1:7" x14ac:dyDescent="0.2">
      <c r="A564" s="402">
        <v>43493</v>
      </c>
      <c r="C564" s="399">
        <v>57.492252000000001</v>
      </c>
      <c r="D564" s="400">
        <f t="shared" si="16"/>
        <v>-6.4303163720631495E-3</v>
      </c>
      <c r="F564" s="399">
        <v>12.79</v>
      </c>
      <c r="G564" s="400">
        <f t="shared" si="17"/>
        <v>7.8802206461781044E-3</v>
      </c>
    </row>
    <row r="565" spans="1:7" x14ac:dyDescent="0.2">
      <c r="A565" s="402">
        <v>43494</v>
      </c>
      <c r="C565" s="399">
        <v>57.406379999999999</v>
      </c>
      <c r="D565" s="400">
        <f t="shared" si="16"/>
        <v>-1.4936273499949193E-3</v>
      </c>
      <c r="F565" s="399">
        <v>12.79</v>
      </c>
      <c r="G565" s="400">
        <f t="shared" si="17"/>
        <v>0</v>
      </c>
    </row>
    <row r="566" spans="1:7" x14ac:dyDescent="0.2">
      <c r="A566" s="402">
        <v>43495</v>
      </c>
      <c r="C566" s="399">
        <v>58.245967999999998</v>
      </c>
      <c r="D566" s="400">
        <f t="shared" si="16"/>
        <v>1.4625343036784422E-2</v>
      </c>
      <c r="F566" s="399">
        <v>12.98</v>
      </c>
      <c r="G566" s="400">
        <f t="shared" si="17"/>
        <v>1.485535574667729E-2</v>
      </c>
    </row>
    <row r="567" spans="1:7" x14ac:dyDescent="0.2">
      <c r="A567" s="402">
        <v>43496</v>
      </c>
      <c r="C567" s="399">
        <v>58.722996000000002</v>
      </c>
      <c r="D567" s="400">
        <f t="shared" si="16"/>
        <v>8.189888783374677E-3</v>
      </c>
      <c r="F567" s="399">
        <v>13.22</v>
      </c>
      <c r="G567" s="400">
        <f t="shared" si="17"/>
        <v>1.8489984591679498E-2</v>
      </c>
    </row>
    <row r="568" spans="1:7" x14ac:dyDescent="0.2">
      <c r="A568" s="402">
        <v>43497</v>
      </c>
      <c r="C568" s="399">
        <v>58.856571000000002</v>
      </c>
      <c r="D568" s="400">
        <f t="shared" si="16"/>
        <v>2.2746625529801445E-3</v>
      </c>
      <c r="F568" s="399">
        <v>13.31</v>
      </c>
      <c r="G568" s="400">
        <f t="shared" si="17"/>
        <v>6.8078668683813071E-3</v>
      </c>
    </row>
    <row r="569" spans="1:7" x14ac:dyDescent="0.2">
      <c r="A569" s="402">
        <v>43500</v>
      </c>
      <c r="C569" s="399">
        <v>59.276367</v>
      </c>
      <c r="D569" s="400">
        <f t="shared" si="16"/>
        <v>7.1325256104368684E-3</v>
      </c>
      <c r="F569" s="399">
        <v>13.42</v>
      </c>
      <c r="G569" s="400">
        <f t="shared" si="17"/>
        <v>8.2644628099173278E-3</v>
      </c>
    </row>
    <row r="570" spans="1:7" x14ac:dyDescent="0.2">
      <c r="A570" s="402">
        <v>43501</v>
      </c>
      <c r="C570" s="399">
        <v>59.543503000000001</v>
      </c>
      <c r="D570" s="400">
        <f t="shared" si="16"/>
        <v>4.5066189700864179E-3</v>
      </c>
      <c r="F570" s="399">
        <v>13.52</v>
      </c>
      <c r="G570" s="400">
        <f t="shared" si="17"/>
        <v>7.4515648286139768E-3</v>
      </c>
    </row>
    <row r="571" spans="1:7" x14ac:dyDescent="0.2">
      <c r="A571" s="402">
        <v>43502</v>
      </c>
      <c r="C571" s="399">
        <v>59.409923999999997</v>
      </c>
      <c r="D571" s="400">
        <f t="shared" si="16"/>
        <v>-2.2433849751837265E-3</v>
      </c>
      <c r="F571" s="399">
        <v>13.3</v>
      </c>
      <c r="G571" s="400">
        <f t="shared" si="17"/>
        <v>-1.6272189349112343E-2</v>
      </c>
    </row>
    <row r="572" spans="1:7" x14ac:dyDescent="0.2">
      <c r="A572" s="402">
        <v>43503</v>
      </c>
      <c r="C572" s="399">
        <v>58.913815</v>
      </c>
      <c r="D572" s="400">
        <f t="shared" si="16"/>
        <v>-8.3506082249826807E-3</v>
      </c>
      <c r="F572" s="399">
        <v>13.02</v>
      </c>
      <c r="G572" s="400">
        <f t="shared" si="17"/>
        <v>-2.1052631578947434E-2</v>
      </c>
    </row>
    <row r="573" spans="1:7" x14ac:dyDescent="0.2">
      <c r="A573" s="402">
        <v>43504</v>
      </c>
      <c r="C573" s="399">
        <v>58.980601999999998</v>
      </c>
      <c r="D573" s="400">
        <f t="shared" si="16"/>
        <v>1.133639028468858E-3</v>
      </c>
      <c r="F573" s="399">
        <v>12.79</v>
      </c>
      <c r="G573" s="400">
        <f t="shared" si="17"/>
        <v>-1.7665130568356391E-2</v>
      </c>
    </row>
    <row r="574" spans="1:7" x14ac:dyDescent="0.2">
      <c r="A574" s="402">
        <v>43507</v>
      </c>
      <c r="C574" s="399">
        <v>59.066467000000003</v>
      </c>
      <c r="D574" s="400">
        <f t="shared" si="16"/>
        <v>1.4558176262766676E-3</v>
      </c>
      <c r="F574" s="399">
        <v>13.05</v>
      </c>
      <c r="G574" s="400">
        <f t="shared" si="17"/>
        <v>2.0328381548084584E-2</v>
      </c>
    </row>
    <row r="575" spans="1:7" x14ac:dyDescent="0.2">
      <c r="A575" s="402">
        <v>43508</v>
      </c>
      <c r="C575" s="399">
        <v>59.820186999999997</v>
      </c>
      <c r="D575" s="400">
        <f t="shared" si="16"/>
        <v>1.2760539749228528E-2</v>
      </c>
      <c r="F575" s="399">
        <v>13.59</v>
      </c>
      <c r="G575" s="400">
        <f t="shared" si="17"/>
        <v>4.1379310344827447E-2</v>
      </c>
    </row>
    <row r="576" spans="1:7" x14ac:dyDescent="0.2">
      <c r="A576" s="402">
        <v>43509</v>
      </c>
      <c r="C576" s="399">
        <v>59.991912999999997</v>
      </c>
      <c r="D576" s="400">
        <f t="shared" si="16"/>
        <v>2.8707031624626289E-3</v>
      </c>
      <c r="F576" s="399">
        <v>13.56</v>
      </c>
      <c r="G576" s="400">
        <f t="shared" si="17"/>
        <v>-2.2075055187636972E-3</v>
      </c>
    </row>
    <row r="577" spans="1:7" x14ac:dyDescent="0.2">
      <c r="A577" s="402">
        <v>43510</v>
      </c>
      <c r="C577" s="399">
        <v>59.886963000000002</v>
      </c>
      <c r="D577" s="400">
        <f t="shared" si="16"/>
        <v>-1.7494024569610911E-3</v>
      </c>
      <c r="F577" s="399">
        <v>13.52</v>
      </c>
      <c r="G577" s="400">
        <f t="shared" si="17"/>
        <v>-2.9498525073746729E-3</v>
      </c>
    </row>
    <row r="578" spans="1:7" x14ac:dyDescent="0.2">
      <c r="A578" s="402">
        <v>43511</v>
      </c>
      <c r="C578" s="399">
        <v>60.564357999999999</v>
      </c>
      <c r="D578" s="400">
        <f t="shared" si="16"/>
        <v>1.1311226451740319E-2</v>
      </c>
      <c r="F578" s="399">
        <v>13.62</v>
      </c>
      <c r="G578" s="400">
        <f t="shared" si="17"/>
        <v>7.3964497041418831E-3</v>
      </c>
    </row>
    <row r="579" spans="1:7" x14ac:dyDescent="0.2">
      <c r="A579" s="402">
        <v>43515</v>
      </c>
      <c r="C579" s="399">
        <v>60.650222999999997</v>
      </c>
      <c r="D579" s="400">
        <f t="shared" si="16"/>
        <v>1.4177480425037192E-3</v>
      </c>
      <c r="F579" s="399">
        <v>14.13</v>
      </c>
      <c r="G579" s="400">
        <f t="shared" si="17"/>
        <v>3.7444933920705026E-2</v>
      </c>
    </row>
    <row r="580" spans="1:7" x14ac:dyDescent="0.2">
      <c r="A580" s="402">
        <v>43516</v>
      </c>
      <c r="C580" s="399">
        <v>60.783797999999997</v>
      </c>
      <c r="D580" s="400">
        <f t="shared" si="16"/>
        <v>2.2023826688979398E-3</v>
      </c>
      <c r="F580" s="399">
        <v>13.79</v>
      </c>
      <c r="G580" s="400">
        <f t="shared" si="17"/>
        <v>-2.4062278839348972E-2</v>
      </c>
    </row>
    <row r="581" spans="1:7" x14ac:dyDescent="0.2">
      <c r="A581" s="402">
        <v>43517</v>
      </c>
      <c r="C581" s="399">
        <v>60.583435000000001</v>
      </c>
      <c r="D581" s="400">
        <f t="shared" si="16"/>
        <v>-3.2963224838302718E-3</v>
      </c>
      <c r="F581" s="399">
        <v>13.85</v>
      </c>
      <c r="G581" s="400">
        <f t="shared" si="17"/>
        <v>4.35097897026826E-3</v>
      </c>
    </row>
    <row r="582" spans="1:7" x14ac:dyDescent="0.2">
      <c r="A582" s="402">
        <v>43518</v>
      </c>
      <c r="C582" s="399">
        <v>60.974606000000001</v>
      </c>
      <c r="D582" s="400">
        <f t="shared" si="16"/>
        <v>6.4567319433108672E-3</v>
      </c>
      <c r="F582" s="399">
        <v>14.19</v>
      </c>
      <c r="G582" s="400">
        <f t="shared" si="17"/>
        <v>2.4548736462093768E-2</v>
      </c>
    </row>
    <row r="583" spans="1:7" x14ac:dyDescent="0.2">
      <c r="A583" s="402">
        <v>43521</v>
      </c>
      <c r="C583" s="399">
        <v>61.050941000000002</v>
      </c>
      <c r="D583" s="400">
        <f t="shared" ref="D583:D646" si="18">C583/C582-1</f>
        <v>1.2519146085174793E-3</v>
      </c>
      <c r="F583" s="399">
        <v>13.99</v>
      </c>
      <c r="G583" s="400">
        <f t="shared" ref="G583:G646" si="19">F583/F582-1</f>
        <v>-1.4094432699083836E-2</v>
      </c>
    </row>
    <row r="584" spans="1:7" x14ac:dyDescent="0.2">
      <c r="A584" s="402">
        <v>43522</v>
      </c>
      <c r="C584" s="399">
        <v>60.955528000000001</v>
      </c>
      <c r="D584" s="400">
        <f t="shared" si="18"/>
        <v>-1.5628424138458552E-3</v>
      </c>
      <c r="F584" s="399">
        <v>13.97</v>
      </c>
      <c r="G584" s="400">
        <f t="shared" si="19"/>
        <v>-1.4295925661186315E-3</v>
      </c>
    </row>
    <row r="585" spans="1:7" x14ac:dyDescent="0.2">
      <c r="A585" s="402">
        <v>43523</v>
      </c>
      <c r="C585" s="399">
        <v>60.98415</v>
      </c>
      <c r="D585" s="400">
        <f t="shared" si="18"/>
        <v>4.695554437654792E-4</v>
      </c>
      <c r="F585" s="399">
        <v>13.73</v>
      </c>
      <c r="G585" s="400">
        <f t="shared" si="19"/>
        <v>-1.7179670722977769E-2</v>
      </c>
    </row>
    <row r="586" spans="1:7" x14ac:dyDescent="0.2">
      <c r="A586" s="402">
        <v>43524</v>
      </c>
      <c r="C586" s="399">
        <v>60.793334999999999</v>
      </c>
      <c r="D586" s="400">
        <f t="shared" si="18"/>
        <v>-3.1289277623776091E-3</v>
      </c>
      <c r="F586" s="399">
        <v>13.93</v>
      </c>
      <c r="G586" s="400">
        <f t="shared" si="19"/>
        <v>1.4566642388929241E-2</v>
      </c>
    </row>
    <row r="587" spans="1:7" x14ac:dyDescent="0.2">
      <c r="A587" s="402">
        <v>43525</v>
      </c>
      <c r="C587" s="399">
        <v>61.241748999999999</v>
      </c>
      <c r="D587" s="400">
        <f t="shared" si="18"/>
        <v>7.3760388371522101E-3</v>
      </c>
      <c r="F587" s="399">
        <v>14.03</v>
      </c>
      <c r="G587" s="400">
        <f t="shared" si="19"/>
        <v>7.1787508973437664E-3</v>
      </c>
    </row>
    <row r="588" spans="1:7" x14ac:dyDescent="0.2">
      <c r="A588" s="402">
        <v>43528</v>
      </c>
      <c r="C588" s="399">
        <v>60.965069</v>
      </c>
      <c r="D588" s="400">
        <f t="shared" si="18"/>
        <v>-4.5178330880132345E-3</v>
      </c>
      <c r="F588" s="399">
        <v>14.57</v>
      </c>
      <c r="G588" s="400">
        <f t="shared" si="19"/>
        <v>3.8488952245189001E-2</v>
      </c>
    </row>
    <row r="589" spans="1:7" x14ac:dyDescent="0.2">
      <c r="A589" s="402">
        <v>43529</v>
      </c>
      <c r="C589" s="399">
        <v>60.831496999999999</v>
      </c>
      <c r="D589" s="400">
        <f t="shared" si="18"/>
        <v>-2.1909595476714561E-3</v>
      </c>
      <c r="F589" s="399">
        <v>13.81</v>
      </c>
      <c r="G589" s="400">
        <f t="shared" si="19"/>
        <v>-5.2161976664378829E-2</v>
      </c>
    </row>
    <row r="590" spans="1:7" x14ac:dyDescent="0.2">
      <c r="A590" s="402">
        <v>43530</v>
      </c>
      <c r="C590" s="399">
        <v>60.383082999999999</v>
      </c>
      <c r="D590" s="400">
        <f t="shared" si="18"/>
        <v>-7.3714115567466987E-3</v>
      </c>
      <c r="F590" s="399">
        <v>13.52</v>
      </c>
      <c r="G590" s="400">
        <f t="shared" si="19"/>
        <v>-2.0999275887038427E-2</v>
      </c>
    </row>
    <row r="591" spans="1:7" x14ac:dyDescent="0.2">
      <c r="A591" s="402">
        <v>43531</v>
      </c>
      <c r="C591" s="399">
        <v>59.886963000000002</v>
      </c>
      <c r="D591" s="400">
        <f t="shared" si="18"/>
        <v>-8.2162085032988497E-3</v>
      </c>
      <c r="F591" s="399">
        <v>13.46</v>
      </c>
      <c r="G591" s="400">
        <f t="shared" si="19"/>
        <v>-4.4378698224850632E-3</v>
      </c>
    </row>
    <row r="592" spans="1:7" x14ac:dyDescent="0.2">
      <c r="A592" s="402">
        <v>43532</v>
      </c>
      <c r="C592" s="399">
        <v>59.772488000000003</v>
      </c>
      <c r="D592" s="400">
        <f t="shared" si="18"/>
        <v>-1.9115178707592717E-3</v>
      </c>
      <c r="F592" s="399">
        <v>13.64</v>
      </c>
      <c r="G592" s="400">
        <f t="shared" si="19"/>
        <v>1.3372956909361022E-2</v>
      </c>
    </row>
    <row r="593" spans="1:7" x14ac:dyDescent="0.2">
      <c r="A593" s="402">
        <v>43535</v>
      </c>
      <c r="C593" s="399">
        <v>60.659767000000002</v>
      </c>
      <c r="D593" s="400">
        <f t="shared" si="18"/>
        <v>1.4844270829081019E-2</v>
      </c>
      <c r="F593" s="399">
        <v>13.79</v>
      </c>
      <c r="G593" s="400">
        <f t="shared" si="19"/>
        <v>1.0997067448680342E-2</v>
      </c>
    </row>
    <row r="594" spans="1:7" x14ac:dyDescent="0.2">
      <c r="A594" s="402">
        <v>43536</v>
      </c>
      <c r="C594" s="399">
        <v>60.821948999999996</v>
      </c>
      <c r="D594" s="400">
        <f t="shared" si="18"/>
        <v>2.6736337447519354E-3</v>
      </c>
      <c r="F594" s="399">
        <v>13.79</v>
      </c>
      <c r="G594" s="400">
        <f t="shared" si="19"/>
        <v>0</v>
      </c>
    </row>
    <row r="595" spans="1:7" x14ac:dyDescent="0.2">
      <c r="A595" s="402">
        <v>43537</v>
      </c>
      <c r="C595" s="399">
        <v>61.251286</v>
      </c>
      <c r="D595" s="400">
        <f t="shared" si="18"/>
        <v>7.0589155240652346E-3</v>
      </c>
      <c r="F595" s="399">
        <v>13.6</v>
      </c>
      <c r="G595" s="400">
        <f t="shared" si="19"/>
        <v>-1.3778100072516231E-2</v>
      </c>
    </row>
    <row r="596" spans="1:7" x14ac:dyDescent="0.2">
      <c r="A596" s="402">
        <v>43538</v>
      </c>
      <c r="C596" s="399">
        <v>61.213127</v>
      </c>
      <c r="D596" s="400">
        <f t="shared" si="18"/>
        <v>-6.2299100136442576E-4</v>
      </c>
      <c r="F596" s="399">
        <v>13.58</v>
      </c>
      <c r="G596" s="400">
        <f t="shared" si="19"/>
        <v>-1.4705882352941124E-3</v>
      </c>
    </row>
    <row r="597" spans="1:7" x14ac:dyDescent="0.2">
      <c r="A597" s="402">
        <v>43539</v>
      </c>
      <c r="C597" s="399">
        <v>61.451649000000003</v>
      </c>
      <c r="D597" s="400">
        <f t="shared" si="18"/>
        <v>3.8965825091732409E-3</v>
      </c>
      <c r="F597" s="399">
        <v>13.51</v>
      </c>
      <c r="G597" s="400">
        <f t="shared" si="19"/>
        <v>-5.1546391752577136E-3</v>
      </c>
    </row>
    <row r="598" spans="1:7" x14ac:dyDescent="0.2">
      <c r="A598" s="402">
        <v>43542</v>
      </c>
      <c r="C598" s="399">
        <v>61.737853999999999</v>
      </c>
      <c r="D598" s="400">
        <f t="shared" si="18"/>
        <v>4.6574014637099648E-3</v>
      </c>
      <c r="F598" s="399">
        <v>13.67</v>
      </c>
      <c r="G598" s="400">
        <f t="shared" si="19"/>
        <v>1.1843079200592133E-2</v>
      </c>
    </row>
    <row r="599" spans="1:7" x14ac:dyDescent="0.2">
      <c r="A599" s="402">
        <v>43543</v>
      </c>
      <c r="C599" s="399">
        <v>61.699691999999999</v>
      </c>
      <c r="D599" s="400">
        <f t="shared" si="18"/>
        <v>-6.1812968102192833E-4</v>
      </c>
      <c r="F599" s="399">
        <v>13.29</v>
      </c>
      <c r="G599" s="400">
        <f t="shared" si="19"/>
        <v>-2.7798098024871987E-2</v>
      </c>
    </row>
    <row r="600" spans="1:7" x14ac:dyDescent="0.2">
      <c r="A600" s="402">
        <v>43544</v>
      </c>
      <c r="C600" s="399">
        <v>61.459339</v>
      </c>
      <c r="D600" s="400">
        <f t="shared" si="18"/>
        <v>-3.8955299809275701E-3</v>
      </c>
      <c r="F600" s="399">
        <v>13.02</v>
      </c>
      <c r="G600" s="400">
        <f t="shared" si="19"/>
        <v>-2.0316027088036037E-2</v>
      </c>
    </row>
    <row r="601" spans="1:7" x14ac:dyDescent="0.2">
      <c r="A601" s="402">
        <v>43545</v>
      </c>
      <c r="C601" s="399">
        <v>62.167968999999999</v>
      </c>
      <c r="D601" s="400">
        <f t="shared" si="18"/>
        <v>1.15300621765555E-2</v>
      </c>
      <c r="F601" s="399">
        <v>13.19</v>
      </c>
      <c r="G601" s="400">
        <f t="shared" si="19"/>
        <v>1.3056835637480724E-2</v>
      </c>
    </row>
    <row r="602" spans="1:7" x14ac:dyDescent="0.2">
      <c r="A602" s="402">
        <v>43546</v>
      </c>
      <c r="C602" s="399">
        <v>60.894351999999998</v>
      </c>
      <c r="D602" s="400">
        <f t="shared" si="18"/>
        <v>-2.0486707551922834E-2</v>
      </c>
      <c r="F602" s="399">
        <v>12.55</v>
      </c>
      <c r="G602" s="400">
        <f t="shared" si="19"/>
        <v>-4.8521607278240952E-2</v>
      </c>
    </row>
    <row r="603" spans="1:7" x14ac:dyDescent="0.2">
      <c r="A603" s="402">
        <v>43549</v>
      </c>
      <c r="C603" s="399">
        <v>60.817740999999998</v>
      </c>
      <c r="D603" s="400">
        <f t="shared" si="18"/>
        <v>-1.2580969742481685E-3</v>
      </c>
      <c r="F603" s="399">
        <v>12.77</v>
      </c>
      <c r="G603" s="400">
        <f t="shared" si="19"/>
        <v>1.7529880478087456E-2</v>
      </c>
    </row>
    <row r="604" spans="1:7" x14ac:dyDescent="0.2">
      <c r="A604" s="402">
        <v>43550</v>
      </c>
      <c r="C604" s="399">
        <v>61.315697</v>
      </c>
      <c r="D604" s="400">
        <f t="shared" si="18"/>
        <v>8.18767668467002E-3</v>
      </c>
      <c r="F604" s="399">
        <v>12.75</v>
      </c>
      <c r="G604" s="400">
        <f t="shared" si="19"/>
        <v>-1.5661707126076729E-3</v>
      </c>
    </row>
    <row r="605" spans="1:7" x14ac:dyDescent="0.2">
      <c r="A605" s="402">
        <v>43551</v>
      </c>
      <c r="C605" s="399">
        <v>61.018841000000002</v>
      </c>
      <c r="D605" s="400">
        <f t="shared" si="18"/>
        <v>-4.8414356278131399E-3</v>
      </c>
      <c r="F605" s="399">
        <v>13.08</v>
      </c>
      <c r="G605" s="400">
        <f t="shared" si="19"/>
        <v>2.5882352941176467E-2</v>
      </c>
    </row>
    <row r="606" spans="1:7" x14ac:dyDescent="0.2">
      <c r="A606" s="402">
        <v>43552</v>
      </c>
      <c r="C606" s="399">
        <v>61.306122000000002</v>
      </c>
      <c r="D606" s="400">
        <f t="shared" si="18"/>
        <v>4.7080704138580121E-3</v>
      </c>
      <c r="F606" s="399">
        <v>13.18</v>
      </c>
      <c r="G606" s="400">
        <f t="shared" si="19"/>
        <v>7.6452599388379117E-3</v>
      </c>
    </row>
    <row r="607" spans="1:7" x14ac:dyDescent="0.2">
      <c r="A607" s="402">
        <v>43553</v>
      </c>
      <c r="C607" s="399">
        <v>61.670012999999997</v>
      </c>
      <c r="D607" s="400">
        <f t="shared" si="18"/>
        <v>5.9356388583833297E-3</v>
      </c>
      <c r="F607" s="399">
        <v>13.34</v>
      </c>
      <c r="G607" s="400">
        <f t="shared" si="19"/>
        <v>1.2139605462822445E-2</v>
      </c>
    </row>
    <row r="608" spans="1:7" x14ac:dyDescent="0.2">
      <c r="A608" s="402">
        <v>43556</v>
      </c>
      <c r="C608" s="399">
        <v>62.397799999999997</v>
      </c>
      <c r="D608" s="400">
        <f t="shared" si="18"/>
        <v>1.1801310954807187E-2</v>
      </c>
      <c r="F608" s="399">
        <v>13.72</v>
      </c>
      <c r="G608" s="400">
        <f t="shared" si="19"/>
        <v>2.8485757121439415E-2</v>
      </c>
    </row>
    <row r="609" spans="1:7" x14ac:dyDescent="0.2">
      <c r="A609" s="402">
        <v>43557</v>
      </c>
      <c r="C609" s="399">
        <v>62.397799999999997</v>
      </c>
      <c r="D609" s="400">
        <f t="shared" si="18"/>
        <v>0</v>
      </c>
      <c r="F609" s="399">
        <v>13.48</v>
      </c>
      <c r="G609" s="400">
        <f t="shared" si="19"/>
        <v>-1.7492711370262426E-2</v>
      </c>
    </row>
    <row r="610" spans="1:7" x14ac:dyDescent="0.2">
      <c r="A610" s="402">
        <v>43558</v>
      </c>
      <c r="C610" s="399">
        <v>62.551009999999998</v>
      </c>
      <c r="D610" s="400">
        <f t="shared" si="18"/>
        <v>2.4553750292477527E-3</v>
      </c>
      <c r="F610" s="399">
        <v>13.63</v>
      </c>
      <c r="G610" s="400">
        <f t="shared" si="19"/>
        <v>1.1127596439169274E-2</v>
      </c>
    </row>
    <row r="611" spans="1:7" x14ac:dyDescent="0.2">
      <c r="A611" s="402">
        <v>43559</v>
      </c>
      <c r="C611" s="399">
        <v>62.694659999999999</v>
      </c>
      <c r="D611" s="400">
        <f t="shared" si="18"/>
        <v>2.2965256676110712E-3</v>
      </c>
      <c r="F611" s="399">
        <v>14.2</v>
      </c>
      <c r="G611" s="400">
        <f t="shared" si="19"/>
        <v>4.181951577402776E-2</v>
      </c>
    </row>
    <row r="612" spans="1:7" x14ac:dyDescent="0.2">
      <c r="A612" s="402">
        <v>43560</v>
      </c>
      <c r="C612" s="399">
        <v>63.020237000000002</v>
      </c>
      <c r="D612" s="400">
        <f t="shared" si="18"/>
        <v>5.1930579095571527E-3</v>
      </c>
      <c r="F612" s="399">
        <v>14.2</v>
      </c>
      <c r="G612" s="400">
        <f t="shared" si="19"/>
        <v>0</v>
      </c>
    </row>
    <row r="613" spans="1:7" x14ac:dyDescent="0.2">
      <c r="A613" s="402">
        <v>43563</v>
      </c>
      <c r="C613" s="399">
        <v>63.058543999999998</v>
      </c>
      <c r="D613" s="400">
        <f t="shared" si="18"/>
        <v>6.0785236336058368E-4</v>
      </c>
      <c r="F613" s="399">
        <v>14.42</v>
      </c>
      <c r="G613" s="400">
        <f t="shared" si="19"/>
        <v>1.5492957746478853E-2</v>
      </c>
    </row>
    <row r="614" spans="1:7" x14ac:dyDescent="0.2">
      <c r="A614" s="402">
        <v>43564</v>
      </c>
      <c r="C614" s="399">
        <v>62.656353000000003</v>
      </c>
      <c r="D614" s="400">
        <f t="shared" si="18"/>
        <v>-6.3780571907907646E-3</v>
      </c>
      <c r="F614" s="399">
        <v>14.04</v>
      </c>
      <c r="G614" s="400">
        <f t="shared" si="19"/>
        <v>-2.6352288488210918E-2</v>
      </c>
    </row>
    <row r="615" spans="1:7" x14ac:dyDescent="0.2">
      <c r="A615" s="402">
        <v>43565</v>
      </c>
      <c r="C615" s="399">
        <v>62.991512</v>
      </c>
      <c r="D615" s="400">
        <f t="shared" si="18"/>
        <v>5.3491622788832682E-3</v>
      </c>
      <c r="F615" s="399">
        <v>14.15</v>
      </c>
      <c r="G615" s="400">
        <f t="shared" si="19"/>
        <v>7.834757834757955E-3</v>
      </c>
    </row>
    <row r="616" spans="1:7" x14ac:dyDescent="0.2">
      <c r="A616" s="402">
        <v>43566</v>
      </c>
      <c r="C616" s="399">
        <v>62.962788000000003</v>
      </c>
      <c r="D616" s="400">
        <f t="shared" si="18"/>
        <v>-4.5599794461193E-4</v>
      </c>
      <c r="F616" s="399">
        <v>14.34</v>
      </c>
      <c r="G616" s="400">
        <f t="shared" si="19"/>
        <v>1.3427561837455748E-2</v>
      </c>
    </row>
    <row r="617" spans="1:7" x14ac:dyDescent="0.2">
      <c r="A617" s="402">
        <v>43567</v>
      </c>
      <c r="C617" s="399">
        <v>63.33625</v>
      </c>
      <c r="D617" s="400">
        <f t="shared" si="18"/>
        <v>5.9314717766310032E-3</v>
      </c>
      <c r="F617" s="399">
        <v>14.4</v>
      </c>
      <c r="G617" s="400">
        <f t="shared" si="19"/>
        <v>4.1841004184099972E-3</v>
      </c>
    </row>
    <row r="618" spans="1:7" x14ac:dyDescent="0.2">
      <c r="A618" s="402">
        <v>43570</v>
      </c>
      <c r="C618" s="399">
        <v>63.33625</v>
      </c>
      <c r="D618" s="400">
        <f t="shared" si="18"/>
        <v>0</v>
      </c>
      <c r="F618" s="399">
        <v>14.27</v>
      </c>
      <c r="G618" s="400">
        <f t="shared" si="19"/>
        <v>-9.0277777777778567E-3</v>
      </c>
    </row>
    <row r="619" spans="1:7" x14ac:dyDescent="0.2">
      <c r="A619" s="402">
        <v>43571</v>
      </c>
      <c r="C619" s="399">
        <v>63.317101000000001</v>
      </c>
      <c r="D619" s="400">
        <f t="shared" si="18"/>
        <v>-3.023387080858253E-4</v>
      </c>
      <c r="F619" s="399">
        <v>14.05</v>
      </c>
      <c r="G619" s="400">
        <f t="shared" si="19"/>
        <v>-1.5416958654519863E-2</v>
      </c>
    </row>
    <row r="620" spans="1:7" x14ac:dyDescent="0.2">
      <c r="A620" s="402">
        <v>43572</v>
      </c>
      <c r="C620" s="399">
        <v>63.135154999999997</v>
      </c>
      <c r="D620" s="400">
        <f t="shared" si="18"/>
        <v>-2.8735680744449432E-3</v>
      </c>
      <c r="F620" s="399">
        <v>14</v>
      </c>
      <c r="G620" s="400">
        <f t="shared" si="19"/>
        <v>-3.558718861210064E-3</v>
      </c>
    </row>
    <row r="621" spans="1:7" x14ac:dyDescent="0.2">
      <c r="A621" s="402">
        <v>43573</v>
      </c>
      <c r="C621" s="399">
        <v>63.240498000000002</v>
      </c>
      <c r="D621" s="400">
        <f t="shared" si="18"/>
        <v>1.6685315811770796E-3</v>
      </c>
      <c r="F621" s="399">
        <v>14.09</v>
      </c>
      <c r="G621" s="400">
        <f t="shared" si="19"/>
        <v>6.4285714285714501E-3</v>
      </c>
    </row>
    <row r="622" spans="1:7" x14ac:dyDescent="0.2">
      <c r="A622" s="402">
        <v>43577</v>
      </c>
      <c r="C622" s="399">
        <v>63.250079999999997</v>
      </c>
      <c r="D622" s="400">
        <f t="shared" si="18"/>
        <v>1.5151683340630662E-4</v>
      </c>
      <c r="F622" s="399">
        <v>13.54</v>
      </c>
      <c r="G622" s="400">
        <f t="shared" si="19"/>
        <v>-3.9034776437189556E-2</v>
      </c>
    </row>
    <row r="623" spans="1:7" x14ac:dyDescent="0.2">
      <c r="A623" s="402">
        <v>43578</v>
      </c>
      <c r="C623" s="399">
        <v>63.834212999999998</v>
      </c>
      <c r="D623" s="400">
        <f t="shared" si="18"/>
        <v>9.2352926668235469E-3</v>
      </c>
      <c r="F623" s="399">
        <v>13.95</v>
      </c>
      <c r="G623" s="400">
        <f t="shared" si="19"/>
        <v>3.0280649926144765E-2</v>
      </c>
    </row>
    <row r="624" spans="1:7" x14ac:dyDescent="0.2">
      <c r="A624" s="402">
        <v>43579</v>
      </c>
      <c r="C624" s="399">
        <v>63.76717</v>
      </c>
      <c r="D624" s="400">
        <f t="shared" si="18"/>
        <v>-1.0502675109349546E-3</v>
      </c>
      <c r="F624" s="399">
        <v>14</v>
      </c>
      <c r="G624" s="400">
        <f t="shared" si="19"/>
        <v>3.5842293906811484E-3</v>
      </c>
    </row>
    <row r="625" spans="1:7" x14ac:dyDescent="0.2">
      <c r="A625" s="402">
        <v>43580</v>
      </c>
      <c r="C625" s="399">
        <v>63.671410000000002</v>
      </c>
      <c r="D625" s="400">
        <f t="shared" si="18"/>
        <v>-1.5017131856408517E-3</v>
      </c>
      <c r="F625" s="399">
        <v>13.74</v>
      </c>
      <c r="G625" s="400">
        <f t="shared" si="19"/>
        <v>-1.8571428571428572E-2</v>
      </c>
    </row>
    <row r="626" spans="1:7" x14ac:dyDescent="0.2">
      <c r="A626" s="402">
        <v>43581</v>
      </c>
      <c r="C626" s="399">
        <v>63.977843999999997</v>
      </c>
      <c r="D626" s="400">
        <f t="shared" si="18"/>
        <v>4.812740914642788E-3</v>
      </c>
      <c r="F626" s="399">
        <v>13.94</v>
      </c>
      <c r="G626" s="400">
        <f t="shared" si="19"/>
        <v>1.4556040756914079E-2</v>
      </c>
    </row>
    <row r="627" spans="1:7" x14ac:dyDescent="0.2">
      <c r="A627" s="402">
        <v>43584</v>
      </c>
      <c r="C627" s="399">
        <v>64.111915999999994</v>
      </c>
      <c r="D627" s="400">
        <f t="shared" si="18"/>
        <v>2.0956004706877973E-3</v>
      </c>
      <c r="F627" s="399">
        <v>14.16</v>
      </c>
      <c r="G627" s="400">
        <f t="shared" si="19"/>
        <v>1.5781922525107683E-2</v>
      </c>
    </row>
    <row r="628" spans="1:7" x14ac:dyDescent="0.2">
      <c r="A628" s="402">
        <v>43585</v>
      </c>
      <c r="C628" s="399">
        <v>64.064041000000003</v>
      </c>
      <c r="D628" s="400">
        <f t="shared" si="18"/>
        <v>-7.4674105824557024E-4</v>
      </c>
      <c r="F628" s="399">
        <v>13.78</v>
      </c>
      <c r="G628" s="400">
        <f t="shared" si="19"/>
        <v>-2.6836158192090398E-2</v>
      </c>
    </row>
    <row r="629" spans="1:7" x14ac:dyDescent="0.2">
      <c r="A629" s="402">
        <v>43586</v>
      </c>
      <c r="C629" s="399">
        <v>63.623539000000001</v>
      </c>
      <c r="D629" s="400">
        <f t="shared" si="18"/>
        <v>-6.8759633817042642E-3</v>
      </c>
      <c r="F629" s="399">
        <v>14.35</v>
      </c>
      <c r="G629" s="400">
        <f t="shared" si="19"/>
        <v>4.136429608127723E-2</v>
      </c>
    </row>
    <row r="630" spans="1:7" x14ac:dyDescent="0.2">
      <c r="A630" s="402">
        <v>43587</v>
      </c>
      <c r="C630" s="399">
        <v>63.546920999999998</v>
      </c>
      <c r="D630" s="400">
        <f t="shared" si="18"/>
        <v>-1.2042398333107496E-3</v>
      </c>
      <c r="F630" s="399">
        <v>14.71</v>
      </c>
      <c r="G630" s="400">
        <f t="shared" si="19"/>
        <v>2.5087108013937431E-2</v>
      </c>
    </row>
    <row r="631" spans="1:7" x14ac:dyDescent="0.2">
      <c r="A631" s="402">
        <v>43588</v>
      </c>
      <c r="C631" s="399">
        <v>64.217254999999994</v>
      </c>
      <c r="D631" s="400">
        <f t="shared" si="18"/>
        <v>1.0548646408848006E-2</v>
      </c>
      <c r="F631" s="399">
        <v>16.790001</v>
      </c>
      <c r="G631" s="400">
        <f t="shared" si="19"/>
        <v>0.1414004758667573</v>
      </c>
    </row>
    <row r="632" spans="1:7" x14ac:dyDescent="0.2">
      <c r="A632" s="402">
        <v>43591</v>
      </c>
      <c r="C632" s="399">
        <v>64.006576999999993</v>
      </c>
      <c r="D632" s="400">
        <f t="shared" si="18"/>
        <v>-3.2807070311554609E-3</v>
      </c>
      <c r="F632" s="399">
        <v>16.82</v>
      </c>
      <c r="G632" s="400">
        <f t="shared" si="19"/>
        <v>1.7867181782775798E-3</v>
      </c>
    </row>
    <row r="633" spans="1:7" x14ac:dyDescent="0.2">
      <c r="A633" s="402">
        <v>43592</v>
      </c>
      <c r="C633" s="399">
        <v>62.905334000000003</v>
      </c>
      <c r="D633" s="400">
        <f t="shared" si="18"/>
        <v>-1.7205153776618798E-2</v>
      </c>
      <c r="F633" s="399">
        <v>16.700001</v>
      </c>
      <c r="G633" s="400">
        <f t="shared" si="19"/>
        <v>-7.1343043995243383E-3</v>
      </c>
    </row>
    <row r="634" spans="1:7" x14ac:dyDescent="0.2">
      <c r="A634" s="402">
        <v>43593</v>
      </c>
      <c r="C634" s="399">
        <v>62.799995000000003</v>
      </c>
      <c r="D634" s="400">
        <f t="shared" si="18"/>
        <v>-1.6745638772063254E-3</v>
      </c>
      <c r="F634" s="399">
        <v>16.600000000000001</v>
      </c>
      <c r="G634" s="400">
        <f t="shared" si="19"/>
        <v>-5.9880834737673361E-3</v>
      </c>
    </row>
    <row r="635" spans="1:7" x14ac:dyDescent="0.2">
      <c r="A635" s="402">
        <v>43594</v>
      </c>
      <c r="C635" s="399">
        <v>62.598896000000003</v>
      </c>
      <c r="D635" s="400">
        <f t="shared" si="18"/>
        <v>-3.202213630749462E-3</v>
      </c>
      <c r="F635" s="399">
        <v>16.700001</v>
      </c>
      <c r="G635" s="400">
        <f t="shared" si="19"/>
        <v>6.0241566265060165E-3</v>
      </c>
    </row>
    <row r="636" spans="1:7" x14ac:dyDescent="0.2">
      <c r="A636" s="402">
        <v>43595</v>
      </c>
      <c r="C636" s="399">
        <v>62.876590999999998</v>
      </c>
      <c r="D636" s="400">
        <f t="shared" si="18"/>
        <v>4.4361005983235557E-3</v>
      </c>
      <c r="F636" s="399">
        <v>16.48</v>
      </c>
      <c r="G636" s="400">
        <f t="shared" si="19"/>
        <v>-1.3173711786005238E-2</v>
      </c>
    </row>
    <row r="637" spans="1:7" x14ac:dyDescent="0.2">
      <c r="A637" s="402">
        <v>43598</v>
      </c>
      <c r="C637" s="399">
        <v>61.286971999999999</v>
      </c>
      <c r="D637" s="400">
        <f t="shared" si="18"/>
        <v>-2.5281571006290693E-2</v>
      </c>
      <c r="F637" s="399">
        <v>15.81</v>
      </c>
      <c r="G637" s="400">
        <f t="shared" si="19"/>
        <v>-4.0655339805825252E-2</v>
      </c>
    </row>
    <row r="638" spans="1:7" x14ac:dyDescent="0.2">
      <c r="A638" s="402">
        <v>43599</v>
      </c>
      <c r="C638" s="399">
        <v>61.832808999999997</v>
      </c>
      <c r="D638" s="400">
        <f t="shared" si="18"/>
        <v>8.9062484601132308E-3</v>
      </c>
      <c r="F638" s="399">
        <v>16.079999999999998</v>
      </c>
      <c r="G638" s="400">
        <f t="shared" si="19"/>
        <v>1.7077798861479865E-2</v>
      </c>
    </row>
    <row r="639" spans="1:7" x14ac:dyDescent="0.2">
      <c r="A639" s="402">
        <v>43600</v>
      </c>
      <c r="C639" s="399">
        <v>62.206271999999998</v>
      </c>
      <c r="D639" s="400">
        <f t="shared" si="18"/>
        <v>6.0398841010118609E-3</v>
      </c>
      <c r="F639" s="399">
        <v>16.149999999999999</v>
      </c>
      <c r="G639" s="400">
        <f t="shared" si="19"/>
        <v>4.3532338308458485E-3</v>
      </c>
    </row>
    <row r="640" spans="1:7" x14ac:dyDescent="0.2">
      <c r="A640" s="402">
        <v>43601</v>
      </c>
      <c r="C640" s="399">
        <v>62.771267000000002</v>
      </c>
      <c r="D640" s="400">
        <f t="shared" si="18"/>
        <v>9.082605046642378E-3</v>
      </c>
      <c r="F640" s="399">
        <v>15.97</v>
      </c>
      <c r="G640" s="400">
        <f t="shared" si="19"/>
        <v>-1.1145510835913197E-2</v>
      </c>
    </row>
    <row r="641" spans="1:7" x14ac:dyDescent="0.2">
      <c r="A641" s="402">
        <v>43602</v>
      </c>
      <c r="C641" s="399">
        <v>62.330768999999997</v>
      </c>
      <c r="D641" s="400">
        <f t="shared" si="18"/>
        <v>-7.017510097414581E-3</v>
      </c>
      <c r="F641" s="399">
        <v>15.82</v>
      </c>
      <c r="G641" s="400">
        <f t="shared" si="19"/>
        <v>-9.3926111458986217E-3</v>
      </c>
    </row>
    <row r="642" spans="1:7" x14ac:dyDescent="0.2">
      <c r="A642" s="402">
        <v>43605</v>
      </c>
      <c r="C642" s="399">
        <v>61.899844999999999</v>
      </c>
      <c r="D642" s="400">
        <f t="shared" si="18"/>
        <v>-6.9135036662230087E-3</v>
      </c>
      <c r="F642" s="399">
        <v>15.4</v>
      </c>
      <c r="G642" s="400">
        <f t="shared" si="19"/>
        <v>-2.6548672566371723E-2</v>
      </c>
    </row>
    <row r="643" spans="1:7" x14ac:dyDescent="0.2">
      <c r="A643" s="402">
        <v>43606</v>
      </c>
      <c r="C643" s="399">
        <v>62.483981999999997</v>
      </c>
      <c r="D643" s="400">
        <f t="shared" si="18"/>
        <v>9.4368087674532308E-3</v>
      </c>
      <c r="F643" s="399">
        <v>15.94</v>
      </c>
      <c r="G643" s="400">
        <f t="shared" si="19"/>
        <v>3.5064935064935021E-2</v>
      </c>
    </row>
    <row r="644" spans="1:7" x14ac:dyDescent="0.2">
      <c r="A644" s="402">
        <v>43607</v>
      </c>
      <c r="C644" s="399">
        <v>62.206271999999998</v>
      </c>
      <c r="D644" s="400">
        <f t="shared" si="18"/>
        <v>-4.4444990717781296E-3</v>
      </c>
      <c r="F644" s="399">
        <v>15.58</v>
      </c>
      <c r="G644" s="400">
        <f t="shared" si="19"/>
        <v>-2.2584692597239608E-2</v>
      </c>
    </row>
    <row r="645" spans="1:7" x14ac:dyDescent="0.2">
      <c r="A645" s="402">
        <v>43608</v>
      </c>
      <c r="C645" s="399">
        <v>61.459339</v>
      </c>
      <c r="D645" s="400">
        <f t="shared" si="18"/>
        <v>-1.2007358357690956E-2</v>
      </c>
      <c r="F645" s="399">
        <v>14.98</v>
      </c>
      <c r="G645" s="400">
        <f t="shared" si="19"/>
        <v>-3.8510911424903704E-2</v>
      </c>
    </row>
    <row r="646" spans="1:7" x14ac:dyDescent="0.2">
      <c r="A646" s="402">
        <v>43609</v>
      </c>
      <c r="C646" s="399">
        <v>61.564678000000001</v>
      </c>
      <c r="D646" s="400">
        <f t="shared" si="18"/>
        <v>1.7139624622386496E-3</v>
      </c>
      <c r="F646" s="399">
        <v>15.06</v>
      </c>
      <c r="G646" s="400">
        <f t="shared" si="19"/>
        <v>5.3404539385848437E-3</v>
      </c>
    </row>
    <row r="647" spans="1:7" x14ac:dyDescent="0.2">
      <c r="A647" s="402">
        <v>43613</v>
      </c>
      <c r="C647" s="399">
        <v>61.018841000000002</v>
      </c>
      <c r="D647" s="400">
        <f t="shared" ref="D647:D710" si="20">C647/C646-1</f>
        <v>-8.8660741472569304E-3</v>
      </c>
      <c r="F647" s="399">
        <v>14.73</v>
      </c>
      <c r="G647" s="400">
        <f t="shared" ref="G647:G710" si="21">F647/F646-1</f>
        <v>-2.1912350597609542E-2</v>
      </c>
    </row>
    <row r="648" spans="1:7" x14ac:dyDescent="0.2">
      <c r="A648" s="402">
        <v>43614</v>
      </c>
      <c r="C648" s="399">
        <v>60.654944999999998</v>
      </c>
      <c r="D648" s="400">
        <f t="shared" si="20"/>
        <v>-5.9636662059838752E-3</v>
      </c>
      <c r="F648" s="399">
        <v>14.57</v>
      </c>
      <c r="G648" s="400">
        <f t="shared" si="21"/>
        <v>-1.0862186014935493E-2</v>
      </c>
    </row>
    <row r="649" spans="1:7" x14ac:dyDescent="0.2">
      <c r="A649" s="402">
        <v>43615</v>
      </c>
      <c r="C649" s="399">
        <v>60.779442000000003</v>
      </c>
      <c r="D649" s="400">
        <f t="shared" si="20"/>
        <v>2.05254493265139E-3</v>
      </c>
      <c r="F649" s="399">
        <v>14.42</v>
      </c>
      <c r="G649" s="400">
        <f t="shared" si="21"/>
        <v>-1.0295126973232649E-2</v>
      </c>
    </row>
    <row r="650" spans="1:7" x14ac:dyDescent="0.2">
      <c r="A650" s="402">
        <v>43616</v>
      </c>
      <c r="C650" s="399">
        <v>59.994205000000001</v>
      </c>
      <c r="D650" s="400">
        <f t="shared" si="20"/>
        <v>-1.2919450626085127E-2</v>
      </c>
      <c r="F650" s="399">
        <v>14.08</v>
      </c>
      <c r="G650" s="400">
        <f t="shared" si="21"/>
        <v>-2.3578363384188616E-2</v>
      </c>
    </row>
    <row r="651" spans="1:7" x14ac:dyDescent="0.2">
      <c r="A651" s="402">
        <v>43619</v>
      </c>
      <c r="C651" s="399">
        <v>59.821826999999999</v>
      </c>
      <c r="D651" s="400">
        <f t="shared" si="20"/>
        <v>-2.8732441741665671E-3</v>
      </c>
      <c r="F651" s="399">
        <v>14.13</v>
      </c>
      <c r="G651" s="400">
        <f t="shared" si="21"/>
        <v>3.5511363636364646E-3</v>
      </c>
    </row>
    <row r="652" spans="1:7" x14ac:dyDescent="0.2">
      <c r="A652" s="402">
        <v>43620</v>
      </c>
      <c r="C652" s="399">
        <v>61.143321999999998</v>
      </c>
      <c r="D652" s="400">
        <f t="shared" si="20"/>
        <v>2.2090515557139367E-2</v>
      </c>
      <c r="F652" s="399">
        <v>14.92</v>
      </c>
      <c r="G652" s="400">
        <f t="shared" si="21"/>
        <v>5.5909412597310526E-2</v>
      </c>
    </row>
    <row r="653" spans="1:7" x14ac:dyDescent="0.2">
      <c r="A653" s="402">
        <v>43621</v>
      </c>
      <c r="C653" s="399">
        <v>61.660435</v>
      </c>
      <c r="D653" s="400">
        <f t="shared" si="20"/>
        <v>8.4573913075904894E-3</v>
      </c>
      <c r="F653" s="399">
        <v>14.79</v>
      </c>
      <c r="G653" s="400">
        <f t="shared" si="21"/>
        <v>-8.7131367292225814E-3</v>
      </c>
    </row>
    <row r="654" spans="1:7" x14ac:dyDescent="0.2">
      <c r="A654" s="402">
        <v>43622</v>
      </c>
      <c r="C654" s="399">
        <v>61.99559</v>
      </c>
      <c r="D654" s="400">
        <f t="shared" si="20"/>
        <v>5.4354952247741561E-3</v>
      </c>
      <c r="F654" s="399">
        <v>14.69</v>
      </c>
      <c r="G654" s="400">
        <f t="shared" si="21"/>
        <v>-6.7613252197430418E-3</v>
      </c>
    </row>
    <row r="655" spans="1:7" x14ac:dyDescent="0.2">
      <c r="A655" s="402">
        <v>43623</v>
      </c>
      <c r="C655" s="399">
        <v>62.598896000000003</v>
      </c>
      <c r="D655" s="400">
        <f t="shared" si="20"/>
        <v>9.7314341229755019E-3</v>
      </c>
      <c r="F655" s="399">
        <v>14.6</v>
      </c>
      <c r="G655" s="400">
        <f t="shared" si="21"/>
        <v>-6.1266167460857224E-3</v>
      </c>
    </row>
    <row r="656" spans="1:7" x14ac:dyDescent="0.2">
      <c r="A656" s="402">
        <v>43626</v>
      </c>
      <c r="C656" s="399">
        <v>62.914912999999999</v>
      </c>
      <c r="D656" s="400">
        <f t="shared" si="20"/>
        <v>5.0482839186172246E-3</v>
      </c>
      <c r="F656" s="399">
        <v>14.88</v>
      </c>
      <c r="G656" s="400">
        <f t="shared" si="21"/>
        <v>1.9178082191780854E-2</v>
      </c>
    </row>
    <row r="657" spans="1:7" x14ac:dyDescent="0.2">
      <c r="A657" s="402">
        <v>43627</v>
      </c>
      <c r="C657" s="399">
        <v>62.819144999999999</v>
      </c>
      <c r="D657" s="400">
        <f t="shared" si="20"/>
        <v>-1.5221828249210034E-3</v>
      </c>
      <c r="F657" s="399">
        <v>14.75</v>
      </c>
      <c r="G657" s="400">
        <f t="shared" si="21"/>
        <v>-8.736559139784994E-3</v>
      </c>
    </row>
    <row r="658" spans="1:7" x14ac:dyDescent="0.2">
      <c r="A658" s="402">
        <v>43628</v>
      </c>
      <c r="C658" s="399">
        <v>62.723385</v>
      </c>
      <c r="D658" s="400">
        <f t="shared" si="20"/>
        <v>-1.524376048098075E-3</v>
      </c>
      <c r="F658" s="399">
        <v>14.91</v>
      </c>
      <c r="G658" s="400">
        <f t="shared" si="21"/>
        <v>1.0847457627118695E-2</v>
      </c>
    </row>
    <row r="659" spans="1:7" x14ac:dyDescent="0.2">
      <c r="A659" s="402">
        <v>43629</v>
      </c>
      <c r="C659" s="399">
        <v>63.106430000000003</v>
      </c>
      <c r="D659" s="400">
        <f t="shared" si="20"/>
        <v>6.1068929873604461E-3</v>
      </c>
      <c r="F659" s="399">
        <v>15.35</v>
      </c>
      <c r="G659" s="400">
        <f t="shared" si="21"/>
        <v>2.9510395707578851E-2</v>
      </c>
    </row>
    <row r="660" spans="1:7" x14ac:dyDescent="0.2">
      <c r="A660" s="402">
        <v>43630</v>
      </c>
      <c r="C660" s="399">
        <v>62.953209000000001</v>
      </c>
      <c r="D660" s="400">
        <f t="shared" si="20"/>
        <v>-2.4279776244671147E-3</v>
      </c>
      <c r="F660" s="399">
        <v>15.43</v>
      </c>
      <c r="G660" s="400">
        <f t="shared" si="21"/>
        <v>5.2117263843647343E-3</v>
      </c>
    </row>
    <row r="661" spans="1:7" x14ac:dyDescent="0.2">
      <c r="A661" s="402">
        <v>43633</v>
      </c>
      <c r="C661" s="399">
        <v>63.027358999999997</v>
      </c>
      <c r="D661" s="400">
        <f t="shared" si="20"/>
        <v>1.1778589396451711E-3</v>
      </c>
      <c r="F661" s="399">
        <v>15.23</v>
      </c>
      <c r="G661" s="400">
        <f t="shared" si="21"/>
        <v>-1.2961762799740706E-2</v>
      </c>
    </row>
    <row r="662" spans="1:7" x14ac:dyDescent="0.2">
      <c r="A662" s="402">
        <v>43634</v>
      </c>
      <c r="C662" s="399">
        <v>63.672446999999998</v>
      </c>
      <c r="D662" s="400">
        <f t="shared" si="20"/>
        <v>1.0235047291129673E-2</v>
      </c>
      <c r="F662" s="399">
        <v>15.31</v>
      </c>
      <c r="G662" s="400">
        <f t="shared" si="21"/>
        <v>5.2527905449770707E-3</v>
      </c>
    </row>
    <row r="663" spans="1:7" x14ac:dyDescent="0.2">
      <c r="A663" s="402">
        <v>43635</v>
      </c>
      <c r="C663" s="399">
        <v>63.797618999999997</v>
      </c>
      <c r="D663" s="400">
        <f t="shared" si="20"/>
        <v>1.9658738731997971E-3</v>
      </c>
      <c r="F663" s="399">
        <v>15.31</v>
      </c>
      <c r="G663" s="400">
        <f t="shared" si="21"/>
        <v>0</v>
      </c>
    </row>
    <row r="664" spans="1:7" x14ac:dyDescent="0.2">
      <c r="A664" s="402">
        <v>43636</v>
      </c>
      <c r="C664" s="399">
        <v>64.423454000000007</v>
      </c>
      <c r="D664" s="400">
        <f t="shared" si="20"/>
        <v>9.8096921140584659E-3</v>
      </c>
      <c r="F664" s="399">
        <v>15.71</v>
      </c>
      <c r="G664" s="400">
        <f t="shared" si="21"/>
        <v>2.6126714565643416E-2</v>
      </c>
    </row>
    <row r="665" spans="1:7" x14ac:dyDescent="0.2">
      <c r="A665" s="402">
        <v>43637</v>
      </c>
      <c r="C665" s="399">
        <v>64.221267999999995</v>
      </c>
      <c r="D665" s="400">
        <f t="shared" si="20"/>
        <v>-3.1383911828137823E-3</v>
      </c>
      <c r="F665" s="399">
        <v>15.25</v>
      </c>
      <c r="G665" s="400">
        <f t="shared" si="21"/>
        <v>-2.9280712921705976E-2</v>
      </c>
    </row>
    <row r="666" spans="1:7" x14ac:dyDescent="0.2">
      <c r="A666" s="402">
        <v>43640</v>
      </c>
      <c r="C666" s="399">
        <v>64.115348999999995</v>
      </c>
      <c r="D666" s="400">
        <f t="shared" si="20"/>
        <v>-1.6492822907202553E-3</v>
      </c>
      <c r="F666" s="399">
        <v>15.37</v>
      </c>
      <c r="G666" s="400">
        <f t="shared" si="21"/>
        <v>7.8688524590162512E-3</v>
      </c>
    </row>
    <row r="667" spans="1:7" x14ac:dyDescent="0.2">
      <c r="A667" s="402">
        <v>43641</v>
      </c>
      <c r="C667" s="399">
        <v>63.441367999999997</v>
      </c>
      <c r="D667" s="400">
        <f t="shared" si="20"/>
        <v>-1.0512007039063298E-2</v>
      </c>
      <c r="F667" s="399">
        <v>15.42</v>
      </c>
      <c r="G667" s="400">
        <f t="shared" si="21"/>
        <v>3.2530904359142632E-3</v>
      </c>
    </row>
    <row r="668" spans="1:7" x14ac:dyDescent="0.2">
      <c r="A668" s="402">
        <v>43642</v>
      </c>
      <c r="C668" s="399">
        <v>63.402855000000002</v>
      </c>
      <c r="D668" s="400">
        <f t="shared" si="20"/>
        <v>-6.0706446304870099E-4</v>
      </c>
      <c r="F668" s="399">
        <v>15.37</v>
      </c>
      <c r="G668" s="400">
        <f t="shared" si="21"/>
        <v>-3.2425421530480891E-3</v>
      </c>
    </row>
    <row r="669" spans="1:7" x14ac:dyDescent="0.2">
      <c r="A669" s="402">
        <v>43643</v>
      </c>
      <c r="C669" s="399">
        <v>63.730224999999997</v>
      </c>
      <c r="D669" s="400">
        <f t="shared" si="20"/>
        <v>5.1633321559414469E-3</v>
      </c>
      <c r="F669" s="399">
        <v>16.25</v>
      </c>
      <c r="G669" s="400">
        <f t="shared" si="21"/>
        <v>5.7254391672088456E-2</v>
      </c>
    </row>
    <row r="670" spans="1:7" x14ac:dyDescent="0.2">
      <c r="A670" s="402">
        <v>43644</v>
      </c>
      <c r="C670" s="399">
        <v>64.153862000000004</v>
      </c>
      <c r="D670" s="400">
        <f t="shared" si="20"/>
        <v>6.6473482558708774E-3</v>
      </c>
      <c r="F670" s="399">
        <v>16.860001</v>
      </c>
      <c r="G670" s="400">
        <f t="shared" si="21"/>
        <v>3.753852307692318E-2</v>
      </c>
    </row>
    <row r="671" spans="1:7" x14ac:dyDescent="0.2">
      <c r="A671" s="402">
        <v>43647</v>
      </c>
      <c r="C671" s="399">
        <v>64.635283999999999</v>
      </c>
      <c r="D671" s="400">
        <f t="shared" si="20"/>
        <v>7.5041780025650873E-3</v>
      </c>
      <c r="F671" s="399">
        <v>16.959999</v>
      </c>
      <c r="G671" s="400">
        <f t="shared" si="21"/>
        <v>5.9310791262705553E-3</v>
      </c>
    </row>
    <row r="672" spans="1:7" x14ac:dyDescent="0.2">
      <c r="A672" s="402">
        <v>43648</v>
      </c>
      <c r="C672" s="399">
        <v>64.779708999999997</v>
      </c>
      <c r="D672" s="400">
        <f t="shared" si="20"/>
        <v>2.2344606701194536E-3</v>
      </c>
      <c r="F672" s="399">
        <v>16.98</v>
      </c>
      <c r="G672" s="400">
        <f t="shared" si="21"/>
        <v>1.1793043148176086E-3</v>
      </c>
    </row>
    <row r="673" spans="1:7" x14ac:dyDescent="0.2">
      <c r="A673" s="402">
        <v>43649</v>
      </c>
      <c r="C673" s="399">
        <v>65.290008999999998</v>
      </c>
      <c r="D673" s="400">
        <f t="shared" si="20"/>
        <v>7.8774666925409687E-3</v>
      </c>
      <c r="F673" s="399">
        <v>16.959999</v>
      </c>
      <c r="G673" s="400">
        <f t="shared" si="21"/>
        <v>-1.1779151943462907E-3</v>
      </c>
    </row>
    <row r="674" spans="1:7" x14ac:dyDescent="0.2">
      <c r="A674" s="402">
        <v>43651</v>
      </c>
      <c r="C674" s="399">
        <v>65.222610000000003</v>
      </c>
      <c r="D674" s="400">
        <f t="shared" si="20"/>
        <v>-1.0323018947661078E-3</v>
      </c>
      <c r="F674" s="399">
        <v>16.969999000000001</v>
      </c>
      <c r="G674" s="400">
        <f t="shared" si="21"/>
        <v>5.8962267627493681E-4</v>
      </c>
    </row>
    <row r="675" spans="1:7" x14ac:dyDescent="0.2">
      <c r="A675" s="402">
        <v>43654</v>
      </c>
      <c r="C675" s="399">
        <v>64.866364000000004</v>
      </c>
      <c r="D675" s="400">
        <f t="shared" si="20"/>
        <v>-5.4620015972988156E-3</v>
      </c>
      <c r="F675" s="399">
        <v>17.010000000000002</v>
      </c>
      <c r="G675" s="400">
        <f t="shared" si="21"/>
        <v>2.3571598324785281E-3</v>
      </c>
    </row>
    <row r="676" spans="1:7" x14ac:dyDescent="0.2">
      <c r="A676" s="402">
        <v>43655</v>
      </c>
      <c r="C676" s="399">
        <v>65.030051999999998</v>
      </c>
      <c r="D676" s="400">
        <f t="shared" si="20"/>
        <v>2.5234650118510782E-3</v>
      </c>
      <c r="F676" s="399">
        <v>16.75</v>
      </c>
      <c r="G676" s="400">
        <f t="shared" si="21"/>
        <v>-1.5285126396237581E-2</v>
      </c>
    </row>
    <row r="677" spans="1:7" x14ac:dyDescent="0.2">
      <c r="A677" s="402">
        <v>43656</v>
      </c>
      <c r="C677" s="399">
        <v>65.290008999999998</v>
      </c>
      <c r="D677" s="400">
        <f t="shared" si="20"/>
        <v>3.9974902680379731E-3</v>
      </c>
      <c r="F677" s="399">
        <v>16.84</v>
      </c>
      <c r="G677" s="400">
        <f t="shared" si="21"/>
        <v>5.3731343283582866E-3</v>
      </c>
    </row>
    <row r="678" spans="1:7" x14ac:dyDescent="0.2">
      <c r="A678" s="402">
        <v>43657</v>
      </c>
      <c r="C678" s="399">
        <v>65.357406999999995</v>
      </c>
      <c r="D678" s="400">
        <f t="shared" si="20"/>
        <v>1.0322865784870849E-3</v>
      </c>
      <c r="F678" s="399">
        <v>16.899999999999999</v>
      </c>
      <c r="G678" s="400">
        <f t="shared" si="21"/>
        <v>3.5629453681709222E-3</v>
      </c>
    </row>
    <row r="679" spans="1:7" x14ac:dyDescent="0.2">
      <c r="A679" s="402">
        <v>43658</v>
      </c>
      <c r="C679" s="399">
        <v>65.684769000000003</v>
      </c>
      <c r="D679" s="400">
        <f t="shared" si="20"/>
        <v>5.0087972431342997E-3</v>
      </c>
      <c r="F679" s="399">
        <v>17.010000000000002</v>
      </c>
      <c r="G679" s="400">
        <f t="shared" si="21"/>
        <v>6.5088757396452035E-3</v>
      </c>
    </row>
    <row r="680" spans="1:7" x14ac:dyDescent="0.2">
      <c r="A680" s="402">
        <v>43661</v>
      </c>
      <c r="C680" s="399">
        <v>65.723288999999994</v>
      </c>
      <c r="D680" s="400">
        <f t="shared" si="20"/>
        <v>5.864373215651586E-4</v>
      </c>
      <c r="F680" s="399">
        <v>16.84</v>
      </c>
      <c r="G680" s="400">
        <f t="shared" si="21"/>
        <v>-9.9941211052323453E-3</v>
      </c>
    </row>
    <row r="681" spans="1:7" x14ac:dyDescent="0.2">
      <c r="A681" s="402">
        <v>43662</v>
      </c>
      <c r="C681" s="399">
        <v>65.521111000000005</v>
      </c>
      <c r="D681" s="400">
        <f t="shared" si="20"/>
        <v>-3.0762002796297372E-3</v>
      </c>
      <c r="F681" s="399">
        <v>16.889999</v>
      </c>
      <c r="G681" s="400">
        <f t="shared" si="21"/>
        <v>2.9690617577196043E-3</v>
      </c>
    </row>
    <row r="682" spans="1:7" x14ac:dyDescent="0.2">
      <c r="A682" s="402">
        <v>43663</v>
      </c>
      <c r="C682" s="399">
        <v>65.058929000000006</v>
      </c>
      <c r="D682" s="400">
        <f t="shared" si="20"/>
        <v>-7.0539402178330102E-3</v>
      </c>
      <c r="F682" s="399">
        <v>16.510000000000002</v>
      </c>
      <c r="G682" s="400">
        <f t="shared" si="21"/>
        <v>-2.249846195964833E-2</v>
      </c>
    </row>
    <row r="683" spans="1:7" x14ac:dyDescent="0.2">
      <c r="A683" s="402">
        <v>43664</v>
      </c>
      <c r="C683" s="399">
        <v>65.328529000000003</v>
      </c>
      <c r="D683" s="400">
        <f t="shared" si="20"/>
        <v>4.1439354158443464E-3</v>
      </c>
      <c r="F683" s="399">
        <v>16.530000999999999</v>
      </c>
      <c r="G683" s="400">
        <f t="shared" si="21"/>
        <v>1.211447607510463E-3</v>
      </c>
    </row>
    <row r="684" spans="1:7" x14ac:dyDescent="0.2">
      <c r="A684" s="402">
        <v>43665</v>
      </c>
      <c r="C684" s="399">
        <v>64.953025999999994</v>
      </c>
      <c r="D684" s="400">
        <f t="shared" si="20"/>
        <v>-5.7479175751838918E-3</v>
      </c>
      <c r="F684" s="399">
        <v>16.350000000000001</v>
      </c>
      <c r="G684" s="400">
        <f t="shared" si="21"/>
        <v>-1.0889352033311872E-2</v>
      </c>
    </row>
    <row r="685" spans="1:7" x14ac:dyDescent="0.2">
      <c r="A685" s="402">
        <v>43668</v>
      </c>
      <c r="C685" s="399">
        <v>65.116698999999997</v>
      </c>
      <c r="D685" s="400">
        <f t="shared" si="20"/>
        <v>2.519867203723658E-3</v>
      </c>
      <c r="F685" s="399">
        <v>16.200001</v>
      </c>
      <c r="G685" s="400">
        <f t="shared" si="21"/>
        <v>-9.1742507645260485E-3</v>
      </c>
    </row>
    <row r="686" spans="1:7" x14ac:dyDescent="0.2">
      <c r="A686" s="402">
        <v>43669</v>
      </c>
      <c r="C686" s="399">
        <v>65.559616000000005</v>
      </c>
      <c r="D686" s="400">
        <f t="shared" si="20"/>
        <v>6.8018957779172329E-3</v>
      </c>
      <c r="F686" s="399">
        <v>16.59</v>
      </c>
      <c r="G686" s="400">
        <f t="shared" si="21"/>
        <v>2.4074010859628903E-2</v>
      </c>
    </row>
    <row r="687" spans="1:7" x14ac:dyDescent="0.2">
      <c r="A687" s="402">
        <v>43670</v>
      </c>
      <c r="C687" s="399">
        <v>65.954375999999996</v>
      </c>
      <c r="D687" s="400">
        <f t="shared" si="20"/>
        <v>6.0213897531065097E-3</v>
      </c>
      <c r="F687" s="399">
        <v>17.23</v>
      </c>
      <c r="G687" s="400">
        <f t="shared" si="21"/>
        <v>3.8577456298975354E-2</v>
      </c>
    </row>
    <row r="688" spans="1:7" x14ac:dyDescent="0.2">
      <c r="A688" s="402">
        <v>43671</v>
      </c>
      <c r="C688" s="399">
        <v>65.598113999999995</v>
      </c>
      <c r="D688" s="400">
        <f t="shared" si="20"/>
        <v>-5.4016430994662246E-3</v>
      </c>
      <c r="F688" s="399">
        <v>17.370000999999998</v>
      </c>
      <c r="G688" s="400">
        <f t="shared" si="21"/>
        <v>8.125420777713277E-3</v>
      </c>
    </row>
    <row r="689" spans="1:7" x14ac:dyDescent="0.2">
      <c r="A689" s="402">
        <v>43672</v>
      </c>
      <c r="C689" s="399">
        <v>66.021782000000002</v>
      </c>
      <c r="D689" s="400">
        <f t="shared" si="20"/>
        <v>6.4585393415428349E-3</v>
      </c>
      <c r="F689" s="399">
        <v>17.34</v>
      </c>
      <c r="G689" s="400">
        <f t="shared" si="21"/>
        <v>-1.7271731878425456E-3</v>
      </c>
    </row>
    <row r="690" spans="1:7" x14ac:dyDescent="0.2">
      <c r="A690" s="402">
        <v>43675</v>
      </c>
      <c r="C690" s="399">
        <v>65.915840000000003</v>
      </c>
      <c r="D690" s="400">
        <f t="shared" si="20"/>
        <v>-1.6046522343186043E-3</v>
      </c>
      <c r="F690" s="399">
        <v>16.870000999999998</v>
      </c>
      <c r="G690" s="400">
        <f t="shared" si="21"/>
        <v>-2.7104901960784411E-2</v>
      </c>
    </row>
    <row r="691" spans="1:7" x14ac:dyDescent="0.2">
      <c r="A691" s="402">
        <v>43676</v>
      </c>
      <c r="C691" s="399">
        <v>65.829200999999998</v>
      </c>
      <c r="D691" s="400">
        <f t="shared" si="20"/>
        <v>-1.3143881652726286E-3</v>
      </c>
      <c r="F691" s="399">
        <v>17.350000000000001</v>
      </c>
      <c r="G691" s="400">
        <f t="shared" si="21"/>
        <v>2.8452813962488888E-2</v>
      </c>
    </row>
    <row r="692" spans="1:7" x14ac:dyDescent="0.2">
      <c r="A692" s="402">
        <v>43677</v>
      </c>
      <c r="C692" s="399">
        <v>64.972290000000001</v>
      </c>
      <c r="D692" s="400">
        <f t="shared" si="20"/>
        <v>-1.3017186704119332E-2</v>
      </c>
      <c r="F692" s="399">
        <v>17.18</v>
      </c>
      <c r="G692" s="400">
        <f t="shared" si="21"/>
        <v>-9.7982708933718188E-3</v>
      </c>
    </row>
    <row r="693" spans="1:7" x14ac:dyDescent="0.2">
      <c r="A693" s="402">
        <v>43678</v>
      </c>
      <c r="C693" s="399">
        <v>64.539000999999999</v>
      </c>
      <c r="D693" s="400">
        <f t="shared" si="20"/>
        <v>-6.6688275878840075E-3</v>
      </c>
      <c r="F693" s="399">
        <v>16.799999</v>
      </c>
      <c r="G693" s="400">
        <f t="shared" si="21"/>
        <v>-2.2118800931315463E-2</v>
      </c>
    </row>
    <row r="694" spans="1:7" x14ac:dyDescent="0.2">
      <c r="A694" s="402">
        <v>43679</v>
      </c>
      <c r="C694" s="399">
        <v>63.999820999999997</v>
      </c>
      <c r="D694" s="400">
        <f t="shared" si="20"/>
        <v>-8.3543282611393543E-3</v>
      </c>
      <c r="F694" s="399">
        <v>18.870000999999998</v>
      </c>
      <c r="G694" s="400">
        <f t="shared" si="21"/>
        <v>0.12321441209609585</v>
      </c>
    </row>
    <row r="695" spans="1:7" x14ac:dyDescent="0.2">
      <c r="A695" s="402">
        <v>43682</v>
      </c>
      <c r="C695" s="399">
        <v>62.035617999999999</v>
      </c>
      <c r="D695" s="400">
        <f t="shared" si="20"/>
        <v>-3.0690757713212946E-2</v>
      </c>
      <c r="F695" s="399">
        <v>18.899999999999999</v>
      </c>
      <c r="G695" s="400">
        <f t="shared" si="21"/>
        <v>1.5897720408175608E-3</v>
      </c>
    </row>
    <row r="696" spans="1:7" x14ac:dyDescent="0.2">
      <c r="A696" s="402">
        <v>43683</v>
      </c>
      <c r="C696" s="399">
        <v>62.911797</v>
      </c>
      <c r="D696" s="400">
        <f t="shared" si="20"/>
        <v>1.4123805456407235E-2</v>
      </c>
      <c r="F696" s="399">
        <v>18.98</v>
      </c>
      <c r="G696" s="400">
        <f t="shared" si="21"/>
        <v>4.2328042328043658E-3</v>
      </c>
    </row>
    <row r="697" spans="1:7" x14ac:dyDescent="0.2">
      <c r="A697" s="402">
        <v>43684</v>
      </c>
      <c r="C697" s="399">
        <v>62.959949000000002</v>
      </c>
      <c r="D697" s="400">
        <f t="shared" si="20"/>
        <v>7.6538904142253728E-4</v>
      </c>
      <c r="F697" s="399">
        <v>19.629999000000002</v>
      </c>
      <c r="G697" s="400">
        <f t="shared" si="21"/>
        <v>3.4246522655426714E-2</v>
      </c>
    </row>
    <row r="698" spans="1:7" x14ac:dyDescent="0.2">
      <c r="A698" s="402">
        <v>43685</v>
      </c>
      <c r="C698" s="399">
        <v>64.153862000000004</v>
      </c>
      <c r="D698" s="400">
        <f t="shared" si="20"/>
        <v>1.8963055386210792E-2</v>
      </c>
      <c r="F698" s="399">
        <v>20.120000999999998</v>
      </c>
      <c r="G698" s="400">
        <f t="shared" si="21"/>
        <v>2.4961896330203404E-2</v>
      </c>
    </row>
    <row r="699" spans="1:7" x14ac:dyDescent="0.2">
      <c r="A699" s="402">
        <v>43686</v>
      </c>
      <c r="C699" s="399">
        <v>63.730224999999997</v>
      </c>
      <c r="D699" s="400">
        <f t="shared" si="20"/>
        <v>-6.603452805382215E-3</v>
      </c>
      <c r="F699" s="399">
        <v>20.149999999999999</v>
      </c>
      <c r="G699" s="400">
        <f t="shared" si="21"/>
        <v>1.491003902037491E-3</v>
      </c>
    </row>
    <row r="700" spans="1:7" x14ac:dyDescent="0.2">
      <c r="A700" s="402">
        <v>43689</v>
      </c>
      <c r="C700" s="399">
        <v>62.950313999999999</v>
      </c>
      <c r="D700" s="400">
        <f t="shared" si="20"/>
        <v>-1.2237694123941933E-2</v>
      </c>
      <c r="F700" s="399">
        <v>19.66</v>
      </c>
      <c r="G700" s="400">
        <f t="shared" si="21"/>
        <v>-2.4317617866004837E-2</v>
      </c>
    </row>
    <row r="701" spans="1:7" x14ac:dyDescent="0.2">
      <c r="A701" s="402">
        <v>43690</v>
      </c>
      <c r="C701" s="399">
        <v>63.855384999999998</v>
      </c>
      <c r="D701" s="400">
        <f t="shared" si="20"/>
        <v>1.4377545440043438E-2</v>
      </c>
      <c r="F701" s="399">
        <v>19.209999</v>
      </c>
      <c r="G701" s="400">
        <f t="shared" si="21"/>
        <v>-2.2889165818921642E-2</v>
      </c>
    </row>
    <row r="702" spans="1:7" x14ac:dyDescent="0.2">
      <c r="A702" s="402">
        <v>43691</v>
      </c>
      <c r="C702" s="399">
        <v>61.977856000000003</v>
      </c>
      <c r="D702" s="400">
        <f t="shared" si="20"/>
        <v>-2.9402829534267094E-2</v>
      </c>
      <c r="F702" s="399">
        <v>18.700001</v>
      </c>
      <c r="G702" s="400">
        <f t="shared" si="21"/>
        <v>-2.6548569835948443E-2</v>
      </c>
    </row>
    <row r="703" spans="1:7" x14ac:dyDescent="0.2">
      <c r="A703" s="402">
        <v>43692</v>
      </c>
      <c r="C703" s="399">
        <v>62.054873999999998</v>
      </c>
      <c r="D703" s="400">
        <f t="shared" si="20"/>
        <v>1.2426696399436832E-3</v>
      </c>
      <c r="F703" s="399">
        <v>18.719999000000001</v>
      </c>
      <c r="G703" s="400">
        <f t="shared" si="21"/>
        <v>1.0694117075180642E-3</v>
      </c>
    </row>
    <row r="704" spans="1:7" x14ac:dyDescent="0.2">
      <c r="A704" s="402">
        <v>43693</v>
      </c>
      <c r="C704" s="399">
        <v>63.065857000000001</v>
      </c>
      <c r="D704" s="400">
        <f t="shared" si="20"/>
        <v>1.6291758162300107E-2</v>
      </c>
      <c r="F704" s="399">
        <v>18.93</v>
      </c>
      <c r="G704" s="400">
        <f t="shared" si="21"/>
        <v>1.1218002736004262E-2</v>
      </c>
    </row>
    <row r="705" spans="1:7" x14ac:dyDescent="0.2">
      <c r="A705" s="402">
        <v>43696</v>
      </c>
      <c r="C705" s="399">
        <v>63.730224999999997</v>
      </c>
      <c r="D705" s="400">
        <f t="shared" si="20"/>
        <v>1.0534511566218763E-2</v>
      </c>
      <c r="F705" s="399">
        <v>19.139999</v>
      </c>
      <c r="G705" s="400">
        <f t="shared" si="21"/>
        <v>1.1093449550977352E-2</v>
      </c>
    </row>
    <row r="706" spans="1:7" x14ac:dyDescent="0.2">
      <c r="A706" s="402">
        <v>43697</v>
      </c>
      <c r="C706" s="399">
        <v>63.268059000000001</v>
      </c>
      <c r="D706" s="400">
        <f t="shared" si="20"/>
        <v>-7.2519122598421193E-3</v>
      </c>
      <c r="F706" s="399">
        <v>19.120000999999998</v>
      </c>
      <c r="G706" s="400">
        <f t="shared" si="21"/>
        <v>-1.0448276407956092E-3</v>
      </c>
    </row>
    <row r="707" spans="1:7" x14ac:dyDescent="0.2">
      <c r="A707" s="402">
        <v>43698</v>
      </c>
      <c r="C707" s="399">
        <v>63.836136000000003</v>
      </c>
      <c r="D707" s="400">
        <f t="shared" si="20"/>
        <v>8.9788909123955651E-3</v>
      </c>
      <c r="F707" s="399">
        <v>19.610001</v>
      </c>
      <c r="G707" s="400">
        <f t="shared" si="21"/>
        <v>2.5627613722405185E-2</v>
      </c>
    </row>
    <row r="708" spans="1:7" x14ac:dyDescent="0.2">
      <c r="A708" s="402">
        <v>43699</v>
      </c>
      <c r="C708" s="399">
        <v>63.807243</v>
      </c>
      <c r="D708" s="400">
        <f t="shared" si="20"/>
        <v>-4.5261198140189585E-4</v>
      </c>
      <c r="F708" s="399">
        <v>19.610001</v>
      </c>
      <c r="G708" s="400">
        <f t="shared" si="21"/>
        <v>0</v>
      </c>
    </row>
    <row r="709" spans="1:7" x14ac:dyDescent="0.2">
      <c r="A709" s="402">
        <v>43700</v>
      </c>
      <c r="C709" s="399">
        <v>62.170425000000002</v>
      </c>
      <c r="D709" s="400">
        <f t="shared" si="20"/>
        <v>-2.5652542298371994E-2</v>
      </c>
      <c r="F709" s="399">
        <v>18.82</v>
      </c>
      <c r="G709" s="400">
        <f t="shared" si="21"/>
        <v>-4.028561752750548E-2</v>
      </c>
    </row>
    <row r="710" spans="1:7" x14ac:dyDescent="0.2">
      <c r="A710" s="402">
        <v>43703</v>
      </c>
      <c r="C710" s="399">
        <v>62.786625000000001</v>
      </c>
      <c r="D710" s="400">
        <f t="shared" si="20"/>
        <v>9.9114651379654806E-3</v>
      </c>
      <c r="F710" s="399">
        <v>19.209999</v>
      </c>
      <c r="G710" s="400">
        <f t="shared" si="21"/>
        <v>2.0722582359192332E-2</v>
      </c>
    </row>
    <row r="711" spans="1:7" x14ac:dyDescent="0.2">
      <c r="A711" s="402">
        <v>43704</v>
      </c>
      <c r="C711" s="399">
        <v>62.526668999999998</v>
      </c>
      <c r="D711" s="400">
        <f t="shared" ref="D711:D774" si="22">C711/C710-1</f>
        <v>-4.1403085450125721E-3</v>
      </c>
      <c r="F711" s="399">
        <v>18.870000999999998</v>
      </c>
      <c r="G711" s="400">
        <f t="shared" ref="G711:G774" si="23">F711/F710-1</f>
        <v>-1.7699011853150037E-2</v>
      </c>
    </row>
    <row r="712" spans="1:7" x14ac:dyDescent="0.2">
      <c r="A712" s="402">
        <v>43705</v>
      </c>
      <c r="C712" s="399">
        <v>62.959949000000002</v>
      </c>
      <c r="D712" s="400">
        <f t="shared" si="22"/>
        <v>6.9295231447561445E-3</v>
      </c>
      <c r="F712" s="399">
        <v>19.149999999999999</v>
      </c>
      <c r="G712" s="400">
        <f t="shared" si="23"/>
        <v>1.4838313999029573E-2</v>
      </c>
    </row>
    <row r="713" spans="1:7" x14ac:dyDescent="0.2">
      <c r="A713" s="402">
        <v>43706</v>
      </c>
      <c r="C713" s="399">
        <v>63.759098000000002</v>
      </c>
      <c r="D713" s="400">
        <f t="shared" si="22"/>
        <v>1.2692974068323926E-2</v>
      </c>
      <c r="F713" s="399">
        <v>19.450001</v>
      </c>
      <c r="G713" s="400">
        <f t="shared" si="23"/>
        <v>1.5665848563968687E-2</v>
      </c>
    </row>
    <row r="714" spans="1:7" x14ac:dyDescent="0.2">
      <c r="A714" s="402">
        <v>43707</v>
      </c>
      <c r="C714" s="399">
        <v>63.749473999999999</v>
      </c>
      <c r="D714" s="400">
        <f t="shared" si="22"/>
        <v>-1.5094316422104015E-4</v>
      </c>
      <c r="F714" s="399">
        <v>19.450001</v>
      </c>
      <c r="G714" s="400">
        <f t="shared" si="23"/>
        <v>0</v>
      </c>
    </row>
    <row r="715" spans="1:7" x14ac:dyDescent="0.2">
      <c r="A715" s="402">
        <v>43711</v>
      </c>
      <c r="C715" s="399">
        <v>63.306567999999999</v>
      </c>
      <c r="D715" s="400">
        <f t="shared" si="22"/>
        <v>-6.9476024225706423E-3</v>
      </c>
      <c r="F715" s="399">
        <v>18.93</v>
      </c>
      <c r="G715" s="400">
        <f t="shared" si="23"/>
        <v>-2.6735268548315316E-2</v>
      </c>
    </row>
    <row r="716" spans="1:7" x14ac:dyDescent="0.2">
      <c r="A716" s="402">
        <v>43712</v>
      </c>
      <c r="C716" s="399">
        <v>64.028694000000002</v>
      </c>
      <c r="D716" s="400">
        <f t="shared" si="22"/>
        <v>1.1406810111709076E-2</v>
      </c>
      <c r="F716" s="399">
        <v>19.059999000000001</v>
      </c>
      <c r="G716" s="400">
        <f t="shared" si="23"/>
        <v>6.8673534072900555E-3</v>
      </c>
    </row>
    <row r="717" spans="1:7" x14ac:dyDescent="0.2">
      <c r="A717" s="402">
        <v>43713</v>
      </c>
      <c r="C717" s="399">
        <v>64.904883999999996</v>
      </c>
      <c r="D717" s="400">
        <f t="shared" si="22"/>
        <v>1.368433346461817E-2</v>
      </c>
      <c r="F717" s="399">
        <v>19.209999</v>
      </c>
      <c r="G717" s="400">
        <f t="shared" si="23"/>
        <v>7.8698849879268451E-3</v>
      </c>
    </row>
    <row r="718" spans="1:7" x14ac:dyDescent="0.2">
      <c r="A718" s="402">
        <v>43714</v>
      </c>
      <c r="C718" s="399">
        <v>64.895256000000003</v>
      </c>
      <c r="D718" s="400">
        <f t="shared" si="22"/>
        <v>-1.4834014648257288E-4</v>
      </c>
      <c r="F718" s="399">
        <v>19.07</v>
      </c>
      <c r="G718" s="400">
        <f t="shared" si="23"/>
        <v>-7.2878192237282313E-3</v>
      </c>
    </row>
    <row r="719" spans="1:7" x14ac:dyDescent="0.2">
      <c r="A719" s="402">
        <v>43717</v>
      </c>
      <c r="C719" s="399">
        <v>64.943398000000002</v>
      </c>
      <c r="D719" s="400">
        <f t="shared" si="22"/>
        <v>7.4184159162582475E-4</v>
      </c>
      <c r="F719" s="399">
        <v>19.43</v>
      </c>
      <c r="G719" s="400">
        <f t="shared" si="23"/>
        <v>1.8877818563188153E-2</v>
      </c>
    </row>
    <row r="720" spans="1:7" x14ac:dyDescent="0.2">
      <c r="A720" s="402">
        <v>43718</v>
      </c>
      <c r="C720" s="399">
        <v>65.039680000000004</v>
      </c>
      <c r="D720" s="400">
        <f t="shared" si="22"/>
        <v>1.4825525452180077E-3</v>
      </c>
      <c r="F720" s="399">
        <v>19.760000000000002</v>
      </c>
      <c r="G720" s="400">
        <f t="shared" si="23"/>
        <v>1.6984045290787453E-2</v>
      </c>
    </row>
    <row r="721" spans="1:7" x14ac:dyDescent="0.2">
      <c r="A721" s="402">
        <v>43719</v>
      </c>
      <c r="C721" s="399">
        <v>65.521111000000005</v>
      </c>
      <c r="D721" s="400">
        <f t="shared" si="22"/>
        <v>7.4021120645120231E-3</v>
      </c>
      <c r="F721" s="399">
        <v>19.950001</v>
      </c>
      <c r="G721" s="400">
        <f t="shared" si="23"/>
        <v>9.615435222672053E-3</v>
      </c>
    </row>
    <row r="722" spans="1:7" x14ac:dyDescent="0.2">
      <c r="A722" s="402">
        <v>43720</v>
      </c>
      <c r="C722" s="399">
        <v>65.742553999999998</v>
      </c>
      <c r="D722" s="400">
        <f t="shared" si="22"/>
        <v>3.3797198585352461E-3</v>
      </c>
      <c r="F722" s="399">
        <v>19.989999999999998</v>
      </c>
      <c r="G722" s="400">
        <f t="shared" si="23"/>
        <v>2.0049623055156118E-3</v>
      </c>
    </row>
    <row r="723" spans="1:7" x14ac:dyDescent="0.2">
      <c r="A723" s="402">
        <v>43721</v>
      </c>
      <c r="C723" s="399">
        <v>65.646270999999999</v>
      </c>
      <c r="D723" s="400">
        <f t="shared" si="22"/>
        <v>-1.4645460838044189E-3</v>
      </c>
      <c r="F723" s="399">
        <v>20.190000999999999</v>
      </c>
      <c r="G723" s="400">
        <f t="shared" si="23"/>
        <v>1.0005052526263158E-2</v>
      </c>
    </row>
    <row r="724" spans="1:7" x14ac:dyDescent="0.2">
      <c r="A724" s="402">
        <v>43724</v>
      </c>
      <c r="C724" s="399">
        <v>65.578873000000002</v>
      </c>
      <c r="D724" s="400">
        <f t="shared" si="22"/>
        <v>-1.0266843641429935E-3</v>
      </c>
      <c r="F724" s="399">
        <v>20.23</v>
      </c>
      <c r="G724" s="400">
        <f t="shared" si="23"/>
        <v>1.9811291737925618E-3</v>
      </c>
    </row>
    <row r="725" spans="1:7" x14ac:dyDescent="0.2">
      <c r="A725" s="402">
        <v>43725</v>
      </c>
      <c r="C725" s="399">
        <v>65.684769000000003</v>
      </c>
      <c r="D725" s="400">
        <f t="shared" si="22"/>
        <v>1.614788348070606E-3</v>
      </c>
      <c r="F725" s="399">
        <v>20.34</v>
      </c>
      <c r="G725" s="400">
        <f t="shared" si="23"/>
        <v>5.4374691052891944E-3</v>
      </c>
    </row>
    <row r="726" spans="1:7" x14ac:dyDescent="0.2">
      <c r="A726" s="402">
        <v>43726</v>
      </c>
      <c r="C726" s="399">
        <v>65.713684000000001</v>
      </c>
      <c r="D726" s="400">
        <f t="shared" si="22"/>
        <v>4.4020859691218384E-4</v>
      </c>
      <c r="F726" s="399">
        <v>20.49</v>
      </c>
      <c r="G726" s="400">
        <f t="shared" si="23"/>
        <v>7.3746312684364046E-3</v>
      </c>
    </row>
    <row r="727" spans="1:7" x14ac:dyDescent="0.2">
      <c r="A727" s="402">
        <v>43727</v>
      </c>
      <c r="C727" s="399">
        <v>65.684769000000003</v>
      </c>
      <c r="D727" s="400">
        <f t="shared" si="22"/>
        <v>-4.400148985711505E-4</v>
      </c>
      <c r="F727" s="399">
        <v>20.559999000000001</v>
      </c>
      <c r="G727" s="400">
        <f t="shared" si="23"/>
        <v>3.4162518301612543E-3</v>
      </c>
    </row>
    <row r="728" spans="1:7" x14ac:dyDescent="0.2">
      <c r="A728" s="402">
        <v>43728</v>
      </c>
      <c r="C728" s="399">
        <v>65.338149999999999</v>
      </c>
      <c r="D728" s="400">
        <f t="shared" si="22"/>
        <v>-5.2770072160869264E-3</v>
      </c>
      <c r="F728" s="399">
        <v>20.260000000000002</v>
      </c>
      <c r="G728" s="400">
        <f t="shared" si="23"/>
        <v>-1.459139176028168E-2</v>
      </c>
    </row>
    <row r="729" spans="1:7" x14ac:dyDescent="0.2">
      <c r="A729" s="402">
        <v>43731</v>
      </c>
      <c r="C729" s="399">
        <v>65.367035000000001</v>
      </c>
      <c r="D729" s="400">
        <f t="shared" si="22"/>
        <v>4.4208475446594342E-4</v>
      </c>
      <c r="F729" s="399">
        <v>20.41</v>
      </c>
      <c r="G729" s="400">
        <f t="shared" si="23"/>
        <v>7.4037512339584222E-3</v>
      </c>
    </row>
    <row r="730" spans="1:7" x14ac:dyDescent="0.2">
      <c r="A730" s="402">
        <v>43732</v>
      </c>
      <c r="C730" s="399">
        <v>64.740143000000003</v>
      </c>
      <c r="D730" s="400">
        <f t="shared" si="22"/>
        <v>-9.5903386163989079E-3</v>
      </c>
      <c r="F730" s="399">
        <v>20.239999999999998</v>
      </c>
      <c r="G730" s="400">
        <f t="shared" si="23"/>
        <v>-8.3292503674670115E-3</v>
      </c>
    </row>
    <row r="731" spans="1:7" x14ac:dyDescent="0.2">
      <c r="A731" s="402">
        <v>43733</v>
      </c>
      <c r="C731" s="399">
        <v>65.214195000000004</v>
      </c>
      <c r="D731" s="400">
        <f t="shared" si="22"/>
        <v>7.3223811074991652E-3</v>
      </c>
      <c r="F731" s="399">
        <v>20.68</v>
      </c>
      <c r="G731" s="400">
        <f t="shared" si="23"/>
        <v>2.1739130434782705E-2</v>
      </c>
    </row>
    <row r="732" spans="1:7" x14ac:dyDescent="0.2">
      <c r="A732" s="402">
        <v>43734</v>
      </c>
      <c r="C732" s="399">
        <v>65.040053999999998</v>
      </c>
      <c r="D732" s="400">
        <f t="shared" si="22"/>
        <v>-2.6702928710536922E-3</v>
      </c>
      <c r="F732" s="399">
        <v>20.549999</v>
      </c>
      <c r="G732" s="400">
        <f t="shared" si="23"/>
        <v>-6.2863152804641942E-3</v>
      </c>
    </row>
    <row r="733" spans="1:7" x14ac:dyDescent="0.2">
      <c r="A733" s="402">
        <v>43735</v>
      </c>
      <c r="C733" s="399">
        <v>64.575683999999995</v>
      </c>
      <c r="D733" s="400">
        <f t="shared" si="22"/>
        <v>-7.1397542197613184E-3</v>
      </c>
      <c r="F733" s="399">
        <v>20.389999</v>
      </c>
      <c r="G733" s="400">
        <f t="shared" si="23"/>
        <v>-7.7858884567342246E-3</v>
      </c>
    </row>
    <row r="734" spans="1:7" x14ac:dyDescent="0.2">
      <c r="A734" s="402">
        <v>43738</v>
      </c>
      <c r="C734" s="399">
        <v>64.885268999999994</v>
      </c>
      <c r="D734" s="400">
        <f t="shared" si="22"/>
        <v>4.7941420179149485E-3</v>
      </c>
      <c r="F734" s="399">
        <v>20.58</v>
      </c>
      <c r="G734" s="400">
        <f t="shared" si="23"/>
        <v>9.3183427816743158E-3</v>
      </c>
    </row>
    <row r="735" spans="1:7" x14ac:dyDescent="0.2">
      <c r="A735" s="402">
        <v>43739</v>
      </c>
      <c r="C735" s="399">
        <v>64.062950000000001</v>
      </c>
      <c r="D735" s="400">
        <f t="shared" si="22"/>
        <v>-1.2673431314586869E-2</v>
      </c>
      <c r="F735" s="399">
        <v>20.43</v>
      </c>
      <c r="G735" s="400">
        <f t="shared" si="23"/>
        <v>-7.2886297376092424E-3</v>
      </c>
    </row>
    <row r="736" spans="1:7" x14ac:dyDescent="0.2">
      <c r="A736" s="402">
        <v>43740</v>
      </c>
      <c r="C736" s="399">
        <v>62.998787</v>
      </c>
      <c r="D736" s="400">
        <f t="shared" si="22"/>
        <v>-1.6611208194440064E-2</v>
      </c>
      <c r="F736" s="399">
        <v>20.27</v>
      </c>
      <c r="G736" s="400">
        <f t="shared" si="23"/>
        <v>-7.8316201664219154E-3</v>
      </c>
    </row>
    <row r="737" spans="1:7" x14ac:dyDescent="0.2">
      <c r="A737" s="402">
        <v>43741</v>
      </c>
      <c r="C737" s="399">
        <v>63.492161000000003</v>
      </c>
      <c r="D737" s="400">
        <f t="shared" si="22"/>
        <v>7.83148412048007E-3</v>
      </c>
      <c r="F737" s="399">
        <v>20.110001</v>
      </c>
      <c r="G737" s="400">
        <f t="shared" si="23"/>
        <v>-7.8933892451898968E-3</v>
      </c>
    </row>
    <row r="738" spans="1:7" x14ac:dyDescent="0.2">
      <c r="A738" s="402">
        <v>43742</v>
      </c>
      <c r="C738" s="399">
        <v>64.382202000000007</v>
      </c>
      <c r="D738" s="400">
        <f t="shared" si="22"/>
        <v>1.4018124221665706E-2</v>
      </c>
      <c r="F738" s="399">
        <v>20.5</v>
      </c>
      <c r="G738" s="400">
        <f t="shared" si="23"/>
        <v>1.9393285957568951E-2</v>
      </c>
    </row>
    <row r="739" spans="1:7" x14ac:dyDescent="0.2">
      <c r="A739" s="402">
        <v>43745</v>
      </c>
      <c r="C739" s="399">
        <v>64.130668999999997</v>
      </c>
      <c r="D739" s="400">
        <f t="shared" si="22"/>
        <v>-3.9068716537531412E-3</v>
      </c>
      <c r="F739" s="399">
        <v>20.299999</v>
      </c>
      <c r="G739" s="400">
        <f t="shared" si="23"/>
        <v>-9.7561463414633787E-3</v>
      </c>
    </row>
    <row r="740" spans="1:7" x14ac:dyDescent="0.2">
      <c r="A740" s="402">
        <v>43746</v>
      </c>
      <c r="C740" s="399">
        <v>63.105212999999999</v>
      </c>
      <c r="D740" s="400">
        <f t="shared" si="22"/>
        <v>-1.5990102956823904E-2</v>
      </c>
      <c r="F740" s="399">
        <v>20.399999999999999</v>
      </c>
      <c r="G740" s="400">
        <f t="shared" si="23"/>
        <v>4.9261578781358839E-3</v>
      </c>
    </row>
    <row r="741" spans="1:7" x14ac:dyDescent="0.2">
      <c r="A741" s="402">
        <v>43747</v>
      </c>
      <c r="C741" s="399">
        <v>63.646957</v>
      </c>
      <c r="D741" s="400">
        <f t="shared" si="22"/>
        <v>8.5847741295159707E-3</v>
      </c>
      <c r="F741" s="399">
        <v>20.799999</v>
      </c>
      <c r="G741" s="400">
        <f t="shared" si="23"/>
        <v>1.9607794117647126E-2</v>
      </c>
    </row>
    <row r="742" spans="1:7" x14ac:dyDescent="0.2">
      <c r="A742" s="402">
        <v>43748</v>
      </c>
      <c r="C742" s="399">
        <v>64.024260999999996</v>
      </c>
      <c r="D742" s="400">
        <f t="shared" si="22"/>
        <v>5.9280760272639732E-3</v>
      </c>
      <c r="F742" s="399">
        <v>20.73</v>
      </c>
      <c r="G742" s="400">
        <f t="shared" si="23"/>
        <v>-3.365336700256516E-3</v>
      </c>
    </row>
    <row r="743" spans="1:7" x14ac:dyDescent="0.2">
      <c r="A743" s="402">
        <v>43749</v>
      </c>
      <c r="C743" s="399">
        <v>64.788527999999999</v>
      </c>
      <c r="D743" s="400">
        <f t="shared" si="22"/>
        <v>1.1937146763786988E-2</v>
      </c>
      <c r="F743" s="399">
        <v>20.67</v>
      </c>
      <c r="G743" s="400">
        <f t="shared" si="23"/>
        <v>-2.8943560057886897E-3</v>
      </c>
    </row>
    <row r="744" spans="1:7" x14ac:dyDescent="0.2">
      <c r="A744" s="402">
        <v>43752</v>
      </c>
      <c r="C744" s="399">
        <v>64.672416999999996</v>
      </c>
      <c r="D744" s="400">
        <f t="shared" si="22"/>
        <v>-1.7921536973336538E-3</v>
      </c>
      <c r="F744" s="399">
        <v>20.58</v>
      </c>
      <c r="G744" s="400">
        <f t="shared" si="23"/>
        <v>-4.3541364296082463E-3</v>
      </c>
    </row>
    <row r="745" spans="1:7" x14ac:dyDescent="0.2">
      <c r="A745" s="402">
        <v>43753</v>
      </c>
      <c r="C745" s="399">
        <v>65.310928000000004</v>
      </c>
      <c r="D745" s="400">
        <f t="shared" si="22"/>
        <v>9.8730035093632651E-3</v>
      </c>
      <c r="F745" s="399">
        <v>21.540001</v>
      </c>
      <c r="G745" s="400">
        <f t="shared" si="23"/>
        <v>4.6647278911564616E-2</v>
      </c>
    </row>
    <row r="746" spans="1:7" x14ac:dyDescent="0.2">
      <c r="A746" s="402">
        <v>43754</v>
      </c>
      <c r="C746" s="399">
        <v>65.175483999999997</v>
      </c>
      <c r="D746" s="400">
        <f t="shared" si="22"/>
        <v>-2.0738336469512397E-3</v>
      </c>
      <c r="F746" s="399">
        <v>22.440000999999999</v>
      </c>
      <c r="G746" s="400">
        <f t="shared" si="23"/>
        <v>4.1782727865240066E-2</v>
      </c>
    </row>
    <row r="747" spans="1:7" x14ac:dyDescent="0.2">
      <c r="A747" s="402">
        <v>43755</v>
      </c>
      <c r="C747" s="399">
        <v>65.427017000000006</v>
      </c>
      <c r="D747" s="400">
        <f t="shared" si="22"/>
        <v>3.8593192495510742E-3</v>
      </c>
      <c r="F747" s="399">
        <v>22.73</v>
      </c>
      <c r="G747" s="400">
        <f t="shared" si="23"/>
        <v>1.2923306019460679E-2</v>
      </c>
    </row>
    <row r="748" spans="1:7" x14ac:dyDescent="0.2">
      <c r="A748" s="402">
        <v>43756</v>
      </c>
      <c r="C748" s="399">
        <v>65.175483999999997</v>
      </c>
      <c r="D748" s="400">
        <f t="shared" si="22"/>
        <v>-3.8444821655251316E-3</v>
      </c>
      <c r="F748" s="399">
        <v>22.889999</v>
      </c>
      <c r="G748" s="400">
        <f t="shared" si="23"/>
        <v>7.0391113066432531E-3</v>
      </c>
    </row>
    <row r="749" spans="1:7" x14ac:dyDescent="0.2">
      <c r="A749" s="402">
        <v>43759</v>
      </c>
      <c r="C749" s="399">
        <v>65.630179999999996</v>
      </c>
      <c r="D749" s="400">
        <f t="shared" si="22"/>
        <v>6.9764882758676094E-3</v>
      </c>
      <c r="F749" s="399">
        <v>23.33</v>
      </c>
      <c r="G749" s="400">
        <f t="shared" si="23"/>
        <v>1.9222412373194109E-2</v>
      </c>
    </row>
    <row r="750" spans="1:7" x14ac:dyDescent="0.2">
      <c r="A750" s="402">
        <v>43760</v>
      </c>
      <c r="C750" s="399">
        <v>65.397994999999995</v>
      </c>
      <c r="D750" s="400">
        <f t="shared" si="22"/>
        <v>-3.5377778942553562E-3</v>
      </c>
      <c r="F750" s="399">
        <v>23.049999</v>
      </c>
      <c r="G750" s="400">
        <f t="shared" si="23"/>
        <v>-1.2001757393913404E-2</v>
      </c>
    </row>
    <row r="751" spans="1:7" x14ac:dyDescent="0.2">
      <c r="A751" s="402">
        <v>43761</v>
      </c>
      <c r="C751" s="399">
        <v>65.572143999999994</v>
      </c>
      <c r="D751" s="400">
        <f t="shared" si="22"/>
        <v>2.6629103843320845E-3</v>
      </c>
      <c r="F751" s="399">
        <v>22.780000999999999</v>
      </c>
      <c r="G751" s="400">
        <f t="shared" si="23"/>
        <v>-1.1713579683886421E-2</v>
      </c>
    </row>
    <row r="752" spans="1:7" x14ac:dyDescent="0.2">
      <c r="A752" s="402">
        <v>43762</v>
      </c>
      <c r="C752" s="399">
        <v>65.678543000000005</v>
      </c>
      <c r="D752" s="400">
        <f t="shared" si="22"/>
        <v>1.6226249975905827E-3</v>
      </c>
      <c r="F752" s="399">
        <v>22.700001</v>
      </c>
      <c r="G752" s="400">
        <f t="shared" si="23"/>
        <v>-3.5118523480309749E-3</v>
      </c>
    </row>
    <row r="753" spans="1:7" x14ac:dyDescent="0.2">
      <c r="A753" s="402">
        <v>43763</v>
      </c>
      <c r="C753" s="399">
        <v>65.978454999999997</v>
      </c>
      <c r="D753" s="400">
        <f t="shared" si="22"/>
        <v>4.5663619547711143E-3</v>
      </c>
      <c r="F753" s="399">
        <v>22.92</v>
      </c>
      <c r="G753" s="400">
        <f t="shared" si="23"/>
        <v>9.6915854761416842E-3</v>
      </c>
    </row>
    <row r="754" spans="1:7" x14ac:dyDescent="0.2">
      <c r="A754" s="402">
        <v>43766</v>
      </c>
      <c r="C754" s="399">
        <v>66.394447</v>
      </c>
      <c r="D754" s="400">
        <f t="shared" si="22"/>
        <v>6.3049672806070323E-3</v>
      </c>
      <c r="F754" s="399">
        <v>22.84</v>
      </c>
      <c r="G754" s="400">
        <f t="shared" si="23"/>
        <v>-3.4904013961606362E-3</v>
      </c>
    </row>
    <row r="755" spans="1:7" x14ac:dyDescent="0.2">
      <c r="A755" s="402">
        <v>43767</v>
      </c>
      <c r="C755" s="399">
        <v>66.375107</v>
      </c>
      <c r="D755" s="400">
        <f t="shared" si="22"/>
        <v>-2.9128942063483265E-4</v>
      </c>
      <c r="F755" s="399">
        <v>22.870000999999998</v>
      </c>
      <c r="G755" s="400">
        <f t="shared" si="23"/>
        <v>1.3135288966723557E-3</v>
      </c>
    </row>
    <row r="756" spans="1:7" x14ac:dyDescent="0.2">
      <c r="A756" s="402">
        <v>43768</v>
      </c>
      <c r="C756" s="399">
        <v>66.520202999999995</v>
      </c>
      <c r="D756" s="400">
        <f t="shared" si="22"/>
        <v>2.1860002425306835E-3</v>
      </c>
      <c r="F756" s="399">
        <v>22.360001</v>
      </c>
      <c r="G756" s="400">
        <f t="shared" si="23"/>
        <v>-2.2299955299520891E-2</v>
      </c>
    </row>
    <row r="757" spans="1:7" x14ac:dyDescent="0.2">
      <c r="A757" s="402">
        <v>43769</v>
      </c>
      <c r="C757" s="399">
        <v>66.307388000000003</v>
      </c>
      <c r="D757" s="400">
        <f t="shared" si="22"/>
        <v>-3.1992536162283036E-3</v>
      </c>
      <c r="F757" s="399">
        <v>22.610001</v>
      </c>
      <c r="G757" s="400">
        <f t="shared" si="23"/>
        <v>1.1180679285300643E-2</v>
      </c>
    </row>
    <row r="758" spans="1:7" x14ac:dyDescent="0.2">
      <c r="A758" s="402">
        <v>43770</v>
      </c>
      <c r="C758" s="399">
        <v>66.965239999999994</v>
      </c>
      <c r="D758" s="400">
        <f t="shared" si="22"/>
        <v>9.9212473879983776E-3</v>
      </c>
      <c r="F758" s="399">
        <v>24.299999</v>
      </c>
      <c r="G758" s="400">
        <f t="shared" si="23"/>
        <v>7.4745595986484004E-2</v>
      </c>
    </row>
    <row r="759" spans="1:7" x14ac:dyDescent="0.2">
      <c r="A759" s="402">
        <v>43773</v>
      </c>
      <c r="C759" s="399">
        <v>67.245789000000002</v>
      </c>
      <c r="D759" s="400">
        <f t="shared" si="22"/>
        <v>4.1894720305639677E-3</v>
      </c>
      <c r="F759" s="399">
        <v>24.440000999999999</v>
      </c>
      <c r="G759" s="400">
        <f t="shared" si="23"/>
        <v>5.7613994140492952E-3</v>
      </c>
    </row>
    <row r="760" spans="1:7" x14ac:dyDescent="0.2">
      <c r="A760" s="402">
        <v>43774</v>
      </c>
      <c r="C760" s="399">
        <v>67.187736999999998</v>
      </c>
      <c r="D760" s="400">
        <f t="shared" si="22"/>
        <v>-8.6328082194120359E-4</v>
      </c>
      <c r="F760" s="399">
        <v>23.799999</v>
      </c>
      <c r="G760" s="400">
        <f t="shared" si="23"/>
        <v>-2.6186660139661977E-2</v>
      </c>
    </row>
    <row r="761" spans="1:7" x14ac:dyDescent="0.2">
      <c r="A761" s="402">
        <v>43775</v>
      </c>
      <c r="C761" s="399">
        <v>67.149047999999993</v>
      </c>
      <c r="D761" s="400">
        <f t="shared" si="22"/>
        <v>-5.7583424784801718E-4</v>
      </c>
      <c r="F761" s="399">
        <v>24.129999000000002</v>
      </c>
      <c r="G761" s="400">
        <f t="shared" si="23"/>
        <v>1.3865546801073547E-2</v>
      </c>
    </row>
    <row r="762" spans="1:7" x14ac:dyDescent="0.2">
      <c r="A762" s="402">
        <v>43776</v>
      </c>
      <c r="C762" s="399">
        <v>67.390900000000002</v>
      </c>
      <c r="D762" s="400">
        <f t="shared" si="22"/>
        <v>3.6017189700143781E-3</v>
      </c>
      <c r="F762" s="399">
        <v>23.559999000000001</v>
      </c>
      <c r="G762" s="400">
        <f t="shared" si="23"/>
        <v>-2.3622048223043812E-2</v>
      </c>
    </row>
    <row r="763" spans="1:7" x14ac:dyDescent="0.2">
      <c r="A763" s="402">
        <v>43777</v>
      </c>
      <c r="C763" s="399">
        <v>67.574707000000004</v>
      </c>
      <c r="D763" s="400">
        <f t="shared" si="22"/>
        <v>2.7274750745278631E-3</v>
      </c>
      <c r="F763" s="399">
        <v>24.190000999999999</v>
      </c>
      <c r="G763" s="400">
        <f t="shared" si="23"/>
        <v>2.6740323715633396E-2</v>
      </c>
    </row>
    <row r="764" spans="1:7" x14ac:dyDescent="0.2">
      <c r="A764" s="402">
        <v>43780</v>
      </c>
      <c r="C764" s="399">
        <v>67.468292000000005</v>
      </c>
      <c r="D764" s="400">
        <f t="shared" si="22"/>
        <v>-1.5747756035404681E-3</v>
      </c>
      <c r="F764" s="399">
        <v>24.360001</v>
      </c>
      <c r="G764" s="400">
        <f t="shared" si="23"/>
        <v>7.0276971050973192E-3</v>
      </c>
    </row>
    <row r="765" spans="1:7" x14ac:dyDescent="0.2">
      <c r="A765" s="402">
        <v>43781</v>
      </c>
      <c r="C765" s="399">
        <v>67.545685000000006</v>
      </c>
      <c r="D765" s="400">
        <f t="shared" si="22"/>
        <v>1.1471018119149079E-3</v>
      </c>
      <c r="F765" s="399">
        <v>24.75</v>
      </c>
      <c r="G765" s="400">
        <f t="shared" si="23"/>
        <v>1.6009810508628375E-2</v>
      </c>
    </row>
    <row r="766" spans="1:7" x14ac:dyDescent="0.2">
      <c r="A766" s="402">
        <v>43782</v>
      </c>
      <c r="C766" s="399">
        <v>67.603722000000005</v>
      </c>
      <c r="D766" s="400">
        <f t="shared" si="22"/>
        <v>8.5922587060882627E-4</v>
      </c>
      <c r="F766" s="399">
        <v>24.76</v>
      </c>
      <c r="G766" s="400">
        <f t="shared" si="23"/>
        <v>4.0404040404040664E-4</v>
      </c>
    </row>
    <row r="767" spans="1:7" x14ac:dyDescent="0.2">
      <c r="A767" s="402">
        <v>43783</v>
      </c>
      <c r="C767" s="399">
        <v>67.690796000000006</v>
      </c>
      <c r="D767" s="400">
        <f t="shared" si="22"/>
        <v>1.2880060065332266E-3</v>
      </c>
      <c r="F767" s="399">
        <v>25.24</v>
      </c>
      <c r="G767" s="400">
        <f t="shared" si="23"/>
        <v>1.9386106623586308E-2</v>
      </c>
    </row>
    <row r="768" spans="1:7" x14ac:dyDescent="0.2">
      <c r="A768" s="402">
        <v>43784</v>
      </c>
      <c r="C768" s="399">
        <v>68.164840999999996</v>
      </c>
      <c r="D768" s="400">
        <f t="shared" si="22"/>
        <v>7.0030938918193009E-3</v>
      </c>
      <c r="F768" s="399">
        <v>25.049999</v>
      </c>
      <c r="G768" s="400">
        <f t="shared" si="23"/>
        <v>-7.5277733755942933E-3</v>
      </c>
    </row>
    <row r="769" spans="1:7" x14ac:dyDescent="0.2">
      <c r="A769" s="402">
        <v>43787</v>
      </c>
      <c r="C769" s="399">
        <v>68.203536999999997</v>
      </c>
      <c r="D769" s="400">
        <f t="shared" si="22"/>
        <v>5.6768268556517398E-4</v>
      </c>
      <c r="F769" s="399">
        <v>25.34</v>
      </c>
      <c r="G769" s="400">
        <f t="shared" si="23"/>
        <v>1.1576886689696142E-2</v>
      </c>
    </row>
    <row r="770" spans="1:7" x14ac:dyDescent="0.2">
      <c r="A770" s="402">
        <v>43788</v>
      </c>
      <c r="C770" s="399">
        <v>68.232558999999995</v>
      </c>
      <c r="D770" s="400">
        <f t="shared" si="22"/>
        <v>4.2552045357990842E-4</v>
      </c>
      <c r="F770" s="399">
        <v>25.379999000000002</v>
      </c>
      <c r="G770" s="400">
        <f t="shared" si="23"/>
        <v>1.5784925019732832E-3</v>
      </c>
    </row>
    <row r="771" spans="1:7" x14ac:dyDescent="0.2">
      <c r="A771" s="402">
        <v>43789</v>
      </c>
      <c r="C771" s="399">
        <v>67.981026</v>
      </c>
      <c r="D771" s="400">
        <f t="shared" si="22"/>
        <v>-3.6864072473083986E-3</v>
      </c>
      <c r="F771" s="399">
        <v>25.360001</v>
      </c>
      <c r="G771" s="400">
        <f t="shared" si="23"/>
        <v>-7.8794329345721614E-4</v>
      </c>
    </row>
    <row r="772" spans="1:7" x14ac:dyDescent="0.2">
      <c r="A772" s="402">
        <v>43790</v>
      </c>
      <c r="C772" s="399">
        <v>67.884293</v>
      </c>
      <c r="D772" s="400">
        <f t="shared" si="22"/>
        <v>-1.4229411600819031E-3</v>
      </c>
      <c r="F772" s="399">
        <v>24.860001</v>
      </c>
      <c r="G772" s="400">
        <f t="shared" si="23"/>
        <v>-1.9716087550627481E-2</v>
      </c>
    </row>
    <row r="773" spans="1:7" x14ac:dyDescent="0.2">
      <c r="A773" s="402">
        <v>43791</v>
      </c>
      <c r="C773" s="399">
        <v>67.990700000000004</v>
      </c>
      <c r="D773" s="400">
        <f t="shared" si="22"/>
        <v>1.5674759991977094E-3</v>
      </c>
      <c r="F773" s="399">
        <v>25.02</v>
      </c>
      <c r="G773" s="400">
        <f t="shared" si="23"/>
        <v>6.4360013501205682E-3</v>
      </c>
    </row>
    <row r="774" spans="1:7" x14ac:dyDescent="0.2">
      <c r="A774" s="402">
        <v>43794</v>
      </c>
      <c r="C774" s="399">
        <v>68.590508</v>
      </c>
      <c r="D774" s="400">
        <f t="shared" si="22"/>
        <v>8.8219124086088563E-3</v>
      </c>
      <c r="F774" s="399">
        <v>25.52</v>
      </c>
      <c r="G774" s="400">
        <f t="shared" si="23"/>
        <v>1.9984012789768135E-2</v>
      </c>
    </row>
    <row r="775" spans="1:7" x14ac:dyDescent="0.2">
      <c r="A775" s="402">
        <v>43795</v>
      </c>
      <c r="C775" s="399">
        <v>68.774306999999993</v>
      </c>
      <c r="D775" s="400">
        <f t="shared" ref="D775:D838" si="24">C775/C774-1</f>
        <v>2.6796564912450194E-3</v>
      </c>
      <c r="F775" s="399">
        <v>25.719999000000001</v>
      </c>
      <c r="G775" s="400">
        <f t="shared" ref="G775:G838" si="25">F775/F774-1</f>
        <v>7.8369514106584326E-3</v>
      </c>
    </row>
    <row r="776" spans="1:7" x14ac:dyDescent="0.2">
      <c r="A776" s="402">
        <v>43796</v>
      </c>
      <c r="C776" s="399">
        <v>69.122589000000005</v>
      </c>
      <c r="D776" s="400">
        <f t="shared" si="24"/>
        <v>5.0641295447733103E-3</v>
      </c>
      <c r="F776" s="399">
        <v>25.9</v>
      </c>
      <c r="G776" s="400">
        <f t="shared" si="25"/>
        <v>6.9984839423982148E-3</v>
      </c>
    </row>
    <row r="777" spans="1:7" x14ac:dyDescent="0.2">
      <c r="A777" s="402">
        <v>43798</v>
      </c>
      <c r="C777" s="399">
        <v>68.793671000000003</v>
      </c>
      <c r="D777" s="400">
        <f t="shared" si="24"/>
        <v>-4.7584733841494753E-3</v>
      </c>
      <c r="F777" s="399">
        <v>25.41</v>
      </c>
      <c r="G777" s="400">
        <f t="shared" si="25"/>
        <v>-1.8918918918918837E-2</v>
      </c>
    </row>
    <row r="778" spans="1:7" x14ac:dyDescent="0.2">
      <c r="A778" s="402">
        <v>43801</v>
      </c>
      <c r="C778" s="399">
        <v>68.184189000000003</v>
      </c>
      <c r="D778" s="400">
        <f t="shared" si="24"/>
        <v>-8.8595650027165629E-3</v>
      </c>
      <c r="F778" s="399">
        <v>25.139999</v>
      </c>
      <c r="G778" s="400">
        <f t="shared" si="25"/>
        <v>-1.0625777253050028E-2</v>
      </c>
    </row>
    <row r="779" spans="1:7" x14ac:dyDescent="0.2">
      <c r="A779" s="402">
        <v>43802</v>
      </c>
      <c r="C779" s="399">
        <v>67.806884999999994</v>
      </c>
      <c r="D779" s="400">
        <f t="shared" si="24"/>
        <v>-5.5335995856753417E-3</v>
      </c>
      <c r="F779" s="399">
        <v>25.18</v>
      </c>
      <c r="G779" s="400">
        <f t="shared" si="25"/>
        <v>1.5911297371173916E-3</v>
      </c>
    </row>
    <row r="780" spans="1:7" x14ac:dyDescent="0.2">
      <c r="A780" s="402">
        <v>43803</v>
      </c>
      <c r="C780" s="399">
        <v>68.213211000000001</v>
      </c>
      <c r="D780" s="400">
        <f t="shared" si="24"/>
        <v>5.9924003292586292E-3</v>
      </c>
      <c r="F780" s="399">
        <v>25.219999000000001</v>
      </c>
      <c r="G780" s="400">
        <f t="shared" si="25"/>
        <v>1.5885226370135896E-3</v>
      </c>
    </row>
    <row r="781" spans="1:7" x14ac:dyDescent="0.2">
      <c r="A781" s="402">
        <v>43804</v>
      </c>
      <c r="C781" s="399">
        <v>68.309944000000002</v>
      </c>
      <c r="D781" s="400">
        <f t="shared" si="24"/>
        <v>1.4180977347628687E-3</v>
      </c>
      <c r="F781" s="399">
        <v>25.690000999999999</v>
      </c>
      <c r="G781" s="400">
        <f t="shared" si="25"/>
        <v>1.8636083213167343E-2</v>
      </c>
    </row>
    <row r="782" spans="1:7" x14ac:dyDescent="0.2">
      <c r="A782" s="402">
        <v>43805</v>
      </c>
      <c r="C782" s="399">
        <v>68.88073</v>
      </c>
      <c r="D782" s="400">
        <f t="shared" si="24"/>
        <v>8.3558259102072263E-3</v>
      </c>
      <c r="F782" s="399">
        <v>25.299999</v>
      </c>
      <c r="G782" s="400">
        <f t="shared" si="25"/>
        <v>-1.5181081542192221E-2</v>
      </c>
    </row>
    <row r="783" spans="1:7" x14ac:dyDescent="0.2">
      <c r="A783" s="402">
        <v>43808</v>
      </c>
      <c r="C783" s="399">
        <v>68.716269999999994</v>
      </c>
      <c r="D783" s="400">
        <f t="shared" si="24"/>
        <v>-2.3876053578411049E-3</v>
      </c>
      <c r="F783" s="399">
        <v>25.690000999999999</v>
      </c>
      <c r="G783" s="400">
        <f t="shared" si="25"/>
        <v>1.5415099423521594E-2</v>
      </c>
    </row>
    <row r="784" spans="1:7" x14ac:dyDescent="0.2">
      <c r="A784" s="402">
        <v>43809</v>
      </c>
      <c r="C784" s="399">
        <v>68.600189</v>
      </c>
      <c r="D784" s="400">
        <f t="shared" si="24"/>
        <v>-1.689279700425983E-3</v>
      </c>
      <c r="F784" s="399">
        <v>25.67</v>
      </c>
      <c r="G784" s="400">
        <f t="shared" si="25"/>
        <v>-7.7855193543963086E-4</v>
      </c>
    </row>
    <row r="785" spans="1:7" x14ac:dyDescent="0.2">
      <c r="A785" s="402">
        <v>43810</v>
      </c>
      <c r="C785" s="399">
        <v>68.822685000000007</v>
      </c>
      <c r="D785" s="400">
        <f t="shared" si="24"/>
        <v>3.2433729883747375E-3</v>
      </c>
      <c r="F785" s="399">
        <v>25.92</v>
      </c>
      <c r="G785" s="400">
        <f t="shared" si="25"/>
        <v>9.7389949357227223E-3</v>
      </c>
    </row>
    <row r="786" spans="1:7" x14ac:dyDescent="0.2">
      <c r="A786" s="402">
        <v>43811</v>
      </c>
      <c r="C786" s="399">
        <v>69.325767999999997</v>
      </c>
      <c r="D786" s="400">
        <f t="shared" si="24"/>
        <v>7.3098426775994874E-3</v>
      </c>
      <c r="F786" s="399">
        <v>25.299999</v>
      </c>
      <c r="G786" s="400">
        <f t="shared" si="25"/>
        <v>-2.391979166666669E-2</v>
      </c>
    </row>
    <row r="787" spans="1:7" x14ac:dyDescent="0.2">
      <c r="A787" s="402">
        <v>43812</v>
      </c>
      <c r="C787" s="399">
        <v>69.393471000000005</v>
      </c>
      <c r="D787" s="400">
        <f t="shared" si="24"/>
        <v>9.7659213814993429E-4</v>
      </c>
      <c r="F787" s="399">
        <v>25.360001</v>
      </c>
      <c r="G787" s="400">
        <f t="shared" si="25"/>
        <v>2.3716206470996148E-3</v>
      </c>
    </row>
    <row r="788" spans="1:7" x14ac:dyDescent="0.2">
      <c r="A788" s="402">
        <v>43815</v>
      </c>
      <c r="C788" s="399">
        <v>69.886054999999999</v>
      </c>
      <c r="D788" s="400">
        <f t="shared" si="24"/>
        <v>7.0984199651864532E-3</v>
      </c>
      <c r="F788" s="399">
        <v>25.33</v>
      </c>
      <c r="G788" s="400">
        <f t="shared" si="25"/>
        <v>-1.1830046852128184E-3</v>
      </c>
    </row>
    <row r="789" spans="1:7" x14ac:dyDescent="0.2">
      <c r="A789" s="402">
        <v>43816</v>
      </c>
      <c r="C789" s="399">
        <v>69.876311999999999</v>
      </c>
      <c r="D789" s="400">
        <f t="shared" si="24"/>
        <v>-1.3941264820283017E-4</v>
      </c>
      <c r="F789" s="399">
        <v>25.540001</v>
      </c>
      <c r="G789" s="400">
        <f t="shared" si="25"/>
        <v>8.2906040268457826E-3</v>
      </c>
    </row>
    <row r="790" spans="1:7" x14ac:dyDescent="0.2">
      <c r="A790" s="402">
        <v>43817</v>
      </c>
      <c r="C790" s="399">
        <v>69.915260000000004</v>
      </c>
      <c r="D790" s="400">
        <f t="shared" si="24"/>
        <v>5.5738488316325885E-4</v>
      </c>
      <c r="F790" s="399">
        <v>25.24</v>
      </c>
      <c r="G790" s="400">
        <f t="shared" si="25"/>
        <v>-1.1746319038906883E-2</v>
      </c>
    </row>
    <row r="791" spans="1:7" x14ac:dyDescent="0.2">
      <c r="A791" s="402">
        <v>43818</v>
      </c>
      <c r="C791" s="399">
        <v>70.207306000000003</v>
      </c>
      <c r="D791" s="400">
        <f t="shared" si="24"/>
        <v>4.1771424435810278E-3</v>
      </c>
      <c r="F791" s="399">
        <v>24.84</v>
      </c>
      <c r="G791" s="400">
        <f t="shared" si="25"/>
        <v>-1.5847860538827252E-2</v>
      </c>
    </row>
    <row r="792" spans="1:7" x14ac:dyDescent="0.2">
      <c r="A792" s="402">
        <v>43819</v>
      </c>
      <c r="C792" s="399">
        <v>70.528548999999998</v>
      </c>
      <c r="D792" s="400">
        <f t="shared" si="24"/>
        <v>4.5756349061449875E-3</v>
      </c>
      <c r="F792" s="399">
        <v>24.91</v>
      </c>
      <c r="G792" s="400">
        <f t="shared" si="25"/>
        <v>2.8180354267310914E-3</v>
      </c>
    </row>
    <row r="793" spans="1:7" x14ac:dyDescent="0.2">
      <c r="A793" s="402">
        <v>43822</v>
      </c>
      <c r="C793" s="399">
        <v>70.625900000000001</v>
      </c>
      <c r="D793" s="400">
        <f t="shared" si="24"/>
        <v>1.3803062927042475E-3</v>
      </c>
      <c r="F793" s="399">
        <v>24.940000999999999</v>
      </c>
      <c r="G793" s="400">
        <f t="shared" si="25"/>
        <v>1.2043757527095966E-3</v>
      </c>
    </row>
    <row r="794" spans="1:7" x14ac:dyDescent="0.2">
      <c r="A794" s="402">
        <v>43823</v>
      </c>
      <c r="C794" s="399">
        <v>70.645363000000003</v>
      </c>
      <c r="D794" s="400">
        <f t="shared" si="24"/>
        <v>2.7557878908446298E-4</v>
      </c>
      <c r="F794" s="399">
        <v>25.43</v>
      </c>
      <c r="G794" s="400">
        <f t="shared" si="25"/>
        <v>1.9647112283596169E-2</v>
      </c>
    </row>
    <row r="795" spans="1:7" x14ac:dyDescent="0.2">
      <c r="A795" s="402">
        <v>43825</v>
      </c>
      <c r="C795" s="399">
        <v>71.025024000000002</v>
      </c>
      <c r="D795" s="400">
        <f t="shared" si="24"/>
        <v>5.3741814590151371E-3</v>
      </c>
      <c r="F795" s="399">
        <v>25.389999</v>
      </c>
      <c r="G795" s="400">
        <f t="shared" si="25"/>
        <v>-1.5729846637829725E-3</v>
      </c>
    </row>
    <row r="796" spans="1:7" x14ac:dyDescent="0.2">
      <c r="A796" s="402">
        <v>43826</v>
      </c>
      <c r="C796" s="399">
        <v>70.966614000000007</v>
      </c>
      <c r="D796" s="400">
        <f t="shared" si="24"/>
        <v>-8.2238620574059951E-4</v>
      </c>
      <c r="F796" s="399">
        <v>25.450001</v>
      </c>
      <c r="G796" s="400">
        <f t="shared" si="25"/>
        <v>2.3632139568023902E-3</v>
      </c>
    </row>
    <row r="797" spans="1:7" x14ac:dyDescent="0.2">
      <c r="A797" s="402">
        <v>43829</v>
      </c>
      <c r="C797" s="399">
        <v>70.548018999999996</v>
      </c>
      <c r="D797" s="400">
        <f t="shared" si="24"/>
        <v>-5.898477839171079E-3</v>
      </c>
      <c r="F797" s="399">
        <v>25.43</v>
      </c>
      <c r="G797" s="400">
        <f t="shared" si="25"/>
        <v>-7.8589387874683503E-4</v>
      </c>
    </row>
    <row r="798" spans="1:7" x14ac:dyDescent="0.2">
      <c r="A798" s="402">
        <v>43830</v>
      </c>
      <c r="C798" s="399">
        <v>70.762184000000005</v>
      </c>
      <c r="D798" s="400">
        <f t="shared" si="24"/>
        <v>3.0357337177675525E-3</v>
      </c>
      <c r="F798" s="399">
        <v>25.41</v>
      </c>
      <c r="G798" s="400">
        <f t="shared" si="25"/>
        <v>-7.8647267007470045E-4</v>
      </c>
    </row>
    <row r="799" spans="1:7" x14ac:dyDescent="0.2">
      <c r="A799" s="402">
        <v>43832</v>
      </c>
      <c r="C799" s="399">
        <v>71.297600000000003</v>
      </c>
      <c r="D799" s="400">
        <f t="shared" si="24"/>
        <v>7.5664142870435214E-3</v>
      </c>
      <c r="F799" s="399">
        <v>25.41</v>
      </c>
      <c r="G799" s="400">
        <f t="shared" si="25"/>
        <v>0</v>
      </c>
    </row>
    <row r="800" spans="1:7" x14ac:dyDescent="0.2">
      <c r="A800" s="402">
        <v>43833</v>
      </c>
      <c r="C800" s="399">
        <v>70.859534999999994</v>
      </c>
      <c r="D800" s="400">
        <f t="shared" si="24"/>
        <v>-6.1441759610423308E-3</v>
      </c>
      <c r="F800" s="399">
        <v>25.219999000000001</v>
      </c>
      <c r="G800" s="400">
        <f t="shared" si="25"/>
        <v>-7.4774104683195119E-3</v>
      </c>
    </row>
    <row r="801" spans="1:7" x14ac:dyDescent="0.2">
      <c r="A801" s="402">
        <v>43836</v>
      </c>
      <c r="C801" s="399">
        <v>71.132110999999995</v>
      </c>
      <c r="D801" s="400">
        <f t="shared" si="24"/>
        <v>3.8467088444766873E-3</v>
      </c>
      <c r="F801" s="399">
        <v>25.74</v>
      </c>
      <c r="G801" s="400">
        <f t="shared" si="25"/>
        <v>2.0618597169650865E-2</v>
      </c>
    </row>
    <row r="802" spans="1:7" x14ac:dyDescent="0.2">
      <c r="A802" s="402">
        <v>43837</v>
      </c>
      <c r="C802" s="399">
        <v>70.908203</v>
      </c>
      <c r="D802" s="400">
        <f t="shared" si="24"/>
        <v>-3.1477766771184079E-3</v>
      </c>
      <c r="F802" s="399">
        <v>25.93</v>
      </c>
      <c r="G802" s="400">
        <f t="shared" si="25"/>
        <v>7.3815073815073351E-3</v>
      </c>
    </row>
    <row r="803" spans="1:7" x14ac:dyDescent="0.2">
      <c r="A803" s="402">
        <v>43838</v>
      </c>
      <c r="C803" s="399">
        <v>71.229461999999998</v>
      </c>
      <c r="D803" s="400">
        <f t="shared" si="24"/>
        <v>4.5306323726748143E-3</v>
      </c>
      <c r="F803" s="399">
        <v>26.190000999999999</v>
      </c>
      <c r="G803" s="400">
        <f t="shared" si="25"/>
        <v>1.0027034323177642E-2</v>
      </c>
    </row>
    <row r="804" spans="1:7" x14ac:dyDescent="0.2">
      <c r="A804" s="402">
        <v>43839</v>
      </c>
      <c r="C804" s="399">
        <v>71.725921999999997</v>
      </c>
      <c r="D804" s="400">
        <f t="shared" si="24"/>
        <v>6.9698687321266828E-3</v>
      </c>
      <c r="F804" s="399">
        <v>26.290001</v>
      </c>
      <c r="G804" s="400">
        <f t="shared" si="25"/>
        <v>3.818251095141223E-3</v>
      </c>
    </row>
    <row r="805" spans="1:7" x14ac:dyDescent="0.2">
      <c r="A805" s="402">
        <v>43840</v>
      </c>
      <c r="C805" s="399">
        <v>71.521500000000003</v>
      </c>
      <c r="D805" s="400">
        <f t="shared" si="24"/>
        <v>-2.8500435309843919E-3</v>
      </c>
      <c r="F805" s="399">
        <v>26.370000999999998</v>
      </c>
      <c r="G805" s="400">
        <f t="shared" si="25"/>
        <v>3.0429820067332525E-3</v>
      </c>
    </row>
    <row r="806" spans="1:7" x14ac:dyDescent="0.2">
      <c r="A806" s="402">
        <v>43843</v>
      </c>
      <c r="C806" s="399">
        <v>72.037445000000005</v>
      </c>
      <c r="D806" s="400">
        <f t="shared" si="24"/>
        <v>7.2138447879308565E-3</v>
      </c>
      <c r="F806" s="399">
        <v>26.790001</v>
      </c>
      <c r="G806" s="400">
        <f t="shared" si="25"/>
        <v>1.5927189384634444E-2</v>
      </c>
    </row>
    <row r="807" spans="1:7" x14ac:dyDescent="0.2">
      <c r="A807" s="402">
        <v>43844</v>
      </c>
      <c r="C807" s="399">
        <v>71.940101999999996</v>
      </c>
      <c r="D807" s="400">
        <f t="shared" si="24"/>
        <v>-1.3512833499301768E-3</v>
      </c>
      <c r="F807" s="399">
        <v>26.43</v>
      </c>
      <c r="G807" s="400">
        <f t="shared" si="25"/>
        <v>-1.3437886769769092E-2</v>
      </c>
    </row>
    <row r="808" spans="1:7" x14ac:dyDescent="0.2">
      <c r="A808" s="402">
        <v>43845</v>
      </c>
      <c r="C808" s="399">
        <v>72.144524000000004</v>
      </c>
      <c r="D808" s="400">
        <f t="shared" si="24"/>
        <v>2.8415583842236192E-3</v>
      </c>
      <c r="F808" s="399">
        <v>27.110001</v>
      </c>
      <c r="G808" s="400">
        <f t="shared" si="25"/>
        <v>2.5728376844494916E-2</v>
      </c>
    </row>
    <row r="809" spans="1:7" x14ac:dyDescent="0.2">
      <c r="A809" s="402">
        <v>43846</v>
      </c>
      <c r="C809" s="399">
        <v>72.796752999999995</v>
      </c>
      <c r="D809" s="400">
        <f t="shared" si="24"/>
        <v>9.0405891374374381E-3</v>
      </c>
      <c r="F809" s="399">
        <v>27.030000999999999</v>
      </c>
      <c r="G809" s="400">
        <f t="shared" si="25"/>
        <v>-2.9509405034696679E-3</v>
      </c>
    </row>
    <row r="810" spans="1:7" x14ac:dyDescent="0.2">
      <c r="A810" s="402">
        <v>43847</v>
      </c>
      <c r="C810" s="399">
        <v>72.942779999999999</v>
      </c>
      <c r="D810" s="400">
        <f t="shared" si="24"/>
        <v>2.0059548535085181E-3</v>
      </c>
      <c r="F810" s="399">
        <v>26.82</v>
      </c>
      <c r="G810" s="400">
        <f t="shared" si="25"/>
        <v>-7.7691821025088759E-3</v>
      </c>
    </row>
    <row r="811" spans="1:7" x14ac:dyDescent="0.2">
      <c r="A811" s="402">
        <v>43851</v>
      </c>
      <c r="C811" s="399">
        <v>72.757819999999995</v>
      </c>
      <c r="D811" s="400">
        <f t="shared" si="24"/>
        <v>-2.5356861912858575E-3</v>
      </c>
      <c r="F811" s="399">
        <v>27.129999000000002</v>
      </c>
      <c r="G811" s="400">
        <f t="shared" si="25"/>
        <v>1.1558501118568376E-2</v>
      </c>
    </row>
    <row r="812" spans="1:7" x14ac:dyDescent="0.2">
      <c r="A812" s="402">
        <v>43852</v>
      </c>
      <c r="C812" s="399">
        <v>72.825958</v>
      </c>
      <c r="D812" s="400">
        <f t="shared" si="24"/>
        <v>9.3650414484658384E-4</v>
      </c>
      <c r="F812" s="399">
        <v>26.870000999999998</v>
      </c>
      <c r="G812" s="400">
        <f t="shared" si="25"/>
        <v>-9.5834135489648586E-3</v>
      </c>
    </row>
    <row r="813" spans="1:7" x14ac:dyDescent="0.2">
      <c r="A813" s="402">
        <v>43853</v>
      </c>
      <c r="C813" s="399">
        <v>72.874634</v>
      </c>
      <c r="D813" s="400">
        <f t="shared" si="24"/>
        <v>6.6838804921731665E-4</v>
      </c>
      <c r="F813" s="399">
        <v>26.92</v>
      </c>
      <c r="G813" s="400">
        <f t="shared" si="25"/>
        <v>1.8607740282556851E-3</v>
      </c>
    </row>
    <row r="814" spans="1:7" x14ac:dyDescent="0.2">
      <c r="A814" s="402">
        <v>43854</v>
      </c>
      <c r="C814" s="399">
        <v>72.173728999999994</v>
      </c>
      <c r="D814" s="400">
        <f t="shared" si="24"/>
        <v>-9.6179556798872134E-3</v>
      </c>
      <c r="F814" s="399">
        <v>26.35</v>
      </c>
      <c r="G814" s="400">
        <f t="shared" si="25"/>
        <v>-2.117384843982173E-2</v>
      </c>
    </row>
    <row r="815" spans="1:7" x14ac:dyDescent="0.2">
      <c r="A815" s="402">
        <v>43857</v>
      </c>
      <c r="C815" s="399">
        <v>71.122367999999994</v>
      </c>
      <c r="D815" s="400">
        <f t="shared" si="24"/>
        <v>-1.4567087146072244E-2</v>
      </c>
      <c r="F815" s="399">
        <v>26.48</v>
      </c>
      <c r="G815" s="400">
        <f t="shared" si="25"/>
        <v>4.9335863377608646E-3</v>
      </c>
    </row>
    <row r="816" spans="1:7" x14ac:dyDescent="0.2">
      <c r="A816" s="402">
        <v>43858</v>
      </c>
      <c r="C816" s="399">
        <v>71.813537999999994</v>
      </c>
      <c r="D816" s="400">
        <f t="shared" si="24"/>
        <v>9.7180397593061851E-3</v>
      </c>
      <c r="F816" s="399">
        <v>26.99</v>
      </c>
      <c r="G816" s="400">
        <f t="shared" si="25"/>
        <v>1.9259818731117706E-2</v>
      </c>
    </row>
    <row r="817" spans="1:7" x14ac:dyDescent="0.2">
      <c r="A817" s="402">
        <v>43859</v>
      </c>
      <c r="C817" s="399">
        <v>71.755118999999993</v>
      </c>
      <c r="D817" s="400">
        <f t="shared" si="24"/>
        <v>-8.1348171426953719E-4</v>
      </c>
      <c r="F817" s="399">
        <v>26.360001</v>
      </c>
      <c r="G817" s="400">
        <f t="shared" si="25"/>
        <v>-2.3341941459799842E-2</v>
      </c>
    </row>
    <row r="818" spans="1:7" x14ac:dyDescent="0.2">
      <c r="A818" s="402">
        <v>43860</v>
      </c>
      <c r="C818" s="399">
        <v>71.930351000000002</v>
      </c>
      <c r="D818" s="400">
        <f t="shared" si="24"/>
        <v>2.442083609393908E-3</v>
      </c>
      <c r="F818" s="399">
        <v>26.08</v>
      </c>
      <c r="G818" s="400">
        <f t="shared" si="25"/>
        <v>-1.062219231327044E-2</v>
      </c>
    </row>
    <row r="819" spans="1:7" x14ac:dyDescent="0.2">
      <c r="A819" s="402">
        <v>43861</v>
      </c>
      <c r="C819" s="399">
        <v>70.664833000000002</v>
      </c>
      <c r="D819" s="400">
        <f t="shared" si="24"/>
        <v>-1.75936580651469E-2</v>
      </c>
      <c r="F819" s="399">
        <v>24.799999</v>
      </c>
      <c r="G819" s="400">
        <f t="shared" si="25"/>
        <v>-4.9079792944785261E-2</v>
      </c>
    </row>
    <row r="820" spans="1:7" x14ac:dyDescent="0.2">
      <c r="A820" s="402">
        <v>43864</v>
      </c>
      <c r="C820" s="399">
        <v>71.287857000000002</v>
      </c>
      <c r="D820" s="400">
        <f t="shared" si="24"/>
        <v>8.8166061327845657E-3</v>
      </c>
      <c r="F820" s="399">
        <v>24.65</v>
      </c>
      <c r="G820" s="400">
        <f t="shared" si="25"/>
        <v>-6.0483470180785481E-3</v>
      </c>
    </row>
    <row r="821" spans="1:7" x14ac:dyDescent="0.2">
      <c r="A821" s="402">
        <v>43865</v>
      </c>
      <c r="C821" s="399">
        <v>72.397628999999995</v>
      </c>
      <c r="D821" s="400">
        <f t="shared" si="24"/>
        <v>1.5567475958773613E-2</v>
      </c>
      <c r="F821" s="399">
        <v>25.059999000000001</v>
      </c>
      <c r="G821" s="400">
        <f t="shared" si="25"/>
        <v>1.6632819472616633E-2</v>
      </c>
    </row>
    <row r="822" spans="1:7" x14ac:dyDescent="0.2">
      <c r="A822" s="402">
        <v>43866</v>
      </c>
      <c r="C822" s="399">
        <v>73.088806000000005</v>
      </c>
      <c r="D822" s="400">
        <f t="shared" si="24"/>
        <v>9.5469562960412979E-3</v>
      </c>
      <c r="F822" s="399">
        <v>26.1</v>
      </c>
      <c r="G822" s="400">
        <f t="shared" si="25"/>
        <v>4.1500440602571409E-2</v>
      </c>
    </row>
    <row r="823" spans="1:7" x14ac:dyDescent="0.2">
      <c r="A823" s="402">
        <v>43867</v>
      </c>
      <c r="C823" s="399">
        <v>73.283501000000001</v>
      </c>
      <c r="D823" s="400">
        <f t="shared" si="24"/>
        <v>2.6638142097983319E-3</v>
      </c>
      <c r="F823" s="399">
        <v>25.110001</v>
      </c>
      <c r="G823" s="400">
        <f t="shared" si="25"/>
        <v>-3.793099616858242E-2</v>
      </c>
    </row>
    <row r="824" spans="1:7" x14ac:dyDescent="0.2">
      <c r="A824" s="402">
        <v>43868</v>
      </c>
      <c r="C824" s="399">
        <v>72.874634</v>
      </c>
      <c r="D824" s="400">
        <f t="shared" si="24"/>
        <v>-5.5792503690564876E-3</v>
      </c>
      <c r="F824" s="399">
        <v>24.530000999999999</v>
      </c>
      <c r="G824" s="400">
        <f t="shared" si="25"/>
        <v>-2.3098366264501569E-2</v>
      </c>
    </row>
    <row r="825" spans="1:7" x14ac:dyDescent="0.2">
      <c r="A825" s="402">
        <v>43871</v>
      </c>
      <c r="C825" s="399">
        <v>73.410049000000001</v>
      </c>
      <c r="D825" s="400">
        <f t="shared" si="24"/>
        <v>7.3470694892272537E-3</v>
      </c>
      <c r="F825" s="399">
        <v>25.110001</v>
      </c>
      <c r="G825" s="400">
        <f t="shared" si="25"/>
        <v>2.3644515954157619E-2</v>
      </c>
    </row>
    <row r="826" spans="1:7" x14ac:dyDescent="0.2">
      <c r="A826" s="402">
        <v>43872</v>
      </c>
      <c r="C826" s="399">
        <v>73.643683999999993</v>
      </c>
      <c r="D826" s="400">
        <f t="shared" si="24"/>
        <v>3.1826024254526519E-3</v>
      </c>
      <c r="F826" s="399">
        <v>25.610001</v>
      </c>
      <c r="G826" s="400">
        <f t="shared" si="25"/>
        <v>1.9912384710777165E-2</v>
      </c>
    </row>
    <row r="827" spans="1:7" x14ac:dyDescent="0.2">
      <c r="A827" s="402">
        <v>43873</v>
      </c>
      <c r="C827" s="399">
        <v>74.101219</v>
      </c>
      <c r="D827" s="400">
        <f t="shared" si="24"/>
        <v>6.2128206405318576E-3</v>
      </c>
      <c r="F827" s="399">
        <v>26.68</v>
      </c>
      <c r="G827" s="400">
        <f t="shared" si="25"/>
        <v>4.1780513792248453E-2</v>
      </c>
    </row>
    <row r="828" spans="1:7" x14ac:dyDescent="0.2">
      <c r="A828" s="402">
        <v>43874</v>
      </c>
      <c r="C828" s="399">
        <v>74.033073000000002</v>
      </c>
      <c r="D828" s="400">
        <f t="shared" si="24"/>
        <v>-9.1963399414518587E-4</v>
      </c>
      <c r="F828" s="399">
        <v>27.700001</v>
      </c>
      <c r="G828" s="400">
        <f t="shared" si="25"/>
        <v>3.8230922038980486E-2</v>
      </c>
    </row>
    <row r="829" spans="1:7" x14ac:dyDescent="0.2">
      <c r="A829" s="402">
        <v>43875</v>
      </c>
      <c r="C829" s="399">
        <v>74.188834999999997</v>
      </c>
      <c r="D829" s="400">
        <f t="shared" si="24"/>
        <v>2.1039515676999354E-3</v>
      </c>
      <c r="F829" s="399">
        <v>27.190000999999999</v>
      </c>
      <c r="G829" s="400">
        <f t="shared" si="25"/>
        <v>-1.8411551681893457E-2</v>
      </c>
    </row>
    <row r="830" spans="1:7" x14ac:dyDescent="0.2">
      <c r="A830" s="402">
        <v>43879</v>
      </c>
      <c r="C830" s="399">
        <v>73.964943000000005</v>
      </c>
      <c r="D830" s="400">
        <f t="shared" si="24"/>
        <v>-3.0178665024189755E-3</v>
      </c>
      <c r="F830" s="399">
        <v>27.27</v>
      </c>
      <c r="G830" s="400">
        <f t="shared" si="25"/>
        <v>2.9422212967187278E-3</v>
      </c>
    </row>
    <row r="831" spans="1:7" x14ac:dyDescent="0.2">
      <c r="A831" s="402">
        <v>43880</v>
      </c>
      <c r="C831" s="399">
        <v>74.393249999999995</v>
      </c>
      <c r="D831" s="400">
        <f t="shared" si="24"/>
        <v>5.7906757259311714E-3</v>
      </c>
      <c r="F831" s="399">
        <v>27.959999</v>
      </c>
      <c r="G831" s="400">
        <f t="shared" si="25"/>
        <v>2.5302493582691543E-2</v>
      </c>
    </row>
    <row r="832" spans="1:7" x14ac:dyDescent="0.2">
      <c r="A832" s="402">
        <v>43881</v>
      </c>
      <c r="C832" s="399">
        <v>74.101219</v>
      </c>
      <c r="D832" s="400">
        <f t="shared" si="24"/>
        <v>-3.9255039939778413E-3</v>
      </c>
      <c r="F832" s="399">
        <v>28.18</v>
      </c>
      <c r="G832" s="400">
        <f t="shared" si="25"/>
        <v>7.8684194516602801E-3</v>
      </c>
    </row>
    <row r="833" spans="1:7" x14ac:dyDescent="0.2">
      <c r="A833" s="402">
        <v>43882</v>
      </c>
      <c r="C833" s="399">
        <v>73.322433000000004</v>
      </c>
      <c r="D833" s="400">
        <f t="shared" si="24"/>
        <v>-1.050975963027001E-2</v>
      </c>
      <c r="F833" s="399">
        <v>26.690000999999999</v>
      </c>
      <c r="G833" s="400">
        <f t="shared" si="25"/>
        <v>-5.2874343506032706E-2</v>
      </c>
    </row>
    <row r="834" spans="1:7" x14ac:dyDescent="0.2">
      <c r="A834" s="402">
        <v>43885</v>
      </c>
      <c r="C834" s="399">
        <v>70.927672999999999</v>
      </c>
      <c r="D834" s="400">
        <f t="shared" si="24"/>
        <v>-3.2660672893928711E-2</v>
      </c>
      <c r="F834" s="399">
        <v>26.700001</v>
      </c>
      <c r="G834" s="400">
        <f t="shared" si="25"/>
        <v>3.7467214782060942E-4</v>
      </c>
    </row>
    <row r="835" spans="1:7" x14ac:dyDescent="0.2">
      <c r="A835" s="402">
        <v>43886</v>
      </c>
      <c r="C835" s="399">
        <v>68.824950999999999</v>
      </c>
      <c r="D835" s="400">
        <f t="shared" si="24"/>
        <v>-2.9646002907779079E-2</v>
      </c>
      <c r="F835" s="399">
        <v>24.719999000000001</v>
      </c>
      <c r="G835" s="400">
        <f t="shared" si="25"/>
        <v>-7.4157375499723677E-2</v>
      </c>
    </row>
    <row r="836" spans="1:7" x14ac:dyDescent="0.2">
      <c r="A836" s="402">
        <v>43887</v>
      </c>
      <c r="C836" s="399">
        <v>68.396629000000004</v>
      </c>
      <c r="D836" s="400">
        <f t="shared" si="24"/>
        <v>-6.2233535044579069E-3</v>
      </c>
      <c r="F836" s="399">
        <v>23.27</v>
      </c>
      <c r="G836" s="400">
        <f t="shared" si="25"/>
        <v>-5.8656919848581013E-2</v>
      </c>
    </row>
    <row r="837" spans="1:7" x14ac:dyDescent="0.2">
      <c r="A837" s="402">
        <v>43888</v>
      </c>
      <c r="C837" s="399">
        <v>65.417786000000007</v>
      </c>
      <c r="D837" s="400">
        <f t="shared" si="24"/>
        <v>-4.3552482681566085E-2</v>
      </c>
      <c r="F837" s="399">
        <v>22.99</v>
      </c>
      <c r="G837" s="400">
        <f t="shared" si="25"/>
        <v>-1.2032660077352819E-2</v>
      </c>
    </row>
    <row r="838" spans="1:7" x14ac:dyDescent="0.2">
      <c r="A838" s="402">
        <v>43889</v>
      </c>
      <c r="C838" s="399">
        <v>64.979713000000004</v>
      </c>
      <c r="D838" s="400">
        <f t="shared" si="24"/>
        <v>-6.6965427414495959E-3</v>
      </c>
      <c r="F838" s="399">
        <v>22.709999</v>
      </c>
      <c r="G838" s="400">
        <f t="shared" si="25"/>
        <v>-1.217925184862978E-2</v>
      </c>
    </row>
    <row r="839" spans="1:7" x14ac:dyDescent="0.2">
      <c r="A839" s="402">
        <v>43892</v>
      </c>
      <c r="C839" s="399">
        <v>67.773605000000003</v>
      </c>
      <c r="D839" s="400">
        <f t="shared" ref="D839:D902" si="26">C839/C838-1</f>
        <v>4.2996373345016048E-2</v>
      </c>
      <c r="F839" s="399">
        <v>24.17</v>
      </c>
      <c r="G839" s="400">
        <f t="shared" ref="G839:G902" si="27">F839/F838-1</f>
        <v>6.428890639757423E-2</v>
      </c>
    </row>
    <row r="840" spans="1:7" x14ac:dyDescent="0.2">
      <c r="A840" s="402">
        <v>43893</v>
      </c>
      <c r="C840" s="399">
        <v>65.933730999999995</v>
      </c>
      <c r="D840" s="400">
        <f t="shared" si="26"/>
        <v>-2.7147353309596056E-2</v>
      </c>
      <c r="F840" s="399">
        <v>23.719999000000001</v>
      </c>
      <c r="G840" s="400">
        <f t="shared" si="27"/>
        <v>-1.8618163011998368E-2</v>
      </c>
    </row>
    <row r="841" spans="1:7" x14ac:dyDescent="0.2">
      <c r="A841" s="402">
        <v>43894</v>
      </c>
      <c r="C841" s="399">
        <v>68.503708000000003</v>
      </c>
      <c r="D841" s="400">
        <f t="shared" si="26"/>
        <v>3.8978182502670933E-2</v>
      </c>
      <c r="F841" s="399">
        <v>25.639999</v>
      </c>
      <c r="G841" s="400">
        <f t="shared" si="27"/>
        <v>8.0944354171347044E-2</v>
      </c>
    </row>
    <row r="842" spans="1:7" x14ac:dyDescent="0.2">
      <c r="A842" s="402">
        <v>43895</v>
      </c>
      <c r="C842" s="399">
        <v>66.293907000000004</v>
      </c>
      <c r="D842" s="400">
        <f t="shared" si="26"/>
        <v>-3.2258122436233605E-2</v>
      </c>
      <c r="F842" s="399">
        <v>24.469999000000001</v>
      </c>
      <c r="G842" s="400">
        <f t="shared" si="27"/>
        <v>-4.5631827052723284E-2</v>
      </c>
    </row>
    <row r="843" spans="1:7" x14ac:dyDescent="0.2">
      <c r="A843" s="402">
        <v>43896</v>
      </c>
      <c r="C843" s="399">
        <v>65.106255000000004</v>
      </c>
      <c r="D843" s="400">
        <f t="shared" si="26"/>
        <v>-1.7914949559391657E-2</v>
      </c>
      <c r="F843" s="399">
        <v>22.08</v>
      </c>
      <c r="G843" s="400">
        <f t="shared" si="27"/>
        <v>-9.7670580207216307E-2</v>
      </c>
    </row>
    <row r="844" spans="1:7" x14ac:dyDescent="0.2">
      <c r="A844" s="402">
        <v>43899</v>
      </c>
      <c r="C844" s="399">
        <v>59.907898000000003</v>
      </c>
      <c r="D844" s="400">
        <f t="shared" si="26"/>
        <v>-7.9844202373489326E-2</v>
      </c>
      <c r="F844" s="399">
        <v>18.969999000000001</v>
      </c>
      <c r="G844" s="400">
        <f t="shared" si="27"/>
        <v>-0.14085149456521728</v>
      </c>
    </row>
    <row r="845" spans="1:7" x14ac:dyDescent="0.2">
      <c r="A845" s="402">
        <v>43900</v>
      </c>
      <c r="C845" s="399">
        <v>62.662841999999998</v>
      </c>
      <c r="D845" s="400">
        <f t="shared" si="26"/>
        <v>4.5986323873356216E-2</v>
      </c>
      <c r="F845" s="399">
        <v>20.67</v>
      </c>
      <c r="G845" s="400">
        <f t="shared" si="27"/>
        <v>8.9615239304967842E-2</v>
      </c>
    </row>
    <row r="846" spans="1:7" x14ac:dyDescent="0.2">
      <c r="A846" s="402">
        <v>43901</v>
      </c>
      <c r="C846" s="399">
        <v>59.576912</v>
      </c>
      <c r="D846" s="400">
        <f t="shared" si="26"/>
        <v>-4.9246569442222166E-2</v>
      </c>
      <c r="F846" s="399">
        <v>19.110001</v>
      </c>
      <c r="G846" s="400">
        <f t="shared" si="27"/>
        <v>-7.5471649733913959E-2</v>
      </c>
    </row>
    <row r="847" spans="1:7" x14ac:dyDescent="0.2">
      <c r="A847" s="402">
        <v>43902</v>
      </c>
      <c r="C847" s="399">
        <v>53.959938000000001</v>
      </c>
      <c r="D847" s="400">
        <f t="shared" si="26"/>
        <v>-9.428105303611567E-2</v>
      </c>
      <c r="F847" s="399">
        <v>14.76</v>
      </c>
      <c r="G847" s="400">
        <f t="shared" si="27"/>
        <v>-0.22762955376088156</v>
      </c>
    </row>
    <row r="848" spans="1:7" x14ac:dyDescent="0.2">
      <c r="A848" s="402">
        <v>43903</v>
      </c>
      <c r="C848" s="399">
        <v>58.798126000000003</v>
      </c>
      <c r="D848" s="400">
        <f t="shared" si="26"/>
        <v>8.9662593756130837E-2</v>
      </c>
      <c r="F848" s="399">
        <v>15.9</v>
      </c>
      <c r="G848" s="400">
        <f t="shared" si="27"/>
        <v>7.723577235772372E-2</v>
      </c>
    </row>
    <row r="849" spans="1:7" x14ac:dyDescent="0.2">
      <c r="A849" s="402">
        <v>43906</v>
      </c>
      <c r="C849" s="399">
        <v>51.993510999999998</v>
      </c>
      <c r="D849" s="400">
        <f t="shared" si="26"/>
        <v>-0.11572843324972648</v>
      </c>
      <c r="F849" s="399">
        <v>12.2</v>
      </c>
      <c r="G849" s="400">
        <f t="shared" si="27"/>
        <v>-0.23270440251572333</v>
      </c>
    </row>
    <row r="850" spans="1:7" x14ac:dyDescent="0.2">
      <c r="A850" s="402">
        <v>43907</v>
      </c>
      <c r="C850" s="399">
        <v>54.806865999999999</v>
      </c>
      <c r="D850" s="400">
        <f t="shared" si="26"/>
        <v>5.4109733039571006E-2</v>
      </c>
      <c r="F850" s="399">
        <v>11.29</v>
      </c>
      <c r="G850" s="400">
        <f t="shared" si="27"/>
        <v>-7.459016393442619E-2</v>
      </c>
    </row>
    <row r="851" spans="1:7" x14ac:dyDescent="0.2">
      <c r="A851" s="402">
        <v>43908</v>
      </c>
      <c r="C851" s="399">
        <v>51.672260000000001</v>
      </c>
      <c r="D851" s="400">
        <f t="shared" si="26"/>
        <v>-5.7193673507987097E-2</v>
      </c>
      <c r="F851" s="399">
        <v>10.65</v>
      </c>
      <c r="G851" s="400">
        <f t="shared" si="27"/>
        <v>-5.66873339238263E-2</v>
      </c>
    </row>
    <row r="852" spans="1:7" x14ac:dyDescent="0.2">
      <c r="A852" s="402">
        <v>43909</v>
      </c>
      <c r="C852" s="399">
        <v>51.652790000000003</v>
      </c>
      <c r="D852" s="400">
        <f t="shared" si="26"/>
        <v>-3.7679791826406017E-4</v>
      </c>
      <c r="F852" s="399">
        <v>12.01</v>
      </c>
      <c r="G852" s="400">
        <f t="shared" si="27"/>
        <v>0.1276995305164319</v>
      </c>
    </row>
    <row r="853" spans="1:7" x14ac:dyDescent="0.2">
      <c r="A853" s="402">
        <v>43910</v>
      </c>
      <c r="C853" s="399">
        <v>49.589016000000001</v>
      </c>
      <c r="D853" s="400">
        <f t="shared" si="26"/>
        <v>-3.9954743974139673E-2</v>
      </c>
      <c r="F853" s="399">
        <v>11.4</v>
      </c>
      <c r="G853" s="400">
        <f t="shared" si="27"/>
        <v>-5.0791007493755203E-2</v>
      </c>
    </row>
    <row r="854" spans="1:7" x14ac:dyDescent="0.2">
      <c r="A854" s="402">
        <v>43913</v>
      </c>
      <c r="C854" s="399">
        <v>48.352699000000001</v>
      </c>
      <c r="D854" s="400">
        <f t="shared" si="26"/>
        <v>-2.4931267037038962E-2</v>
      </c>
      <c r="F854" s="399">
        <v>11.12</v>
      </c>
      <c r="G854" s="400">
        <f t="shared" si="27"/>
        <v>-2.4561403508772006E-2</v>
      </c>
    </row>
    <row r="855" spans="1:7" x14ac:dyDescent="0.2">
      <c r="A855" s="402">
        <v>43914</v>
      </c>
      <c r="C855" s="399">
        <v>52.801498000000002</v>
      </c>
      <c r="D855" s="400">
        <f t="shared" si="26"/>
        <v>9.2007252790583749E-2</v>
      </c>
      <c r="F855" s="399">
        <v>13.72</v>
      </c>
      <c r="G855" s="400">
        <f t="shared" si="27"/>
        <v>0.23381294964028787</v>
      </c>
    </row>
    <row r="856" spans="1:7" x14ac:dyDescent="0.2">
      <c r="A856" s="402">
        <v>43915</v>
      </c>
      <c r="C856" s="399">
        <v>53.739719000000001</v>
      </c>
      <c r="D856" s="400">
        <f t="shared" si="26"/>
        <v>1.7768832997882011E-2</v>
      </c>
      <c r="F856" s="399">
        <v>14.63</v>
      </c>
      <c r="G856" s="400">
        <f t="shared" si="27"/>
        <v>6.6326530612244916E-2</v>
      </c>
    </row>
    <row r="857" spans="1:7" x14ac:dyDescent="0.2">
      <c r="A857" s="402">
        <v>43916</v>
      </c>
      <c r="C857" s="399">
        <v>56.860588</v>
      </c>
      <c r="D857" s="400">
        <f t="shared" si="26"/>
        <v>5.8073787099631069E-2</v>
      </c>
      <c r="F857" s="399">
        <v>14.18</v>
      </c>
      <c r="G857" s="400">
        <f t="shared" si="27"/>
        <v>-3.0758714969241319E-2</v>
      </c>
    </row>
    <row r="858" spans="1:7" x14ac:dyDescent="0.2">
      <c r="A858" s="402">
        <v>43917</v>
      </c>
      <c r="C858" s="399">
        <v>55.119160000000001</v>
      </c>
      <c r="D858" s="400">
        <f t="shared" si="26"/>
        <v>-3.0626274916467633E-2</v>
      </c>
      <c r="F858" s="399">
        <v>13.33</v>
      </c>
      <c r="G858" s="400">
        <f t="shared" si="27"/>
        <v>-5.9943582510578297E-2</v>
      </c>
    </row>
    <row r="859" spans="1:7" x14ac:dyDescent="0.2">
      <c r="A859" s="402">
        <v>43920</v>
      </c>
      <c r="C859" s="399">
        <v>56.831245000000003</v>
      </c>
      <c r="D859" s="400">
        <f t="shared" si="26"/>
        <v>3.1061521982555629E-2</v>
      </c>
      <c r="F859" s="399">
        <v>12.86</v>
      </c>
      <c r="G859" s="400">
        <f t="shared" si="27"/>
        <v>-3.5258814703675978E-2</v>
      </c>
    </row>
    <row r="860" spans="1:7" x14ac:dyDescent="0.2">
      <c r="A860" s="402">
        <v>43921</v>
      </c>
      <c r="C860" s="399">
        <v>55.970309999999998</v>
      </c>
      <c r="D860" s="400">
        <f t="shared" si="26"/>
        <v>-1.5148973069303739E-2</v>
      </c>
      <c r="F860" s="399">
        <v>12.23</v>
      </c>
      <c r="G860" s="400">
        <f t="shared" si="27"/>
        <v>-4.8989113530326533E-2</v>
      </c>
    </row>
    <row r="861" spans="1:7" x14ac:dyDescent="0.2">
      <c r="A861" s="402">
        <v>43922</v>
      </c>
      <c r="C861" s="399">
        <v>53.309254000000003</v>
      </c>
      <c r="D861" s="400">
        <f t="shared" si="26"/>
        <v>-4.754406398678146E-2</v>
      </c>
      <c r="F861" s="399">
        <v>11.48</v>
      </c>
      <c r="G861" s="400">
        <f t="shared" si="27"/>
        <v>-6.1324611610793167E-2</v>
      </c>
    </row>
    <row r="862" spans="1:7" x14ac:dyDescent="0.2">
      <c r="A862" s="402">
        <v>43923</v>
      </c>
      <c r="C862" s="399">
        <v>54.502819000000002</v>
      </c>
      <c r="D862" s="400">
        <f t="shared" si="26"/>
        <v>2.2389452307848723E-2</v>
      </c>
      <c r="F862" s="399">
        <v>11.54</v>
      </c>
      <c r="G862" s="400">
        <f t="shared" si="27"/>
        <v>5.2264808362367798E-3</v>
      </c>
    </row>
    <row r="863" spans="1:7" x14ac:dyDescent="0.2">
      <c r="A863" s="402">
        <v>43924</v>
      </c>
      <c r="C863" s="399">
        <v>53.485348000000002</v>
      </c>
      <c r="D863" s="400">
        <f t="shared" si="26"/>
        <v>-1.8668227050787967E-2</v>
      </c>
      <c r="F863" s="399">
        <v>10.91</v>
      </c>
      <c r="G863" s="400">
        <f t="shared" si="27"/>
        <v>-5.4592720970537134E-2</v>
      </c>
    </row>
    <row r="864" spans="1:7" x14ac:dyDescent="0.2">
      <c r="A864" s="402">
        <v>43927</v>
      </c>
      <c r="C864" s="399">
        <v>57.320408</v>
      </c>
      <c r="D864" s="400">
        <f t="shared" si="26"/>
        <v>7.1703001726753257E-2</v>
      </c>
      <c r="F864" s="399">
        <v>12.81</v>
      </c>
      <c r="G864" s="400">
        <f t="shared" si="27"/>
        <v>0.17415215398716777</v>
      </c>
    </row>
    <row r="865" spans="1:7" x14ac:dyDescent="0.2">
      <c r="A865" s="402">
        <v>43928</v>
      </c>
      <c r="C865" s="399">
        <v>57.320408</v>
      </c>
      <c r="D865" s="400">
        <f t="shared" si="26"/>
        <v>0</v>
      </c>
      <c r="F865" s="399">
        <v>13.59</v>
      </c>
      <c r="G865" s="400">
        <f t="shared" si="27"/>
        <v>6.0889929742388604E-2</v>
      </c>
    </row>
    <row r="866" spans="1:7" x14ac:dyDescent="0.2">
      <c r="A866" s="402">
        <v>43929</v>
      </c>
      <c r="C866" s="399">
        <v>59.384689000000002</v>
      </c>
      <c r="D866" s="400">
        <f t="shared" si="26"/>
        <v>3.6013020005021712E-2</v>
      </c>
      <c r="F866" s="399">
        <v>13.58</v>
      </c>
      <c r="G866" s="400">
        <f t="shared" si="27"/>
        <v>-7.3583517292119538E-4</v>
      </c>
    </row>
    <row r="867" spans="1:7" x14ac:dyDescent="0.2">
      <c r="A867" s="402">
        <v>43930</v>
      </c>
      <c r="C867" s="399">
        <v>60.421711000000002</v>
      </c>
      <c r="D867" s="400">
        <f t="shared" si="26"/>
        <v>1.746278405196322E-2</v>
      </c>
      <c r="F867" s="399">
        <v>15.04</v>
      </c>
      <c r="G867" s="400">
        <f t="shared" si="27"/>
        <v>0.10751104565537539</v>
      </c>
    </row>
    <row r="868" spans="1:7" x14ac:dyDescent="0.2">
      <c r="A868" s="402">
        <v>43934</v>
      </c>
      <c r="C868" s="399">
        <v>59.736888999999998</v>
      </c>
      <c r="D868" s="400">
        <f t="shared" si="26"/>
        <v>-1.1334038521352063E-2</v>
      </c>
      <c r="F868" s="399">
        <v>13.83</v>
      </c>
      <c r="G868" s="400">
        <f t="shared" si="27"/>
        <v>-8.0452127659574435E-2</v>
      </c>
    </row>
    <row r="869" spans="1:7" x14ac:dyDescent="0.2">
      <c r="A869" s="402">
        <v>43935</v>
      </c>
      <c r="C869" s="399">
        <v>61.507663999999998</v>
      </c>
      <c r="D869" s="400">
        <f t="shared" si="26"/>
        <v>2.9642906245084255E-2</v>
      </c>
      <c r="F869" s="399">
        <v>14.14</v>
      </c>
      <c r="G869" s="400">
        <f t="shared" si="27"/>
        <v>2.2415039768618916E-2</v>
      </c>
    </row>
    <row r="870" spans="1:7" x14ac:dyDescent="0.2">
      <c r="A870" s="402">
        <v>43936</v>
      </c>
      <c r="C870" s="399">
        <v>60.177138999999997</v>
      </c>
      <c r="D870" s="400">
        <f t="shared" si="26"/>
        <v>-2.163185712921889E-2</v>
      </c>
      <c r="F870" s="399">
        <v>13.25</v>
      </c>
      <c r="G870" s="400">
        <f t="shared" si="27"/>
        <v>-6.294200848656295E-2</v>
      </c>
    </row>
    <row r="871" spans="1:7" x14ac:dyDescent="0.2">
      <c r="A871" s="402">
        <v>43937</v>
      </c>
      <c r="C871" s="399">
        <v>60.372799000000001</v>
      </c>
      <c r="D871" s="400">
        <f t="shared" si="26"/>
        <v>3.2514008351245405E-3</v>
      </c>
      <c r="F871" s="399">
        <v>12.95</v>
      </c>
      <c r="G871" s="400">
        <f t="shared" si="27"/>
        <v>-2.264150943396237E-2</v>
      </c>
    </row>
    <row r="872" spans="1:7" x14ac:dyDescent="0.2">
      <c r="A872" s="402">
        <v>43938</v>
      </c>
      <c r="C872" s="399">
        <v>62.172924000000002</v>
      </c>
      <c r="D872" s="400">
        <f t="shared" si="26"/>
        <v>2.9816821976400343E-2</v>
      </c>
      <c r="F872" s="399">
        <v>14.62</v>
      </c>
      <c r="G872" s="400">
        <f t="shared" si="27"/>
        <v>0.12895752895752888</v>
      </c>
    </row>
    <row r="873" spans="1:7" x14ac:dyDescent="0.2">
      <c r="A873" s="402">
        <v>43941</v>
      </c>
      <c r="C873" s="399">
        <v>61.106552000000001</v>
      </c>
      <c r="D873" s="400">
        <f t="shared" si="26"/>
        <v>-1.7151710606372661E-2</v>
      </c>
      <c r="F873" s="399">
        <v>13.94</v>
      </c>
      <c r="G873" s="400">
        <f t="shared" si="27"/>
        <v>-4.6511627906976716E-2</v>
      </c>
    </row>
    <row r="874" spans="1:7" x14ac:dyDescent="0.2">
      <c r="A874" s="402">
        <v>43942</v>
      </c>
      <c r="C874" s="399">
        <v>59.179240999999998</v>
      </c>
      <c r="D874" s="400">
        <f t="shared" si="26"/>
        <v>-3.1540169374963289E-2</v>
      </c>
      <c r="F874" s="399">
        <v>13.48</v>
      </c>
      <c r="G874" s="400">
        <f t="shared" si="27"/>
        <v>-3.2998565279770409E-2</v>
      </c>
    </row>
    <row r="875" spans="1:7" x14ac:dyDescent="0.2">
      <c r="A875" s="402">
        <v>43943</v>
      </c>
      <c r="C875" s="399">
        <v>60.548901000000001</v>
      </c>
      <c r="D875" s="400">
        <f t="shared" si="26"/>
        <v>2.3144264388250679E-2</v>
      </c>
      <c r="F875" s="399">
        <v>13.46</v>
      </c>
      <c r="G875" s="400">
        <f t="shared" si="27"/>
        <v>-1.4836795252225476E-3</v>
      </c>
    </row>
    <row r="876" spans="1:7" x14ac:dyDescent="0.2">
      <c r="A876" s="402">
        <v>43944</v>
      </c>
      <c r="C876" s="399">
        <v>60.499977000000001</v>
      </c>
      <c r="D876" s="400">
        <f t="shared" si="26"/>
        <v>-8.0800805946912302E-4</v>
      </c>
      <c r="F876" s="399">
        <v>13.96</v>
      </c>
      <c r="G876" s="400">
        <f t="shared" si="27"/>
        <v>3.7147102526003062E-2</v>
      </c>
    </row>
    <row r="877" spans="1:7" x14ac:dyDescent="0.2">
      <c r="A877" s="402">
        <v>43945</v>
      </c>
      <c r="C877" s="399">
        <v>61.439182000000002</v>
      </c>
      <c r="D877" s="400">
        <f t="shared" si="26"/>
        <v>1.5524055488483901E-2</v>
      </c>
      <c r="F877" s="399">
        <v>14.73</v>
      </c>
      <c r="G877" s="400">
        <f t="shared" si="27"/>
        <v>5.5157593123209114E-2</v>
      </c>
    </row>
    <row r="878" spans="1:7" x14ac:dyDescent="0.2">
      <c r="A878" s="402">
        <v>43948</v>
      </c>
      <c r="C878" s="399">
        <v>62.525123999999998</v>
      </c>
      <c r="D878" s="400">
        <f t="shared" si="26"/>
        <v>1.7675072562001182E-2</v>
      </c>
      <c r="F878" s="399">
        <v>15.8</v>
      </c>
      <c r="G878" s="400">
        <f t="shared" si="27"/>
        <v>7.2640868974881201E-2</v>
      </c>
    </row>
    <row r="879" spans="1:7" x14ac:dyDescent="0.2">
      <c r="A879" s="402">
        <v>43949</v>
      </c>
      <c r="C879" s="399">
        <v>62.349029999999999</v>
      </c>
      <c r="D879" s="400">
        <f t="shared" si="26"/>
        <v>-2.816371863572753E-3</v>
      </c>
      <c r="F879" s="399">
        <v>17.299999</v>
      </c>
      <c r="G879" s="400">
        <f t="shared" si="27"/>
        <v>9.4936645569620115E-2</v>
      </c>
    </row>
    <row r="880" spans="1:7" x14ac:dyDescent="0.2">
      <c r="A880" s="402">
        <v>43950</v>
      </c>
      <c r="C880" s="399">
        <v>64.168732000000006</v>
      </c>
      <c r="D880" s="400">
        <f t="shared" si="26"/>
        <v>2.9185730716259739E-2</v>
      </c>
      <c r="F880" s="399">
        <v>19.540001</v>
      </c>
      <c r="G880" s="400">
        <f t="shared" si="27"/>
        <v>0.12947989187745046</v>
      </c>
    </row>
    <row r="881" spans="1:7" x14ac:dyDescent="0.2">
      <c r="A881" s="402">
        <v>43951</v>
      </c>
      <c r="C881" s="399">
        <v>63.356715999999999</v>
      </c>
      <c r="D881" s="400">
        <f t="shared" si="26"/>
        <v>-1.26543874982602E-2</v>
      </c>
      <c r="F881" s="399">
        <v>18.350000000000001</v>
      </c>
      <c r="G881" s="400">
        <f t="shared" si="27"/>
        <v>-6.0900764539367103E-2</v>
      </c>
    </row>
    <row r="882" spans="1:7" x14ac:dyDescent="0.2">
      <c r="A882" s="402">
        <v>43952</v>
      </c>
      <c r="C882" s="399">
        <v>61.605499000000002</v>
      </c>
      <c r="D882" s="400">
        <f t="shared" si="26"/>
        <v>-2.7640589831076423E-2</v>
      </c>
      <c r="F882" s="399">
        <v>17.239999999999998</v>
      </c>
      <c r="G882" s="400">
        <f t="shared" si="27"/>
        <v>-6.0490463215258972E-2</v>
      </c>
    </row>
    <row r="883" spans="1:7" x14ac:dyDescent="0.2">
      <c r="A883" s="402">
        <v>43955</v>
      </c>
      <c r="C883" s="399">
        <v>61.762028000000001</v>
      </c>
      <c r="D883" s="400">
        <f t="shared" si="26"/>
        <v>2.5408283763759254E-3</v>
      </c>
      <c r="F883" s="399">
        <v>16.84</v>
      </c>
      <c r="G883" s="400">
        <f t="shared" si="27"/>
        <v>-2.3201856148491795E-2</v>
      </c>
    </row>
    <row r="884" spans="1:7" x14ac:dyDescent="0.2">
      <c r="A884" s="402">
        <v>43956</v>
      </c>
      <c r="C884" s="399">
        <v>62.319679000000001</v>
      </c>
      <c r="D884" s="400">
        <f t="shared" si="26"/>
        <v>9.0290267022967718E-3</v>
      </c>
      <c r="F884" s="399">
        <v>16.899999999999999</v>
      </c>
      <c r="G884" s="400">
        <f t="shared" si="27"/>
        <v>3.5629453681709222E-3</v>
      </c>
    </row>
    <row r="885" spans="1:7" x14ac:dyDescent="0.2">
      <c r="A885" s="402">
        <v>43957</v>
      </c>
      <c r="C885" s="399">
        <v>62.016392000000003</v>
      </c>
      <c r="D885" s="400">
        <f t="shared" si="26"/>
        <v>-4.8666328977721163E-3</v>
      </c>
      <c r="F885" s="399">
        <v>16.209999</v>
      </c>
      <c r="G885" s="400">
        <f t="shared" si="27"/>
        <v>-4.0828461538461425E-2</v>
      </c>
    </row>
    <row r="886" spans="1:7" x14ac:dyDescent="0.2">
      <c r="A886" s="402">
        <v>43958</v>
      </c>
      <c r="C886" s="399">
        <v>62.769706999999997</v>
      </c>
      <c r="D886" s="400">
        <f t="shared" si="26"/>
        <v>1.2147030417377191E-2</v>
      </c>
      <c r="F886" s="399">
        <v>17.149999999999999</v>
      </c>
      <c r="G886" s="400">
        <f t="shared" si="27"/>
        <v>5.7988961011040008E-2</v>
      </c>
    </row>
    <row r="887" spans="1:7" x14ac:dyDescent="0.2">
      <c r="A887" s="402">
        <v>43959</v>
      </c>
      <c r="C887" s="399">
        <v>64.002410999999995</v>
      </c>
      <c r="D887" s="400">
        <f t="shared" si="26"/>
        <v>1.9638517669040567E-2</v>
      </c>
      <c r="F887" s="399">
        <v>17.889999</v>
      </c>
      <c r="G887" s="400">
        <f t="shared" si="27"/>
        <v>4.3148629737609356E-2</v>
      </c>
    </row>
    <row r="888" spans="1:7" x14ac:dyDescent="0.2">
      <c r="A888" s="402">
        <v>43962</v>
      </c>
      <c r="C888" s="399">
        <v>63.943710000000003</v>
      </c>
      <c r="D888" s="400">
        <f t="shared" si="26"/>
        <v>-9.1716857354007253E-4</v>
      </c>
      <c r="F888" s="399">
        <v>17.620000999999998</v>
      </c>
      <c r="G888" s="400">
        <f t="shared" si="27"/>
        <v>-1.5092119345562871E-2</v>
      </c>
    </row>
    <row r="889" spans="1:7" x14ac:dyDescent="0.2">
      <c r="A889" s="402">
        <v>43963</v>
      </c>
      <c r="C889" s="399">
        <v>62.485996</v>
      </c>
      <c r="D889" s="400">
        <f t="shared" si="26"/>
        <v>-2.2796831775947934E-2</v>
      </c>
      <c r="F889" s="399">
        <v>16.540001</v>
      </c>
      <c r="G889" s="400">
        <f t="shared" si="27"/>
        <v>-6.1293980630307443E-2</v>
      </c>
    </row>
    <row r="890" spans="1:7" x14ac:dyDescent="0.2">
      <c r="A890" s="402">
        <v>43964</v>
      </c>
      <c r="C890" s="399">
        <v>61.370697</v>
      </c>
      <c r="D890" s="400">
        <f t="shared" si="26"/>
        <v>-1.7848783269774571E-2</v>
      </c>
      <c r="F890" s="399">
        <v>15.31</v>
      </c>
      <c r="G890" s="400">
        <f t="shared" si="27"/>
        <v>-7.4365231295935197E-2</v>
      </c>
    </row>
    <row r="891" spans="1:7" x14ac:dyDescent="0.2">
      <c r="A891" s="402">
        <v>43965</v>
      </c>
      <c r="C891" s="399">
        <v>62.035964999999997</v>
      </c>
      <c r="D891" s="400">
        <f t="shared" si="26"/>
        <v>1.0840157151873253E-2</v>
      </c>
      <c r="F891" s="399">
        <v>15.7</v>
      </c>
      <c r="G891" s="400">
        <f t="shared" si="27"/>
        <v>2.5473546701502148E-2</v>
      </c>
    </row>
    <row r="892" spans="1:7" x14ac:dyDescent="0.2">
      <c r="A892" s="402">
        <v>43966</v>
      </c>
      <c r="C892" s="399">
        <v>62.358814000000002</v>
      </c>
      <c r="D892" s="400">
        <f t="shared" si="26"/>
        <v>5.2042230664099964E-3</v>
      </c>
      <c r="F892" s="399">
        <v>16.09</v>
      </c>
      <c r="G892" s="400">
        <f t="shared" si="27"/>
        <v>2.4840764331210297E-2</v>
      </c>
    </row>
    <row r="893" spans="1:7" x14ac:dyDescent="0.2">
      <c r="A893" s="402">
        <v>43969</v>
      </c>
      <c r="C893" s="399">
        <v>64.491569999999996</v>
      </c>
      <c r="D893" s="400">
        <f t="shared" si="26"/>
        <v>3.4201356042467213E-2</v>
      </c>
      <c r="F893" s="399">
        <v>18.879999000000002</v>
      </c>
      <c r="G893" s="400">
        <f t="shared" si="27"/>
        <v>0.17339956494717224</v>
      </c>
    </row>
    <row r="894" spans="1:7" x14ac:dyDescent="0.2">
      <c r="A894" s="402">
        <v>43970</v>
      </c>
      <c r="C894" s="399">
        <v>63.787166999999997</v>
      </c>
      <c r="D894" s="400">
        <f t="shared" si="26"/>
        <v>-1.0922404277024067E-2</v>
      </c>
      <c r="F894" s="399">
        <v>17.709999</v>
      </c>
      <c r="G894" s="400">
        <f t="shared" si="27"/>
        <v>-6.1970342265378342E-2</v>
      </c>
    </row>
    <row r="895" spans="1:7" x14ac:dyDescent="0.2">
      <c r="A895" s="402">
        <v>43971</v>
      </c>
      <c r="C895" s="399">
        <v>64.990532000000002</v>
      </c>
      <c r="D895" s="400">
        <f t="shared" si="26"/>
        <v>1.8865315024885865E-2</v>
      </c>
      <c r="F895" s="399">
        <v>18.510000000000002</v>
      </c>
      <c r="G895" s="400">
        <f t="shared" si="27"/>
        <v>4.5172278101201613E-2</v>
      </c>
    </row>
    <row r="896" spans="1:7" x14ac:dyDescent="0.2">
      <c r="A896" s="402">
        <v>43972</v>
      </c>
      <c r="C896" s="399">
        <v>64.589409000000003</v>
      </c>
      <c r="D896" s="400">
        <f t="shared" si="26"/>
        <v>-6.1720221031580369E-3</v>
      </c>
      <c r="F896" s="399">
        <v>18.440000999999999</v>
      </c>
      <c r="G896" s="400">
        <f t="shared" si="27"/>
        <v>-3.781685575364846E-3</v>
      </c>
    </row>
    <row r="897" spans="1:7" x14ac:dyDescent="0.2">
      <c r="A897" s="402">
        <v>43973</v>
      </c>
      <c r="C897" s="399">
        <v>64.736153000000002</v>
      </c>
      <c r="D897" s="400">
        <f t="shared" si="26"/>
        <v>2.2719514278262132E-3</v>
      </c>
      <c r="F897" s="399">
        <v>19.18</v>
      </c>
      <c r="G897" s="400">
        <f t="shared" si="27"/>
        <v>4.0130095437630464E-2</v>
      </c>
    </row>
    <row r="898" spans="1:7" x14ac:dyDescent="0.2">
      <c r="A898" s="402">
        <v>43977</v>
      </c>
      <c r="C898" s="399">
        <v>65.616660999999993</v>
      </c>
      <c r="D898" s="400">
        <f t="shared" si="26"/>
        <v>1.3601487873398765E-2</v>
      </c>
      <c r="F898" s="399">
        <v>20.559999000000001</v>
      </c>
      <c r="G898" s="400">
        <f t="shared" si="27"/>
        <v>7.1949895724713331E-2</v>
      </c>
    </row>
    <row r="899" spans="1:7" x14ac:dyDescent="0.2">
      <c r="A899" s="402">
        <v>43978</v>
      </c>
      <c r="C899" s="399">
        <v>66.731955999999997</v>
      </c>
      <c r="D899" s="400">
        <f t="shared" si="26"/>
        <v>1.6997131262134868E-2</v>
      </c>
      <c r="F899" s="399">
        <v>22.290001</v>
      </c>
      <c r="G899" s="400">
        <f t="shared" si="27"/>
        <v>8.4144070240470326E-2</v>
      </c>
    </row>
    <row r="900" spans="1:7" x14ac:dyDescent="0.2">
      <c r="A900" s="402">
        <v>43979</v>
      </c>
      <c r="C900" s="399">
        <v>66.487365999999994</v>
      </c>
      <c r="D900" s="400">
        <f t="shared" si="26"/>
        <v>-3.6652604638174324E-3</v>
      </c>
      <c r="F900" s="399">
        <v>20.66</v>
      </c>
      <c r="G900" s="400">
        <f t="shared" si="27"/>
        <v>-7.3127004346029367E-2</v>
      </c>
    </row>
    <row r="901" spans="1:7" x14ac:dyDescent="0.2">
      <c r="A901" s="402">
        <v>43980</v>
      </c>
      <c r="C901" s="399">
        <v>66.673264000000003</v>
      </c>
      <c r="D901" s="400">
        <f t="shared" si="26"/>
        <v>2.7959898426417329E-3</v>
      </c>
      <c r="F901" s="399">
        <v>20.809999000000001</v>
      </c>
      <c r="G901" s="400">
        <f t="shared" si="27"/>
        <v>7.2603581800581019E-3</v>
      </c>
    </row>
    <row r="902" spans="1:7" x14ac:dyDescent="0.2">
      <c r="A902" s="402">
        <v>43983</v>
      </c>
      <c r="C902" s="399">
        <v>67.103706000000003</v>
      </c>
      <c r="D902" s="400">
        <f t="shared" si="26"/>
        <v>6.4559911151191862E-3</v>
      </c>
      <c r="F902" s="399">
        <v>21.5</v>
      </c>
      <c r="G902" s="400">
        <f t="shared" si="27"/>
        <v>3.3157185639461018E-2</v>
      </c>
    </row>
    <row r="903" spans="1:7" x14ac:dyDescent="0.2">
      <c r="A903" s="402">
        <v>43984</v>
      </c>
      <c r="C903" s="399">
        <v>67.661361999999997</v>
      </c>
      <c r="D903" s="400">
        <f t="shared" ref="D903:D966" si="28">C903/C902-1</f>
        <v>8.3103606826124832E-3</v>
      </c>
      <c r="F903" s="399">
        <v>22.49</v>
      </c>
      <c r="G903" s="400">
        <f t="shared" ref="G903:G966" si="29">F903/F902-1</f>
        <v>4.6046511627906961E-2</v>
      </c>
    </row>
    <row r="904" spans="1:7" x14ac:dyDescent="0.2">
      <c r="A904" s="402">
        <v>43985</v>
      </c>
      <c r="C904" s="399">
        <v>68.727744999999999</v>
      </c>
      <c r="D904" s="400">
        <f t="shared" si="28"/>
        <v>1.5760590216910009E-2</v>
      </c>
      <c r="F904" s="399">
        <v>22.25</v>
      </c>
      <c r="G904" s="400">
        <f t="shared" si="29"/>
        <v>-1.0671409515340069E-2</v>
      </c>
    </row>
    <row r="905" spans="1:7" x14ac:dyDescent="0.2">
      <c r="A905" s="402">
        <v>43986</v>
      </c>
      <c r="C905" s="399">
        <v>68.463607999999994</v>
      </c>
      <c r="D905" s="400">
        <f t="shared" si="28"/>
        <v>-3.8432368179692755E-3</v>
      </c>
      <c r="F905" s="399">
        <v>22.440000999999999</v>
      </c>
      <c r="G905" s="400">
        <f t="shared" si="29"/>
        <v>8.5393707865168977E-3</v>
      </c>
    </row>
    <row r="906" spans="1:7" x14ac:dyDescent="0.2">
      <c r="A906" s="402">
        <v>43987</v>
      </c>
      <c r="C906" s="399">
        <v>70.302864</v>
      </c>
      <c r="D906" s="400">
        <f t="shared" si="28"/>
        <v>2.686472497914516E-2</v>
      </c>
      <c r="F906" s="399">
        <v>23.540001</v>
      </c>
      <c r="G906" s="400">
        <f t="shared" si="29"/>
        <v>4.9019605658662924E-2</v>
      </c>
    </row>
    <row r="907" spans="1:7" x14ac:dyDescent="0.2">
      <c r="A907" s="402">
        <v>43990</v>
      </c>
      <c r="C907" s="399">
        <v>71.222487999999998</v>
      </c>
      <c r="D907" s="400">
        <f t="shared" si="28"/>
        <v>1.3080889563759523E-2</v>
      </c>
      <c r="F907" s="399">
        <v>23.4</v>
      </c>
      <c r="G907" s="400">
        <f t="shared" si="29"/>
        <v>-5.9473659325673944E-3</v>
      </c>
    </row>
    <row r="908" spans="1:7" x14ac:dyDescent="0.2">
      <c r="A908" s="402">
        <v>43991</v>
      </c>
      <c r="C908" s="399">
        <v>70.576781999999994</v>
      </c>
      <c r="D908" s="400">
        <f t="shared" si="28"/>
        <v>-9.0660410515286394E-3</v>
      </c>
      <c r="F908" s="399">
        <v>22.709999</v>
      </c>
      <c r="G908" s="400">
        <f t="shared" si="29"/>
        <v>-2.948722222222222E-2</v>
      </c>
    </row>
    <row r="909" spans="1:7" x14ac:dyDescent="0.2">
      <c r="A909" s="402">
        <v>43992</v>
      </c>
      <c r="C909" s="399">
        <v>70.058273</v>
      </c>
      <c r="D909" s="400">
        <f t="shared" si="28"/>
        <v>-7.346736211350513E-3</v>
      </c>
      <c r="F909" s="399">
        <v>22.690000999999999</v>
      </c>
      <c r="G909" s="400">
        <f t="shared" si="29"/>
        <v>-8.8058128051882179E-4</v>
      </c>
    </row>
    <row r="910" spans="1:7" x14ac:dyDescent="0.2">
      <c r="A910" s="402">
        <v>43993</v>
      </c>
      <c r="C910" s="399">
        <v>65.988410999999999</v>
      </c>
      <c r="D910" s="400">
        <f t="shared" si="28"/>
        <v>-5.8092525346721047E-2</v>
      </c>
      <c r="F910" s="399">
        <v>20.67</v>
      </c>
      <c r="G910" s="400">
        <f t="shared" si="29"/>
        <v>-8.902604279303461E-2</v>
      </c>
    </row>
    <row r="911" spans="1:7" x14ac:dyDescent="0.2">
      <c r="A911" s="402">
        <v>43994</v>
      </c>
      <c r="C911" s="399">
        <v>66.722167999999996</v>
      </c>
      <c r="D911" s="400">
        <f t="shared" si="28"/>
        <v>1.1119482783120693E-2</v>
      </c>
      <c r="F911" s="399">
        <v>20.99</v>
      </c>
      <c r="G911" s="400">
        <f t="shared" si="29"/>
        <v>1.5481373971939938E-2</v>
      </c>
    </row>
    <row r="912" spans="1:7" x14ac:dyDescent="0.2">
      <c r="A912" s="402">
        <v>43997</v>
      </c>
      <c r="C912" s="399">
        <v>67.494263000000004</v>
      </c>
      <c r="D912" s="400">
        <f t="shared" si="28"/>
        <v>1.1571791252346753E-2</v>
      </c>
      <c r="F912" s="399">
        <v>22.74</v>
      </c>
      <c r="G912" s="400">
        <f t="shared" si="29"/>
        <v>8.3373034778466026E-2</v>
      </c>
    </row>
    <row r="913" spans="1:7" x14ac:dyDescent="0.2">
      <c r="A913" s="402">
        <v>43998</v>
      </c>
      <c r="C913" s="399">
        <v>68.849838000000005</v>
      </c>
      <c r="D913" s="400">
        <f t="shared" si="28"/>
        <v>2.0084299609286926E-2</v>
      </c>
      <c r="F913" s="399">
        <v>23.049999</v>
      </c>
      <c r="G913" s="400">
        <f t="shared" si="29"/>
        <v>1.3632321899736288E-2</v>
      </c>
    </row>
    <row r="914" spans="1:7" x14ac:dyDescent="0.2">
      <c r="A914" s="402">
        <v>43999</v>
      </c>
      <c r="C914" s="399">
        <v>68.515861999999998</v>
      </c>
      <c r="D914" s="400">
        <f t="shared" si="28"/>
        <v>-4.8507884651813882E-3</v>
      </c>
      <c r="F914" s="399">
        <v>22.26</v>
      </c>
      <c r="G914" s="400">
        <f t="shared" si="29"/>
        <v>-3.4273276974979394E-2</v>
      </c>
    </row>
    <row r="915" spans="1:7" x14ac:dyDescent="0.2">
      <c r="A915" s="402">
        <v>44000</v>
      </c>
      <c r="C915" s="399">
        <v>68.574791000000005</v>
      </c>
      <c r="D915" s="400">
        <f t="shared" si="28"/>
        <v>8.6007821079459035E-4</v>
      </c>
      <c r="F915" s="399">
        <v>22.110001</v>
      </c>
      <c r="G915" s="400">
        <f t="shared" si="29"/>
        <v>-6.7384995507637768E-3</v>
      </c>
    </row>
    <row r="916" spans="1:7" x14ac:dyDescent="0.2">
      <c r="A916" s="402">
        <v>44001</v>
      </c>
      <c r="C916" s="399">
        <v>68.191688999999997</v>
      </c>
      <c r="D916" s="400">
        <f t="shared" si="28"/>
        <v>-5.5866302239260257E-3</v>
      </c>
      <c r="F916" s="399">
        <v>21.58</v>
      </c>
      <c r="G916" s="400">
        <f t="shared" si="29"/>
        <v>-2.3971097966029142E-2</v>
      </c>
    </row>
    <row r="917" spans="1:7" x14ac:dyDescent="0.2">
      <c r="A917" s="402">
        <v>44004</v>
      </c>
      <c r="C917" s="399">
        <v>68.653373999999999</v>
      </c>
      <c r="D917" s="400">
        <f t="shared" si="28"/>
        <v>6.7703998356749562E-3</v>
      </c>
      <c r="F917" s="399">
        <v>21.700001</v>
      </c>
      <c r="G917" s="400">
        <f t="shared" si="29"/>
        <v>5.5607506950881014E-3</v>
      </c>
    </row>
    <row r="918" spans="1:7" x14ac:dyDescent="0.2">
      <c r="A918" s="402">
        <v>44005</v>
      </c>
      <c r="C918" s="399">
        <v>68.938248000000002</v>
      </c>
      <c r="D918" s="400">
        <f t="shared" si="28"/>
        <v>4.1494537471675752E-3</v>
      </c>
      <c r="F918" s="399">
        <v>21.700001</v>
      </c>
      <c r="G918" s="400">
        <f t="shared" si="29"/>
        <v>0</v>
      </c>
    </row>
    <row r="919" spans="1:7" x14ac:dyDescent="0.2">
      <c r="A919" s="402">
        <v>44006</v>
      </c>
      <c r="C919" s="399">
        <v>67.042396999999994</v>
      </c>
      <c r="D919" s="400">
        <f t="shared" si="28"/>
        <v>-2.7500713392078158E-2</v>
      </c>
      <c r="F919" s="399">
        <v>20.66</v>
      </c>
      <c r="G919" s="400">
        <f t="shared" si="29"/>
        <v>-4.7926311155469525E-2</v>
      </c>
    </row>
    <row r="920" spans="1:7" x14ac:dyDescent="0.2">
      <c r="A920" s="402">
        <v>44007</v>
      </c>
      <c r="C920" s="399">
        <v>67.877357000000003</v>
      </c>
      <c r="D920" s="400">
        <f t="shared" si="28"/>
        <v>1.2454208640541475E-2</v>
      </c>
      <c r="F920" s="399">
        <v>20.309999000000001</v>
      </c>
      <c r="G920" s="400">
        <f t="shared" si="29"/>
        <v>-1.6940997095837296E-2</v>
      </c>
    </row>
    <row r="921" spans="1:7" x14ac:dyDescent="0.2">
      <c r="A921" s="402">
        <v>44008</v>
      </c>
      <c r="C921" s="399">
        <v>66.276199000000005</v>
      </c>
      <c r="D921" s="400">
        <f t="shared" si="28"/>
        <v>-2.3588985646568417E-2</v>
      </c>
      <c r="F921" s="399">
        <v>19.350000000000001</v>
      </c>
      <c r="G921" s="400">
        <f t="shared" si="29"/>
        <v>-4.7267309072738017E-2</v>
      </c>
    </row>
    <row r="922" spans="1:7" x14ac:dyDescent="0.2">
      <c r="A922" s="402">
        <v>44011</v>
      </c>
      <c r="C922" s="399">
        <v>67.278152000000006</v>
      </c>
      <c r="D922" s="400">
        <f t="shared" si="28"/>
        <v>1.5117840418096495E-2</v>
      </c>
      <c r="F922" s="399">
        <v>20.459999</v>
      </c>
      <c r="G922" s="400">
        <f t="shared" si="29"/>
        <v>5.7364289405684721E-2</v>
      </c>
    </row>
    <row r="923" spans="1:7" x14ac:dyDescent="0.2">
      <c r="A923" s="402">
        <v>44012</v>
      </c>
      <c r="C923" s="399">
        <v>68.211342000000002</v>
      </c>
      <c r="D923" s="400">
        <f t="shared" si="28"/>
        <v>1.3870624746054272E-2</v>
      </c>
      <c r="F923" s="399">
        <v>20.700001</v>
      </c>
      <c r="G923" s="400">
        <f t="shared" si="29"/>
        <v>1.1730303603631587E-2</v>
      </c>
    </row>
    <row r="924" spans="1:7" x14ac:dyDescent="0.2">
      <c r="A924" s="402">
        <v>44013</v>
      </c>
      <c r="C924" s="399">
        <v>68.574791000000005</v>
      </c>
      <c r="D924" s="400">
        <f t="shared" si="28"/>
        <v>5.3282781036620985E-3</v>
      </c>
      <c r="F924" s="399">
        <v>19.73</v>
      </c>
      <c r="G924" s="400">
        <f t="shared" si="29"/>
        <v>-4.6859949427055625E-2</v>
      </c>
    </row>
    <row r="925" spans="1:7" x14ac:dyDescent="0.2">
      <c r="A925" s="402">
        <v>44014</v>
      </c>
      <c r="C925" s="399">
        <v>69.203468000000001</v>
      </c>
      <c r="D925" s="400">
        <f t="shared" si="28"/>
        <v>9.1677567052299569E-3</v>
      </c>
      <c r="F925" s="399">
        <v>20.07</v>
      </c>
      <c r="G925" s="400">
        <f t="shared" si="29"/>
        <v>1.723264064875818E-2</v>
      </c>
    </row>
    <row r="926" spans="1:7" x14ac:dyDescent="0.2">
      <c r="A926" s="402">
        <v>44018</v>
      </c>
      <c r="C926" s="399">
        <v>69.979491999999993</v>
      </c>
      <c r="D926" s="400">
        <f t="shared" si="28"/>
        <v>1.1213657673918798E-2</v>
      </c>
      <c r="F926" s="399">
        <v>20.43</v>
      </c>
      <c r="G926" s="400">
        <f t="shared" si="29"/>
        <v>1.7937219730941756E-2</v>
      </c>
    </row>
    <row r="927" spans="1:7" x14ac:dyDescent="0.2">
      <c r="A927" s="402">
        <v>44019</v>
      </c>
      <c r="C927" s="399">
        <v>69.232956000000001</v>
      </c>
      <c r="D927" s="400">
        <f t="shared" si="28"/>
        <v>-1.0667925397343403E-2</v>
      </c>
      <c r="F927" s="399">
        <v>19.84</v>
      </c>
      <c r="G927" s="400">
        <f t="shared" si="29"/>
        <v>-2.8879099363680827E-2</v>
      </c>
    </row>
    <row r="928" spans="1:7" x14ac:dyDescent="0.2">
      <c r="A928" s="402">
        <v>44020</v>
      </c>
      <c r="C928" s="399">
        <v>69.841965000000002</v>
      </c>
      <c r="D928" s="400">
        <f t="shared" si="28"/>
        <v>8.7965188139591532E-3</v>
      </c>
      <c r="F928" s="399">
        <v>20.860001</v>
      </c>
      <c r="G928" s="400">
        <f t="shared" si="29"/>
        <v>5.1411340725806554E-2</v>
      </c>
    </row>
    <row r="929" spans="1:7" x14ac:dyDescent="0.2">
      <c r="A929" s="402">
        <v>44021</v>
      </c>
      <c r="C929" s="399">
        <v>69.429412999999997</v>
      </c>
      <c r="D929" s="400">
        <f t="shared" si="28"/>
        <v>-5.9069357513066301E-3</v>
      </c>
      <c r="F929" s="399">
        <v>19.59</v>
      </c>
      <c r="G929" s="400">
        <f t="shared" si="29"/>
        <v>-6.0882115969217887E-2</v>
      </c>
    </row>
    <row r="930" spans="1:7" x14ac:dyDescent="0.2">
      <c r="A930" s="402">
        <v>44022</v>
      </c>
      <c r="C930" s="399">
        <v>70.156311000000002</v>
      </c>
      <c r="D930" s="400">
        <f t="shared" si="28"/>
        <v>1.0469597373666595E-2</v>
      </c>
      <c r="F930" s="399">
        <v>19.91</v>
      </c>
      <c r="G930" s="400">
        <f t="shared" si="29"/>
        <v>1.6334864726901488E-2</v>
      </c>
    </row>
    <row r="931" spans="1:7" x14ac:dyDescent="0.2">
      <c r="A931" s="402">
        <v>44025</v>
      </c>
      <c r="C931" s="399">
        <v>69.350814999999997</v>
      </c>
      <c r="D931" s="400">
        <f t="shared" si="28"/>
        <v>-1.148144747804658E-2</v>
      </c>
      <c r="F931" s="399">
        <v>19.34</v>
      </c>
      <c r="G931" s="400">
        <f t="shared" si="29"/>
        <v>-2.8628829733802097E-2</v>
      </c>
    </row>
    <row r="932" spans="1:7" x14ac:dyDescent="0.2">
      <c r="A932" s="402">
        <v>44026</v>
      </c>
      <c r="C932" s="399">
        <v>70.274178000000006</v>
      </c>
      <c r="D932" s="400">
        <f t="shared" si="28"/>
        <v>1.3314378497210289E-2</v>
      </c>
      <c r="F932" s="399">
        <v>20.719999000000001</v>
      </c>
      <c r="G932" s="400">
        <f t="shared" si="29"/>
        <v>7.1354653567735404E-2</v>
      </c>
    </row>
    <row r="933" spans="1:7" x14ac:dyDescent="0.2">
      <c r="A933" s="402">
        <v>44027</v>
      </c>
      <c r="C933" s="399">
        <v>71.197563000000002</v>
      </c>
      <c r="D933" s="400">
        <f t="shared" si="28"/>
        <v>1.3139748144759489E-2</v>
      </c>
      <c r="F933" s="399">
        <v>22.02</v>
      </c>
      <c r="G933" s="400">
        <f t="shared" si="29"/>
        <v>6.2741364031918989E-2</v>
      </c>
    </row>
    <row r="934" spans="1:7" x14ac:dyDescent="0.2">
      <c r="A934" s="402">
        <v>44028</v>
      </c>
      <c r="C934" s="399">
        <v>70.902862999999996</v>
      </c>
      <c r="D934" s="400">
        <f t="shared" si="28"/>
        <v>-4.1391866179465442E-3</v>
      </c>
      <c r="F934" s="399">
        <v>22.35</v>
      </c>
      <c r="G934" s="400">
        <f t="shared" si="29"/>
        <v>1.4986376021798531E-2</v>
      </c>
    </row>
    <row r="935" spans="1:7" x14ac:dyDescent="0.2">
      <c r="A935" s="402">
        <v>44029</v>
      </c>
      <c r="C935" s="399">
        <v>71.148430000000005</v>
      </c>
      <c r="D935" s="400">
        <f t="shared" si="28"/>
        <v>3.4634285501278228E-3</v>
      </c>
      <c r="F935" s="399">
        <v>22.049999</v>
      </c>
      <c r="G935" s="400">
        <f t="shared" si="29"/>
        <v>-1.34228635346757E-2</v>
      </c>
    </row>
    <row r="936" spans="1:7" x14ac:dyDescent="0.2">
      <c r="A936" s="402">
        <v>44032</v>
      </c>
      <c r="C936" s="399">
        <v>71.718185000000005</v>
      </c>
      <c r="D936" s="400">
        <f t="shared" si="28"/>
        <v>8.0079771261292176E-3</v>
      </c>
      <c r="F936" s="399">
        <v>21.9</v>
      </c>
      <c r="G936" s="400">
        <f t="shared" si="29"/>
        <v>-6.8026760454729107E-3</v>
      </c>
    </row>
    <row r="937" spans="1:7" x14ac:dyDescent="0.2">
      <c r="A937" s="402">
        <v>44033</v>
      </c>
      <c r="C937" s="399">
        <v>71.855698000000004</v>
      </c>
      <c r="D937" s="400">
        <f t="shared" si="28"/>
        <v>1.9174076979220356E-3</v>
      </c>
      <c r="F937" s="399">
        <v>22.27</v>
      </c>
      <c r="G937" s="400">
        <f t="shared" si="29"/>
        <v>1.6894977168949721E-2</v>
      </c>
    </row>
    <row r="938" spans="1:7" x14ac:dyDescent="0.2">
      <c r="A938" s="402">
        <v>44034</v>
      </c>
      <c r="C938" s="399">
        <v>72.297736999999998</v>
      </c>
      <c r="D938" s="400">
        <f t="shared" si="28"/>
        <v>6.1517598785276739E-3</v>
      </c>
      <c r="F938" s="399">
        <v>23.290001</v>
      </c>
      <c r="G938" s="400">
        <f t="shared" si="29"/>
        <v>4.5801571621014947E-2</v>
      </c>
    </row>
    <row r="939" spans="1:7" x14ac:dyDescent="0.2">
      <c r="A939" s="402">
        <v>44035</v>
      </c>
      <c r="C939" s="399">
        <v>71.492249000000001</v>
      </c>
      <c r="D939" s="400">
        <f t="shared" si="28"/>
        <v>-1.1141261586099072E-2</v>
      </c>
      <c r="F939" s="399">
        <v>23.26</v>
      </c>
      <c r="G939" s="400">
        <f t="shared" si="29"/>
        <v>-1.2881493650429565E-3</v>
      </c>
    </row>
    <row r="940" spans="1:7" x14ac:dyDescent="0.2">
      <c r="A940" s="402">
        <v>44036</v>
      </c>
      <c r="C940" s="399">
        <v>70.902862999999996</v>
      </c>
      <c r="D940" s="400">
        <f t="shared" si="28"/>
        <v>-8.2440545407936883E-3</v>
      </c>
      <c r="F940" s="399">
        <v>23.1</v>
      </c>
      <c r="G940" s="400">
        <f t="shared" si="29"/>
        <v>-6.8787618228718372E-3</v>
      </c>
    </row>
    <row r="941" spans="1:7" x14ac:dyDescent="0.2">
      <c r="A941" s="402">
        <v>44039</v>
      </c>
      <c r="C941" s="399">
        <v>71.551177999999993</v>
      </c>
      <c r="D941" s="400">
        <f t="shared" si="28"/>
        <v>9.1437069332447329E-3</v>
      </c>
      <c r="F941" s="399">
        <v>23.809999000000001</v>
      </c>
      <c r="G941" s="400">
        <f t="shared" si="29"/>
        <v>3.07358874458874E-2</v>
      </c>
    </row>
    <row r="942" spans="1:7" x14ac:dyDescent="0.2">
      <c r="A942" s="402">
        <v>44040</v>
      </c>
      <c r="C942" s="399">
        <v>71.020743999999993</v>
      </c>
      <c r="D942" s="400">
        <f t="shared" si="28"/>
        <v>-7.4133510422428328E-3</v>
      </c>
      <c r="F942" s="399">
        <v>22.559999000000001</v>
      </c>
      <c r="G942" s="400">
        <f t="shared" si="29"/>
        <v>-5.2498952225911499E-2</v>
      </c>
    </row>
    <row r="943" spans="1:7" x14ac:dyDescent="0.2">
      <c r="A943" s="402">
        <v>44041</v>
      </c>
      <c r="C943" s="399">
        <v>72.032523999999995</v>
      </c>
      <c r="D943" s="400">
        <f t="shared" si="28"/>
        <v>1.4246260219408668E-2</v>
      </c>
      <c r="F943" s="399">
        <v>23.700001</v>
      </c>
      <c r="G943" s="400">
        <f t="shared" si="29"/>
        <v>5.0532005785993039E-2</v>
      </c>
    </row>
    <row r="944" spans="1:7" x14ac:dyDescent="0.2">
      <c r="A944" s="402">
        <v>44042</v>
      </c>
      <c r="C944" s="399">
        <v>71.796752999999995</v>
      </c>
      <c r="D944" s="400">
        <f t="shared" si="28"/>
        <v>-3.2731186817777091E-3</v>
      </c>
      <c r="F944" s="399">
        <v>23.43</v>
      </c>
      <c r="G944" s="400">
        <f t="shared" si="29"/>
        <v>-1.1392446776690046E-2</v>
      </c>
    </row>
    <row r="945" spans="1:7" x14ac:dyDescent="0.2">
      <c r="A945" s="402">
        <v>44043</v>
      </c>
      <c r="C945" s="399">
        <v>72.140572000000006</v>
      </c>
      <c r="D945" s="400">
        <f t="shared" si="28"/>
        <v>4.7887820219392196E-3</v>
      </c>
      <c r="F945" s="399">
        <v>23.690000999999999</v>
      </c>
      <c r="G945" s="400">
        <f t="shared" si="29"/>
        <v>1.1096927016645219E-2</v>
      </c>
    </row>
    <row r="946" spans="1:7" x14ac:dyDescent="0.2">
      <c r="A946" s="402">
        <v>44046</v>
      </c>
      <c r="C946" s="399">
        <v>72.779067999999995</v>
      </c>
      <c r="D946" s="400">
        <f t="shared" si="28"/>
        <v>8.850719952705477E-3</v>
      </c>
      <c r="F946" s="399">
        <v>27.27</v>
      </c>
      <c r="G946" s="400">
        <f t="shared" si="29"/>
        <v>0.15111856685865077</v>
      </c>
    </row>
    <row r="947" spans="1:7" x14ac:dyDescent="0.2">
      <c r="A947" s="402">
        <v>44047</v>
      </c>
      <c r="C947" s="399">
        <v>73.034469999999999</v>
      </c>
      <c r="D947" s="400">
        <f t="shared" si="28"/>
        <v>3.5092782446732862E-3</v>
      </c>
      <c r="F947" s="399">
        <v>26.219999000000001</v>
      </c>
      <c r="G947" s="400">
        <f t="shared" si="29"/>
        <v>-3.850388705537211E-2</v>
      </c>
    </row>
    <row r="948" spans="1:7" x14ac:dyDescent="0.2">
      <c r="A948" s="402">
        <v>44048</v>
      </c>
      <c r="C948" s="399">
        <v>73.614036999999996</v>
      </c>
      <c r="D948" s="400">
        <f t="shared" si="28"/>
        <v>7.9355268820324731E-3</v>
      </c>
      <c r="F948" s="399">
        <v>26.530000999999999</v>
      </c>
      <c r="G948" s="400">
        <f t="shared" si="29"/>
        <v>1.1823112579065986E-2</v>
      </c>
    </row>
    <row r="949" spans="1:7" x14ac:dyDescent="0.2">
      <c r="A949" s="402">
        <v>44049</v>
      </c>
      <c r="C949" s="399">
        <v>73.987305000000006</v>
      </c>
      <c r="D949" s="400">
        <f t="shared" si="28"/>
        <v>5.0706090198533449E-3</v>
      </c>
      <c r="F949" s="399">
        <v>26.49</v>
      </c>
      <c r="G949" s="400">
        <f t="shared" si="29"/>
        <v>-1.5077647377397252E-3</v>
      </c>
    </row>
    <row r="950" spans="1:7" x14ac:dyDescent="0.2">
      <c r="A950" s="402">
        <v>44050</v>
      </c>
      <c r="C950" s="399">
        <v>74.026595999999998</v>
      </c>
      <c r="D950" s="400">
        <f t="shared" si="28"/>
        <v>5.3105056333646594E-4</v>
      </c>
      <c r="F950" s="399">
        <v>26.92</v>
      </c>
      <c r="G950" s="400">
        <f t="shared" si="29"/>
        <v>1.6232540581351484E-2</v>
      </c>
    </row>
    <row r="951" spans="1:7" x14ac:dyDescent="0.2">
      <c r="A951" s="402">
        <v>44053</v>
      </c>
      <c r="C951" s="399">
        <v>74.232879999999994</v>
      </c>
      <c r="D951" s="400">
        <f t="shared" si="28"/>
        <v>2.7866200952966214E-3</v>
      </c>
      <c r="F951" s="399">
        <v>27.780000999999999</v>
      </c>
      <c r="G951" s="400">
        <f t="shared" si="29"/>
        <v>3.1946545319464947E-2</v>
      </c>
    </row>
    <row r="952" spans="1:7" x14ac:dyDescent="0.2">
      <c r="A952" s="402">
        <v>44054</v>
      </c>
      <c r="C952" s="399">
        <v>73.643501000000001</v>
      </c>
      <c r="D952" s="400">
        <f t="shared" si="28"/>
        <v>-7.9395949611545946E-3</v>
      </c>
      <c r="F952" s="399">
        <v>27.059999000000001</v>
      </c>
      <c r="G952" s="400">
        <f t="shared" si="29"/>
        <v>-2.5917997627141864E-2</v>
      </c>
    </row>
    <row r="953" spans="1:7" x14ac:dyDescent="0.2">
      <c r="A953" s="402">
        <v>44055</v>
      </c>
      <c r="C953" s="399">
        <v>74.684737999999996</v>
      </c>
      <c r="D953" s="400">
        <f t="shared" si="28"/>
        <v>1.4138885113568866E-2</v>
      </c>
      <c r="F953" s="399">
        <v>30.360001</v>
      </c>
      <c r="G953" s="400">
        <f t="shared" si="29"/>
        <v>0.12195129792872494</v>
      </c>
    </row>
    <row r="954" spans="1:7" x14ac:dyDescent="0.2">
      <c r="A954" s="402">
        <v>44056</v>
      </c>
      <c r="C954" s="399">
        <v>74.596344000000002</v>
      </c>
      <c r="D954" s="400">
        <f t="shared" si="28"/>
        <v>-1.183561760637053E-3</v>
      </c>
      <c r="F954" s="399">
        <v>31.379999000000002</v>
      </c>
      <c r="G954" s="400">
        <f t="shared" si="29"/>
        <v>3.3596770961898281E-2</v>
      </c>
    </row>
    <row r="955" spans="1:7" x14ac:dyDescent="0.2">
      <c r="A955" s="402">
        <v>44057</v>
      </c>
      <c r="C955" s="399">
        <v>74.596344000000002</v>
      </c>
      <c r="D955" s="400">
        <f t="shared" si="28"/>
        <v>0</v>
      </c>
      <c r="F955" s="399">
        <v>30.27</v>
      </c>
      <c r="G955" s="400">
        <f t="shared" si="29"/>
        <v>-3.5372818208184165E-2</v>
      </c>
    </row>
    <row r="956" spans="1:7" x14ac:dyDescent="0.2">
      <c r="A956" s="402">
        <v>44060</v>
      </c>
      <c r="C956" s="399">
        <v>74.910667000000004</v>
      </c>
      <c r="D956" s="400">
        <f t="shared" si="28"/>
        <v>4.2136515430299948E-3</v>
      </c>
      <c r="F956" s="399">
        <v>30.02</v>
      </c>
      <c r="G956" s="400">
        <f t="shared" si="29"/>
        <v>-8.2590023125206358E-3</v>
      </c>
    </row>
    <row r="957" spans="1:7" x14ac:dyDescent="0.2">
      <c r="A957" s="402">
        <v>44061</v>
      </c>
      <c r="C957" s="399">
        <v>75.018730000000005</v>
      </c>
      <c r="D957" s="400">
        <f t="shared" si="28"/>
        <v>1.4425582407375792E-3</v>
      </c>
      <c r="F957" s="399">
        <v>29.49</v>
      </c>
      <c r="G957" s="400">
        <f t="shared" si="29"/>
        <v>-1.7654896735509684E-2</v>
      </c>
    </row>
    <row r="958" spans="1:7" x14ac:dyDescent="0.2">
      <c r="A958" s="402">
        <v>44062</v>
      </c>
      <c r="C958" s="399">
        <v>74.665099999999995</v>
      </c>
      <c r="D958" s="400">
        <f t="shared" si="28"/>
        <v>-4.7138894513411023E-3</v>
      </c>
      <c r="F958" s="399">
        <v>28.809999000000001</v>
      </c>
      <c r="G958" s="400">
        <f t="shared" si="29"/>
        <v>-2.3058697863682531E-2</v>
      </c>
    </row>
    <row r="959" spans="1:7" x14ac:dyDescent="0.2">
      <c r="A959" s="402">
        <v>44063</v>
      </c>
      <c r="C959" s="399">
        <v>74.920494000000005</v>
      </c>
      <c r="D959" s="400">
        <f t="shared" si="28"/>
        <v>3.4205271271319226E-3</v>
      </c>
      <c r="F959" s="399">
        <v>28.17</v>
      </c>
      <c r="G959" s="400">
        <f t="shared" si="29"/>
        <v>-2.2214474911991466E-2</v>
      </c>
    </row>
    <row r="960" spans="1:7" x14ac:dyDescent="0.2">
      <c r="A960" s="402">
        <v>44064</v>
      </c>
      <c r="C960" s="399">
        <v>75.048195000000007</v>
      </c>
      <c r="D960" s="400">
        <f t="shared" si="28"/>
        <v>1.7044868924649403E-3</v>
      </c>
      <c r="F960" s="399">
        <v>28.620000999999998</v>
      </c>
      <c r="G960" s="400">
        <f t="shared" si="29"/>
        <v>1.5974476393326054E-2</v>
      </c>
    </row>
    <row r="961" spans="1:7" x14ac:dyDescent="0.2">
      <c r="A961" s="402">
        <v>44067</v>
      </c>
      <c r="C961" s="399">
        <v>75.834038000000007</v>
      </c>
      <c r="D961" s="400">
        <f t="shared" si="28"/>
        <v>1.0471177887755978E-2</v>
      </c>
      <c r="F961" s="399">
        <v>28.129999000000002</v>
      </c>
      <c r="G961" s="400">
        <f t="shared" si="29"/>
        <v>-1.7120963762370156E-2</v>
      </c>
    </row>
    <row r="962" spans="1:7" x14ac:dyDescent="0.2">
      <c r="A962" s="402">
        <v>44068</v>
      </c>
      <c r="C962" s="399">
        <v>76.030501999999998</v>
      </c>
      <c r="D962" s="400">
        <f t="shared" si="28"/>
        <v>2.5907099922595211E-3</v>
      </c>
      <c r="F962" s="399">
        <v>28.030000999999999</v>
      </c>
      <c r="G962" s="400">
        <f t="shared" si="29"/>
        <v>-3.5548525970442446E-3</v>
      </c>
    </row>
    <row r="963" spans="1:7" x14ac:dyDescent="0.2">
      <c r="A963" s="402">
        <v>44069</v>
      </c>
      <c r="C963" s="399">
        <v>76.747589000000005</v>
      </c>
      <c r="D963" s="400">
        <f t="shared" si="28"/>
        <v>9.4315699770075589E-3</v>
      </c>
      <c r="F963" s="399">
        <v>27.91</v>
      </c>
      <c r="G963" s="400">
        <f t="shared" si="29"/>
        <v>-4.2811628868653084E-3</v>
      </c>
    </row>
    <row r="964" spans="1:7" x14ac:dyDescent="0.2">
      <c r="A964" s="402">
        <v>44070</v>
      </c>
      <c r="C964" s="399">
        <v>76.983337000000006</v>
      </c>
      <c r="D964" s="400">
        <f t="shared" si="28"/>
        <v>3.0717316735513478E-3</v>
      </c>
      <c r="F964" s="399">
        <v>30.24</v>
      </c>
      <c r="G964" s="400">
        <f t="shared" si="29"/>
        <v>8.3482622715872479E-2</v>
      </c>
    </row>
    <row r="965" spans="1:7" x14ac:dyDescent="0.2">
      <c r="A965" s="402">
        <v>44071</v>
      </c>
      <c r="C965" s="399">
        <v>77.494140999999999</v>
      </c>
      <c r="D965" s="400">
        <f t="shared" si="28"/>
        <v>6.6352540680327809E-3</v>
      </c>
      <c r="F965" s="399">
        <v>31.67</v>
      </c>
      <c r="G965" s="400">
        <f t="shared" si="29"/>
        <v>4.728835978835999E-2</v>
      </c>
    </row>
    <row r="966" spans="1:7" x14ac:dyDescent="0.2">
      <c r="A966" s="402">
        <v>44074</v>
      </c>
      <c r="C966" s="399">
        <v>77.228920000000002</v>
      </c>
      <c r="D966" s="400">
        <f t="shared" si="28"/>
        <v>-3.4224651899812386E-3</v>
      </c>
      <c r="F966" s="399">
        <v>30.620000999999998</v>
      </c>
      <c r="G966" s="400">
        <f t="shared" si="29"/>
        <v>-3.315437322387127E-2</v>
      </c>
    </row>
    <row r="967" spans="1:7" x14ac:dyDescent="0.2">
      <c r="A967" s="402">
        <v>44075</v>
      </c>
      <c r="C967" s="399">
        <v>77.926345999999995</v>
      </c>
      <c r="D967" s="400">
        <f t="shared" ref="D967:D1030" si="30">C967/C966-1</f>
        <v>9.0306325661422271E-3</v>
      </c>
      <c r="F967" s="399">
        <v>30.98</v>
      </c>
      <c r="G967" s="400">
        <f t="shared" ref="G967:G1030" si="31">F967/F966-1</f>
        <v>1.1756988512181987E-2</v>
      </c>
    </row>
    <row r="968" spans="1:7" x14ac:dyDescent="0.2">
      <c r="A968" s="402">
        <v>44076</v>
      </c>
      <c r="C968" s="399">
        <v>79.046188000000001</v>
      </c>
      <c r="D968" s="400">
        <f t="shared" si="30"/>
        <v>1.4370518540674393E-2</v>
      </c>
      <c r="F968" s="399">
        <v>31.52</v>
      </c>
      <c r="G968" s="400">
        <f t="shared" si="31"/>
        <v>1.7430600387346562E-2</v>
      </c>
    </row>
    <row r="969" spans="1:7" x14ac:dyDescent="0.2">
      <c r="A969" s="402">
        <v>44077</v>
      </c>
      <c r="C969" s="399">
        <v>76.276077000000001</v>
      </c>
      <c r="D969" s="400">
        <f t="shared" si="30"/>
        <v>-3.5044207318384535E-2</v>
      </c>
      <c r="F969" s="399">
        <v>30.16</v>
      </c>
      <c r="G969" s="400">
        <f t="shared" si="31"/>
        <v>-4.3147208121827374E-2</v>
      </c>
    </row>
    <row r="970" spans="1:7" x14ac:dyDescent="0.2">
      <c r="A970" s="402">
        <v>44078</v>
      </c>
      <c r="C970" s="399">
        <v>75.608115999999995</v>
      </c>
      <c r="D970" s="400">
        <f t="shared" si="30"/>
        <v>-8.7571493746330109E-3</v>
      </c>
      <c r="F970" s="399">
        <v>30.02</v>
      </c>
      <c r="G970" s="400">
        <f t="shared" si="31"/>
        <v>-4.6419098143236637E-3</v>
      </c>
    </row>
    <row r="971" spans="1:7" x14ac:dyDescent="0.2">
      <c r="A971" s="402">
        <v>44082</v>
      </c>
      <c r="C971" s="399">
        <v>73.46669</v>
      </c>
      <c r="D971" s="400">
        <f t="shared" si="30"/>
        <v>-2.832270017150007E-2</v>
      </c>
      <c r="F971" s="399">
        <v>30.02</v>
      </c>
      <c r="G971" s="400">
        <f t="shared" si="31"/>
        <v>0</v>
      </c>
    </row>
    <row r="972" spans="1:7" x14ac:dyDescent="0.2">
      <c r="A972" s="402">
        <v>44083</v>
      </c>
      <c r="C972" s="399">
        <v>74.94014</v>
      </c>
      <c r="D972" s="400">
        <f t="shared" si="30"/>
        <v>2.0056028112876767E-2</v>
      </c>
      <c r="F972" s="399">
        <v>30.92</v>
      </c>
      <c r="G972" s="400">
        <f t="shared" si="31"/>
        <v>2.9980013324450328E-2</v>
      </c>
    </row>
    <row r="973" spans="1:7" x14ac:dyDescent="0.2">
      <c r="A973" s="402">
        <v>44084</v>
      </c>
      <c r="C973" s="399">
        <v>73.722083999999995</v>
      </c>
      <c r="D973" s="400">
        <f t="shared" si="30"/>
        <v>-1.625371930183217E-2</v>
      </c>
      <c r="F973" s="399">
        <v>31.219999000000001</v>
      </c>
      <c r="G973" s="400">
        <f t="shared" si="31"/>
        <v>9.7024256144890852E-3</v>
      </c>
    </row>
    <row r="974" spans="1:7" x14ac:dyDescent="0.2">
      <c r="A974" s="402">
        <v>44085</v>
      </c>
      <c r="C974" s="399">
        <v>73.702431000000004</v>
      </c>
      <c r="D974" s="400">
        <f t="shared" si="30"/>
        <v>-2.6658226319253853E-4</v>
      </c>
      <c r="F974" s="399">
        <v>31.9</v>
      </c>
      <c r="G974" s="400">
        <f t="shared" si="31"/>
        <v>2.1780942401695702E-2</v>
      </c>
    </row>
    <row r="975" spans="1:7" x14ac:dyDescent="0.2">
      <c r="A975" s="402">
        <v>44088</v>
      </c>
      <c r="C975" s="399">
        <v>74.841910999999996</v>
      </c>
      <c r="D975" s="400">
        <f t="shared" si="30"/>
        <v>1.5460548377298267E-2</v>
      </c>
      <c r="F975" s="399">
        <v>32.849997999999999</v>
      </c>
      <c r="G975" s="400">
        <f t="shared" si="31"/>
        <v>2.9780501567398199E-2</v>
      </c>
    </row>
    <row r="976" spans="1:7" x14ac:dyDescent="0.2">
      <c r="A976" s="402">
        <v>44089</v>
      </c>
      <c r="C976" s="399">
        <v>75.254478000000006</v>
      </c>
      <c r="D976" s="400">
        <f t="shared" si="30"/>
        <v>5.512512902029032E-3</v>
      </c>
      <c r="F976" s="399">
        <v>32.580002</v>
      </c>
      <c r="G976" s="400">
        <f t="shared" si="31"/>
        <v>-8.219056816989756E-3</v>
      </c>
    </row>
    <row r="977" spans="1:7" x14ac:dyDescent="0.2">
      <c r="A977" s="402">
        <v>44090</v>
      </c>
      <c r="C977" s="399">
        <v>74.979438999999999</v>
      </c>
      <c r="D977" s="400">
        <f t="shared" si="30"/>
        <v>-3.6547858321468452E-3</v>
      </c>
      <c r="F977" s="399">
        <v>33.169998</v>
      </c>
      <c r="G977" s="400">
        <f t="shared" si="31"/>
        <v>1.8109145604104038E-2</v>
      </c>
    </row>
    <row r="978" spans="1:7" x14ac:dyDescent="0.2">
      <c r="A978" s="402">
        <v>44091</v>
      </c>
      <c r="C978" s="399">
        <v>74.390052999999995</v>
      </c>
      <c r="D978" s="400">
        <f t="shared" si="30"/>
        <v>-7.8606349668741693E-3</v>
      </c>
      <c r="F978" s="399">
        <v>32.279998999999997</v>
      </c>
      <c r="G978" s="400">
        <f t="shared" si="31"/>
        <v>-2.6831445693786371E-2</v>
      </c>
    </row>
    <row r="979" spans="1:7" x14ac:dyDescent="0.2">
      <c r="A979" s="402">
        <v>44092</v>
      </c>
      <c r="C979" s="399">
        <v>73.643501000000001</v>
      </c>
      <c r="D979" s="400">
        <f t="shared" si="30"/>
        <v>-1.003564280294289E-2</v>
      </c>
      <c r="F979" s="399">
        <v>31.709999</v>
      </c>
      <c r="G979" s="400">
        <f t="shared" si="31"/>
        <v>-1.7657993112081494E-2</v>
      </c>
    </row>
    <row r="980" spans="1:7" x14ac:dyDescent="0.2">
      <c r="A980" s="402">
        <v>44095</v>
      </c>
      <c r="C980" s="399">
        <v>72.779067999999995</v>
      </c>
      <c r="D980" s="400">
        <f t="shared" si="30"/>
        <v>-1.173807584188602E-2</v>
      </c>
      <c r="F980" s="399">
        <v>30.049999</v>
      </c>
      <c r="G980" s="400">
        <f t="shared" si="31"/>
        <v>-5.2349418238707646E-2</v>
      </c>
    </row>
    <row r="981" spans="1:7" x14ac:dyDescent="0.2">
      <c r="A981" s="402">
        <v>44096</v>
      </c>
      <c r="C981" s="399">
        <v>73.456862999999998</v>
      </c>
      <c r="D981" s="400">
        <f t="shared" si="30"/>
        <v>9.3130486364569887E-3</v>
      </c>
      <c r="F981" s="399">
        <v>30.83</v>
      </c>
      <c r="G981" s="400">
        <f t="shared" si="31"/>
        <v>2.5956772910375125E-2</v>
      </c>
    </row>
    <row r="982" spans="1:7" x14ac:dyDescent="0.2">
      <c r="A982" s="402">
        <v>44097</v>
      </c>
      <c r="C982" s="399">
        <v>71.633460999999997</v>
      </c>
      <c r="D982" s="400">
        <f t="shared" si="30"/>
        <v>-2.4822758902731779E-2</v>
      </c>
      <c r="F982" s="399">
        <v>29.6</v>
      </c>
      <c r="G982" s="400">
        <f t="shared" si="31"/>
        <v>-3.9896204995134465E-2</v>
      </c>
    </row>
    <row r="983" spans="1:7" x14ac:dyDescent="0.2">
      <c r="A983" s="402">
        <v>44098</v>
      </c>
      <c r="C983" s="399">
        <v>71.811065999999997</v>
      </c>
      <c r="D983" s="400">
        <f t="shared" si="30"/>
        <v>2.4793580754112199E-3</v>
      </c>
      <c r="F983" s="399">
        <v>30.030000999999999</v>
      </c>
      <c r="G983" s="400">
        <f t="shared" si="31"/>
        <v>1.4527060810810788E-2</v>
      </c>
    </row>
    <row r="984" spans="1:7" x14ac:dyDescent="0.2">
      <c r="A984" s="402">
        <v>44099</v>
      </c>
      <c r="C984" s="399">
        <v>73.044426000000001</v>
      </c>
      <c r="D984" s="400">
        <f t="shared" si="30"/>
        <v>1.7175068811817962E-2</v>
      </c>
      <c r="F984" s="399">
        <v>30.59</v>
      </c>
      <c r="G984" s="400">
        <f t="shared" si="31"/>
        <v>1.8647984727006905E-2</v>
      </c>
    </row>
    <row r="985" spans="1:7" x14ac:dyDescent="0.2">
      <c r="A985" s="402">
        <v>44102</v>
      </c>
      <c r="C985" s="399">
        <v>74.297516000000002</v>
      </c>
      <c r="D985" s="400">
        <f t="shared" si="30"/>
        <v>1.71551762211124E-2</v>
      </c>
      <c r="F985" s="399">
        <v>32.299999</v>
      </c>
      <c r="G985" s="400">
        <f t="shared" si="31"/>
        <v>5.5900588427590714E-2</v>
      </c>
    </row>
    <row r="986" spans="1:7" x14ac:dyDescent="0.2">
      <c r="A986" s="402">
        <v>44103</v>
      </c>
      <c r="C986" s="399">
        <v>73.932441999999995</v>
      </c>
      <c r="D986" s="400">
        <f t="shared" si="30"/>
        <v>-4.9136770602129509E-3</v>
      </c>
      <c r="F986" s="399">
        <v>32</v>
      </c>
      <c r="G986" s="400">
        <f t="shared" si="31"/>
        <v>-9.2878950243929781E-3</v>
      </c>
    </row>
    <row r="987" spans="1:7" x14ac:dyDescent="0.2">
      <c r="A987" s="402">
        <v>44104</v>
      </c>
      <c r="C987" s="399">
        <v>74.484977999999998</v>
      </c>
      <c r="D987" s="400">
        <f t="shared" si="30"/>
        <v>7.4735256276263762E-3</v>
      </c>
      <c r="F987" s="399">
        <v>32.619999</v>
      </c>
      <c r="G987" s="400">
        <f t="shared" si="31"/>
        <v>1.9374968749999999E-2</v>
      </c>
    </row>
    <row r="988" spans="1:7" x14ac:dyDescent="0.2">
      <c r="A988" s="402">
        <v>44105</v>
      </c>
      <c r="C988" s="399">
        <v>75.057265999999998</v>
      </c>
      <c r="D988" s="400">
        <f t="shared" si="30"/>
        <v>7.6832673562714504E-3</v>
      </c>
      <c r="F988" s="399">
        <v>33.159999999999997</v>
      </c>
      <c r="G988" s="400">
        <f t="shared" si="31"/>
        <v>1.6554292352982447E-2</v>
      </c>
    </row>
    <row r="989" spans="1:7" x14ac:dyDescent="0.2">
      <c r="A989" s="402">
        <v>44106</v>
      </c>
      <c r="C989" s="399">
        <v>74.504729999999995</v>
      </c>
      <c r="D989" s="400">
        <f t="shared" si="30"/>
        <v>-7.3615257981819449E-3</v>
      </c>
      <c r="F989" s="399">
        <v>33.689999</v>
      </c>
      <c r="G989" s="400">
        <f t="shared" si="31"/>
        <v>1.5983082026538087E-2</v>
      </c>
    </row>
    <row r="990" spans="1:7" x14ac:dyDescent="0.2">
      <c r="A990" s="402">
        <v>44109</v>
      </c>
      <c r="C990" s="399">
        <v>75.856491000000005</v>
      </c>
      <c r="D990" s="400">
        <f t="shared" si="30"/>
        <v>1.8143291036690101E-2</v>
      </c>
      <c r="F990" s="399">
        <v>33.389999000000003</v>
      </c>
      <c r="G990" s="400">
        <f t="shared" si="31"/>
        <v>-8.9047197656491051E-3</v>
      </c>
    </row>
    <row r="991" spans="1:7" x14ac:dyDescent="0.2">
      <c r="A991" s="402">
        <v>44110</v>
      </c>
      <c r="C991" s="399">
        <v>74.840187</v>
      </c>
      <c r="D991" s="400">
        <f t="shared" si="30"/>
        <v>-1.3397719649331119E-2</v>
      </c>
      <c r="F991" s="399">
        <v>33.419998</v>
      </c>
      <c r="G991" s="400">
        <f t="shared" si="31"/>
        <v>8.9844267440675196E-4</v>
      </c>
    </row>
    <row r="992" spans="1:7" x14ac:dyDescent="0.2">
      <c r="A992" s="402">
        <v>44111</v>
      </c>
      <c r="C992" s="399">
        <v>76.172218000000001</v>
      </c>
      <c r="D992" s="400">
        <f t="shared" si="30"/>
        <v>1.7798338745465658E-2</v>
      </c>
      <c r="F992" s="399">
        <v>33.840000000000003</v>
      </c>
      <c r="G992" s="400">
        <f t="shared" si="31"/>
        <v>1.2567385551609078E-2</v>
      </c>
    </row>
    <row r="993" spans="1:7" x14ac:dyDescent="0.2">
      <c r="A993" s="402">
        <v>44112</v>
      </c>
      <c r="C993" s="399">
        <v>76.922095999999996</v>
      </c>
      <c r="D993" s="400">
        <f t="shared" si="30"/>
        <v>9.84450787556157E-3</v>
      </c>
      <c r="F993" s="399">
        <v>33.869999</v>
      </c>
      <c r="G993" s="400">
        <f t="shared" si="31"/>
        <v>8.8649527186746013E-4</v>
      </c>
    </row>
    <row r="994" spans="1:7" x14ac:dyDescent="0.2">
      <c r="A994" s="402">
        <v>44113</v>
      </c>
      <c r="C994" s="399">
        <v>77.583183000000005</v>
      </c>
      <c r="D994" s="400">
        <f t="shared" si="30"/>
        <v>8.5942405937562416E-3</v>
      </c>
      <c r="F994" s="399">
        <v>34</v>
      </c>
      <c r="G994" s="400">
        <f t="shared" si="31"/>
        <v>3.8382345390679529E-3</v>
      </c>
    </row>
    <row r="995" spans="1:7" x14ac:dyDescent="0.2">
      <c r="A995" s="402">
        <v>44116</v>
      </c>
      <c r="C995" s="399">
        <v>78.717872999999997</v>
      </c>
      <c r="D995" s="400">
        <f t="shared" si="30"/>
        <v>1.4625463355892432E-2</v>
      </c>
      <c r="F995" s="399">
        <v>34.540000999999997</v>
      </c>
      <c r="G995" s="400">
        <f t="shared" si="31"/>
        <v>1.5882382352941038E-2</v>
      </c>
    </row>
    <row r="996" spans="1:7" x14ac:dyDescent="0.2">
      <c r="A996" s="402">
        <v>44117</v>
      </c>
      <c r="C996" s="399">
        <v>78.293593999999999</v>
      </c>
      <c r="D996" s="400">
        <f t="shared" si="30"/>
        <v>-5.3898687023720138E-3</v>
      </c>
      <c r="F996" s="399">
        <v>34.18</v>
      </c>
      <c r="G996" s="400">
        <f t="shared" si="31"/>
        <v>-1.0422726970969021E-2</v>
      </c>
    </row>
    <row r="997" spans="1:7" x14ac:dyDescent="0.2">
      <c r="A997" s="402">
        <v>44118</v>
      </c>
      <c r="C997" s="399">
        <v>77.810126999999994</v>
      </c>
      <c r="D997" s="400">
        <f t="shared" si="30"/>
        <v>-6.175051818415711E-3</v>
      </c>
      <c r="F997" s="399">
        <v>33.909999999999997</v>
      </c>
      <c r="G997" s="400">
        <f t="shared" si="31"/>
        <v>-7.8993563487420593E-3</v>
      </c>
    </row>
    <row r="998" spans="1:7" x14ac:dyDescent="0.2">
      <c r="A998" s="402">
        <v>44119</v>
      </c>
      <c r="C998" s="399">
        <v>77.780518000000001</v>
      </c>
      <c r="D998" s="400">
        <f t="shared" si="30"/>
        <v>-3.8052887383144274E-4</v>
      </c>
      <c r="F998" s="399">
        <v>34.18</v>
      </c>
      <c r="G998" s="400">
        <f t="shared" si="31"/>
        <v>7.9622530227072552E-3</v>
      </c>
    </row>
    <row r="999" spans="1:7" x14ac:dyDescent="0.2">
      <c r="A999" s="402">
        <v>44120</v>
      </c>
      <c r="C999" s="399">
        <v>77.681854000000001</v>
      </c>
      <c r="D999" s="400">
        <f t="shared" si="30"/>
        <v>-1.2684924520559582E-3</v>
      </c>
      <c r="F999" s="399">
        <v>33.5</v>
      </c>
      <c r="G999" s="400">
        <f t="shared" si="31"/>
        <v>-1.989467524868338E-2</v>
      </c>
    </row>
    <row r="1000" spans="1:7" x14ac:dyDescent="0.2">
      <c r="A1000" s="402">
        <v>44123</v>
      </c>
      <c r="C1000" s="399">
        <v>76.517570000000006</v>
      </c>
      <c r="D1000" s="400">
        <f t="shared" si="30"/>
        <v>-1.4987850315724915E-2</v>
      </c>
      <c r="F1000" s="399">
        <v>32.68</v>
      </c>
      <c r="G1000" s="400">
        <f t="shared" si="31"/>
        <v>-2.4477611940298516E-2</v>
      </c>
    </row>
    <row r="1001" spans="1:7" x14ac:dyDescent="0.2">
      <c r="A1001" s="402">
        <v>44124</v>
      </c>
      <c r="C1001" s="399">
        <v>76.734634</v>
      </c>
      <c r="D1001" s="400">
        <f t="shared" si="30"/>
        <v>2.8367863746847632E-3</v>
      </c>
      <c r="F1001" s="399">
        <v>33.669998</v>
      </c>
      <c r="G1001" s="400">
        <f t="shared" si="31"/>
        <v>3.0293696450428342E-2</v>
      </c>
    </row>
    <row r="1002" spans="1:7" x14ac:dyDescent="0.2">
      <c r="A1002" s="402">
        <v>44125</v>
      </c>
      <c r="C1002" s="399">
        <v>76.566895000000002</v>
      </c>
      <c r="D1002" s="400">
        <f t="shared" si="30"/>
        <v>-2.1859620780884104E-3</v>
      </c>
      <c r="F1002" s="399">
        <v>32.549999</v>
      </c>
      <c r="G1002" s="400">
        <f t="shared" si="31"/>
        <v>-3.3264005539887509E-2</v>
      </c>
    </row>
    <row r="1003" spans="1:7" x14ac:dyDescent="0.2">
      <c r="A1003" s="402">
        <v>44126</v>
      </c>
      <c r="C1003" s="399">
        <v>77.079978999999994</v>
      </c>
      <c r="D1003" s="400">
        <f t="shared" si="30"/>
        <v>6.7011206344465002E-3</v>
      </c>
      <c r="F1003" s="399">
        <v>32.25</v>
      </c>
      <c r="G1003" s="400">
        <f t="shared" si="31"/>
        <v>-9.216559422935755E-3</v>
      </c>
    </row>
    <row r="1004" spans="1:7" x14ac:dyDescent="0.2">
      <c r="A1004" s="402">
        <v>44127</v>
      </c>
      <c r="C1004" s="399">
        <v>77.366112000000001</v>
      </c>
      <c r="D1004" s="400">
        <f t="shared" si="30"/>
        <v>3.712157212705014E-3</v>
      </c>
      <c r="F1004" s="399">
        <v>32.659999999999997</v>
      </c>
      <c r="G1004" s="400">
        <f t="shared" si="31"/>
        <v>1.2713178294573524E-2</v>
      </c>
    </row>
    <row r="1005" spans="1:7" x14ac:dyDescent="0.2">
      <c r="A1005" s="402">
        <v>44130</v>
      </c>
      <c r="C1005" s="399">
        <v>75.935417000000001</v>
      </c>
      <c r="D1005" s="400">
        <f t="shared" si="30"/>
        <v>-1.8492528098090322E-2</v>
      </c>
      <c r="F1005" s="399">
        <v>31.690000999999999</v>
      </c>
      <c r="G1005" s="400">
        <f t="shared" si="31"/>
        <v>-2.9699908144519171E-2</v>
      </c>
    </row>
    <row r="1006" spans="1:7" x14ac:dyDescent="0.2">
      <c r="A1006" s="402">
        <v>44131</v>
      </c>
      <c r="C1006" s="399">
        <v>75.659142000000003</v>
      </c>
      <c r="D1006" s="400">
        <f t="shared" si="30"/>
        <v>-3.6382891003284845E-3</v>
      </c>
      <c r="F1006" s="399">
        <v>31.35</v>
      </c>
      <c r="G1006" s="400">
        <f t="shared" si="31"/>
        <v>-1.0728967790187061E-2</v>
      </c>
    </row>
    <row r="1007" spans="1:7" x14ac:dyDescent="0.2">
      <c r="A1007" s="402">
        <v>44132</v>
      </c>
      <c r="C1007" s="399">
        <v>73.172698999999994</v>
      </c>
      <c r="D1007" s="400">
        <f t="shared" si="30"/>
        <v>-3.286374830949057E-2</v>
      </c>
      <c r="F1007" s="399">
        <v>30.51</v>
      </c>
      <c r="G1007" s="400">
        <f t="shared" si="31"/>
        <v>-2.6794258373205704E-2</v>
      </c>
    </row>
    <row r="1008" spans="1:7" x14ac:dyDescent="0.2">
      <c r="A1008" s="402">
        <v>44133</v>
      </c>
      <c r="C1008" s="399">
        <v>73.873244999999997</v>
      </c>
      <c r="D1008" s="400">
        <f t="shared" si="30"/>
        <v>9.5738712603727905E-3</v>
      </c>
      <c r="F1008" s="399">
        <v>30.01</v>
      </c>
      <c r="G1008" s="400">
        <f t="shared" si="31"/>
        <v>-1.6388069485414603E-2</v>
      </c>
    </row>
    <row r="1009" spans="1:7" x14ac:dyDescent="0.2">
      <c r="A1009" s="402">
        <v>44134</v>
      </c>
      <c r="C1009" s="399">
        <v>73.064162999999994</v>
      </c>
      <c r="D1009" s="400">
        <f t="shared" si="30"/>
        <v>-1.0952300795775249E-2</v>
      </c>
      <c r="F1009" s="399">
        <v>30.299999</v>
      </c>
      <c r="G1009" s="400">
        <f t="shared" si="31"/>
        <v>9.6634121959346952E-3</v>
      </c>
    </row>
    <row r="1010" spans="1:7" x14ac:dyDescent="0.2">
      <c r="A1010" s="402">
        <v>44137</v>
      </c>
      <c r="C1010" s="399">
        <v>73.843643</v>
      </c>
      <c r="D1010" s="400">
        <f t="shared" si="30"/>
        <v>1.0668431252678579E-2</v>
      </c>
      <c r="F1010" s="399">
        <v>32.669998</v>
      </c>
      <c r="G1010" s="400">
        <f t="shared" si="31"/>
        <v>7.8217791360323252E-2</v>
      </c>
    </row>
    <row r="1011" spans="1:7" x14ac:dyDescent="0.2">
      <c r="A1011" s="402">
        <v>44138</v>
      </c>
      <c r="C1011" s="399">
        <v>75.244736000000003</v>
      </c>
      <c r="D1011" s="400">
        <f t="shared" si="30"/>
        <v>1.8973779503267396E-2</v>
      </c>
      <c r="F1011" s="399">
        <v>32.68</v>
      </c>
      <c r="G1011" s="400">
        <f t="shared" si="31"/>
        <v>3.0615245216725206E-4</v>
      </c>
    </row>
    <row r="1012" spans="1:7" x14ac:dyDescent="0.2">
      <c r="A1012" s="402">
        <v>44139</v>
      </c>
      <c r="C1012" s="399">
        <v>76.843170000000001</v>
      </c>
      <c r="D1012" s="400">
        <f t="shared" si="30"/>
        <v>2.1243133871849729E-2</v>
      </c>
      <c r="F1012" s="399">
        <v>34.099997999999999</v>
      </c>
      <c r="G1012" s="400">
        <f t="shared" si="31"/>
        <v>4.34515911872706E-2</v>
      </c>
    </row>
    <row r="1013" spans="1:7" x14ac:dyDescent="0.2">
      <c r="A1013" s="402">
        <v>44140</v>
      </c>
      <c r="C1013" s="399">
        <v>78.461333999999994</v>
      </c>
      <c r="D1013" s="400">
        <f t="shared" si="30"/>
        <v>2.1058006846932376E-2</v>
      </c>
      <c r="F1013" s="399">
        <v>34.650002000000001</v>
      </c>
      <c r="G1013" s="400">
        <f t="shared" si="31"/>
        <v>1.6129150506108525E-2</v>
      </c>
    </row>
    <row r="1014" spans="1:7" x14ac:dyDescent="0.2">
      <c r="A1014" s="402">
        <v>44141</v>
      </c>
      <c r="C1014" s="399">
        <v>78.412002999999999</v>
      </c>
      <c r="D1014" s="400">
        <f t="shared" si="30"/>
        <v>-6.2873006976904566E-4</v>
      </c>
      <c r="F1014" s="399">
        <v>34.090000000000003</v>
      </c>
      <c r="G1014" s="400">
        <f t="shared" si="31"/>
        <v>-1.6161672948821093E-2</v>
      </c>
    </row>
    <row r="1015" spans="1:7" x14ac:dyDescent="0.2">
      <c r="A1015" s="402">
        <v>44144</v>
      </c>
      <c r="C1015" s="399">
        <v>79.329620000000006</v>
      </c>
      <c r="D1015" s="400">
        <f t="shared" si="30"/>
        <v>1.1702506821564151E-2</v>
      </c>
      <c r="F1015" s="399">
        <v>32.209999000000003</v>
      </c>
      <c r="G1015" s="400">
        <f t="shared" si="31"/>
        <v>-5.514816661777644E-2</v>
      </c>
    </row>
    <row r="1016" spans="1:7" x14ac:dyDescent="0.2">
      <c r="A1016" s="402">
        <v>44145</v>
      </c>
      <c r="C1016" s="399">
        <v>79.280288999999996</v>
      </c>
      <c r="D1016" s="400">
        <f t="shared" si="30"/>
        <v>-6.2184843441848159E-4</v>
      </c>
      <c r="F1016" s="399">
        <v>33.799999</v>
      </c>
      <c r="G1016" s="400">
        <f t="shared" si="31"/>
        <v>4.9363553224574641E-2</v>
      </c>
    </row>
    <row r="1017" spans="1:7" x14ac:dyDescent="0.2">
      <c r="A1017" s="402">
        <v>44146</v>
      </c>
      <c r="C1017" s="399">
        <v>79.793357999999998</v>
      </c>
      <c r="D1017" s="400">
        <f t="shared" si="30"/>
        <v>6.4715833717507998E-3</v>
      </c>
      <c r="F1017" s="399">
        <v>34.380001</v>
      </c>
      <c r="G1017" s="400">
        <f t="shared" si="31"/>
        <v>1.7159822992894203E-2</v>
      </c>
    </row>
    <row r="1018" spans="1:7" x14ac:dyDescent="0.2">
      <c r="A1018" s="402">
        <v>44147</v>
      </c>
      <c r="C1018" s="399">
        <v>79.082954000000001</v>
      </c>
      <c r="D1018" s="400">
        <f t="shared" si="30"/>
        <v>-8.9030467924410273E-3</v>
      </c>
      <c r="F1018" s="399">
        <v>33.830002</v>
      </c>
      <c r="G1018" s="400">
        <f t="shared" si="31"/>
        <v>-1.5997643513739224E-2</v>
      </c>
    </row>
    <row r="1019" spans="1:7" x14ac:dyDescent="0.2">
      <c r="A1019" s="402">
        <v>44148</v>
      </c>
      <c r="C1019" s="399">
        <v>80.178168999999997</v>
      </c>
      <c r="D1019" s="400">
        <f t="shared" si="30"/>
        <v>1.3848938925574261E-2</v>
      </c>
      <c r="F1019" s="399">
        <v>34.840000000000003</v>
      </c>
      <c r="G1019" s="400">
        <f t="shared" si="31"/>
        <v>2.9855097259527286E-2</v>
      </c>
    </row>
    <row r="1020" spans="1:7" x14ac:dyDescent="0.2">
      <c r="A1020" s="402">
        <v>44151</v>
      </c>
      <c r="C1020" s="399">
        <v>81.224059999999994</v>
      </c>
      <c r="D1020" s="400">
        <f t="shared" si="30"/>
        <v>1.304458574004097E-2</v>
      </c>
      <c r="F1020" s="399">
        <v>35.860000999999997</v>
      </c>
      <c r="G1020" s="400">
        <f t="shared" si="31"/>
        <v>2.9276722158438462E-2</v>
      </c>
    </row>
    <row r="1021" spans="1:7" x14ac:dyDescent="0.2">
      <c r="A1021" s="402">
        <v>44152</v>
      </c>
      <c r="C1021" s="399">
        <v>81.006989000000004</v>
      </c>
      <c r="D1021" s="400">
        <f t="shared" si="30"/>
        <v>-2.6724963022038972E-3</v>
      </c>
      <c r="F1021" s="399">
        <v>35.810001</v>
      </c>
      <c r="G1021" s="400">
        <f t="shared" si="31"/>
        <v>-1.3943111713800027E-3</v>
      </c>
    </row>
    <row r="1022" spans="1:7" x14ac:dyDescent="0.2">
      <c r="A1022" s="402">
        <v>44153</v>
      </c>
      <c r="C1022" s="399">
        <v>80.138701999999995</v>
      </c>
      <c r="D1022" s="400">
        <f t="shared" si="30"/>
        <v>-1.0718667743594423E-2</v>
      </c>
      <c r="F1022" s="399">
        <v>36.049999</v>
      </c>
      <c r="G1022" s="400">
        <f t="shared" si="31"/>
        <v>6.7019824992464727E-3</v>
      </c>
    </row>
    <row r="1023" spans="1:7" x14ac:dyDescent="0.2">
      <c r="A1023" s="402">
        <v>44154</v>
      </c>
      <c r="C1023" s="399">
        <v>80.582710000000006</v>
      </c>
      <c r="D1023" s="400">
        <f t="shared" si="30"/>
        <v>5.540494029963261E-3</v>
      </c>
      <c r="F1023" s="399">
        <v>36.740001999999997</v>
      </c>
      <c r="G1023" s="400">
        <f t="shared" si="31"/>
        <v>1.9140166966440164E-2</v>
      </c>
    </row>
    <row r="1024" spans="1:7" x14ac:dyDescent="0.2">
      <c r="A1024" s="402">
        <v>44155</v>
      </c>
      <c r="C1024" s="399">
        <v>80.158439999999999</v>
      </c>
      <c r="D1024" s="400">
        <f t="shared" si="30"/>
        <v>-5.2650252144660348E-3</v>
      </c>
      <c r="F1024" s="399">
        <v>35.759998000000003</v>
      </c>
      <c r="G1024" s="400">
        <f t="shared" si="31"/>
        <v>-2.6674032298637185E-2</v>
      </c>
    </row>
    <row r="1025" spans="1:7" x14ac:dyDescent="0.2">
      <c r="A1025" s="402">
        <v>44158</v>
      </c>
      <c r="C1025" s="399">
        <v>80.809653999999995</v>
      </c>
      <c r="D1025" s="400">
        <f t="shared" si="30"/>
        <v>8.1240852491639703E-3</v>
      </c>
      <c r="F1025" s="399">
        <v>36.779998999999997</v>
      </c>
      <c r="G1025" s="400">
        <f t="shared" si="31"/>
        <v>2.8523519492366756E-2</v>
      </c>
    </row>
    <row r="1026" spans="1:7" x14ac:dyDescent="0.2">
      <c r="A1026" s="402">
        <v>44159</v>
      </c>
      <c r="C1026" s="399">
        <v>82.062743999999995</v>
      </c>
      <c r="D1026" s="400">
        <f t="shared" si="30"/>
        <v>1.5506686861943564E-2</v>
      </c>
      <c r="F1026" s="399">
        <v>37.090000000000003</v>
      </c>
      <c r="G1026" s="400">
        <f t="shared" si="31"/>
        <v>8.4285211644514746E-3</v>
      </c>
    </row>
    <row r="1027" spans="1:7" x14ac:dyDescent="0.2">
      <c r="A1027" s="402">
        <v>44160</v>
      </c>
      <c r="C1027" s="399">
        <v>82.013412000000002</v>
      </c>
      <c r="D1027" s="400">
        <f t="shared" si="30"/>
        <v>-6.0114977388514568E-4</v>
      </c>
      <c r="F1027" s="399">
        <v>37.330002</v>
      </c>
      <c r="G1027" s="400">
        <f t="shared" si="31"/>
        <v>6.4708007549203472E-3</v>
      </c>
    </row>
    <row r="1028" spans="1:7" x14ac:dyDescent="0.2">
      <c r="A1028" s="402">
        <v>44162</v>
      </c>
      <c r="C1028" s="399">
        <v>82.319282999999999</v>
      </c>
      <c r="D1028" s="400">
        <f t="shared" si="30"/>
        <v>3.7295241417343306E-3</v>
      </c>
      <c r="F1028" s="399">
        <v>37.93</v>
      </c>
      <c r="G1028" s="400">
        <f t="shared" si="31"/>
        <v>1.6072809211207684E-2</v>
      </c>
    </row>
    <row r="1029" spans="1:7" x14ac:dyDescent="0.2">
      <c r="A1029" s="402">
        <v>44165</v>
      </c>
      <c r="C1029" s="399">
        <v>81.825935000000001</v>
      </c>
      <c r="D1029" s="400">
        <f t="shared" si="30"/>
        <v>-5.9931037057259218E-3</v>
      </c>
      <c r="F1029" s="399">
        <v>37.409999999999997</v>
      </c>
      <c r="G1029" s="400">
        <f t="shared" si="31"/>
        <v>-1.3709464803585591E-2</v>
      </c>
    </row>
    <row r="1030" spans="1:7" x14ac:dyDescent="0.2">
      <c r="A1030" s="402">
        <v>44166</v>
      </c>
      <c r="C1030" s="399">
        <v>82.694214000000002</v>
      </c>
      <c r="D1030" s="400">
        <f t="shared" si="30"/>
        <v>1.0611293350940576E-2</v>
      </c>
      <c r="F1030" s="399">
        <v>35.93</v>
      </c>
      <c r="G1030" s="400">
        <f t="shared" si="31"/>
        <v>-3.956161454156637E-2</v>
      </c>
    </row>
    <row r="1031" spans="1:7" x14ac:dyDescent="0.2">
      <c r="A1031" s="402">
        <v>44167</v>
      </c>
      <c r="C1031" s="399">
        <v>82.802757</v>
      </c>
      <c r="D1031" s="400">
        <f t="shared" ref="D1031:D1094" si="32">C1031/C1030-1</f>
        <v>1.3125827642548327E-3</v>
      </c>
      <c r="F1031" s="399">
        <v>35.229999999999997</v>
      </c>
      <c r="G1031" s="400">
        <f t="shared" ref="G1031:G1094" si="33">F1031/F1030-1</f>
        <v>-1.9482326746451561E-2</v>
      </c>
    </row>
    <row r="1032" spans="1:7" x14ac:dyDescent="0.2">
      <c r="A1032" s="402">
        <v>44168</v>
      </c>
      <c r="C1032" s="399">
        <v>82.950767999999997</v>
      </c>
      <c r="D1032" s="400">
        <f t="shared" si="32"/>
        <v>1.7875129447681992E-3</v>
      </c>
      <c r="F1032" s="399">
        <v>35.93</v>
      </c>
      <c r="G1032" s="400">
        <f t="shared" si="33"/>
        <v>1.9869429463525545E-2</v>
      </c>
    </row>
    <row r="1033" spans="1:7" x14ac:dyDescent="0.2">
      <c r="A1033" s="402">
        <v>44169</v>
      </c>
      <c r="C1033" s="399">
        <v>83.779587000000006</v>
      </c>
      <c r="D1033" s="400">
        <f t="shared" si="32"/>
        <v>9.9916977260536832E-3</v>
      </c>
      <c r="F1033" s="399">
        <v>35.299999</v>
      </c>
      <c r="G1033" s="400">
        <f t="shared" si="33"/>
        <v>-1.7534121903701627E-2</v>
      </c>
    </row>
    <row r="1034" spans="1:7" x14ac:dyDescent="0.2">
      <c r="A1034" s="402">
        <v>44172</v>
      </c>
      <c r="C1034" s="399">
        <v>83.710509999999999</v>
      </c>
      <c r="D1034" s="400">
        <f t="shared" si="32"/>
        <v>-8.2450871952866045E-4</v>
      </c>
      <c r="F1034" s="399">
        <v>37</v>
      </c>
      <c r="G1034" s="400">
        <f t="shared" si="33"/>
        <v>4.8158669919509123E-2</v>
      </c>
    </row>
    <row r="1035" spans="1:7" x14ac:dyDescent="0.2">
      <c r="A1035" s="402">
        <v>44173</v>
      </c>
      <c r="C1035" s="399">
        <v>84.055854999999994</v>
      </c>
      <c r="D1035" s="400">
        <f t="shared" si="32"/>
        <v>4.1254676384123723E-3</v>
      </c>
      <c r="F1035" s="399">
        <v>35.299999</v>
      </c>
      <c r="G1035" s="400">
        <f t="shared" si="33"/>
        <v>-4.5945972972972982E-2</v>
      </c>
    </row>
    <row r="1036" spans="1:7" x14ac:dyDescent="0.2">
      <c r="A1036" s="402">
        <v>44174</v>
      </c>
      <c r="C1036" s="399">
        <v>83.157973999999996</v>
      </c>
      <c r="D1036" s="400">
        <f t="shared" si="32"/>
        <v>-1.0681956658462388E-2</v>
      </c>
      <c r="F1036" s="399">
        <v>35.479999999999997</v>
      </c>
      <c r="G1036" s="400">
        <f t="shared" si="33"/>
        <v>5.0991786147074336E-3</v>
      </c>
    </row>
    <row r="1037" spans="1:7" x14ac:dyDescent="0.2">
      <c r="A1037" s="402">
        <v>44175</v>
      </c>
      <c r="C1037" s="399">
        <v>83.315842000000004</v>
      </c>
      <c r="D1037" s="400">
        <f t="shared" si="32"/>
        <v>1.8984108487301032E-3</v>
      </c>
      <c r="F1037" s="399">
        <v>36.029998999999997</v>
      </c>
      <c r="G1037" s="400">
        <f t="shared" si="33"/>
        <v>1.5501662908681046E-2</v>
      </c>
    </row>
    <row r="1038" spans="1:7" x14ac:dyDescent="0.2">
      <c r="A1038" s="402">
        <v>44176</v>
      </c>
      <c r="C1038" s="399">
        <v>83.227028000000004</v>
      </c>
      <c r="D1038" s="400">
        <f t="shared" si="32"/>
        <v>-1.0659917474038494E-3</v>
      </c>
      <c r="F1038" s="399">
        <v>35.770000000000003</v>
      </c>
      <c r="G1038" s="400">
        <f t="shared" si="33"/>
        <v>-7.2161811605931936E-3</v>
      </c>
    </row>
    <row r="1039" spans="1:7" x14ac:dyDescent="0.2">
      <c r="A1039" s="402">
        <v>44179</v>
      </c>
      <c r="C1039" s="399">
        <v>82.971428000000003</v>
      </c>
      <c r="D1039" s="400">
        <f t="shared" si="32"/>
        <v>-3.0711177143079027E-3</v>
      </c>
      <c r="F1039" s="399">
        <v>35.439999</v>
      </c>
      <c r="G1039" s="400">
        <f t="shared" si="33"/>
        <v>-9.2256360078278865E-3</v>
      </c>
    </row>
    <row r="1040" spans="1:7" x14ac:dyDescent="0.2">
      <c r="A1040" s="402">
        <v>44180</v>
      </c>
      <c r="C1040" s="399">
        <v>84.140465000000006</v>
      </c>
      <c r="D1040" s="400">
        <f t="shared" si="32"/>
        <v>1.4089633361498821E-2</v>
      </c>
      <c r="F1040" s="399">
        <v>36.400002000000001</v>
      </c>
      <c r="G1040" s="400">
        <f t="shared" si="33"/>
        <v>2.7088121531831932E-2</v>
      </c>
    </row>
    <row r="1041" spans="1:7" x14ac:dyDescent="0.2">
      <c r="A1041" s="402">
        <v>44181</v>
      </c>
      <c r="C1041" s="399">
        <v>84.239531999999997</v>
      </c>
      <c r="D1041" s="400">
        <f t="shared" si="32"/>
        <v>1.1774001962074898E-3</v>
      </c>
      <c r="F1041" s="399">
        <v>35.779998999999997</v>
      </c>
      <c r="G1041" s="400">
        <f t="shared" si="33"/>
        <v>-1.7033048514667803E-2</v>
      </c>
    </row>
    <row r="1042" spans="1:7" x14ac:dyDescent="0.2">
      <c r="A1042" s="402">
        <v>44182</v>
      </c>
      <c r="C1042" s="399">
        <v>84.863686000000001</v>
      </c>
      <c r="D1042" s="400">
        <f t="shared" si="32"/>
        <v>7.4092766802171806E-3</v>
      </c>
      <c r="F1042" s="399">
        <v>38.169998</v>
      </c>
      <c r="G1042" s="400">
        <f t="shared" si="33"/>
        <v>6.6797067266547439E-2</v>
      </c>
    </row>
    <row r="1043" spans="1:7" x14ac:dyDescent="0.2">
      <c r="A1043" s="402">
        <v>44183</v>
      </c>
      <c r="C1043" s="399">
        <v>84.665526999999997</v>
      </c>
      <c r="D1043" s="400">
        <f t="shared" si="32"/>
        <v>-2.3350270220410252E-3</v>
      </c>
      <c r="F1043" s="399">
        <v>39.439999</v>
      </c>
      <c r="G1043" s="400">
        <f t="shared" si="33"/>
        <v>3.3272231242977846E-2</v>
      </c>
    </row>
    <row r="1044" spans="1:7" x14ac:dyDescent="0.2">
      <c r="A1044" s="402">
        <v>44186</v>
      </c>
      <c r="C1044" s="399">
        <v>84.447577999999993</v>
      </c>
      <c r="D1044" s="400">
        <f t="shared" si="32"/>
        <v>-2.5742354382322086E-3</v>
      </c>
      <c r="F1044" s="399">
        <v>40.729999999999997</v>
      </c>
      <c r="G1044" s="400">
        <f t="shared" si="33"/>
        <v>3.2707936934785353E-2</v>
      </c>
    </row>
    <row r="1045" spans="1:7" x14ac:dyDescent="0.2">
      <c r="A1045" s="402">
        <v>44187</v>
      </c>
      <c r="C1045" s="399">
        <v>84.467399999999998</v>
      </c>
      <c r="D1045" s="400">
        <f t="shared" si="32"/>
        <v>2.3472550035719131E-4</v>
      </c>
      <c r="F1045" s="399">
        <v>41.049999</v>
      </c>
      <c r="G1045" s="400">
        <f t="shared" si="33"/>
        <v>7.8565921924871329E-3</v>
      </c>
    </row>
    <row r="1046" spans="1:7" x14ac:dyDescent="0.2">
      <c r="A1046" s="402">
        <v>44188</v>
      </c>
      <c r="C1046" s="399">
        <v>84.556556999999998</v>
      </c>
      <c r="D1046" s="400">
        <f t="shared" si="32"/>
        <v>1.0555196442652015E-3</v>
      </c>
      <c r="F1046" s="399">
        <v>41.560001</v>
      </c>
      <c r="G1046" s="400">
        <f t="shared" si="33"/>
        <v>1.242392234893841E-2</v>
      </c>
    </row>
    <row r="1047" spans="1:7" x14ac:dyDescent="0.2">
      <c r="A1047" s="402">
        <v>44189</v>
      </c>
      <c r="C1047" s="399">
        <v>84.734886000000003</v>
      </c>
      <c r="D1047" s="400">
        <f t="shared" si="32"/>
        <v>2.1089907906255423E-3</v>
      </c>
      <c r="F1047" s="399">
        <v>42.27</v>
      </c>
      <c r="G1047" s="400">
        <f t="shared" si="33"/>
        <v>1.7083709887302456E-2</v>
      </c>
    </row>
    <row r="1048" spans="1:7" x14ac:dyDescent="0.2">
      <c r="A1048" s="402">
        <v>44193</v>
      </c>
      <c r="C1048" s="399">
        <v>85.180710000000005</v>
      </c>
      <c r="D1048" s="400">
        <f t="shared" si="32"/>
        <v>5.2613984752396536E-3</v>
      </c>
      <c r="F1048" s="399">
        <v>41.919998</v>
      </c>
      <c r="G1048" s="400">
        <f t="shared" si="33"/>
        <v>-8.2801514076177307E-3</v>
      </c>
    </row>
    <row r="1049" spans="1:7" x14ac:dyDescent="0.2">
      <c r="A1049" s="402">
        <v>44194</v>
      </c>
      <c r="C1049" s="399">
        <v>84.863686000000001</v>
      </c>
      <c r="D1049" s="400">
        <f t="shared" si="32"/>
        <v>-3.7217816099444079E-3</v>
      </c>
      <c r="F1049" s="399">
        <v>41.91</v>
      </c>
      <c r="G1049" s="400">
        <f t="shared" si="33"/>
        <v>-2.3850191977592416E-4</v>
      </c>
    </row>
    <row r="1050" spans="1:7" x14ac:dyDescent="0.2">
      <c r="A1050" s="402">
        <v>44195</v>
      </c>
      <c r="C1050" s="399">
        <v>85.071724000000003</v>
      </c>
      <c r="D1050" s="400">
        <f t="shared" si="32"/>
        <v>2.4514372378310334E-3</v>
      </c>
      <c r="F1050" s="399">
        <v>42.279998999999997</v>
      </c>
      <c r="G1050" s="400">
        <f t="shared" si="33"/>
        <v>8.8284180386541955E-3</v>
      </c>
    </row>
    <row r="1051" spans="1:7" x14ac:dyDescent="0.2">
      <c r="A1051" s="402">
        <v>44196</v>
      </c>
      <c r="C1051" s="399">
        <v>85.418471999999994</v>
      </c>
      <c r="D1051" s="400">
        <f t="shared" si="32"/>
        <v>4.0759489016584105E-3</v>
      </c>
      <c r="F1051" s="399">
        <v>40.810001</v>
      </c>
      <c r="G1051" s="400">
        <f t="shared" si="33"/>
        <v>-3.4768165439171272E-2</v>
      </c>
    </row>
    <row r="1052" spans="1:7" x14ac:dyDescent="0.2">
      <c r="A1052" s="402">
        <v>44200</v>
      </c>
      <c r="C1052" s="399">
        <v>84.328704999999999</v>
      </c>
      <c r="D1052" s="400">
        <f t="shared" si="32"/>
        <v>-1.2757978157230343E-2</v>
      </c>
      <c r="F1052" s="399">
        <v>39.830002</v>
      </c>
      <c r="G1052" s="400">
        <f t="shared" si="33"/>
        <v>-2.4013697034704795E-2</v>
      </c>
    </row>
    <row r="1053" spans="1:7" x14ac:dyDescent="0.2">
      <c r="A1053" s="402">
        <v>44201</v>
      </c>
      <c r="C1053" s="399">
        <v>84.962753000000006</v>
      </c>
      <c r="D1053" s="400">
        <f t="shared" si="32"/>
        <v>7.5187683719322163E-3</v>
      </c>
      <c r="F1053" s="399">
        <v>39.700001</v>
      </c>
      <c r="G1053" s="400">
        <f t="shared" si="33"/>
        <v>-3.2638963964902734E-3</v>
      </c>
    </row>
    <row r="1054" spans="1:7" x14ac:dyDescent="0.2">
      <c r="A1054" s="402">
        <v>44202</v>
      </c>
      <c r="C1054" s="399">
        <v>85.735496999999995</v>
      </c>
      <c r="D1054" s="400">
        <f t="shared" si="32"/>
        <v>9.0950913513829779E-3</v>
      </c>
      <c r="F1054" s="399">
        <v>40.939999</v>
      </c>
      <c r="G1054" s="400">
        <f t="shared" si="33"/>
        <v>3.1234205762362466E-2</v>
      </c>
    </row>
    <row r="1055" spans="1:7" x14ac:dyDescent="0.2">
      <c r="A1055" s="402">
        <v>44203</v>
      </c>
      <c r="C1055" s="399">
        <v>87.043221000000003</v>
      </c>
      <c r="D1055" s="400">
        <f t="shared" si="32"/>
        <v>1.5253005415015064E-2</v>
      </c>
      <c r="F1055" s="399">
        <v>42.389999000000003</v>
      </c>
      <c r="G1055" s="400">
        <f t="shared" si="33"/>
        <v>3.5417685281330824E-2</v>
      </c>
    </row>
    <row r="1056" spans="1:7" x14ac:dyDescent="0.2">
      <c r="A1056" s="402">
        <v>44204</v>
      </c>
      <c r="C1056" s="399">
        <v>87.459311999999997</v>
      </c>
      <c r="D1056" s="400">
        <f t="shared" si="32"/>
        <v>4.7802803620973222E-3</v>
      </c>
      <c r="F1056" s="399">
        <v>40.169998</v>
      </c>
      <c r="G1056" s="400">
        <f t="shared" si="33"/>
        <v>-5.2370867005682276E-2</v>
      </c>
    </row>
    <row r="1057" spans="1:7" x14ac:dyDescent="0.2">
      <c r="A1057" s="402">
        <v>44207</v>
      </c>
      <c r="C1057" s="399">
        <v>86.993690000000001</v>
      </c>
      <c r="D1057" s="400">
        <f t="shared" si="32"/>
        <v>-5.3238699156471503E-3</v>
      </c>
      <c r="F1057" s="399">
        <v>39.630001</v>
      </c>
      <c r="G1057" s="400">
        <f t="shared" si="33"/>
        <v>-1.3442793798496111E-2</v>
      </c>
    </row>
    <row r="1058" spans="1:7" x14ac:dyDescent="0.2">
      <c r="A1058" s="402">
        <v>44208</v>
      </c>
      <c r="C1058" s="399">
        <v>87.251273999999995</v>
      </c>
      <c r="D1058" s="400">
        <f t="shared" si="32"/>
        <v>2.9609503861716124E-3</v>
      </c>
      <c r="F1058" s="399">
        <v>39.5</v>
      </c>
      <c r="G1058" s="400">
        <f t="shared" si="33"/>
        <v>-3.2803683249970073E-3</v>
      </c>
    </row>
    <row r="1059" spans="1:7" x14ac:dyDescent="0.2">
      <c r="A1059" s="402">
        <v>44209</v>
      </c>
      <c r="C1059" s="399">
        <v>87.330528000000001</v>
      </c>
      <c r="D1059" s="400">
        <f t="shared" si="32"/>
        <v>9.0834203750422837E-4</v>
      </c>
      <c r="F1059" s="399">
        <v>38.599997999999999</v>
      </c>
      <c r="G1059" s="400">
        <f t="shared" si="33"/>
        <v>-2.2784860759493708E-2</v>
      </c>
    </row>
    <row r="1060" spans="1:7" x14ac:dyDescent="0.2">
      <c r="A1060" s="402">
        <v>44210</v>
      </c>
      <c r="C1060" s="399">
        <v>87.320625000000007</v>
      </c>
      <c r="D1060" s="400">
        <f t="shared" si="32"/>
        <v>-1.133967723175866E-4</v>
      </c>
      <c r="F1060" s="399">
        <v>40.25</v>
      </c>
      <c r="G1060" s="400">
        <f t="shared" si="33"/>
        <v>4.2746168017936181E-2</v>
      </c>
    </row>
    <row r="1061" spans="1:7" x14ac:dyDescent="0.2">
      <c r="A1061" s="402">
        <v>44211</v>
      </c>
      <c r="C1061" s="399">
        <v>86.587502000000001</v>
      </c>
      <c r="D1061" s="400">
        <f t="shared" si="32"/>
        <v>-8.3957598791809529E-3</v>
      </c>
      <c r="F1061" s="399">
        <v>40.869999</v>
      </c>
      <c r="G1061" s="400">
        <f t="shared" si="33"/>
        <v>1.5403701863353936E-2</v>
      </c>
    </row>
    <row r="1062" spans="1:7" x14ac:dyDescent="0.2">
      <c r="A1062" s="402">
        <v>44215</v>
      </c>
      <c r="C1062" s="399">
        <v>87.320625000000007</v>
      </c>
      <c r="D1062" s="400">
        <f t="shared" si="32"/>
        <v>8.4668454807717008E-3</v>
      </c>
      <c r="F1062" s="399">
        <v>40.400002000000001</v>
      </c>
      <c r="G1062" s="400">
        <f t="shared" si="33"/>
        <v>-1.1499804538776748E-2</v>
      </c>
    </row>
    <row r="1063" spans="1:7" x14ac:dyDescent="0.2">
      <c r="A1063" s="402">
        <v>44216</v>
      </c>
      <c r="C1063" s="399">
        <v>88.400490000000005</v>
      </c>
      <c r="D1063" s="400">
        <f t="shared" si="32"/>
        <v>1.2366665950913625E-2</v>
      </c>
      <c r="F1063" s="399">
        <v>41.470001000000003</v>
      </c>
      <c r="G1063" s="400">
        <f t="shared" si="33"/>
        <v>2.6485122451231691E-2</v>
      </c>
    </row>
    <row r="1064" spans="1:7" x14ac:dyDescent="0.2">
      <c r="A1064" s="402">
        <v>44217</v>
      </c>
      <c r="C1064" s="399">
        <v>88.321242999999996</v>
      </c>
      <c r="D1064" s="400">
        <f t="shared" si="32"/>
        <v>-8.9645430698415129E-4</v>
      </c>
      <c r="F1064" s="399">
        <v>42.599997999999999</v>
      </c>
      <c r="G1064" s="400">
        <f t="shared" si="33"/>
        <v>2.7248540456991988E-2</v>
      </c>
    </row>
    <row r="1065" spans="1:7" x14ac:dyDescent="0.2">
      <c r="A1065" s="402">
        <v>44218</v>
      </c>
      <c r="C1065" s="399">
        <v>88.222167999999996</v>
      </c>
      <c r="D1065" s="400">
        <f t="shared" si="32"/>
        <v>-1.1217573104128631E-3</v>
      </c>
      <c r="F1065" s="399">
        <v>42.880001</v>
      </c>
      <c r="G1065" s="400">
        <f t="shared" si="33"/>
        <v>6.5728406841709663E-3</v>
      </c>
    </row>
    <row r="1066" spans="1:7" x14ac:dyDescent="0.2">
      <c r="A1066" s="402">
        <v>44221</v>
      </c>
      <c r="C1066" s="399">
        <v>88.509467999999998</v>
      </c>
      <c r="D1066" s="400">
        <f t="shared" si="32"/>
        <v>3.2565511198954233E-3</v>
      </c>
      <c r="F1066" s="399">
        <v>41.93</v>
      </c>
      <c r="G1066" s="400">
        <f t="shared" si="33"/>
        <v>-2.2154873550492726E-2</v>
      </c>
    </row>
    <row r="1067" spans="1:7" x14ac:dyDescent="0.2">
      <c r="A1067" s="402">
        <v>44222</v>
      </c>
      <c r="C1067" s="399">
        <v>88.212256999999994</v>
      </c>
      <c r="D1067" s="400">
        <f t="shared" si="32"/>
        <v>-3.3579571396814556E-3</v>
      </c>
      <c r="F1067" s="399">
        <v>40.360000999999997</v>
      </c>
      <c r="G1067" s="400">
        <f t="shared" si="33"/>
        <v>-3.7443334128309136E-2</v>
      </c>
    </row>
    <row r="1068" spans="1:7" x14ac:dyDescent="0.2">
      <c r="A1068" s="402">
        <v>44223</v>
      </c>
      <c r="C1068" s="399">
        <v>86.012894000000003</v>
      </c>
      <c r="D1068" s="400">
        <f t="shared" si="32"/>
        <v>-2.4932623592206604E-2</v>
      </c>
      <c r="F1068" s="399">
        <v>37.939999</v>
      </c>
      <c r="G1068" s="400">
        <f t="shared" si="33"/>
        <v>-5.9960404857274385E-2</v>
      </c>
    </row>
    <row r="1069" spans="1:7" x14ac:dyDescent="0.2">
      <c r="A1069" s="402">
        <v>44224</v>
      </c>
      <c r="C1069" s="399">
        <v>86.795546999999999</v>
      </c>
      <c r="D1069" s="400">
        <f t="shared" si="32"/>
        <v>9.0992520260972931E-3</v>
      </c>
      <c r="F1069" s="399">
        <v>38.889999000000003</v>
      </c>
      <c r="G1069" s="400">
        <f t="shared" si="33"/>
        <v>2.5039536769624116E-2</v>
      </c>
    </row>
    <row r="1070" spans="1:7" x14ac:dyDescent="0.2">
      <c r="A1070" s="402">
        <v>44225</v>
      </c>
      <c r="C1070" s="399">
        <v>85.190612999999999</v>
      </c>
      <c r="D1070" s="400">
        <f t="shared" si="32"/>
        <v>-1.8490971662405653E-2</v>
      </c>
      <c r="F1070" s="399">
        <v>38.25</v>
      </c>
      <c r="G1070" s="400">
        <f t="shared" si="33"/>
        <v>-1.6456647376103084E-2</v>
      </c>
    </row>
    <row r="1071" spans="1:7" x14ac:dyDescent="0.2">
      <c r="A1071" s="402">
        <v>44228</v>
      </c>
      <c r="C1071" s="399">
        <v>86.656852999999998</v>
      </c>
      <c r="D1071" s="400">
        <f t="shared" si="32"/>
        <v>1.7211285942971166E-2</v>
      </c>
      <c r="F1071" s="399">
        <v>39.419998</v>
      </c>
      <c r="G1071" s="400">
        <f t="shared" si="33"/>
        <v>3.0588183006535985E-2</v>
      </c>
    </row>
    <row r="1072" spans="1:7" x14ac:dyDescent="0.2">
      <c r="A1072" s="402">
        <v>44229</v>
      </c>
      <c r="C1072" s="399">
        <v>87.855598000000001</v>
      </c>
      <c r="D1072" s="400">
        <f t="shared" si="32"/>
        <v>1.3833239478475035E-2</v>
      </c>
      <c r="F1072" s="399">
        <v>39.959999000000003</v>
      </c>
      <c r="G1072" s="400">
        <f t="shared" si="33"/>
        <v>1.3698656199830461E-2</v>
      </c>
    </row>
    <row r="1073" spans="1:7" x14ac:dyDescent="0.2">
      <c r="A1073" s="402">
        <v>44230</v>
      </c>
      <c r="C1073" s="399">
        <v>88.024017000000001</v>
      </c>
      <c r="D1073" s="400">
        <f t="shared" si="32"/>
        <v>1.9169979356352673E-3</v>
      </c>
      <c r="F1073" s="399">
        <v>40.369999</v>
      </c>
      <c r="G1073" s="400">
        <f t="shared" si="33"/>
        <v>1.0260260517023445E-2</v>
      </c>
    </row>
    <row r="1074" spans="1:7" x14ac:dyDescent="0.2">
      <c r="A1074" s="402">
        <v>44231</v>
      </c>
      <c r="C1074" s="399">
        <v>89.054351999999994</v>
      </c>
      <c r="D1074" s="400">
        <f t="shared" si="32"/>
        <v>1.1705157695768298E-2</v>
      </c>
      <c r="F1074" s="399">
        <v>41.549999</v>
      </c>
      <c r="G1074" s="400">
        <f t="shared" si="33"/>
        <v>2.9229626683914489E-2</v>
      </c>
    </row>
    <row r="1075" spans="1:7" x14ac:dyDescent="0.2">
      <c r="A1075" s="402">
        <v>44232</v>
      </c>
      <c r="C1075" s="399">
        <v>89.589332999999996</v>
      </c>
      <c r="D1075" s="400">
        <f t="shared" si="32"/>
        <v>6.007353801193327E-3</v>
      </c>
      <c r="F1075" s="399">
        <v>42.59</v>
      </c>
      <c r="G1075" s="400">
        <f t="shared" si="33"/>
        <v>2.5030108905658599E-2</v>
      </c>
    </row>
    <row r="1076" spans="1:7" x14ac:dyDescent="0.2">
      <c r="A1076" s="402">
        <v>44235</v>
      </c>
      <c r="C1076" s="399">
        <v>90.381905000000003</v>
      </c>
      <c r="D1076" s="400">
        <f t="shared" si="32"/>
        <v>8.8467228570616729E-3</v>
      </c>
      <c r="F1076" s="399">
        <v>43.41</v>
      </c>
      <c r="G1076" s="400">
        <f t="shared" si="33"/>
        <v>1.9253345855834603E-2</v>
      </c>
    </row>
    <row r="1077" spans="1:7" x14ac:dyDescent="0.2">
      <c r="A1077" s="402">
        <v>44236</v>
      </c>
      <c r="C1077" s="399">
        <v>90.480971999999994</v>
      </c>
      <c r="D1077" s="400">
        <f t="shared" si="32"/>
        <v>1.0960932943380186E-3</v>
      </c>
      <c r="F1077" s="399">
        <v>43.490001999999997</v>
      </c>
      <c r="G1077" s="400">
        <f t="shared" si="33"/>
        <v>1.8429394148813394E-3</v>
      </c>
    </row>
    <row r="1078" spans="1:7" x14ac:dyDescent="0.2">
      <c r="A1078" s="402">
        <v>44237</v>
      </c>
      <c r="C1078" s="399">
        <v>90.451256000000001</v>
      </c>
      <c r="D1078" s="400">
        <f t="shared" si="32"/>
        <v>-3.2842264338173166E-4</v>
      </c>
      <c r="F1078" s="399">
        <v>42.689999</v>
      </c>
      <c r="G1078" s="400">
        <f t="shared" si="33"/>
        <v>-1.8395101476426645E-2</v>
      </c>
    </row>
    <row r="1079" spans="1:7" x14ac:dyDescent="0.2">
      <c r="A1079" s="402">
        <v>44238</v>
      </c>
      <c r="C1079" s="399">
        <v>90.659294000000003</v>
      </c>
      <c r="D1079" s="400">
        <f t="shared" si="32"/>
        <v>2.3000012293914462E-3</v>
      </c>
      <c r="F1079" s="399">
        <v>43.419998</v>
      </c>
      <c r="G1079" s="400">
        <f t="shared" si="33"/>
        <v>1.7100000400562143E-2</v>
      </c>
    </row>
    <row r="1080" spans="1:7" x14ac:dyDescent="0.2">
      <c r="A1080" s="402">
        <v>44239</v>
      </c>
      <c r="C1080" s="399">
        <v>91.035758999999999</v>
      </c>
      <c r="D1080" s="400">
        <f t="shared" si="32"/>
        <v>4.1525251674692232E-3</v>
      </c>
      <c r="F1080" s="399">
        <v>43.419998</v>
      </c>
      <c r="G1080" s="400">
        <f t="shared" si="33"/>
        <v>0</v>
      </c>
    </row>
    <row r="1081" spans="1:7" x14ac:dyDescent="0.2">
      <c r="A1081" s="402">
        <v>44243</v>
      </c>
      <c r="C1081" s="399">
        <v>90.966408000000001</v>
      </c>
      <c r="D1081" s="400">
        <f t="shared" si="32"/>
        <v>-7.617995473624406E-4</v>
      </c>
      <c r="F1081" s="399">
        <v>41.709999000000003</v>
      </c>
      <c r="G1081" s="400">
        <f t="shared" si="33"/>
        <v>-3.9382751698882945E-2</v>
      </c>
    </row>
    <row r="1082" spans="1:7" x14ac:dyDescent="0.2">
      <c r="A1082" s="402">
        <v>44244</v>
      </c>
      <c r="C1082" s="399">
        <v>90.827720999999997</v>
      </c>
      <c r="D1082" s="400">
        <f t="shared" si="32"/>
        <v>-1.5245957606681015E-3</v>
      </c>
      <c r="F1082" s="399">
        <v>41.220001000000003</v>
      </c>
      <c r="G1082" s="400">
        <f t="shared" si="33"/>
        <v>-1.1747734637922225E-2</v>
      </c>
    </row>
    <row r="1083" spans="1:7" x14ac:dyDescent="0.2">
      <c r="A1083" s="402">
        <v>44245</v>
      </c>
      <c r="C1083" s="399">
        <v>90.302634999999995</v>
      </c>
      <c r="D1083" s="400">
        <f t="shared" si="32"/>
        <v>-5.7811205017463951E-3</v>
      </c>
      <c r="F1083" s="399">
        <v>40.049999</v>
      </c>
      <c r="G1083" s="400">
        <f t="shared" si="33"/>
        <v>-2.8384327307512724E-2</v>
      </c>
    </row>
    <row r="1084" spans="1:7" x14ac:dyDescent="0.2">
      <c r="A1084" s="402">
        <v>44246</v>
      </c>
      <c r="C1084" s="399">
        <v>90.451256000000001</v>
      </c>
      <c r="D1084" s="400">
        <f t="shared" si="32"/>
        <v>1.6458102246961204E-3</v>
      </c>
      <c r="F1084" s="399">
        <v>40.909999999999997</v>
      </c>
      <c r="G1084" s="400">
        <f t="shared" si="33"/>
        <v>2.1473184056758576E-2</v>
      </c>
    </row>
    <row r="1085" spans="1:7" x14ac:dyDescent="0.2">
      <c r="A1085" s="402">
        <v>44249</v>
      </c>
      <c r="C1085" s="399">
        <v>89.609145999999996</v>
      </c>
      <c r="D1085" s="400">
        <f t="shared" si="32"/>
        <v>-9.3100973633799544E-3</v>
      </c>
      <c r="F1085" s="399">
        <v>41.380001</v>
      </c>
      <c r="G1085" s="400">
        <f t="shared" si="33"/>
        <v>1.1488658029821686E-2</v>
      </c>
    </row>
    <row r="1086" spans="1:7" x14ac:dyDescent="0.2">
      <c r="A1086" s="402">
        <v>44250</v>
      </c>
      <c r="C1086" s="399">
        <v>89.529892000000004</v>
      </c>
      <c r="D1086" s="400">
        <f t="shared" si="32"/>
        <v>-8.8444096989825916E-4</v>
      </c>
      <c r="F1086" s="399">
        <v>41.73</v>
      </c>
      <c r="G1086" s="400">
        <f t="shared" si="33"/>
        <v>8.4581679927944187E-3</v>
      </c>
    </row>
    <row r="1087" spans="1:7" x14ac:dyDescent="0.2">
      <c r="A1087" s="402">
        <v>44251</v>
      </c>
      <c r="C1087" s="399">
        <v>90.599853999999993</v>
      </c>
      <c r="D1087" s="400">
        <f t="shared" si="32"/>
        <v>1.1950891217427095E-2</v>
      </c>
      <c r="F1087" s="399">
        <v>42.400002000000001</v>
      </c>
      <c r="G1087" s="400">
        <f t="shared" si="33"/>
        <v>1.6055643421998722E-2</v>
      </c>
    </row>
    <row r="1088" spans="1:7" x14ac:dyDescent="0.2">
      <c r="A1088" s="402">
        <v>44252</v>
      </c>
      <c r="C1088" s="399">
        <v>88.202347000000003</v>
      </c>
      <c r="D1088" s="400">
        <f t="shared" si="32"/>
        <v>-2.6462592312786581E-2</v>
      </c>
      <c r="F1088" s="399">
        <v>40.610000999999997</v>
      </c>
      <c r="G1088" s="400">
        <f t="shared" si="33"/>
        <v>-4.2217002725613129E-2</v>
      </c>
    </row>
    <row r="1089" spans="1:7" x14ac:dyDescent="0.2">
      <c r="A1089" s="402">
        <v>44253</v>
      </c>
      <c r="C1089" s="399">
        <v>87.885329999999996</v>
      </c>
      <c r="D1089" s="400">
        <f t="shared" si="32"/>
        <v>-3.5942014105362352E-3</v>
      </c>
      <c r="F1089" s="399">
        <v>43.27</v>
      </c>
      <c r="G1089" s="400">
        <f t="shared" si="33"/>
        <v>6.5501081864046462E-2</v>
      </c>
    </row>
    <row r="1090" spans="1:7" x14ac:dyDescent="0.2">
      <c r="A1090" s="402">
        <v>44256</v>
      </c>
      <c r="C1090" s="399">
        <v>90.124320999999995</v>
      </c>
      <c r="D1090" s="400">
        <f t="shared" si="32"/>
        <v>2.5476276871236658E-2</v>
      </c>
      <c r="F1090" s="399">
        <v>44.84</v>
      </c>
      <c r="G1090" s="400">
        <f t="shared" si="33"/>
        <v>3.6283799399121852E-2</v>
      </c>
    </row>
    <row r="1091" spans="1:7" x14ac:dyDescent="0.2">
      <c r="A1091" s="402">
        <v>44257</v>
      </c>
      <c r="C1091" s="399">
        <v>89.232680999999999</v>
      </c>
      <c r="D1091" s="400">
        <f t="shared" si="32"/>
        <v>-9.8934448560227262E-3</v>
      </c>
      <c r="F1091" s="399">
        <v>43.709999000000003</v>
      </c>
      <c r="G1091" s="400">
        <f t="shared" si="33"/>
        <v>-2.5200735950044573E-2</v>
      </c>
    </row>
    <row r="1092" spans="1:7" x14ac:dyDescent="0.2">
      <c r="A1092" s="402">
        <v>44258</v>
      </c>
      <c r="C1092" s="399">
        <v>87.984390000000005</v>
      </c>
      <c r="D1092" s="400">
        <f t="shared" si="32"/>
        <v>-1.398916838551556E-2</v>
      </c>
      <c r="F1092" s="399">
        <v>43.25</v>
      </c>
      <c r="G1092" s="400">
        <f t="shared" si="33"/>
        <v>-1.0523884935344063E-2</v>
      </c>
    </row>
    <row r="1093" spans="1:7" x14ac:dyDescent="0.2">
      <c r="A1093" s="402">
        <v>44259</v>
      </c>
      <c r="C1093" s="399">
        <v>86.587502000000001</v>
      </c>
      <c r="D1093" s="400">
        <f t="shared" si="32"/>
        <v>-1.5876543555055633E-2</v>
      </c>
      <c r="F1093" s="399">
        <v>42.32</v>
      </c>
      <c r="G1093" s="400">
        <f t="shared" si="33"/>
        <v>-2.1502890173410449E-2</v>
      </c>
    </row>
    <row r="1094" spans="1:7" x14ac:dyDescent="0.2">
      <c r="A1094" s="402">
        <v>44260</v>
      </c>
      <c r="C1094" s="399">
        <v>88.172623000000002</v>
      </c>
      <c r="D1094" s="400">
        <f t="shared" si="32"/>
        <v>1.8306579626237607E-2</v>
      </c>
      <c r="F1094" s="399">
        <v>43.52</v>
      </c>
      <c r="G1094" s="400">
        <f t="shared" si="33"/>
        <v>2.8355387523629538E-2</v>
      </c>
    </row>
    <row r="1095" spans="1:7" x14ac:dyDescent="0.2">
      <c r="A1095" s="402">
        <v>44263</v>
      </c>
      <c r="C1095" s="399">
        <v>87.716910999999996</v>
      </c>
      <c r="D1095" s="400">
        <f t="shared" ref="D1095:D1158" si="34">C1095/C1094-1</f>
        <v>-5.1684069782068631E-3</v>
      </c>
      <c r="F1095" s="399">
        <v>44.330002</v>
      </c>
      <c r="G1095" s="400">
        <f t="shared" ref="G1095:G1158" si="35">F1095/F1094-1</f>
        <v>1.8612178308823557E-2</v>
      </c>
    </row>
    <row r="1096" spans="1:7" x14ac:dyDescent="0.2">
      <c r="A1096" s="402">
        <v>44264</v>
      </c>
      <c r="C1096" s="399">
        <v>89.123703000000006</v>
      </c>
      <c r="D1096" s="400">
        <f t="shared" si="34"/>
        <v>1.6037865264088236E-2</v>
      </c>
      <c r="F1096" s="399">
        <v>44.82</v>
      </c>
      <c r="G1096" s="400">
        <f t="shared" si="35"/>
        <v>1.1053417051503756E-2</v>
      </c>
    </row>
    <row r="1097" spans="1:7" x14ac:dyDescent="0.2">
      <c r="A1097" s="402">
        <v>44265</v>
      </c>
      <c r="C1097" s="399">
        <v>89.668593999999999</v>
      </c>
      <c r="D1097" s="400">
        <f t="shared" si="34"/>
        <v>6.1138729839356198E-3</v>
      </c>
      <c r="F1097" s="399">
        <v>47.080002</v>
      </c>
      <c r="G1097" s="400">
        <f t="shared" si="35"/>
        <v>5.0423962516733534E-2</v>
      </c>
    </row>
    <row r="1098" spans="1:7" x14ac:dyDescent="0.2">
      <c r="A1098" s="402">
        <v>44266</v>
      </c>
      <c r="C1098" s="399">
        <v>90.897057000000004</v>
      </c>
      <c r="D1098" s="400">
        <f t="shared" si="34"/>
        <v>1.3700036380630776E-2</v>
      </c>
      <c r="F1098" s="399">
        <v>47.049999</v>
      </c>
      <c r="G1098" s="400">
        <f t="shared" si="35"/>
        <v>-6.372769482889673E-4</v>
      </c>
    </row>
    <row r="1099" spans="1:7" x14ac:dyDescent="0.2">
      <c r="A1099" s="402">
        <v>44267</v>
      </c>
      <c r="C1099" s="399">
        <v>91.095200000000006</v>
      </c>
      <c r="D1099" s="400">
        <f t="shared" si="34"/>
        <v>2.1798615548136446E-3</v>
      </c>
      <c r="F1099" s="399">
        <v>46.740001999999997</v>
      </c>
      <c r="G1099" s="400">
        <f t="shared" si="35"/>
        <v>-6.5886717659654481E-3</v>
      </c>
    </row>
    <row r="1100" spans="1:7" x14ac:dyDescent="0.2">
      <c r="A1100" s="402">
        <v>44270</v>
      </c>
      <c r="C1100" s="399">
        <v>91.719345000000004</v>
      </c>
      <c r="D1100" s="400">
        <f t="shared" si="34"/>
        <v>6.8515684690302336E-3</v>
      </c>
      <c r="F1100" s="399">
        <v>47.029998999999997</v>
      </c>
      <c r="G1100" s="400">
        <f t="shared" si="35"/>
        <v>6.204471279226631E-3</v>
      </c>
    </row>
    <row r="1101" spans="1:7" x14ac:dyDescent="0.2">
      <c r="A1101" s="402">
        <v>44271</v>
      </c>
      <c r="C1101" s="399">
        <v>91.342872999999997</v>
      </c>
      <c r="D1101" s="400">
        <f t="shared" si="34"/>
        <v>-4.1046084661856552E-3</v>
      </c>
      <c r="F1101" s="399">
        <v>45.799999</v>
      </c>
      <c r="G1101" s="400">
        <f t="shared" si="35"/>
        <v>-2.6153519586508911E-2</v>
      </c>
    </row>
    <row r="1102" spans="1:7" x14ac:dyDescent="0.2">
      <c r="A1102" s="402">
        <v>44272</v>
      </c>
      <c r="C1102" s="399">
        <v>91.719345000000004</v>
      </c>
      <c r="D1102" s="400">
        <f t="shared" si="34"/>
        <v>4.1215257155313711E-3</v>
      </c>
      <c r="F1102" s="399">
        <v>47.5</v>
      </c>
      <c r="G1102" s="400">
        <f t="shared" si="35"/>
        <v>3.7117926574627313E-2</v>
      </c>
    </row>
    <row r="1103" spans="1:7" x14ac:dyDescent="0.2">
      <c r="A1103" s="402">
        <v>44273</v>
      </c>
      <c r="C1103" s="399">
        <v>90.094596999999993</v>
      </c>
      <c r="D1103" s="400">
        <f t="shared" si="34"/>
        <v>-1.7714343686165757E-2</v>
      </c>
      <c r="F1103" s="399">
        <v>45.68</v>
      </c>
      <c r="G1103" s="400">
        <f t="shared" si="35"/>
        <v>-3.8315789473684192E-2</v>
      </c>
    </row>
    <row r="1104" spans="1:7" x14ac:dyDescent="0.2">
      <c r="A1104" s="402">
        <v>44274</v>
      </c>
      <c r="C1104" s="399">
        <v>90.154030000000006</v>
      </c>
      <c r="D1104" s="400">
        <f t="shared" si="34"/>
        <v>6.5967329872185232E-4</v>
      </c>
      <c r="F1104" s="399">
        <v>45.900002000000001</v>
      </c>
      <c r="G1104" s="400">
        <f t="shared" si="35"/>
        <v>4.8161558669002069E-3</v>
      </c>
    </row>
    <row r="1105" spans="1:7" x14ac:dyDescent="0.2">
      <c r="A1105" s="402">
        <v>44277</v>
      </c>
      <c r="C1105" s="399">
        <v>90.619667000000007</v>
      </c>
      <c r="D1105" s="400">
        <f t="shared" si="34"/>
        <v>5.1649049964821447E-3</v>
      </c>
      <c r="F1105" s="399">
        <v>44.869999</v>
      </c>
      <c r="G1105" s="400">
        <f t="shared" si="35"/>
        <v>-2.2440151527662211E-2</v>
      </c>
    </row>
    <row r="1106" spans="1:7" x14ac:dyDescent="0.2">
      <c r="A1106" s="402">
        <v>44278</v>
      </c>
      <c r="C1106" s="399">
        <v>89.619056999999998</v>
      </c>
      <c r="D1106" s="400">
        <f t="shared" si="34"/>
        <v>-1.1041863572506916E-2</v>
      </c>
      <c r="F1106" s="399">
        <v>42.279998999999997</v>
      </c>
      <c r="G1106" s="400">
        <f t="shared" si="35"/>
        <v>-5.7722310178790148E-2</v>
      </c>
    </row>
    <row r="1107" spans="1:7" x14ac:dyDescent="0.2">
      <c r="A1107" s="402">
        <v>44279</v>
      </c>
      <c r="C1107" s="399">
        <v>88.836394999999996</v>
      </c>
      <c r="D1107" s="400">
        <f t="shared" si="34"/>
        <v>-8.7332095002963239E-3</v>
      </c>
      <c r="F1107" s="399">
        <v>42.369999</v>
      </c>
      <c r="G1107" s="400">
        <f t="shared" si="35"/>
        <v>2.1286660862978035E-3</v>
      </c>
    </row>
    <row r="1108" spans="1:7" x14ac:dyDescent="0.2">
      <c r="A1108" s="402">
        <v>44280</v>
      </c>
      <c r="C1108" s="399">
        <v>89.478508000000005</v>
      </c>
      <c r="D1108" s="400">
        <f t="shared" si="34"/>
        <v>7.2280398140875946E-3</v>
      </c>
      <c r="F1108" s="399">
        <v>44.049999</v>
      </c>
      <c r="G1108" s="400">
        <f t="shared" si="35"/>
        <v>3.965069718316494E-2</v>
      </c>
    </row>
    <row r="1109" spans="1:7" x14ac:dyDescent="0.2">
      <c r="A1109" s="402">
        <v>44281</v>
      </c>
      <c r="C1109" s="399">
        <v>90.989365000000006</v>
      </c>
      <c r="D1109" s="400">
        <f t="shared" si="34"/>
        <v>1.6885138496050889E-2</v>
      </c>
      <c r="F1109" s="399">
        <v>46.619999</v>
      </c>
      <c r="G1109" s="400">
        <f t="shared" si="35"/>
        <v>5.8342793605965726E-2</v>
      </c>
    </row>
    <row r="1110" spans="1:7" x14ac:dyDescent="0.2">
      <c r="A1110" s="402">
        <v>44284</v>
      </c>
      <c r="C1110" s="399">
        <v>90.522193999999999</v>
      </c>
      <c r="D1110" s="400">
        <f t="shared" si="34"/>
        <v>-5.1343472943239377E-3</v>
      </c>
      <c r="F1110" s="399">
        <v>44.759998000000003</v>
      </c>
      <c r="G1110" s="400">
        <f t="shared" si="35"/>
        <v>-3.9897062202854161E-2</v>
      </c>
    </row>
    <row r="1111" spans="1:7" x14ac:dyDescent="0.2">
      <c r="A1111" s="402">
        <v>44285</v>
      </c>
      <c r="C1111" s="399">
        <v>90.552009999999996</v>
      </c>
      <c r="D1111" s="400">
        <f t="shared" si="34"/>
        <v>3.2937778772801352E-4</v>
      </c>
      <c r="F1111" s="399">
        <v>45.91</v>
      </c>
      <c r="G1111" s="400">
        <f t="shared" si="35"/>
        <v>2.5692628493861669E-2</v>
      </c>
    </row>
    <row r="1112" spans="1:7" x14ac:dyDescent="0.2">
      <c r="A1112" s="402">
        <v>44286</v>
      </c>
      <c r="C1112" s="399">
        <v>91.049003999999996</v>
      </c>
      <c r="D1112" s="400">
        <f t="shared" si="34"/>
        <v>5.4884921936022568E-3</v>
      </c>
      <c r="F1112" s="399">
        <v>46.369999</v>
      </c>
      <c r="G1112" s="400">
        <f t="shared" si="35"/>
        <v>1.0019581790459586E-2</v>
      </c>
    </row>
    <row r="1113" spans="1:7" x14ac:dyDescent="0.2">
      <c r="A1113" s="402">
        <v>44287</v>
      </c>
      <c r="C1113" s="399">
        <v>92.202026000000004</v>
      </c>
      <c r="D1113" s="400">
        <f t="shared" si="34"/>
        <v>1.2663751928576827E-2</v>
      </c>
      <c r="F1113" s="399">
        <v>47.369999</v>
      </c>
      <c r="G1113" s="400">
        <f t="shared" si="35"/>
        <v>2.1565667922485821E-2</v>
      </c>
    </row>
    <row r="1114" spans="1:7" x14ac:dyDescent="0.2">
      <c r="A1114" s="402">
        <v>44291</v>
      </c>
      <c r="C1114" s="399">
        <v>93.305351000000002</v>
      </c>
      <c r="D1114" s="400">
        <f t="shared" si="34"/>
        <v>1.1966385641027033E-2</v>
      </c>
      <c r="F1114" s="399">
        <v>47.59</v>
      </c>
      <c r="G1114" s="400">
        <f t="shared" si="35"/>
        <v>4.6443108432407954E-3</v>
      </c>
    </row>
    <row r="1115" spans="1:7" x14ac:dyDescent="0.2">
      <c r="A1115" s="402">
        <v>44292</v>
      </c>
      <c r="C1115" s="399">
        <v>93.275527999999994</v>
      </c>
      <c r="D1115" s="400">
        <f t="shared" si="34"/>
        <v>-3.196279707474714E-4</v>
      </c>
      <c r="F1115" s="399">
        <v>48.049999</v>
      </c>
      <c r="G1115" s="400">
        <f t="shared" si="35"/>
        <v>9.6658751838620827E-3</v>
      </c>
    </row>
    <row r="1116" spans="1:7" x14ac:dyDescent="0.2">
      <c r="A1116" s="402">
        <v>44293</v>
      </c>
      <c r="C1116" s="399">
        <v>93.205948000000006</v>
      </c>
      <c r="D1116" s="400">
        <f t="shared" si="34"/>
        <v>-7.4596200624010844E-4</v>
      </c>
      <c r="F1116" s="399">
        <v>46.950001</v>
      </c>
      <c r="G1116" s="400">
        <f t="shared" si="35"/>
        <v>-2.2892778832315885E-2</v>
      </c>
    </row>
    <row r="1117" spans="1:7" x14ac:dyDescent="0.2">
      <c r="A1117" s="402">
        <v>44294</v>
      </c>
      <c r="C1117" s="399">
        <v>93.782463000000007</v>
      </c>
      <c r="D1117" s="400">
        <f t="shared" si="34"/>
        <v>6.1853885119005358E-3</v>
      </c>
      <c r="F1117" s="399">
        <v>47.34</v>
      </c>
      <c r="G1117" s="400">
        <f t="shared" si="35"/>
        <v>8.3066877889950153E-3</v>
      </c>
    </row>
    <row r="1118" spans="1:7" x14ac:dyDescent="0.2">
      <c r="A1118" s="402">
        <v>44295</v>
      </c>
      <c r="C1118" s="399">
        <v>94.398735000000002</v>
      </c>
      <c r="D1118" s="400">
        <f t="shared" si="34"/>
        <v>6.5712925453875748E-3</v>
      </c>
      <c r="F1118" s="399">
        <v>48.599997999999999</v>
      </c>
      <c r="G1118" s="400">
        <f t="shared" si="35"/>
        <v>2.6615927334178169E-2</v>
      </c>
    </row>
    <row r="1119" spans="1:7" x14ac:dyDescent="0.2">
      <c r="A1119" s="402">
        <v>44298</v>
      </c>
      <c r="C1119" s="399">
        <v>94.418616999999998</v>
      </c>
      <c r="D1119" s="400">
        <f t="shared" si="34"/>
        <v>2.1061722913962022E-4</v>
      </c>
      <c r="F1119" s="399">
        <v>49.299999</v>
      </c>
      <c r="G1119" s="400">
        <f t="shared" si="35"/>
        <v>1.4403313349930613E-2</v>
      </c>
    </row>
    <row r="1120" spans="1:7" x14ac:dyDescent="0.2">
      <c r="A1120" s="402">
        <v>44299</v>
      </c>
      <c r="C1120" s="399">
        <v>94.647232000000002</v>
      </c>
      <c r="D1120" s="400">
        <f t="shared" si="34"/>
        <v>2.4212915552448422E-3</v>
      </c>
      <c r="F1120" s="399">
        <v>48.32</v>
      </c>
      <c r="G1120" s="400">
        <f t="shared" si="35"/>
        <v>-1.9878276265279382E-2</v>
      </c>
    </row>
    <row r="1121" spans="1:7" x14ac:dyDescent="0.2">
      <c r="A1121" s="402">
        <v>44300</v>
      </c>
      <c r="C1121" s="399">
        <v>94.498131000000001</v>
      </c>
      <c r="D1121" s="400">
        <f t="shared" si="34"/>
        <v>-1.5753339727885285E-3</v>
      </c>
      <c r="F1121" s="399">
        <v>47.82</v>
      </c>
      <c r="G1121" s="400">
        <f t="shared" si="35"/>
        <v>-1.0347682119205337E-2</v>
      </c>
    </row>
    <row r="1122" spans="1:7" x14ac:dyDescent="0.2">
      <c r="A1122" s="402">
        <v>44301</v>
      </c>
      <c r="C1122" s="399">
        <v>95.422545999999997</v>
      </c>
      <c r="D1122" s="400">
        <f t="shared" si="34"/>
        <v>9.7823627855666562E-3</v>
      </c>
      <c r="F1122" s="399">
        <v>48.5</v>
      </c>
      <c r="G1122" s="400">
        <f t="shared" si="35"/>
        <v>1.4219991635298967E-2</v>
      </c>
    </row>
    <row r="1123" spans="1:7" x14ac:dyDescent="0.2">
      <c r="A1123" s="402">
        <v>44302</v>
      </c>
      <c r="C1123" s="399">
        <v>95.661095000000003</v>
      </c>
      <c r="D1123" s="400">
        <f t="shared" si="34"/>
        <v>2.499922816982858E-3</v>
      </c>
      <c r="F1123" s="399">
        <v>49.810001</v>
      </c>
      <c r="G1123" s="400">
        <f t="shared" si="35"/>
        <v>2.7010329896907104E-2</v>
      </c>
    </row>
    <row r="1124" spans="1:7" x14ac:dyDescent="0.2">
      <c r="A1124" s="402">
        <v>44305</v>
      </c>
      <c r="C1124" s="399">
        <v>95.124343999999994</v>
      </c>
      <c r="D1124" s="400">
        <f t="shared" si="34"/>
        <v>-5.6109644155757366E-3</v>
      </c>
      <c r="F1124" s="399">
        <v>49.810001</v>
      </c>
      <c r="G1124" s="400">
        <f t="shared" si="35"/>
        <v>0</v>
      </c>
    </row>
    <row r="1125" spans="1:7" x14ac:dyDescent="0.2">
      <c r="A1125" s="402">
        <v>44306</v>
      </c>
      <c r="C1125" s="399">
        <v>94.229759000000001</v>
      </c>
      <c r="D1125" s="400">
        <f t="shared" si="34"/>
        <v>-9.4043749726147041E-3</v>
      </c>
      <c r="F1125" s="399">
        <v>47.709999000000003</v>
      </c>
      <c r="G1125" s="400">
        <f t="shared" si="35"/>
        <v>-4.2160248099573305E-2</v>
      </c>
    </row>
    <row r="1126" spans="1:7" x14ac:dyDescent="0.2">
      <c r="A1126" s="402">
        <v>44307</v>
      </c>
      <c r="C1126" s="399">
        <v>95.323143000000002</v>
      </c>
      <c r="D1126" s="400">
        <f t="shared" si="34"/>
        <v>1.1603383173250048E-2</v>
      </c>
      <c r="F1126" s="399">
        <v>48.169998</v>
      </c>
      <c r="G1126" s="400">
        <f t="shared" si="35"/>
        <v>9.6415638155848971E-3</v>
      </c>
    </row>
    <row r="1127" spans="1:7" x14ac:dyDescent="0.2">
      <c r="A1127" s="402">
        <v>44308</v>
      </c>
      <c r="C1127" s="399">
        <v>94.508071999999999</v>
      </c>
      <c r="D1127" s="400">
        <f t="shared" si="34"/>
        <v>-8.5506097926293378E-3</v>
      </c>
      <c r="F1127" s="399">
        <v>47.759998000000003</v>
      </c>
      <c r="G1127" s="400">
        <f t="shared" si="35"/>
        <v>-8.51152204739547E-3</v>
      </c>
    </row>
    <row r="1128" spans="1:7" x14ac:dyDescent="0.2">
      <c r="A1128" s="402">
        <v>44309</v>
      </c>
      <c r="C1128" s="399">
        <v>95.710792999999995</v>
      </c>
      <c r="D1128" s="400">
        <f t="shared" si="34"/>
        <v>1.2726119309681705E-2</v>
      </c>
      <c r="F1128" s="399">
        <v>48.77</v>
      </c>
      <c r="G1128" s="400">
        <f t="shared" si="35"/>
        <v>2.1147446446710516E-2</v>
      </c>
    </row>
    <row r="1129" spans="1:7" x14ac:dyDescent="0.2">
      <c r="A1129" s="402">
        <v>44312</v>
      </c>
      <c r="C1129" s="399">
        <v>96.028869999999998</v>
      </c>
      <c r="D1129" s="400">
        <f t="shared" si="34"/>
        <v>3.3233138085064784E-3</v>
      </c>
      <c r="F1129" s="399">
        <v>49.599997999999999</v>
      </c>
      <c r="G1129" s="400">
        <f t="shared" si="35"/>
        <v>1.7018618002870634E-2</v>
      </c>
    </row>
    <row r="1130" spans="1:7" x14ac:dyDescent="0.2">
      <c r="A1130" s="402">
        <v>44313</v>
      </c>
      <c r="C1130" s="399">
        <v>96.048743999999999</v>
      </c>
      <c r="D1130" s="400">
        <f t="shared" si="34"/>
        <v>2.0695859484765045E-4</v>
      </c>
      <c r="F1130" s="399">
        <v>49.959999000000003</v>
      </c>
      <c r="G1130" s="400">
        <f t="shared" si="35"/>
        <v>7.2580849700840666E-3</v>
      </c>
    </row>
    <row r="1131" spans="1:7" x14ac:dyDescent="0.2">
      <c r="A1131" s="402">
        <v>44314</v>
      </c>
      <c r="C1131" s="399">
        <v>95.999054000000001</v>
      </c>
      <c r="D1131" s="400">
        <f t="shared" si="34"/>
        <v>-5.1734148652682332E-4</v>
      </c>
      <c r="F1131" s="399">
        <v>49.049999</v>
      </c>
      <c r="G1131" s="400">
        <f t="shared" si="35"/>
        <v>-1.8214572021909015E-2</v>
      </c>
    </row>
    <row r="1132" spans="1:7" x14ac:dyDescent="0.2">
      <c r="A1132" s="402">
        <v>44315</v>
      </c>
      <c r="C1132" s="399">
        <v>96.436401000000004</v>
      </c>
      <c r="D1132" s="400">
        <f t="shared" si="34"/>
        <v>4.5557428097156016E-3</v>
      </c>
      <c r="F1132" s="399">
        <v>49.970001000000003</v>
      </c>
      <c r="G1132" s="400">
        <f t="shared" si="35"/>
        <v>1.8756412207062478E-2</v>
      </c>
    </row>
    <row r="1133" spans="1:7" x14ac:dyDescent="0.2">
      <c r="A1133" s="402">
        <v>44316</v>
      </c>
      <c r="C1133" s="399">
        <v>95.710792999999995</v>
      </c>
      <c r="D1133" s="400">
        <f t="shared" si="34"/>
        <v>-7.5242127710677398E-3</v>
      </c>
      <c r="F1133" s="399">
        <v>48.669998</v>
      </c>
      <c r="G1133" s="400">
        <f t="shared" si="35"/>
        <v>-2.6015668881015253E-2</v>
      </c>
    </row>
    <row r="1134" spans="1:7" x14ac:dyDescent="0.2">
      <c r="A1134" s="402">
        <v>44319</v>
      </c>
      <c r="C1134" s="399">
        <v>95.820128999999994</v>
      </c>
      <c r="D1134" s="400">
        <f t="shared" si="34"/>
        <v>1.1423581037510733E-3</v>
      </c>
      <c r="F1134" s="399">
        <v>49.299999</v>
      </c>
      <c r="G1134" s="400">
        <f t="shared" si="35"/>
        <v>1.2944339960728968E-2</v>
      </c>
    </row>
    <row r="1135" spans="1:7" x14ac:dyDescent="0.2">
      <c r="A1135" s="402">
        <v>44320</v>
      </c>
      <c r="C1135" s="399">
        <v>95.084594999999993</v>
      </c>
      <c r="D1135" s="400">
        <f t="shared" si="34"/>
        <v>-7.6761950508332788E-3</v>
      </c>
      <c r="F1135" s="399">
        <v>48.810001</v>
      </c>
      <c r="G1135" s="400">
        <f t="shared" si="35"/>
        <v>-9.9391077066756095E-3</v>
      </c>
    </row>
    <row r="1136" spans="1:7" x14ac:dyDescent="0.2">
      <c r="A1136" s="402">
        <v>44321</v>
      </c>
      <c r="C1136" s="399">
        <v>94.995125000000002</v>
      </c>
      <c r="D1136" s="400">
        <f t="shared" si="34"/>
        <v>-9.4095158106310972E-4</v>
      </c>
      <c r="F1136" s="399">
        <v>49.060001</v>
      </c>
      <c r="G1136" s="400">
        <f t="shared" si="35"/>
        <v>5.1219011448084828E-3</v>
      </c>
    </row>
    <row r="1137" spans="1:7" x14ac:dyDescent="0.2">
      <c r="A1137" s="402">
        <v>44322</v>
      </c>
      <c r="C1137" s="399">
        <v>95.591515000000001</v>
      </c>
      <c r="D1137" s="400">
        <f t="shared" si="34"/>
        <v>6.2781116399395209E-3</v>
      </c>
      <c r="F1137" s="399">
        <v>52</v>
      </c>
      <c r="G1137" s="400">
        <f t="shared" si="35"/>
        <v>5.9926598860036817E-2</v>
      </c>
    </row>
    <row r="1138" spans="1:7" x14ac:dyDescent="0.2">
      <c r="A1138" s="402">
        <v>44323</v>
      </c>
      <c r="C1138" s="399">
        <v>96.386702999999997</v>
      </c>
      <c r="D1138" s="400">
        <f t="shared" si="34"/>
        <v>8.3186044284369043E-3</v>
      </c>
      <c r="F1138" s="399">
        <v>52.360000999999997</v>
      </c>
      <c r="G1138" s="400">
        <f t="shared" si="35"/>
        <v>6.923096153846009E-3</v>
      </c>
    </row>
    <row r="1139" spans="1:7" x14ac:dyDescent="0.2">
      <c r="A1139" s="402">
        <v>44326</v>
      </c>
      <c r="C1139" s="399">
        <v>95.223747000000003</v>
      </c>
      <c r="D1139" s="400">
        <f t="shared" si="34"/>
        <v>-1.2065523187363203E-2</v>
      </c>
      <c r="F1139" s="399">
        <v>52.299999</v>
      </c>
      <c r="G1139" s="400">
        <f t="shared" si="35"/>
        <v>-1.1459510858297106E-3</v>
      </c>
    </row>
    <row r="1140" spans="1:7" x14ac:dyDescent="0.2">
      <c r="A1140" s="402">
        <v>44327</v>
      </c>
      <c r="C1140" s="399">
        <v>94.468315000000004</v>
      </c>
      <c r="D1140" s="400">
        <f t="shared" si="34"/>
        <v>-7.9332311928451693E-3</v>
      </c>
      <c r="F1140" s="399">
        <v>50.400002000000001</v>
      </c>
      <c r="G1140" s="400">
        <f t="shared" si="35"/>
        <v>-3.6328815226172373E-2</v>
      </c>
    </row>
    <row r="1141" spans="1:7" x14ac:dyDescent="0.2">
      <c r="A1141" s="402">
        <v>44328</v>
      </c>
      <c r="C1141" s="399">
        <v>92.371002000000004</v>
      </c>
      <c r="D1141" s="400">
        <f t="shared" si="34"/>
        <v>-2.2201232233262536E-2</v>
      </c>
      <c r="F1141" s="399">
        <v>46.639999000000003</v>
      </c>
      <c r="G1141" s="400">
        <f t="shared" si="35"/>
        <v>-7.4603231166538442E-2</v>
      </c>
    </row>
    <row r="1142" spans="1:7" x14ac:dyDescent="0.2">
      <c r="A1142" s="402">
        <v>44329</v>
      </c>
      <c r="C1142" s="399">
        <v>93.404747</v>
      </c>
      <c r="D1142" s="400">
        <f t="shared" si="34"/>
        <v>1.1191228606570736E-2</v>
      </c>
      <c r="F1142" s="399">
        <v>47.959999000000003</v>
      </c>
      <c r="G1142" s="400">
        <f t="shared" si="35"/>
        <v>2.8301887399268644E-2</v>
      </c>
    </row>
    <row r="1143" spans="1:7" x14ac:dyDescent="0.2">
      <c r="A1143" s="402">
        <v>44330</v>
      </c>
      <c r="C1143" s="399">
        <v>95.005065999999999</v>
      </c>
      <c r="D1143" s="400">
        <f t="shared" si="34"/>
        <v>1.7133165619516166E-2</v>
      </c>
      <c r="F1143" s="399">
        <v>47.93</v>
      </c>
      <c r="G1143" s="400">
        <f t="shared" si="35"/>
        <v>-6.2550043005638045E-4</v>
      </c>
    </row>
    <row r="1144" spans="1:7" x14ac:dyDescent="0.2">
      <c r="A1144" s="402">
        <v>44333</v>
      </c>
      <c r="C1144" s="399">
        <v>94.726753000000002</v>
      </c>
      <c r="D1144" s="400">
        <f t="shared" si="34"/>
        <v>-2.9294543093101311E-3</v>
      </c>
      <c r="F1144" s="399">
        <v>47.950001</v>
      </c>
      <c r="G1144" s="400">
        <f t="shared" si="35"/>
        <v>4.1729605674944992E-4</v>
      </c>
    </row>
    <row r="1145" spans="1:7" x14ac:dyDescent="0.2">
      <c r="A1145" s="402">
        <v>44334</v>
      </c>
      <c r="C1145" s="399">
        <v>94.060776000000004</v>
      </c>
      <c r="D1145" s="400">
        <f t="shared" si="34"/>
        <v>-7.0305059437643092E-3</v>
      </c>
      <c r="F1145" s="399">
        <v>45.849997999999999</v>
      </c>
      <c r="G1145" s="400">
        <f t="shared" si="35"/>
        <v>-4.3795682089766808E-2</v>
      </c>
    </row>
    <row r="1146" spans="1:7" x14ac:dyDescent="0.2">
      <c r="A1146" s="402">
        <v>44335</v>
      </c>
      <c r="C1146" s="399">
        <v>93.782463000000007</v>
      </c>
      <c r="D1146" s="400">
        <f t="shared" si="34"/>
        <v>-2.9588635330841662E-3</v>
      </c>
      <c r="F1146" s="399">
        <v>44.619999</v>
      </c>
      <c r="G1146" s="400">
        <f t="shared" si="35"/>
        <v>-2.6826587865936169E-2</v>
      </c>
    </row>
    <row r="1147" spans="1:7" x14ac:dyDescent="0.2">
      <c r="A1147" s="402">
        <v>44336</v>
      </c>
      <c r="C1147" s="399">
        <v>94.786392000000006</v>
      </c>
      <c r="D1147" s="400">
        <f t="shared" si="34"/>
        <v>1.0704869203531198E-2</v>
      </c>
      <c r="F1147" s="399">
        <v>44.779998999999997</v>
      </c>
      <c r="G1147" s="400">
        <f t="shared" si="35"/>
        <v>3.5858360283691493E-3</v>
      </c>
    </row>
    <row r="1148" spans="1:7" x14ac:dyDescent="0.2">
      <c r="A1148" s="402">
        <v>44337</v>
      </c>
      <c r="C1148" s="399">
        <v>94.746628000000001</v>
      </c>
      <c r="D1148" s="400">
        <f t="shared" si="34"/>
        <v>-4.1951169530751731E-4</v>
      </c>
      <c r="F1148" s="399">
        <v>43.959999000000003</v>
      </c>
      <c r="G1148" s="400">
        <f t="shared" si="35"/>
        <v>-1.831174672424607E-2</v>
      </c>
    </row>
    <row r="1149" spans="1:7" x14ac:dyDescent="0.2">
      <c r="A1149" s="402">
        <v>44340</v>
      </c>
      <c r="C1149" s="399">
        <v>95.641220000000004</v>
      </c>
      <c r="D1149" s="400">
        <f t="shared" si="34"/>
        <v>9.4419402450924839E-3</v>
      </c>
      <c r="F1149" s="399">
        <v>44.48</v>
      </c>
      <c r="G1149" s="400">
        <f t="shared" si="35"/>
        <v>1.1828958412851476E-2</v>
      </c>
    </row>
    <row r="1150" spans="1:7" x14ac:dyDescent="0.2">
      <c r="A1150" s="402">
        <v>44341</v>
      </c>
      <c r="C1150" s="399">
        <v>95.352965999999995</v>
      </c>
      <c r="D1150" s="400">
        <f t="shared" si="34"/>
        <v>-3.0139096929128195E-3</v>
      </c>
      <c r="F1150" s="399">
        <v>44.860000999999997</v>
      </c>
      <c r="G1150" s="400">
        <f t="shared" si="35"/>
        <v>8.543187949640263E-3</v>
      </c>
    </row>
    <row r="1151" spans="1:7" x14ac:dyDescent="0.2">
      <c r="A1151" s="402">
        <v>44342</v>
      </c>
      <c r="C1151" s="399">
        <v>95.750557000000001</v>
      </c>
      <c r="D1151" s="400">
        <f t="shared" si="34"/>
        <v>4.1696762741496585E-3</v>
      </c>
      <c r="F1151" s="399">
        <v>45.169998</v>
      </c>
      <c r="G1151" s="400">
        <f t="shared" si="35"/>
        <v>6.910320844620621E-3</v>
      </c>
    </row>
    <row r="1152" spans="1:7" x14ac:dyDescent="0.2">
      <c r="A1152" s="402">
        <v>44343</v>
      </c>
      <c r="C1152" s="399">
        <v>95.959297000000007</v>
      </c>
      <c r="D1152" s="400">
        <f t="shared" si="34"/>
        <v>2.1800395375246584E-3</v>
      </c>
      <c r="F1152" s="399">
        <v>45.150002000000001</v>
      </c>
      <c r="G1152" s="400">
        <f t="shared" si="35"/>
        <v>-4.4268321641283137E-4</v>
      </c>
    </row>
    <row r="1153" spans="1:7" x14ac:dyDescent="0.2">
      <c r="A1153" s="402">
        <v>44344</v>
      </c>
      <c r="C1153" s="399">
        <v>96.138205999999997</v>
      </c>
      <c r="D1153" s="400">
        <f t="shared" si="34"/>
        <v>1.8644259138329566E-3</v>
      </c>
      <c r="F1153" s="399">
        <v>44.540000999999997</v>
      </c>
      <c r="G1153" s="400">
        <f t="shared" si="35"/>
        <v>-1.351054203718538E-2</v>
      </c>
    </row>
    <row r="1154" spans="1:7" x14ac:dyDescent="0.2">
      <c r="A1154" s="402">
        <v>44348</v>
      </c>
      <c r="C1154" s="399">
        <v>96.177970999999999</v>
      </c>
      <c r="D1154" s="400">
        <f t="shared" si="34"/>
        <v>4.1362327896998785E-4</v>
      </c>
      <c r="F1154" s="399">
        <v>44.470001000000003</v>
      </c>
      <c r="G1154" s="400">
        <f t="shared" si="35"/>
        <v>-1.5716209795323399E-3</v>
      </c>
    </row>
    <row r="1155" spans="1:7" x14ac:dyDescent="0.2">
      <c r="A1155" s="402">
        <v>44349</v>
      </c>
      <c r="C1155" s="399">
        <v>96.287307999999996</v>
      </c>
      <c r="D1155" s="400">
        <f t="shared" si="34"/>
        <v>1.1368195737877507E-3</v>
      </c>
      <c r="F1155" s="399">
        <v>42.880001</v>
      </c>
      <c r="G1155" s="400">
        <f t="shared" si="35"/>
        <v>-3.575444039229958E-2</v>
      </c>
    </row>
    <row r="1156" spans="1:7" x14ac:dyDescent="0.2">
      <c r="A1156" s="402">
        <v>44350</v>
      </c>
      <c r="C1156" s="399">
        <v>95.830078</v>
      </c>
      <c r="D1156" s="400">
        <f t="shared" si="34"/>
        <v>-4.7486009267181384E-3</v>
      </c>
      <c r="F1156" s="399">
        <v>42.25</v>
      </c>
      <c r="G1156" s="400">
        <f t="shared" si="35"/>
        <v>-1.4692187157365089E-2</v>
      </c>
    </row>
    <row r="1157" spans="1:7" x14ac:dyDescent="0.2">
      <c r="A1157" s="402">
        <v>44351</v>
      </c>
      <c r="C1157" s="399">
        <v>96.674965</v>
      </c>
      <c r="D1157" s="400">
        <f t="shared" si="34"/>
        <v>8.8165116593144077E-3</v>
      </c>
      <c r="F1157" s="399">
        <v>42.700001</v>
      </c>
      <c r="G1157" s="400">
        <f t="shared" si="35"/>
        <v>1.0650911242603645E-2</v>
      </c>
    </row>
    <row r="1158" spans="1:7" x14ac:dyDescent="0.2">
      <c r="A1158" s="402">
        <v>44354</v>
      </c>
      <c r="C1158" s="399">
        <v>96.784301999999997</v>
      </c>
      <c r="D1158" s="400">
        <f t="shared" si="34"/>
        <v>1.1309753254111765E-3</v>
      </c>
      <c r="F1158" s="399">
        <v>41.93</v>
      </c>
      <c r="G1158" s="400">
        <f t="shared" si="35"/>
        <v>-1.8032809882135625E-2</v>
      </c>
    </row>
    <row r="1159" spans="1:7" x14ac:dyDescent="0.2">
      <c r="A1159" s="402">
        <v>44355</v>
      </c>
      <c r="C1159" s="399">
        <v>96.883697999999995</v>
      </c>
      <c r="D1159" s="400">
        <f t="shared" ref="D1159:D1222" si="36">C1159/C1158-1</f>
        <v>1.026984727337199E-3</v>
      </c>
      <c r="F1159" s="399">
        <v>42.259998000000003</v>
      </c>
      <c r="G1159" s="400">
        <f t="shared" ref="G1159:G1222" si="37">F1159/F1158-1</f>
        <v>7.8702122585261325E-3</v>
      </c>
    </row>
    <row r="1160" spans="1:7" x14ac:dyDescent="0.2">
      <c r="A1160" s="402">
        <v>44356</v>
      </c>
      <c r="C1160" s="399">
        <v>96.655074999999997</v>
      </c>
      <c r="D1160" s="400">
        <f t="shared" si="36"/>
        <v>-2.3597674812123604E-3</v>
      </c>
      <c r="F1160" s="399">
        <v>43.759998000000003</v>
      </c>
      <c r="G1160" s="400">
        <f t="shared" si="37"/>
        <v>3.5494559181001417E-2</v>
      </c>
    </row>
    <row r="1161" spans="1:7" x14ac:dyDescent="0.2">
      <c r="A1161" s="402">
        <v>44357</v>
      </c>
      <c r="C1161" s="399">
        <v>97.099472000000006</v>
      </c>
      <c r="D1161" s="400">
        <f t="shared" si="36"/>
        <v>4.5977616798704712E-3</v>
      </c>
      <c r="F1161" s="399">
        <v>42.68</v>
      </c>
      <c r="G1161" s="400">
        <f t="shared" si="37"/>
        <v>-2.4680028550275623E-2</v>
      </c>
    </row>
    <row r="1162" spans="1:7" x14ac:dyDescent="0.2">
      <c r="A1162" s="402">
        <v>44358</v>
      </c>
      <c r="C1162" s="399">
        <v>97.398398999999998</v>
      </c>
      <c r="D1162" s="400">
        <f t="shared" si="36"/>
        <v>3.0785646290640845E-3</v>
      </c>
      <c r="F1162" s="399">
        <v>43.860000999999997</v>
      </c>
      <c r="G1162" s="400">
        <f t="shared" si="37"/>
        <v>2.7647633552014828E-2</v>
      </c>
    </row>
    <row r="1163" spans="1:7" x14ac:dyDescent="0.2">
      <c r="A1163" s="402">
        <v>44361</v>
      </c>
      <c r="C1163" s="399">
        <v>97.517966999999999</v>
      </c>
      <c r="D1163" s="400">
        <f t="shared" si="36"/>
        <v>1.2276177147430012E-3</v>
      </c>
      <c r="F1163" s="399">
        <v>42.610000999999997</v>
      </c>
      <c r="G1163" s="400">
        <f t="shared" si="37"/>
        <v>-2.8499771352034409E-2</v>
      </c>
    </row>
    <row r="1164" spans="1:7" x14ac:dyDescent="0.2">
      <c r="A1164" s="402">
        <v>44362</v>
      </c>
      <c r="C1164" s="399">
        <v>97.238968</v>
      </c>
      <c r="D1164" s="400">
        <f t="shared" si="36"/>
        <v>-2.861000988669038E-3</v>
      </c>
      <c r="F1164" s="399">
        <v>43.360000999999997</v>
      </c>
      <c r="G1164" s="400">
        <f t="shared" si="37"/>
        <v>1.7601501581752999E-2</v>
      </c>
    </row>
    <row r="1165" spans="1:7" x14ac:dyDescent="0.2">
      <c r="A1165" s="402">
        <v>44363</v>
      </c>
      <c r="C1165" s="399">
        <v>96.810524000000001</v>
      </c>
      <c r="D1165" s="400">
        <f t="shared" si="36"/>
        <v>-4.4060936557862584E-3</v>
      </c>
      <c r="F1165" s="399">
        <v>43.330002</v>
      </c>
      <c r="G1165" s="400">
        <f t="shared" si="37"/>
        <v>-6.9185884013234222E-4</v>
      </c>
    </row>
    <row r="1166" spans="1:7" x14ac:dyDescent="0.2">
      <c r="A1166" s="402">
        <v>44364</v>
      </c>
      <c r="C1166" s="399">
        <v>96.730812</v>
      </c>
      <c r="D1166" s="400">
        <f t="shared" si="36"/>
        <v>-8.233815571538905E-4</v>
      </c>
      <c r="F1166" s="399">
        <v>43.029998999999997</v>
      </c>
      <c r="G1166" s="400">
        <f t="shared" si="37"/>
        <v>-6.9236784249399053E-3</v>
      </c>
    </row>
    <row r="1167" spans="1:7" x14ac:dyDescent="0.2">
      <c r="A1167" s="402">
        <v>44365</v>
      </c>
      <c r="C1167" s="399">
        <v>95.455414000000005</v>
      </c>
      <c r="D1167" s="400">
        <f t="shared" si="36"/>
        <v>-1.3185023196124912E-2</v>
      </c>
      <c r="F1167" s="399">
        <v>42.220001000000003</v>
      </c>
      <c r="G1167" s="400">
        <f t="shared" si="37"/>
        <v>-1.882403018415113E-2</v>
      </c>
    </row>
    <row r="1168" spans="1:7" x14ac:dyDescent="0.2">
      <c r="A1168" s="402">
        <v>44368</v>
      </c>
      <c r="C1168" s="399">
        <v>96.820480000000003</v>
      </c>
      <c r="D1168" s="400">
        <f t="shared" si="36"/>
        <v>1.4300561307083015E-2</v>
      </c>
      <c r="F1168" s="399">
        <v>43.880001</v>
      </c>
      <c r="G1168" s="400">
        <f t="shared" si="37"/>
        <v>3.9317857903413911E-2</v>
      </c>
    </row>
    <row r="1169" spans="1:7" x14ac:dyDescent="0.2">
      <c r="A1169" s="402">
        <v>44369</v>
      </c>
      <c r="C1169" s="399">
        <v>97.298759000000004</v>
      </c>
      <c r="D1169" s="400">
        <f t="shared" si="36"/>
        <v>4.9398536342724064E-3</v>
      </c>
      <c r="F1169" s="399">
        <v>44.43</v>
      </c>
      <c r="G1169" s="400">
        <f t="shared" si="37"/>
        <v>1.2534161063487703E-2</v>
      </c>
    </row>
    <row r="1170" spans="1:7" x14ac:dyDescent="0.2">
      <c r="A1170" s="402">
        <v>44370</v>
      </c>
      <c r="C1170" s="399">
        <v>97.308723000000001</v>
      </c>
      <c r="D1170" s="400">
        <f t="shared" si="36"/>
        <v>1.0240623932311621E-4</v>
      </c>
      <c r="F1170" s="399">
        <v>44.150002000000001</v>
      </c>
      <c r="G1170" s="400">
        <f t="shared" si="37"/>
        <v>-6.3020031510240271E-3</v>
      </c>
    </row>
    <row r="1171" spans="1:7" x14ac:dyDescent="0.2">
      <c r="A1171" s="402">
        <v>44371</v>
      </c>
      <c r="C1171" s="399">
        <v>97.916527000000002</v>
      </c>
      <c r="D1171" s="400">
        <f t="shared" si="36"/>
        <v>6.2461409549070535E-3</v>
      </c>
      <c r="F1171" s="399">
        <v>44.84</v>
      </c>
      <c r="G1171" s="400">
        <f t="shared" si="37"/>
        <v>1.5628493063261972E-2</v>
      </c>
    </row>
    <row r="1172" spans="1:7" x14ac:dyDescent="0.2">
      <c r="A1172" s="402">
        <v>44372</v>
      </c>
      <c r="C1172" s="399">
        <v>98.305130000000005</v>
      </c>
      <c r="D1172" s="400">
        <f t="shared" si="36"/>
        <v>3.9687171502722496E-3</v>
      </c>
      <c r="F1172" s="399">
        <v>45.209999000000003</v>
      </c>
      <c r="G1172" s="400">
        <f t="shared" si="37"/>
        <v>8.2515388046386917E-3</v>
      </c>
    </row>
    <row r="1173" spans="1:7" x14ac:dyDescent="0.2">
      <c r="A1173" s="402">
        <v>44375</v>
      </c>
      <c r="C1173" s="399">
        <v>98.444626</v>
      </c>
      <c r="D1173" s="400">
        <f t="shared" si="36"/>
        <v>1.4190103812485866E-3</v>
      </c>
      <c r="F1173" s="399">
        <v>45.240001999999997</v>
      </c>
      <c r="G1173" s="400">
        <f t="shared" si="37"/>
        <v>6.6363637831523548E-4</v>
      </c>
    </row>
    <row r="1174" spans="1:7" x14ac:dyDescent="0.2">
      <c r="A1174" s="402">
        <v>44376</v>
      </c>
      <c r="C1174" s="399">
        <v>98.504401999999999</v>
      </c>
      <c r="D1174" s="400">
        <f t="shared" si="36"/>
        <v>6.0720429777449958E-4</v>
      </c>
      <c r="F1174" s="399">
        <v>42.57</v>
      </c>
      <c r="G1174" s="400">
        <f t="shared" si="37"/>
        <v>-5.9018609238788211E-2</v>
      </c>
    </row>
    <row r="1175" spans="1:7" x14ac:dyDescent="0.2">
      <c r="A1175" s="402">
        <v>44377</v>
      </c>
      <c r="C1175" s="399">
        <v>98.404769999999999</v>
      </c>
      <c r="D1175" s="400">
        <f t="shared" si="36"/>
        <v>-1.0114471838527095E-3</v>
      </c>
      <c r="F1175" s="399">
        <v>42.66</v>
      </c>
      <c r="G1175" s="400">
        <f t="shared" si="37"/>
        <v>2.1141649048626032E-3</v>
      </c>
    </row>
    <row r="1176" spans="1:7" x14ac:dyDescent="0.2">
      <c r="A1176" s="402">
        <v>44378</v>
      </c>
      <c r="C1176" s="399">
        <v>99.022530000000003</v>
      </c>
      <c r="D1176" s="400">
        <f t="shared" si="36"/>
        <v>6.2777444629971146E-3</v>
      </c>
      <c r="F1176" s="399">
        <v>43.68</v>
      </c>
      <c r="G1176" s="400">
        <f t="shared" si="37"/>
        <v>2.3909985935302469E-2</v>
      </c>
    </row>
    <row r="1177" spans="1:7" x14ac:dyDescent="0.2">
      <c r="A1177" s="402">
        <v>44379</v>
      </c>
      <c r="C1177" s="399">
        <v>99.540665000000004</v>
      </c>
      <c r="D1177" s="400">
        <f t="shared" si="36"/>
        <v>5.232496079427662E-3</v>
      </c>
      <c r="F1177" s="399">
        <v>43.259998000000003</v>
      </c>
      <c r="G1177" s="400">
        <f t="shared" si="37"/>
        <v>-9.6154304029303361E-3</v>
      </c>
    </row>
    <row r="1178" spans="1:7" x14ac:dyDescent="0.2">
      <c r="A1178" s="402">
        <v>44383</v>
      </c>
      <c r="C1178" s="399">
        <v>99.271629000000004</v>
      </c>
      <c r="D1178" s="400">
        <f t="shared" si="36"/>
        <v>-2.7027747905843391E-3</v>
      </c>
      <c r="F1178" s="399">
        <v>42.169998</v>
      </c>
      <c r="G1178" s="400">
        <f t="shared" si="37"/>
        <v>-2.5196487526421119E-2</v>
      </c>
    </row>
    <row r="1179" spans="1:7" x14ac:dyDescent="0.2">
      <c r="A1179" s="402">
        <v>44384</v>
      </c>
      <c r="C1179" s="399">
        <v>99.490844999999993</v>
      </c>
      <c r="D1179" s="400">
        <f t="shared" si="36"/>
        <v>2.2082442104378597E-3</v>
      </c>
      <c r="F1179" s="399">
        <v>43.009998000000003</v>
      </c>
      <c r="G1179" s="400">
        <f t="shared" si="37"/>
        <v>1.9919374907250598E-2</v>
      </c>
    </row>
    <row r="1180" spans="1:7" x14ac:dyDescent="0.2">
      <c r="A1180" s="402">
        <v>44385</v>
      </c>
      <c r="C1180" s="399">
        <v>98.604042000000007</v>
      </c>
      <c r="D1180" s="400">
        <f t="shared" si="36"/>
        <v>-8.9134130884102047E-3</v>
      </c>
      <c r="F1180" s="399">
        <v>41.75</v>
      </c>
      <c r="G1180" s="400">
        <f t="shared" si="37"/>
        <v>-2.9295467532921116E-2</v>
      </c>
    </row>
    <row r="1181" spans="1:7" x14ac:dyDescent="0.2">
      <c r="A1181" s="402">
        <v>44386</v>
      </c>
      <c r="C1181" s="399">
        <v>99.789764000000005</v>
      </c>
      <c r="D1181" s="400">
        <f t="shared" si="36"/>
        <v>1.202508513799061E-2</v>
      </c>
      <c r="F1181" s="399">
        <v>42.77</v>
      </c>
      <c r="G1181" s="400">
        <f t="shared" si="37"/>
        <v>2.4431137724550966E-2</v>
      </c>
    </row>
    <row r="1182" spans="1:7" x14ac:dyDescent="0.2">
      <c r="A1182" s="402">
        <v>44389</v>
      </c>
      <c r="C1182" s="399">
        <v>100.088684</v>
      </c>
      <c r="D1182" s="400">
        <f t="shared" si="36"/>
        <v>2.9954976143644618E-3</v>
      </c>
      <c r="F1182" s="399">
        <v>43.75</v>
      </c>
      <c r="G1182" s="400">
        <f t="shared" si="37"/>
        <v>2.2913256955810146E-2</v>
      </c>
    </row>
    <row r="1183" spans="1:7" x14ac:dyDescent="0.2">
      <c r="A1183" s="402">
        <v>44390</v>
      </c>
      <c r="C1183" s="399">
        <v>99.520729000000003</v>
      </c>
      <c r="D1183" s="400">
        <f t="shared" si="36"/>
        <v>-5.6745176108020656E-3</v>
      </c>
      <c r="F1183" s="399">
        <v>42.330002</v>
      </c>
      <c r="G1183" s="400">
        <f t="shared" si="37"/>
        <v>-3.2457097142857161E-2</v>
      </c>
    </row>
    <row r="1184" spans="1:7" x14ac:dyDescent="0.2">
      <c r="A1184" s="402">
        <v>44391</v>
      </c>
      <c r="C1184" s="399">
        <v>99.441024999999996</v>
      </c>
      <c r="D1184" s="400">
        <f t="shared" si="36"/>
        <v>-8.008783778101769E-4</v>
      </c>
      <c r="F1184" s="399">
        <v>41.950001</v>
      </c>
      <c r="G1184" s="400">
        <f t="shared" si="37"/>
        <v>-8.9771080095861766E-3</v>
      </c>
    </row>
    <row r="1185" spans="1:7" x14ac:dyDescent="0.2">
      <c r="A1185" s="402">
        <v>44392</v>
      </c>
      <c r="C1185" s="399">
        <v>99.102242000000004</v>
      </c>
      <c r="D1185" s="400">
        <f t="shared" si="36"/>
        <v>-3.4068735715464538E-3</v>
      </c>
      <c r="F1185" s="399">
        <v>41.84</v>
      </c>
      <c r="G1185" s="400">
        <f t="shared" si="37"/>
        <v>-2.6221930245007297E-3</v>
      </c>
    </row>
    <row r="1186" spans="1:7" x14ac:dyDescent="0.2">
      <c r="A1186" s="402">
        <v>44393</v>
      </c>
      <c r="C1186" s="399">
        <v>98.285194000000004</v>
      </c>
      <c r="D1186" s="400">
        <f t="shared" si="36"/>
        <v>-8.2444956189789975E-3</v>
      </c>
      <c r="F1186" s="399">
        <v>40.98</v>
      </c>
      <c r="G1186" s="400">
        <f t="shared" si="37"/>
        <v>-2.0554493307839539E-2</v>
      </c>
    </row>
    <row r="1187" spans="1:7" x14ac:dyDescent="0.2">
      <c r="A1187" s="402">
        <v>44396</v>
      </c>
      <c r="C1187" s="399">
        <v>96.979911999999999</v>
      </c>
      <c r="D1187" s="400">
        <f t="shared" si="36"/>
        <v>-1.3280555767128166E-2</v>
      </c>
      <c r="F1187" s="399">
        <v>40.470001000000003</v>
      </c>
      <c r="G1187" s="400">
        <f t="shared" si="37"/>
        <v>-1.2445070766227251E-2</v>
      </c>
    </row>
    <row r="1188" spans="1:7" x14ac:dyDescent="0.2">
      <c r="A1188" s="402">
        <v>44397</v>
      </c>
      <c r="C1188" s="399">
        <v>98.504401999999999</v>
      </c>
      <c r="D1188" s="400">
        <f t="shared" si="36"/>
        <v>1.5719647178067175E-2</v>
      </c>
      <c r="F1188" s="399">
        <v>41.990001999999997</v>
      </c>
      <c r="G1188" s="400">
        <f t="shared" si="37"/>
        <v>3.7558709227607734E-2</v>
      </c>
    </row>
    <row r="1189" spans="1:7" x14ac:dyDescent="0.2">
      <c r="A1189" s="402">
        <v>44398</v>
      </c>
      <c r="C1189" s="399">
        <v>99.460953000000003</v>
      </c>
      <c r="D1189" s="400">
        <f t="shared" si="36"/>
        <v>9.7107436883887566E-3</v>
      </c>
      <c r="F1189" s="399">
        <v>44.939999</v>
      </c>
      <c r="G1189" s="400">
        <f t="shared" si="37"/>
        <v>7.025474778496088E-2</v>
      </c>
    </row>
    <row r="1190" spans="1:7" x14ac:dyDescent="0.2">
      <c r="A1190" s="402">
        <v>44399</v>
      </c>
      <c r="C1190" s="399">
        <v>99.480873000000003</v>
      </c>
      <c r="D1190" s="400">
        <f t="shared" si="36"/>
        <v>2.0027960118174093E-4</v>
      </c>
      <c r="F1190" s="399">
        <v>44.549999</v>
      </c>
      <c r="G1190" s="400">
        <f t="shared" si="37"/>
        <v>-8.678237843307457E-3</v>
      </c>
    </row>
    <row r="1191" spans="1:7" x14ac:dyDescent="0.2">
      <c r="A1191" s="402">
        <v>44400</v>
      </c>
      <c r="C1191" s="399">
        <v>100.47727999999999</v>
      </c>
      <c r="D1191" s="400">
        <f t="shared" si="36"/>
        <v>1.0016066103480936E-2</v>
      </c>
      <c r="F1191" s="399">
        <v>45.360000999999997</v>
      </c>
      <c r="G1191" s="400">
        <f t="shared" si="37"/>
        <v>1.8181863483319072E-2</v>
      </c>
    </row>
    <row r="1192" spans="1:7" x14ac:dyDescent="0.2">
      <c r="A1192" s="402">
        <v>44403</v>
      </c>
      <c r="C1192" s="399">
        <v>100.67656700000001</v>
      </c>
      <c r="D1192" s="400">
        <f t="shared" si="36"/>
        <v>1.9834036112442721E-3</v>
      </c>
      <c r="F1192" s="399">
        <v>44.009998000000003</v>
      </c>
      <c r="G1192" s="400">
        <f t="shared" si="37"/>
        <v>-2.9761970243342706E-2</v>
      </c>
    </row>
    <row r="1193" spans="1:7" x14ac:dyDescent="0.2">
      <c r="A1193" s="402">
        <v>44404</v>
      </c>
      <c r="C1193" s="399">
        <v>100.138504</v>
      </c>
      <c r="D1193" s="400">
        <f t="shared" si="36"/>
        <v>-5.3444710723996591E-3</v>
      </c>
      <c r="F1193" s="399">
        <v>44.200001</v>
      </c>
      <c r="G1193" s="400">
        <f t="shared" si="37"/>
        <v>4.3172689987396318E-3</v>
      </c>
    </row>
    <row r="1194" spans="1:7" x14ac:dyDescent="0.2">
      <c r="A1194" s="402">
        <v>44405</v>
      </c>
      <c r="C1194" s="399">
        <v>100.31785600000001</v>
      </c>
      <c r="D1194" s="400">
        <f t="shared" si="36"/>
        <v>1.7910393388742563E-3</v>
      </c>
      <c r="F1194" s="399">
        <v>44.119999</v>
      </c>
      <c r="G1194" s="400">
        <f t="shared" si="37"/>
        <v>-1.8099999590497351E-3</v>
      </c>
    </row>
    <row r="1195" spans="1:7" x14ac:dyDescent="0.2">
      <c r="A1195" s="402">
        <v>44406</v>
      </c>
      <c r="C1195" s="399">
        <v>100.73634300000001</v>
      </c>
      <c r="D1195" s="400">
        <f t="shared" si="36"/>
        <v>4.1716102864080007E-3</v>
      </c>
      <c r="F1195" s="399">
        <v>44.939999</v>
      </c>
      <c r="G1195" s="400">
        <f t="shared" si="37"/>
        <v>1.8585675851896521E-2</v>
      </c>
    </row>
    <row r="1196" spans="1:7" x14ac:dyDescent="0.2">
      <c r="A1196" s="402">
        <v>44407</v>
      </c>
      <c r="C1196" s="399">
        <v>100.19828800000001</v>
      </c>
      <c r="D1196" s="400">
        <f t="shared" si="36"/>
        <v>-5.3412202982194845E-3</v>
      </c>
      <c r="F1196" s="399">
        <v>44.5</v>
      </c>
      <c r="G1196" s="400">
        <f t="shared" si="37"/>
        <v>-9.7908101867113517E-3</v>
      </c>
    </row>
    <row r="1197" spans="1:7" x14ac:dyDescent="0.2">
      <c r="A1197" s="402">
        <v>44410</v>
      </c>
      <c r="C1197" s="399">
        <v>100.06875599999999</v>
      </c>
      <c r="D1197" s="400">
        <f t="shared" si="36"/>
        <v>-1.2927566187559414E-3</v>
      </c>
      <c r="F1197" s="399">
        <v>44.450001</v>
      </c>
      <c r="G1197" s="400">
        <f t="shared" si="37"/>
        <v>-1.1235730337078031E-3</v>
      </c>
    </row>
    <row r="1198" spans="1:7" x14ac:dyDescent="0.2">
      <c r="A1198" s="402">
        <v>44411</v>
      </c>
      <c r="C1198" s="399">
        <v>100.786171</v>
      </c>
      <c r="D1198" s="400">
        <f t="shared" si="36"/>
        <v>7.16922073059445E-3</v>
      </c>
      <c r="F1198" s="399">
        <v>45.860000999999997</v>
      </c>
      <c r="G1198" s="400">
        <f t="shared" si="37"/>
        <v>3.1721034157007111E-2</v>
      </c>
    </row>
    <row r="1199" spans="1:7" x14ac:dyDescent="0.2">
      <c r="A1199" s="402">
        <v>44412</v>
      </c>
      <c r="C1199" s="399">
        <v>100.248108</v>
      </c>
      <c r="D1199" s="400">
        <f t="shared" si="36"/>
        <v>-5.3386590110660048E-3</v>
      </c>
      <c r="F1199" s="399">
        <v>45.950001</v>
      </c>
      <c r="G1199" s="400">
        <f t="shared" si="37"/>
        <v>1.96249450583319E-3</v>
      </c>
    </row>
    <row r="1200" spans="1:7" x14ac:dyDescent="0.2">
      <c r="A1200" s="402">
        <v>44413</v>
      </c>
      <c r="C1200" s="399">
        <v>100.99541499999999</v>
      </c>
      <c r="D1200" s="400">
        <f t="shared" si="36"/>
        <v>7.4545746040413086E-3</v>
      </c>
      <c r="F1200" s="399">
        <v>47.330002</v>
      </c>
      <c r="G1200" s="400">
        <f t="shared" si="37"/>
        <v>3.0032665287645921E-2</v>
      </c>
    </row>
    <row r="1201" spans="1:7" x14ac:dyDescent="0.2">
      <c r="A1201" s="402">
        <v>44414</v>
      </c>
      <c r="C1201" s="399">
        <v>101.114983</v>
      </c>
      <c r="D1201" s="400">
        <f t="shared" si="36"/>
        <v>1.1838953283176412E-3</v>
      </c>
      <c r="F1201" s="399">
        <v>47.290000999999997</v>
      </c>
      <c r="G1201" s="400">
        <f t="shared" si="37"/>
        <v>-8.4515103126348023E-4</v>
      </c>
    </row>
    <row r="1202" spans="1:7" x14ac:dyDescent="0.2">
      <c r="A1202" s="402">
        <v>44417</v>
      </c>
      <c r="C1202" s="399">
        <v>101.025307</v>
      </c>
      <c r="D1202" s="400">
        <f t="shared" si="36"/>
        <v>-8.8687153317323908E-4</v>
      </c>
      <c r="F1202" s="399">
        <v>47.5</v>
      </c>
      <c r="G1202" s="400">
        <f t="shared" si="37"/>
        <v>4.4406638942553478E-3</v>
      </c>
    </row>
    <row r="1203" spans="1:7" x14ac:dyDescent="0.2">
      <c r="A1203" s="402">
        <v>44418</v>
      </c>
      <c r="C1203" s="399">
        <v>101.05519099999999</v>
      </c>
      <c r="D1203" s="400">
        <f t="shared" si="36"/>
        <v>2.9580706941079171E-4</v>
      </c>
      <c r="F1203" s="399">
        <v>48.790000999999997</v>
      </c>
      <c r="G1203" s="400">
        <f t="shared" si="37"/>
        <v>2.7157915789473686E-2</v>
      </c>
    </row>
    <row r="1204" spans="1:7" x14ac:dyDescent="0.2">
      <c r="A1204" s="402">
        <v>44419</v>
      </c>
      <c r="C1204" s="399">
        <v>101.314262</v>
      </c>
      <c r="D1204" s="400">
        <f t="shared" si="36"/>
        <v>2.5636585061721284E-3</v>
      </c>
      <c r="F1204" s="399">
        <v>50.240001999999997</v>
      </c>
      <c r="G1204" s="400">
        <f t="shared" si="37"/>
        <v>2.9719224641950648E-2</v>
      </c>
    </row>
    <row r="1205" spans="1:7" x14ac:dyDescent="0.2">
      <c r="A1205" s="402">
        <v>44420</v>
      </c>
      <c r="C1205" s="399">
        <v>101.61318199999999</v>
      </c>
      <c r="D1205" s="400">
        <f t="shared" si="36"/>
        <v>2.9504237024398083E-3</v>
      </c>
      <c r="F1205" s="399">
        <v>51.900002000000001</v>
      </c>
      <c r="G1205" s="400">
        <f t="shared" si="37"/>
        <v>3.304139995854305E-2</v>
      </c>
    </row>
    <row r="1206" spans="1:7" x14ac:dyDescent="0.2">
      <c r="A1206" s="402">
        <v>44421</v>
      </c>
      <c r="C1206" s="399">
        <v>101.66300200000001</v>
      </c>
      <c r="D1206" s="400">
        <f t="shared" si="36"/>
        <v>4.9029071838346816E-4</v>
      </c>
      <c r="F1206" s="399">
        <v>51.759998000000003</v>
      </c>
      <c r="G1206" s="400">
        <f t="shared" si="37"/>
        <v>-2.6975721503825767E-3</v>
      </c>
    </row>
    <row r="1207" spans="1:7" x14ac:dyDescent="0.2">
      <c r="A1207" s="402">
        <v>44424</v>
      </c>
      <c r="C1207" s="399">
        <v>101.78257000000001</v>
      </c>
      <c r="D1207" s="400">
        <f t="shared" si="36"/>
        <v>1.1761210828695745E-3</v>
      </c>
      <c r="F1207" s="399">
        <v>51.580002</v>
      </c>
      <c r="G1207" s="400">
        <f t="shared" si="37"/>
        <v>-3.4775117263335931E-3</v>
      </c>
    </row>
    <row r="1208" spans="1:7" x14ac:dyDescent="0.2">
      <c r="A1208" s="402">
        <v>44425</v>
      </c>
      <c r="C1208" s="399">
        <v>100.985443</v>
      </c>
      <c r="D1208" s="400">
        <f t="shared" si="36"/>
        <v>-7.8316650876472105E-3</v>
      </c>
      <c r="F1208" s="399">
        <v>49.700001</v>
      </c>
      <c r="G1208" s="400">
        <f t="shared" si="37"/>
        <v>-3.6448253724379431E-2</v>
      </c>
    </row>
    <row r="1209" spans="1:7" x14ac:dyDescent="0.2">
      <c r="A1209" s="402">
        <v>44426</v>
      </c>
      <c r="C1209" s="399">
        <v>99.989044000000007</v>
      </c>
      <c r="D1209" s="400">
        <f t="shared" si="36"/>
        <v>-9.8667587168974613E-3</v>
      </c>
      <c r="F1209" s="399">
        <v>49.220001000000003</v>
      </c>
      <c r="G1209" s="400">
        <f t="shared" si="37"/>
        <v>-9.6579474917917185E-3</v>
      </c>
    </row>
    <row r="1210" spans="1:7" x14ac:dyDescent="0.2">
      <c r="A1210" s="402">
        <v>44427</v>
      </c>
      <c r="C1210" s="399">
        <v>99.939223999999996</v>
      </c>
      <c r="D1210" s="400">
        <f t="shared" si="36"/>
        <v>-4.9825458877283957E-4</v>
      </c>
      <c r="F1210" s="399">
        <v>48.43</v>
      </c>
      <c r="G1210" s="400">
        <f t="shared" si="37"/>
        <v>-1.6050406012791507E-2</v>
      </c>
    </row>
    <row r="1211" spans="1:7" x14ac:dyDescent="0.2">
      <c r="A1211" s="402">
        <v>44428</v>
      </c>
      <c r="C1211" s="399">
        <v>100.816063</v>
      </c>
      <c r="D1211" s="400">
        <f t="shared" si="36"/>
        <v>8.7737223174757517E-3</v>
      </c>
      <c r="F1211" s="399">
        <v>49.110000999999997</v>
      </c>
      <c r="G1211" s="400">
        <f t="shared" si="37"/>
        <v>1.404090439810024E-2</v>
      </c>
    </row>
    <row r="1212" spans="1:7" x14ac:dyDescent="0.2">
      <c r="A1212" s="402">
        <v>44431</v>
      </c>
      <c r="C1212" s="399">
        <v>101.83239</v>
      </c>
      <c r="D1212" s="400">
        <f t="shared" si="36"/>
        <v>1.008100266720402E-2</v>
      </c>
      <c r="F1212" s="399">
        <v>50.169998</v>
      </c>
      <c r="G1212" s="400">
        <f t="shared" si="37"/>
        <v>2.1584137210667098E-2</v>
      </c>
    </row>
    <row r="1213" spans="1:7" x14ac:dyDescent="0.2">
      <c r="A1213" s="402">
        <v>44432</v>
      </c>
      <c r="C1213" s="399">
        <v>102.111389</v>
      </c>
      <c r="D1213" s="400">
        <f t="shared" si="36"/>
        <v>2.7397864274814054E-3</v>
      </c>
      <c r="F1213" s="399">
        <v>51.139999000000003</v>
      </c>
      <c r="G1213" s="400">
        <f t="shared" si="37"/>
        <v>1.9334284207067398E-2</v>
      </c>
    </row>
    <row r="1214" spans="1:7" x14ac:dyDescent="0.2">
      <c r="A1214" s="402">
        <v>44433</v>
      </c>
      <c r="C1214" s="399">
        <v>102.450157</v>
      </c>
      <c r="D1214" s="400">
        <f t="shared" si="36"/>
        <v>3.3176318853129771E-3</v>
      </c>
      <c r="F1214" s="399">
        <v>52.389999000000003</v>
      </c>
      <c r="G1214" s="400">
        <f t="shared" si="37"/>
        <v>2.4442706774397971E-2</v>
      </c>
    </row>
    <row r="1215" spans="1:7" x14ac:dyDescent="0.2">
      <c r="A1215" s="402">
        <v>44434</v>
      </c>
      <c r="C1215" s="399">
        <v>101.812462</v>
      </c>
      <c r="D1215" s="400">
        <f t="shared" si="36"/>
        <v>-6.2244414130083747E-3</v>
      </c>
      <c r="F1215" s="399">
        <v>51.75</v>
      </c>
      <c r="G1215" s="400">
        <f t="shared" si="37"/>
        <v>-1.2216052914984843E-2</v>
      </c>
    </row>
    <row r="1216" spans="1:7" x14ac:dyDescent="0.2">
      <c r="A1216" s="402">
        <v>44435</v>
      </c>
      <c r="C1216" s="399">
        <v>102.88858</v>
      </c>
      <c r="D1216" s="400">
        <f t="shared" si="36"/>
        <v>1.0569609838135596E-2</v>
      </c>
      <c r="F1216" s="399">
        <v>53.25</v>
      </c>
      <c r="G1216" s="400">
        <f t="shared" si="37"/>
        <v>2.8985507246376718E-2</v>
      </c>
    </row>
    <row r="1217" spans="1:7" x14ac:dyDescent="0.2">
      <c r="A1217" s="402">
        <v>44438</v>
      </c>
      <c r="C1217" s="399">
        <v>103.23732</v>
      </c>
      <c r="D1217" s="400">
        <f t="shared" si="36"/>
        <v>3.3894918172647781E-3</v>
      </c>
      <c r="F1217" s="399">
        <v>53.419998</v>
      </c>
      <c r="G1217" s="400">
        <f t="shared" si="37"/>
        <v>3.192450704225358E-3</v>
      </c>
    </row>
    <row r="1218" spans="1:7" x14ac:dyDescent="0.2">
      <c r="A1218" s="402">
        <v>44439</v>
      </c>
      <c r="C1218" s="399">
        <v>103.03804</v>
      </c>
      <c r="D1218" s="400">
        <f t="shared" si="36"/>
        <v>-1.9303096980820555E-3</v>
      </c>
      <c r="F1218" s="399">
        <v>53.290000999999997</v>
      </c>
      <c r="G1218" s="400">
        <f t="shared" si="37"/>
        <v>-2.4334894209468994E-3</v>
      </c>
    </row>
    <row r="1219" spans="1:7" x14ac:dyDescent="0.2">
      <c r="A1219" s="402">
        <v>44440</v>
      </c>
      <c r="C1219" s="399">
        <v>103.227356</v>
      </c>
      <c r="D1219" s="400">
        <f t="shared" si="36"/>
        <v>1.8373408500396149E-3</v>
      </c>
      <c r="F1219" s="399">
        <v>53.59</v>
      </c>
      <c r="G1219" s="400">
        <f t="shared" si="37"/>
        <v>5.6295551580118897E-3</v>
      </c>
    </row>
    <row r="1220" spans="1:7" x14ac:dyDescent="0.2">
      <c r="A1220" s="402">
        <v>44441</v>
      </c>
      <c r="C1220" s="399">
        <v>103.58606</v>
      </c>
      <c r="D1220" s="400">
        <f t="shared" si="36"/>
        <v>3.474892837515009E-3</v>
      </c>
      <c r="F1220" s="399">
        <v>54.610000999999997</v>
      </c>
      <c r="G1220" s="400">
        <f t="shared" si="37"/>
        <v>1.9033420414256375E-2</v>
      </c>
    </row>
    <row r="1221" spans="1:7" x14ac:dyDescent="0.2">
      <c r="A1221" s="402">
        <v>44442</v>
      </c>
      <c r="C1221" s="399">
        <v>103.526276</v>
      </c>
      <c r="D1221" s="400">
        <f t="shared" si="36"/>
        <v>-5.7714329515001772E-4</v>
      </c>
      <c r="F1221" s="399">
        <v>54.490001999999997</v>
      </c>
      <c r="G1221" s="400">
        <f t="shared" si="37"/>
        <v>-2.1973813917344209E-3</v>
      </c>
    </row>
    <row r="1222" spans="1:7" x14ac:dyDescent="0.2">
      <c r="A1222" s="402">
        <v>44446</v>
      </c>
      <c r="C1222" s="399">
        <v>103.03804</v>
      </c>
      <c r="D1222" s="400">
        <f t="shared" si="36"/>
        <v>-4.7160587520794772E-3</v>
      </c>
      <c r="F1222" s="399">
        <v>54.330002</v>
      </c>
      <c r="G1222" s="400">
        <f t="shared" si="37"/>
        <v>-2.9363184827924105E-3</v>
      </c>
    </row>
    <row r="1223" spans="1:7" x14ac:dyDescent="0.2">
      <c r="A1223" s="402">
        <v>44447</v>
      </c>
      <c r="C1223" s="399">
        <v>102.818832</v>
      </c>
      <c r="D1223" s="400">
        <f t="shared" ref="D1223:D1262" si="38">C1223/C1222-1</f>
        <v>-2.1274473000456595E-3</v>
      </c>
      <c r="F1223" s="399">
        <v>54.130001</v>
      </c>
      <c r="G1223" s="400">
        <f t="shared" ref="G1223:G1262" si="39">F1223/F1222-1</f>
        <v>-3.6812257065627074E-3</v>
      </c>
    </row>
    <row r="1224" spans="1:7" x14ac:dyDescent="0.2">
      <c r="A1224" s="402">
        <v>44448</v>
      </c>
      <c r="C1224" s="399">
        <v>102.450157</v>
      </c>
      <c r="D1224" s="400">
        <f t="shared" si="38"/>
        <v>-3.5856758224991347E-3</v>
      </c>
      <c r="F1224" s="399">
        <v>54.369999</v>
      </c>
      <c r="G1224" s="400">
        <f t="shared" si="39"/>
        <v>4.4337335223769703E-3</v>
      </c>
    </row>
    <row r="1225" spans="1:7" x14ac:dyDescent="0.2">
      <c r="A1225" s="402">
        <v>44449</v>
      </c>
      <c r="C1225" s="399">
        <v>101.63311</v>
      </c>
      <c r="D1225" s="400">
        <f t="shared" si="38"/>
        <v>-7.9750683056541982E-3</v>
      </c>
      <c r="F1225" s="399">
        <v>53.470001000000003</v>
      </c>
      <c r="G1225" s="400">
        <f t="shared" si="39"/>
        <v>-1.6553209794982648E-2</v>
      </c>
    </row>
    <row r="1226" spans="1:7" x14ac:dyDescent="0.2">
      <c r="A1226" s="402">
        <v>44452</v>
      </c>
      <c r="C1226" s="399">
        <v>101.862289</v>
      </c>
      <c r="D1226" s="400">
        <f t="shared" si="38"/>
        <v>2.2549639581037617E-3</v>
      </c>
      <c r="F1226" s="399">
        <v>53.540000999999997</v>
      </c>
      <c r="G1226" s="400">
        <f t="shared" si="39"/>
        <v>1.3091452906461853E-3</v>
      </c>
    </row>
    <row r="1227" spans="1:7" x14ac:dyDescent="0.2">
      <c r="A1227" s="402">
        <v>44453</v>
      </c>
      <c r="C1227" s="399">
        <v>101.184731</v>
      </c>
      <c r="D1227" s="400">
        <f t="shared" si="38"/>
        <v>-6.6517060106513481E-3</v>
      </c>
      <c r="F1227" s="399">
        <v>52.310001</v>
      </c>
      <c r="G1227" s="400">
        <f t="shared" si="39"/>
        <v>-2.2973477344537141E-2</v>
      </c>
    </row>
    <row r="1228" spans="1:7" x14ac:dyDescent="0.2">
      <c r="A1228" s="402">
        <v>44454</v>
      </c>
      <c r="C1228" s="399">
        <v>102.121346</v>
      </c>
      <c r="D1228" s="400">
        <f t="shared" si="38"/>
        <v>9.2564855462233808E-3</v>
      </c>
      <c r="F1228" s="399">
        <v>53.119999</v>
      </c>
      <c r="G1228" s="400">
        <f t="shared" si="39"/>
        <v>1.5484572443422495E-2</v>
      </c>
    </row>
    <row r="1229" spans="1:7" x14ac:dyDescent="0.2">
      <c r="A1229" s="402">
        <v>44455</v>
      </c>
      <c r="C1229" s="399">
        <v>102.001785</v>
      </c>
      <c r="D1229" s="400">
        <f t="shared" si="38"/>
        <v>-1.1707738360597908E-3</v>
      </c>
      <c r="F1229" s="399">
        <v>52.799999</v>
      </c>
      <c r="G1229" s="400">
        <f t="shared" si="39"/>
        <v>-6.0240964989476398E-3</v>
      </c>
    </row>
    <row r="1230" spans="1:7" x14ac:dyDescent="0.2">
      <c r="A1230" s="402">
        <v>44456</v>
      </c>
      <c r="C1230" s="399">
        <v>101.20465900000001</v>
      </c>
      <c r="D1230" s="400">
        <f t="shared" si="38"/>
        <v>-7.8148240248931966E-3</v>
      </c>
      <c r="F1230" s="399">
        <v>52.82</v>
      </c>
      <c r="G1230" s="400">
        <f t="shared" si="39"/>
        <v>3.7880682535629262E-4</v>
      </c>
    </row>
    <row r="1231" spans="1:7" x14ac:dyDescent="0.2">
      <c r="A1231" s="402">
        <v>44459</v>
      </c>
      <c r="C1231" s="399">
        <v>99.431061</v>
      </c>
      <c r="D1231" s="400">
        <f t="shared" si="38"/>
        <v>-1.7524865134914469E-2</v>
      </c>
      <c r="F1231" s="399">
        <v>52.02</v>
      </c>
      <c r="G1231" s="400">
        <f t="shared" si="39"/>
        <v>-1.5145778114350583E-2</v>
      </c>
    </row>
    <row r="1232" spans="1:7" x14ac:dyDescent="0.2">
      <c r="A1232" s="402">
        <v>44460</v>
      </c>
      <c r="C1232" s="399">
        <v>99.411124999999998</v>
      </c>
      <c r="D1232" s="400">
        <f t="shared" si="38"/>
        <v>-2.0050072683019948E-4</v>
      </c>
      <c r="F1232" s="399">
        <v>52.400002000000001</v>
      </c>
      <c r="G1232" s="400">
        <f t="shared" si="39"/>
        <v>7.3049211841598183E-3</v>
      </c>
    </row>
    <row r="1233" spans="1:7" x14ac:dyDescent="0.2">
      <c r="A1233" s="402">
        <v>44461</v>
      </c>
      <c r="C1233" s="399">
        <v>100.417496</v>
      </c>
      <c r="D1233" s="400">
        <f t="shared" si="38"/>
        <v>1.0123323722571298E-2</v>
      </c>
      <c r="F1233" s="399">
        <v>53.959999000000003</v>
      </c>
      <c r="G1233" s="400">
        <f t="shared" si="39"/>
        <v>2.9770933978208625E-2</v>
      </c>
    </row>
    <row r="1234" spans="1:7" x14ac:dyDescent="0.2">
      <c r="A1234" s="402">
        <v>44462</v>
      </c>
      <c r="C1234" s="399">
        <v>101.66300200000001</v>
      </c>
      <c r="D1234" s="400">
        <f t="shared" si="38"/>
        <v>1.2403276815426745E-2</v>
      </c>
      <c r="F1234" s="399">
        <v>54.259998000000003</v>
      </c>
      <c r="G1234" s="400">
        <f t="shared" si="39"/>
        <v>5.5596554032553147E-3</v>
      </c>
    </row>
    <row r="1235" spans="1:7" x14ac:dyDescent="0.2">
      <c r="A1235" s="402">
        <v>44463</v>
      </c>
      <c r="C1235" s="399">
        <v>101.69000200000001</v>
      </c>
      <c r="D1235" s="400">
        <f t="shared" si="38"/>
        <v>2.6558334368287362E-4</v>
      </c>
      <c r="F1235" s="399">
        <v>54.16</v>
      </c>
      <c r="G1235" s="400">
        <f t="shared" si="39"/>
        <v>-1.8429414612216588E-3</v>
      </c>
    </row>
    <row r="1236" spans="1:7" x14ac:dyDescent="0.2">
      <c r="A1236" s="402">
        <v>44466</v>
      </c>
      <c r="C1236" s="399">
        <v>101.519997</v>
      </c>
      <c r="D1236" s="400">
        <f t="shared" si="38"/>
        <v>-1.6717966039572207E-3</v>
      </c>
      <c r="F1236" s="399">
        <v>54.900002000000001</v>
      </c>
      <c r="G1236" s="400">
        <f t="shared" si="39"/>
        <v>1.3663257016248265E-2</v>
      </c>
    </row>
    <row r="1237" spans="1:7" x14ac:dyDescent="0.2">
      <c r="A1237" s="402">
        <v>44467</v>
      </c>
      <c r="C1237" s="399">
        <v>99.360000999999997</v>
      </c>
      <c r="D1237" s="400">
        <f t="shared" si="38"/>
        <v>-2.1276556972317562E-2</v>
      </c>
      <c r="F1237" s="399">
        <v>53.939999</v>
      </c>
      <c r="G1237" s="400">
        <f t="shared" si="39"/>
        <v>-1.7486392805595941E-2</v>
      </c>
    </row>
    <row r="1238" spans="1:7" x14ac:dyDescent="0.2">
      <c r="A1238" s="402">
        <v>44468</v>
      </c>
      <c r="C1238" s="399">
        <v>99.480002999999996</v>
      </c>
      <c r="D1238" s="400">
        <f t="shared" si="38"/>
        <v>1.2077495852682585E-3</v>
      </c>
      <c r="F1238" s="399">
        <v>53.919998</v>
      </c>
      <c r="G1238" s="400">
        <f t="shared" si="39"/>
        <v>-3.7080089675201044E-4</v>
      </c>
    </row>
    <row r="1239" spans="1:7" x14ac:dyDescent="0.2">
      <c r="A1239" s="402">
        <v>44469</v>
      </c>
      <c r="C1239" s="399">
        <v>98.379997000000003</v>
      </c>
      <c r="D1239" s="400">
        <f t="shared" si="38"/>
        <v>-1.1057558974942872E-2</v>
      </c>
      <c r="F1239" s="399">
        <v>51.740001999999997</v>
      </c>
      <c r="G1239" s="400">
        <f t="shared" si="39"/>
        <v>-4.0430194377974571E-2</v>
      </c>
    </row>
    <row r="1240" spans="1:7" x14ac:dyDescent="0.2">
      <c r="A1240" s="402">
        <v>44470</v>
      </c>
      <c r="C1240" s="399">
        <v>99.639999000000003</v>
      </c>
      <c r="D1240" s="400">
        <f t="shared" si="38"/>
        <v>1.280750191525204E-2</v>
      </c>
      <c r="F1240" s="399">
        <v>52.959999000000003</v>
      </c>
      <c r="G1240" s="400">
        <f t="shared" si="39"/>
        <v>2.3579376746062142E-2</v>
      </c>
    </row>
    <row r="1241" spans="1:7" x14ac:dyDescent="0.2">
      <c r="A1241" s="402">
        <v>44473</v>
      </c>
      <c r="C1241" s="399">
        <v>98.239998</v>
      </c>
      <c r="D1241" s="400">
        <f t="shared" si="38"/>
        <v>-1.4050592272687679E-2</v>
      </c>
      <c r="F1241" s="399">
        <v>52.580002</v>
      </c>
      <c r="G1241" s="400">
        <f t="shared" si="39"/>
        <v>-7.1751700750599667E-3</v>
      </c>
    </row>
    <row r="1242" spans="1:7" x14ac:dyDescent="0.2">
      <c r="A1242" s="402">
        <v>44474</v>
      </c>
      <c r="C1242" s="399">
        <v>99.160004000000001</v>
      </c>
      <c r="D1242" s="400">
        <f t="shared" si="38"/>
        <v>9.364882112477213E-3</v>
      </c>
      <c r="F1242" s="399">
        <v>52.73</v>
      </c>
      <c r="G1242" s="400">
        <f t="shared" si="39"/>
        <v>2.8527575940373584E-3</v>
      </c>
    </row>
    <row r="1243" spans="1:7" x14ac:dyDescent="0.2">
      <c r="A1243" s="402">
        <v>44475</v>
      </c>
      <c r="C1243" s="399">
        <v>99.519997000000004</v>
      </c>
      <c r="D1243" s="400">
        <f t="shared" si="38"/>
        <v>3.6304254283814341E-3</v>
      </c>
      <c r="F1243" s="399">
        <v>53.139999000000003</v>
      </c>
      <c r="G1243" s="400">
        <f t="shared" si="39"/>
        <v>7.7754409254695567E-3</v>
      </c>
    </row>
    <row r="1244" spans="1:7" x14ac:dyDescent="0.2">
      <c r="A1244" s="402">
        <v>44476</v>
      </c>
      <c r="C1244" s="399">
        <v>100.489998</v>
      </c>
      <c r="D1244" s="400">
        <f t="shared" si="38"/>
        <v>9.7467949079619309E-3</v>
      </c>
      <c r="F1244" s="399">
        <v>54.75</v>
      </c>
      <c r="G1244" s="400">
        <f t="shared" si="39"/>
        <v>3.0297347201681202E-2</v>
      </c>
    </row>
    <row r="1245" spans="1:7" x14ac:dyDescent="0.2">
      <c r="A1245" s="402">
        <v>44477</v>
      </c>
      <c r="C1245" s="399">
        <v>100.220001</v>
      </c>
      <c r="D1245" s="400">
        <f t="shared" si="38"/>
        <v>-2.6868047106539672E-3</v>
      </c>
      <c r="F1245" s="399">
        <v>55.09</v>
      </c>
      <c r="G1245" s="400">
        <f t="shared" si="39"/>
        <v>6.2100456621005939E-3</v>
      </c>
    </row>
    <row r="1246" spans="1:7" x14ac:dyDescent="0.2">
      <c r="A1246" s="402">
        <v>44480</v>
      </c>
      <c r="C1246" s="399">
        <v>99.57</v>
      </c>
      <c r="D1246" s="400">
        <f t="shared" si="38"/>
        <v>-6.4857413042732626E-3</v>
      </c>
      <c r="F1246" s="399">
        <v>55.200001</v>
      </c>
      <c r="G1246" s="400">
        <f t="shared" si="39"/>
        <v>1.9967507714648836E-3</v>
      </c>
    </row>
    <row r="1247" spans="1:7" x14ac:dyDescent="0.2">
      <c r="A1247" s="402">
        <v>44481</v>
      </c>
      <c r="C1247" s="399">
        <v>99.470000999999996</v>
      </c>
      <c r="D1247" s="400">
        <f t="shared" si="38"/>
        <v>-1.0043085266646656E-3</v>
      </c>
      <c r="F1247" s="399">
        <v>55.450001</v>
      </c>
      <c r="G1247" s="400">
        <f t="shared" si="39"/>
        <v>4.5289854251995276E-3</v>
      </c>
    </row>
    <row r="1248" spans="1:7" x14ac:dyDescent="0.2">
      <c r="A1248" s="402">
        <v>44482</v>
      </c>
      <c r="C1248" s="399">
        <v>99.940002000000007</v>
      </c>
      <c r="D1248" s="400">
        <f t="shared" si="38"/>
        <v>4.7250527322304503E-3</v>
      </c>
      <c r="F1248" s="399">
        <v>56.419998</v>
      </c>
      <c r="G1248" s="400">
        <f t="shared" si="39"/>
        <v>1.749318273231415E-2</v>
      </c>
    </row>
    <row r="1249" spans="1:7" x14ac:dyDescent="0.2">
      <c r="A1249" s="402">
        <v>44483</v>
      </c>
      <c r="C1249" s="399">
        <v>101.620003</v>
      </c>
      <c r="D1249" s="400">
        <f t="shared" si="38"/>
        <v>1.6810095721230711E-2</v>
      </c>
      <c r="F1249" s="399">
        <v>56.810001</v>
      </c>
      <c r="G1249" s="400">
        <f t="shared" si="39"/>
        <v>6.9124958139843429E-3</v>
      </c>
    </row>
    <row r="1250" spans="1:7" x14ac:dyDescent="0.2">
      <c r="A1250" s="402">
        <v>44484</v>
      </c>
      <c r="C1250" s="399">
        <v>102.19000200000001</v>
      </c>
      <c r="D1250" s="400">
        <f t="shared" si="38"/>
        <v>5.6091220544445264E-3</v>
      </c>
      <c r="F1250" s="399">
        <v>57.07</v>
      </c>
      <c r="G1250" s="400">
        <f t="shared" si="39"/>
        <v>4.5766413558063768E-3</v>
      </c>
    </row>
    <row r="1251" spans="1:7" x14ac:dyDescent="0.2">
      <c r="A1251" s="402">
        <v>44487</v>
      </c>
      <c r="C1251" s="399">
        <v>102.589996</v>
      </c>
      <c r="D1251" s="400">
        <f t="shared" si="38"/>
        <v>3.9142185357818882E-3</v>
      </c>
      <c r="F1251" s="399">
        <v>57.82</v>
      </c>
      <c r="G1251" s="400">
        <f t="shared" si="39"/>
        <v>1.3141755738566685E-2</v>
      </c>
    </row>
    <row r="1252" spans="1:7" x14ac:dyDescent="0.2">
      <c r="A1252" s="402">
        <v>44488</v>
      </c>
      <c r="C1252" s="399">
        <v>103.279999</v>
      </c>
      <c r="D1252" s="400">
        <f t="shared" si="38"/>
        <v>6.7258312399194331E-3</v>
      </c>
      <c r="F1252" s="399">
        <v>57.52</v>
      </c>
      <c r="G1252" s="400">
        <f t="shared" si="39"/>
        <v>-5.1885160843998523E-3</v>
      </c>
    </row>
    <row r="1253" spans="1:7" x14ac:dyDescent="0.2">
      <c r="A1253" s="402">
        <v>44489</v>
      </c>
      <c r="C1253" s="399">
        <v>103.709999</v>
      </c>
      <c r="D1253" s="400">
        <f t="shared" si="38"/>
        <v>4.1634392347349447E-3</v>
      </c>
      <c r="F1253" s="399">
        <v>58.290000999999997</v>
      </c>
      <c r="G1253" s="400">
        <f t="shared" si="39"/>
        <v>1.3386665507649331E-2</v>
      </c>
    </row>
    <row r="1254" spans="1:7" x14ac:dyDescent="0.2">
      <c r="A1254" s="402">
        <v>44490</v>
      </c>
      <c r="C1254" s="399">
        <v>104.029999</v>
      </c>
      <c r="D1254" s="400">
        <f t="shared" si="38"/>
        <v>3.0855269799010543E-3</v>
      </c>
      <c r="F1254" s="399">
        <v>58.549999</v>
      </c>
      <c r="G1254" s="400">
        <f t="shared" si="39"/>
        <v>4.4604219512709431E-3</v>
      </c>
    </row>
    <row r="1255" spans="1:7" x14ac:dyDescent="0.2">
      <c r="A1255" s="402">
        <v>44491</v>
      </c>
      <c r="C1255" s="399">
        <v>103.82</v>
      </c>
      <c r="D1255" s="400">
        <f t="shared" si="38"/>
        <v>-2.0186388735812244E-3</v>
      </c>
      <c r="F1255" s="399">
        <v>58.889999000000003</v>
      </c>
      <c r="G1255" s="400">
        <f t="shared" si="39"/>
        <v>5.8070026610932413E-3</v>
      </c>
    </row>
    <row r="1256" spans="1:7" x14ac:dyDescent="0.2">
      <c r="A1256" s="402">
        <v>44494</v>
      </c>
      <c r="C1256" s="399">
        <v>104.400002</v>
      </c>
      <c r="D1256" s="400">
        <f t="shared" si="38"/>
        <v>5.5866114428819724E-3</v>
      </c>
      <c r="F1256" s="399">
        <v>60.139999000000003</v>
      </c>
      <c r="G1256" s="400">
        <f t="shared" si="39"/>
        <v>2.1226014963932949E-2</v>
      </c>
    </row>
    <row r="1257" spans="1:7" x14ac:dyDescent="0.2">
      <c r="A1257" s="402">
        <v>44495</v>
      </c>
      <c r="C1257" s="399">
        <v>104.43</v>
      </c>
      <c r="D1257" s="400">
        <f t="shared" si="38"/>
        <v>2.8733715924644798E-4</v>
      </c>
      <c r="F1257" s="399">
        <v>58.759998000000003</v>
      </c>
      <c r="G1257" s="400">
        <f t="shared" si="39"/>
        <v>-2.2946475273469824E-2</v>
      </c>
    </row>
    <row r="1258" spans="1:7" x14ac:dyDescent="0.2">
      <c r="A1258" s="402">
        <v>44496</v>
      </c>
      <c r="C1258" s="399">
        <v>103.650002</v>
      </c>
      <c r="D1258" s="400">
        <f t="shared" si="38"/>
        <v>-7.4690989179355682E-3</v>
      </c>
      <c r="F1258" s="399">
        <v>57.040000999999997</v>
      </c>
      <c r="G1258" s="400">
        <f t="shared" si="39"/>
        <v>-2.9271563283579494E-2</v>
      </c>
    </row>
    <row r="1259" spans="1:7" x14ac:dyDescent="0.2">
      <c r="A1259" s="402">
        <v>44497</v>
      </c>
      <c r="C1259" s="399">
        <v>104.83000199999999</v>
      </c>
      <c r="D1259" s="400">
        <f t="shared" si="38"/>
        <v>1.1384466736430898E-2</v>
      </c>
      <c r="F1259" s="399">
        <v>58.240001999999997</v>
      </c>
      <c r="G1259" s="400">
        <f t="shared" si="39"/>
        <v>2.1037885325422723E-2</v>
      </c>
    </row>
    <row r="1260" spans="1:7" x14ac:dyDescent="0.2">
      <c r="A1260" s="402">
        <v>44498</v>
      </c>
      <c r="C1260" s="399">
        <v>104.94000200000001</v>
      </c>
      <c r="D1260" s="400">
        <f t="shared" si="38"/>
        <v>1.0493179233175276E-3</v>
      </c>
      <c r="F1260" s="399">
        <v>58.27</v>
      </c>
      <c r="G1260" s="400">
        <f t="shared" si="39"/>
        <v>5.1507553176266541E-4</v>
      </c>
    </row>
    <row r="1261" spans="1:7" x14ac:dyDescent="0.2">
      <c r="A1261" s="402">
        <v>44501</v>
      </c>
      <c r="C1261" s="399">
        <v>105.470001</v>
      </c>
      <c r="D1261" s="400">
        <f t="shared" si="38"/>
        <v>5.0504954249952494E-3</v>
      </c>
      <c r="F1261" s="399">
        <v>58.540000999999997</v>
      </c>
      <c r="G1261" s="400">
        <f t="shared" si="39"/>
        <v>4.6336193581602014E-3</v>
      </c>
    </row>
    <row r="1262" spans="1:7" x14ac:dyDescent="0.2">
      <c r="A1262" s="402">
        <v>44502</v>
      </c>
      <c r="C1262" s="399">
        <v>105.779999</v>
      </c>
      <c r="D1262" s="400">
        <f t="shared" si="38"/>
        <v>2.9392054334009821E-3</v>
      </c>
      <c r="F1262" s="399">
        <v>58.200001</v>
      </c>
      <c r="G1262" s="400">
        <f t="shared" si="39"/>
        <v>-5.8079944344380241E-3</v>
      </c>
    </row>
  </sheetData>
  <mergeCells count="2">
    <mergeCell ref="C3:D3"/>
    <mergeCell ref="F3:G3"/>
  </mergeCells>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7D53A-8418-4D97-B2AA-A999AD0D5FB8}">
  <dimension ref="A1:Y64"/>
  <sheetViews>
    <sheetView showGridLines="0" workbookViewId="0"/>
  </sheetViews>
  <sheetFormatPr baseColWidth="10" defaultColWidth="8.83203125" defaultRowHeight="15" x14ac:dyDescent="0.2"/>
  <cols>
    <col min="1" max="1" width="9.33203125" bestFit="1" customWidth="1"/>
  </cols>
  <sheetData>
    <row r="1" spans="1:25" x14ac:dyDescent="0.2">
      <c r="A1" s="309" t="s">
        <v>321</v>
      </c>
      <c r="B1" s="307"/>
      <c r="C1" s="307"/>
      <c r="D1" s="307"/>
      <c r="E1" s="307"/>
      <c r="F1" s="307"/>
      <c r="G1" s="307"/>
      <c r="H1" s="307"/>
      <c r="I1" s="308"/>
      <c r="J1" s="308"/>
      <c r="K1" s="308"/>
      <c r="L1" s="308"/>
      <c r="M1" s="308"/>
      <c r="N1" s="308"/>
      <c r="O1" s="308"/>
      <c r="P1" s="308"/>
      <c r="Q1" s="308"/>
      <c r="R1" s="308"/>
      <c r="S1" s="308"/>
      <c r="T1" s="308"/>
      <c r="U1" s="308"/>
      <c r="V1" s="308"/>
      <c r="W1" s="308"/>
      <c r="X1" s="308"/>
      <c r="Y1" s="308"/>
    </row>
    <row r="2" spans="1:25" x14ac:dyDescent="0.2">
      <c r="A2" s="29" t="s">
        <v>303</v>
      </c>
      <c r="B2" s="29"/>
      <c r="C2" s="29"/>
      <c r="D2" s="29"/>
      <c r="E2" s="29"/>
      <c r="F2" s="29"/>
      <c r="G2" s="29"/>
      <c r="H2" s="29"/>
    </row>
    <row r="3" spans="1:25" x14ac:dyDescent="0.2">
      <c r="A3" s="29" t="s">
        <v>304</v>
      </c>
      <c r="B3" s="29"/>
      <c r="C3" s="29"/>
      <c r="D3" s="29"/>
      <c r="E3" s="29"/>
      <c r="F3" s="29"/>
      <c r="G3" s="29"/>
      <c r="H3" s="29"/>
    </row>
    <row r="4" spans="1:25" x14ac:dyDescent="0.2">
      <c r="A4" s="29" t="s">
        <v>305</v>
      </c>
      <c r="B4" s="29"/>
      <c r="C4" s="29"/>
      <c r="D4" s="29"/>
      <c r="E4" s="29"/>
      <c r="F4" s="29"/>
      <c r="G4" s="29"/>
      <c r="H4" s="29"/>
    </row>
    <row r="5" spans="1:25" x14ac:dyDescent="0.2">
      <c r="A5" s="29" t="s">
        <v>306</v>
      </c>
      <c r="B5" s="29"/>
      <c r="C5" s="29"/>
      <c r="D5" s="29"/>
      <c r="E5" s="29"/>
      <c r="F5" s="29"/>
      <c r="G5" s="29"/>
      <c r="H5" s="29"/>
    </row>
    <row r="6" spans="1:25" x14ac:dyDescent="0.2">
      <c r="A6" s="29"/>
      <c r="B6" s="29"/>
      <c r="C6" s="29"/>
      <c r="D6" s="29"/>
      <c r="E6" s="29"/>
      <c r="F6" s="29"/>
      <c r="G6" s="29"/>
      <c r="H6" s="29"/>
    </row>
    <row r="7" spans="1:25" x14ac:dyDescent="0.2">
      <c r="A7" s="29" t="s">
        <v>307</v>
      </c>
      <c r="B7" s="29"/>
      <c r="C7" s="29"/>
      <c r="D7" s="29"/>
      <c r="E7" s="29"/>
      <c r="F7" s="29"/>
      <c r="G7" s="29"/>
      <c r="H7" s="29"/>
      <c r="I7" s="28"/>
    </row>
    <row r="8" spans="1:25" x14ac:dyDescent="0.2">
      <c r="A8" s="29" t="s">
        <v>308</v>
      </c>
      <c r="B8" s="30"/>
      <c r="C8" s="30"/>
      <c r="D8" s="30"/>
      <c r="E8" s="30"/>
      <c r="F8" s="30"/>
      <c r="G8" s="30"/>
      <c r="H8" s="30"/>
    </row>
    <row r="9" spans="1:25" x14ac:dyDescent="0.2">
      <c r="A9" s="29" t="s">
        <v>309</v>
      </c>
      <c r="B9" s="29" t="s">
        <v>310</v>
      </c>
      <c r="C9" s="29"/>
      <c r="D9" s="29"/>
      <c r="E9" s="29"/>
      <c r="F9" s="29"/>
      <c r="G9" s="29"/>
      <c r="H9" s="29"/>
      <c r="I9" s="28"/>
    </row>
    <row r="10" spans="1:25" x14ac:dyDescent="0.2">
      <c r="A10" s="31">
        <v>10594</v>
      </c>
      <c r="B10" s="29">
        <v>5.1820000000000004</v>
      </c>
      <c r="C10" s="29"/>
      <c r="D10" s="29"/>
      <c r="E10" s="29"/>
      <c r="F10" s="29"/>
      <c r="G10" s="29"/>
      <c r="H10" s="29"/>
      <c r="I10" s="28"/>
    </row>
    <row r="11" spans="1:25" x14ac:dyDescent="0.2">
      <c r="A11" s="31">
        <v>10959</v>
      </c>
      <c r="B11" s="29">
        <v>5.0709999999999997</v>
      </c>
      <c r="C11" s="30"/>
      <c r="D11" s="30"/>
      <c r="E11" s="30"/>
      <c r="F11" s="30"/>
      <c r="G11" s="30"/>
      <c r="H11" s="30"/>
      <c r="I11" s="28"/>
    </row>
    <row r="12" spans="1:25" x14ac:dyDescent="0.2">
      <c r="A12" s="31">
        <v>11324</v>
      </c>
      <c r="B12" s="29">
        <v>4.6109999999999998</v>
      </c>
      <c r="C12" s="30"/>
      <c r="D12" s="30"/>
      <c r="E12" s="30"/>
      <c r="F12" s="30"/>
      <c r="G12" s="30"/>
      <c r="H12" s="30"/>
      <c r="I12" s="28"/>
    </row>
    <row r="13" spans="1:25" x14ac:dyDescent="0.2">
      <c r="A13" s="31">
        <v>25934</v>
      </c>
      <c r="B13" s="29">
        <v>17.655000000000001</v>
      </c>
      <c r="C13" s="30"/>
      <c r="D13" s="30"/>
      <c r="E13" s="30"/>
      <c r="F13" s="30"/>
      <c r="G13" s="30"/>
      <c r="H13" s="30"/>
      <c r="I13" s="28"/>
    </row>
    <row r="14" spans="1:25" x14ac:dyDescent="0.2">
      <c r="A14" s="31">
        <v>26299</v>
      </c>
      <c r="B14" s="29">
        <v>18.411000000000001</v>
      </c>
      <c r="C14" s="30"/>
      <c r="D14" s="30"/>
      <c r="E14" s="30"/>
      <c r="F14" s="30"/>
      <c r="G14" s="30"/>
      <c r="H14" s="30"/>
      <c r="I14" s="28"/>
    </row>
    <row r="15" spans="1:25" x14ac:dyDescent="0.2">
      <c r="A15" s="31">
        <v>26665</v>
      </c>
      <c r="B15" s="29">
        <v>19.873000000000001</v>
      </c>
      <c r="C15" s="29"/>
      <c r="D15" s="29"/>
      <c r="E15" s="29"/>
      <c r="F15" s="29"/>
      <c r="G15" s="29"/>
      <c r="H15" s="29"/>
      <c r="I15" s="28"/>
    </row>
    <row r="16" spans="1:25" x14ac:dyDescent="0.2">
      <c r="A16" s="31">
        <v>27030</v>
      </c>
      <c r="B16" s="29">
        <v>22.184999999999999</v>
      </c>
      <c r="C16" s="29"/>
      <c r="D16" s="29"/>
      <c r="E16" s="29"/>
      <c r="F16" s="29"/>
      <c r="G16" s="29"/>
      <c r="H16" s="29"/>
      <c r="I16" s="28"/>
    </row>
    <row r="17" spans="1:9" x14ac:dyDescent="0.2">
      <c r="A17" s="31">
        <v>27395</v>
      </c>
      <c r="B17" s="29">
        <v>24.228999999999999</v>
      </c>
      <c r="C17" s="29"/>
      <c r="D17" s="29"/>
      <c r="E17" s="29"/>
      <c r="F17" s="29"/>
      <c r="G17" s="29"/>
      <c r="H17" s="29"/>
      <c r="I17" s="28"/>
    </row>
    <row r="18" spans="1:9" x14ac:dyDescent="0.2">
      <c r="A18" s="31">
        <v>27760</v>
      </c>
      <c r="B18" s="29">
        <v>25.861000000000001</v>
      </c>
      <c r="C18" s="29"/>
      <c r="D18" s="29"/>
      <c r="E18" s="29"/>
      <c r="F18" s="29"/>
      <c r="G18" s="29"/>
      <c r="H18" s="29"/>
      <c r="I18" s="28"/>
    </row>
    <row r="19" spans="1:9" x14ac:dyDescent="0.2">
      <c r="A19" s="31">
        <v>28126</v>
      </c>
      <c r="B19" s="29">
        <v>28.596</v>
      </c>
      <c r="C19" s="29"/>
      <c r="D19" s="29"/>
      <c r="E19" s="29"/>
      <c r="F19" s="29"/>
      <c r="G19" s="29"/>
      <c r="H19" s="29"/>
      <c r="I19" s="28"/>
    </row>
    <row r="20" spans="1:9" x14ac:dyDescent="0.2">
      <c r="A20" s="31">
        <v>28491</v>
      </c>
      <c r="B20" s="29">
        <v>31.722999999999999</v>
      </c>
      <c r="C20" s="29"/>
      <c r="D20" s="29"/>
      <c r="E20" s="29"/>
      <c r="F20" s="29"/>
      <c r="G20" s="29"/>
      <c r="H20" s="29"/>
      <c r="I20" s="28"/>
    </row>
    <row r="21" spans="1:9" x14ac:dyDescent="0.2">
      <c r="A21" s="31">
        <v>28856</v>
      </c>
      <c r="B21" s="29">
        <v>35.326999999999998</v>
      </c>
      <c r="C21" s="29"/>
      <c r="D21" s="29"/>
      <c r="E21" s="29"/>
      <c r="F21" s="29"/>
      <c r="G21" s="29"/>
      <c r="H21" s="29"/>
      <c r="I21" s="28"/>
    </row>
    <row r="22" spans="1:9" x14ac:dyDescent="0.2">
      <c r="A22" s="31">
        <v>29221</v>
      </c>
      <c r="B22" s="29">
        <v>39.107999999999997</v>
      </c>
      <c r="C22" s="29"/>
      <c r="D22" s="29"/>
      <c r="E22" s="29"/>
      <c r="F22" s="29"/>
      <c r="G22" s="29"/>
      <c r="H22" s="29"/>
      <c r="I22" s="28"/>
    </row>
    <row r="23" spans="1:9" x14ac:dyDescent="0.2">
      <c r="A23" s="31">
        <v>29587</v>
      </c>
      <c r="B23" s="29">
        <v>42.286000000000001</v>
      </c>
      <c r="C23" s="29"/>
      <c r="D23" s="29"/>
      <c r="E23" s="29"/>
      <c r="F23" s="29"/>
      <c r="G23" s="29"/>
      <c r="H23" s="29"/>
      <c r="I23" s="28"/>
    </row>
    <row r="24" spans="1:9" x14ac:dyDescent="0.2">
      <c r="A24" s="31">
        <v>29952</v>
      </c>
      <c r="B24" s="29">
        <v>44.542999999999999</v>
      </c>
      <c r="C24" s="29"/>
      <c r="D24" s="29"/>
      <c r="E24" s="29"/>
      <c r="F24" s="29"/>
      <c r="G24" s="29"/>
      <c r="H24" s="29"/>
      <c r="I24" s="28"/>
    </row>
    <row r="25" spans="1:9" x14ac:dyDescent="0.2">
      <c r="A25" s="31">
        <v>30317</v>
      </c>
      <c r="B25" s="29">
        <v>45.843000000000004</v>
      </c>
      <c r="C25" s="29"/>
      <c r="D25" s="29"/>
      <c r="E25" s="29"/>
      <c r="F25" s="29"/>
      <c r="G25" s="29"/>
      <c r="H25" s="29"/>
      <c r="I25" s="28"/>
    </row>
    <row r="26" spans="1:9" x14ac:dyDescent="0.2">
      <c r="A26" s="31">
        <v>30682</v>
      </c>
      <c r="B26" s="29">
        <v>47.44</v>
      </c>
      <c r="C26" s="29"/>
      <c r="D26" s="29"/>
      <c r="E26" s="29"/>
      <c r="F26" s="29"/>
      <c r="G26" s="29"/>
      <c r="H26" s="29"/>
      <c r="I26" s="28"/>
    </row>
    <row r="27" spans="1:9" x14ac:dyDescent="0.2">
      <c r="A27" s="31">
        <v>31048</v>
      </c>
      <c r="B27" s="29">
        <v>49.081000000000003</v>
      </c>
      <c r="C27" s="29"/>
      <c r="D27" s="29"/>
      <c r="E27" s="29"/>
      <c r="F27" s="29"/>
      <c r="G27" s="29"/>
      <c r="H27" s="29"/>
      <c r="I27" s="28"/>
    </row>
    <row r="28" spans="1:9" x14ac:dyDescent="0.2">
      <c r="A28" s="31">
        <v>31413</v>
      </c>
      <c r="B28" s="29">
        <v>51.308999999999997</v>
      </c>
      <c r="C28" s="29"/>
      <c r="D28" s="29"/>
      <c r="E28" s="29"/>
      <c r="F28" s="29"/>
      <c r="G28" s="29"/>
      <c r="H28" s="29"/>
      <c r="I28" s="28"/>
    </row>
    <row r="29" spans="1:9" x14ac:dyDescent="0.2">
      <c r="A29" s="31">
        <v>31778</v>
      </c>
      <c r="B29" s="29">
        <v>53.744</v>
      </c>
      <c r="C29" s="29"/>
      <c r="D29" s="29"/>
      <c r="E29" s="29"/>
      <c r="F29" s="29"/>
      <c r="G29" s="29"/>
      <c r="H29" s="29"/>
      <c r="I29" s="28"/>
    </row>
    <row r="30" spans="1:9" x14ac:dyDescent="0.2">
      <c r="A30" s="31">
        <v>32143</v>
      </c>
      <c r="B30" s="29">
        <v>55.658999999999999</v>
      </c>
      <c r="C30" s="29"/>
      <c r="D30" s="29"/>
      <c r="E30" s="29"/>
      <c r="F30" s="29"/>
      <c r="G30" s="29"/>
      <c r="H30" s="29"/>
      <c r="I30" s="28"/>
    </row>
    <row r="31" spans="1:9" x14ac:dyDescent="0.2">
      <c r="A31" s="31">
        <v>32509</v>
      </c>
      <c r="B31" s="29">
        <v>57.652000000000001</v>
      </c>
      <c r="C31" s="29"/>
      <c r="D31" s="29"/>
      <c r="E31" s="29"/>
      <c r="F31" s="29"/>
      <c r="G31" s="29"/>
      <c r="H31" s="29"/>
      <c r="I31" s="28"/>
    </row>
    <row r="32" spans="1:9" x14ac:dyDescent="0.2">
      <c r="A32" s="31">
        <v>32874</v>
      </c>
      <c r="B32" s="29">
        <v>59.164999999999999</v>
      </c>
      <c r="C32" s="29"/>
      <c r="D32" s="29"/>
      <c r="E32" s="29"/>
      <c r="F32" s="29"/>
      <c r="G32" s="29"/>
      <c r="H32" s="29"/>
      <c r="I32" s="28"/>
    </row>
    <row r="33" spans="1:9" x14ac:dyDescent="0.2">
      <c r="A33" s="31">
        <v>33239</v>
      </c>
      <c r="B33" s="29">
        <v>60.41</v>
      </c>
      <c r="C33" s="29"/>
      <c r="D33" s="29"/>
      <c r="E33" s="29"/>
      <c r="F33" s="29"/>
      <c r="G33" s="29"/>
      <c r="H33" s="29"/>
      <c r="I33" s="28"/>
    </row>
    <row r="34" spans="1:9" x14ac:dyDescent="0.2">
      <c r="A34" s="31">
        <v>33604</v>
      </c>
      <c r="B34" s="29">
        <v>61.296999999999997</v>
      </c>
      <c r="C34" s="29"/>
      <c r="D34" s="29"/>
      <c r="E34" s="29"/>
      <c r="F34" s="29"/>
      <c r="G34" s="29"/>
      <c r="H34" s="29"/>
      <c r="I34" s="28"/>
    </row>
    <row r="35" spans="1:9" x14ac:dyDescent="0.2">
      <c r="A35" s="31">
        <v>33970</v>
      </c>
      <c r="B35" s="29">
        <v>63.472999999999999</v>
      </c>
      <c r="C35" s="29"/>
      <c r="D35" s="29"/>
      <c r="E35" s="29"/>
      <c r="F35" s="29"/>
      <c r="G35" s="29"/>
      <c r="H35" s="29"/>
      <c r="I35" s="28"/>
    </row>
    <row r="36" spans="1:9" x14ac:dyDescent="0.2">
      <c r="A36" s="31">
        <v>34335</v>
      </c>
      <c r="B36" s="29">
        <v>65.233999999999995</v>
      </c>
      <c r="C36" s="29"/>
      <c r="D36" s="29"/>
      <c r="E36" s="29"/>
      <c r="F36" s="29"/>
      <c r="G36" s="29"/>
      <c r="H36" s="29"/>
      <c r="I36" s="28"/>
    </row>
    <row r="37" spans="1:9" x14ac:dyDescent="0.2">
      <c r="A37" s="31">
        <v>34700</v>
      </c>
      <c r="B37" s="29">
        <v>67.302000000000007</v>
      </c>
      <c r="C37" s="29"/>
      <c r="D37" s="29"/>
      <c r="E37" s="29"/>
      <c r="F37" s="29"/>
      <c r="G37" s="29"/>
      <c r="H37" s="29"/>
      <c r="I37" s="28"/>
    </row>
    <row r="38" spans="1:9" x14ac:dyDescent="0.2">
      <c r="A38" s="31">
        <v>35065</v>
      </c>
      <c r="B38" s="29">
        <v>68.960999999999999</v>
      </c>
      <c r="C38" s="29"/>
      <c r="D38" s="29"/>
      <c r="E38" s="29"/>
      <c r="F38" s="29"/>
      <c r="G38" s="29"/>
      <c r="H38" s="29"/>
      <c r="I38" s="28"/>
    </row>
    <row r="39" spans="1:9" x14ac:dyDescent="0.2">
      <c r="A39" s="31">
        <v>35431</v>
      </c>
      <c r="B39" s="29">
        <v>70.156000000000006</v>
      </c>
      <c r="C39" s="29"/>
      <c r="D39" s="29"/>
      <c r="E39" s="29"/>
      <c r="F39" s="29"/>
      <c r="G39" s="29"/>
      <c r="H39" s="29"/>
      <c r="I39" s="28"/>
    </row>
    <row r="40" spans="1:9" x14ac:dyDescent="0.2">
      <c r="A40" s="31">
        <v>35796</v>
      </c>
      <c r="B40" s="29">
        <v>71.563000000000002</v>
      </c>
      <c r="C40" s="29"/>
      <c r="D40" s="29"/>
      <c r="E40" s="29"/>
      <c r="F40" s="29"/>
      <c r="G40" s="29"/>
      <c r="H40" s="29"/>
      <c r="I40" s="28"/>
    </row>
    <row r="41" spans="1:9" x14ac:dyDescent="0.2">
      <c r="A41" s="31">
        <v>36161</v>
      </c>
      <c r="B41" s="29">
        <v>73.799000000000007</v>
      </c>
      <c r="C41" s="29"/>
      <c r="D41" s="29"/>
      <c r="E41" s="29"/>
      <c r="F41" s="29"/>
      <c r="G41" s="29"/>
      <c r="H41" s="29"/>
      <c r="I41" s="28"/>
    </row>
    <row r="42" spans="1:9" x14ac:dyDescent="0.2">
      <c r="A42" s="31">
        <v>36526</v>
      </c>
      <c r="B42" s="29">
        <v>77.021000000000001</v>
      </c>
      <c r="C42" s="29"/>
      <c r="D42" s="29"/>
      <c r="E42" s="29"/>
      <c r="F42" s="29"/>
      <c r="G42" s="29"/>
      <c r="H42" s="29"/>
      <c r="I42" s="28"/>
    </row>
    <row r="43" spans="1:9" x14ac:dyDescent="0.2">
      <c r="A43" s="31">
        <v>36892</v>
      </c>
      <c r="B43" s="29">
        <v>80.760999999999996</v>
      </c>
      <c r="C43" s="29"/>
      <c r="D43" s="29"/>
      <c r="E43" s="29"/>
      <c r="F43" s="29"/>
      <c r="G43" s="29"/>
      <c r="H43" s="29"/>
      <c r="I43" s="28"/>
    </row>
    <row r="44" spans="1:9" x14ac:dyDescent="0.2">
      <c r="A44" s="31">
        <v>37257</v>
      </c>
      <c r="B44" s="29">
        <v>82.509</v>
      </c>
      <c r="C44" s="29"/>
      <c r="D44" s="29"/>
      <c r="E44" s="29"/>
      <c r="F44" s="29"/>
      <c r="G44" s="29"/>
      <c r="H44" s="29"/>
      <c r="I44" s="28"/>
    </row>
    <row r="45" spans="1:9" x14ac:dyDescent="0.2">
      <c r="A45" s="31">
        <v>37622</v>
      </c>
      <c r="B45" s="29">
        <v>85.992000000000004</v>
      </c>
      <c r="C45" s="29"/>
      <c r="D45" s="29"/>
      <c r="E45" s="29"/>
      <c r="F45" s="29"/>
      <c r="G45" s="29"/>
      <c r="H45" s="29"/>
      <c r="I45" s="28"/>
    </row>
    <row r="46" spans="1:9" x14ac:dyDescent="0.2">
      <c r="A46" s="31">
        <v>37987</v>
      </c>
      <c r="B46" s="29">
        <v>90.966999999999999</v>
      </c>
      <c r="C46" s="29"/>
      <c r="D46" s="29"/>
      <c r="E46" s="29"/>
      <c r="F46" s="29"/>
      <c r="G46" s="29"/>
      <c r="H46" s="29"/>
      <c r="I46" s="28"/>
    </row>
    <row r="47" spans="1:9" x14ac:dyDescent="0.2">
      <c r="A47" s="31">
        <v>38353</v>
      </c>
      <c r="B47" s="29">
        <v>97.113</v>
      </c>
      <c r="C47" s="29"/>
      <c r="D47" s="29"/>
      <c r="E47" s="29"/>
      <c r="F47" s="29"/>
      <c r="G47" s="29"/>
      <c r="H47" s="29"/>
      <c r="I47" s="28"/>
    </row>
    <row r="48" spans="1:9" x14ac:dyDescent="0.2">
      <c r="A48" s="31">
        <v>38718</v>
      </c>
      <c r="B48" s="29">
        <v>101.63500000000001</v>
      </c>
      <c r="C48" s="29"/>
      <c r="D48" s="29"/>
      <c r="E48" s="29"/>
      <c r="F48" s="29"/>
      <c r="G48" s="29"/>
      <c r="H48" s="29"/>
      <c r="I48" s="28"/>
    </row>
    <row r="49" spans="1:9" x14ac:dyDescent="0.2">
      <c r="A49" s="31">
        <v>39083</v>
      </c>
      <c r="B49" s="29">
        <v>102.773</v>
      </c>
      <c r="C49" s="29"/>
      <c r="D49" s="29"/>
      <c r="E49" s="29"/>
      <c r="F49" s="29"/>
      <c r="G49" s="29"/>
      <c r="H49" s="29"/>
      <c r="I49" s="28"/>
    </row>
    <row r="50" spans="1:9" x14ac:dyDescent="0.2">
      <c r="A50" s="31">
        <v>39448</v>
      </c>
      <c r="B50" s="29">
        <v>101.992</v>
      </c>
      <c r="C50" s="29"/>
      <c r="D50" s="29"/>
      <c r="E50" s="29"/>
      <c r="F50" s="29"/>
      <c r="G50" s="29"/>
      <c r="H50" s="29"/>
      <c r="I50" s="28"/>
    </row>
    <row r="51" spans="1:9" x14ac:dyDescent="0.2">
      <c r="A51" s="31">
        <v>39814</v>
      </c>
      <c r="B51" s="29">
        <v>98.013000000000005</v>
      </c>
      <c r="C51" s="29"/>
      <c r="D51" s="29"/>
      <c r="E51" s="29"/>
      <c r="F51" s="29"/>
      <c r="G51" s="29"/>
      <c r="H51" s="29"/>
      <c r="I51" s="28"/>
    </row>
    <row r="52" spans="1:9" x14ac:dyDescent="0.2">
      <c r="A52" s="31">
        <v>40179</v>
      </c>
      <c r="B52" s="29">
        <v>98.156000000000006</v>
      </c>
      <c r="C52" s="29"/>
      <c r="D52" s="29"/>
      <c r="E52" s="29"/>
      <c r="F52" s="29"/>
      <c r="G52" s="29"/>
      <c r="H52" s="29"/>
      <c r="I52" s="28"/>
    </row>
    <row r="53" spans="1:9" x14ac:dyDescent="0.2">
      <c r="A53" s="31">
        <v>40544</v>
      </c>
      <c r="B53" s="29">
        <v>99.162000000000006</v>
      </c>
      <c r="C53" s="29"/>
      <c r="D53" s="29"/>
      <c r="E53" s="29"/>
      <c r="F53" s="29"/>
      <c r="G53" s="29"/>
      <c r="H53" s="29"/>
      <c r="I53" s="28"/>
    </row>
    <row r="54" spans="1:9" x14ac:dyDescent="0.2">
      <c r="A54" s="31">
        <v>40909</v>
      </c>
      <c r="B54" s="29">
        <v>100</v>
      </c>
      <c r="C54" s="29"/>
      <c r="D54" s="29"/>
      <c r="E54" s="29"/>
      <c r="F54" s="29"/>
      <c r="G54" s="29"/>
      <c r="H54" s="29"/>
      <c r="I54" s="28"/>
    </row>
    <row r="55" spans="1:9" x14ac:dyDescent="0.2">
      <c r="A55" s="31">
        <v>41275</v>
      </c>
      <c r="B55" s="29">
        <v>105.33799999999999</v>
      </c>
      <c r="C55" s="29"/>
      <c r="D55" s="29"/>
      <c r="E55" s="29"/>
      <c r="F55" s="29"/>
      <c r="G55" s="29"/>
      <c r="H55" s="29"/>
      <c r="I55" s="28"/>
    </row>
    <row r="56" spans="1:9" x14ac:dyDescent="0.2">
      <c r="A56" s="31">
        <v>41640</v>
      </c>
      <c r="B56" s="29">
        <v>111.45099999999999</v>
      </c>
      <c r="C56" s="29"/>
      <c r="D56" s="29"/>
      <c r="E56" s="29"/>
      <c r="F56" s="29"/>
      <c r="G56" s="29"/>
      <c r="H56" s="29"/>
      <c r="I56" s="28"/>
    </row>
    <row r="57" spans="1:9" x14ac:dyDescent="0.2">
      <c r="A57" s="31">
        <v>42005</v>
      </c>
      <c r="B57" s="29">
        <v>113.586</v>
      </c>
      <c r="C57" s="29"/>
      <c r="D57" s="29"/>
      <c r="E57" s="29"/>
      <c r="F57" s="29"/>
      <c r="G57" s="29"/>
      <c r="H57" s="29"/>
      <c r="I57" s="28"/>
    </row>
    <row r="58" spans="1:9" x14ac:dyDescent="0.2">
      <c r="A58" s="31">
        <v>42370</v>
      </c>
      <c r="B58" s="29">
        <v>117.06100000000001</v>
      </c>
      <c r="C58" s="29"/>
      <c r="D58" s="29"/>
      <c r="E58" s="29"/>
      <c r="F58" s="29"/>
      <c r="G58" s="29"/>
      <c r="H58" s="29"/>
      <c r="I58" s="28"/>
    </row>
    <row r="59" spans="1:9" x14ac:dyDescent="0.2">
      <c r="A59" s="31">
        <v>42736</v>
      </c>
      <c r="B59" s="29">
        <v>122.526</v>
      </c>
      <c r="C59" s="29"/>
      <c r="D59" s="29"/>
      <c r="E59" s="29"/>
      <c r="F59" s="29"/>
      <c r="G59" s="29"/>
      <c r="H59" s="29"/>
      <c r="I59" s="28"/>
    </row>
    <row r="60" spans="1:9" x14ac:dyDescent="0.2">
      <c r="A60" s="31">
        <v>43101</v>
      </c>
      <c r="B60" s="29">
        <v>130.38999999999999</v>
      </c>
      <c r="C60" s="29"/>
      <c r="D60" s="29"/>
      <c r="E60" s="29"/>
      <c r="F60" s="29"/>
      <c r="G60" s="29"/>
      <c r="H60" s="29"/>
      <c r="I60" s="28"/>
    </row>
    <row r="61" spans="1:9" x14ac:dyDescent="0.2">
      <c r="A61" s="31">
        <v>43466</v>
      </c>
      <c r="B61" s="29">
        <v>134.149</v>
      </c>
      <c r="C61" s="29"/>
      <c r="D61" s="29"/>
      <c r="E61" s="29"/>
      <c r="F61" s="29"/>
      <c r="G61" s="29"/>
      <c r="H61" s="29"/>
      <c r="I61" s="28"/>
    </row>
    <row r="62" spans="1:9" x14ac:dyDescent="0.2">
      <c r="A62" s="31">
        <v>43831</v>
      </c>
      <c r="B62" s="29">
        <v>138.59200000000001</v>
      </c>
      <c r="C62" s="29"/>
      <c r="D62" s="29"/>
      <c r="E62" s="29"/>
      <c r="F62" s="29"/>
      <c r="G62" s="29"/>
      <c r="H62" s="29"/>
      <c r="I62" s="28"/>
    </row>
    <row r="63" spans="1:9" x14ac:dyDescent="0.2">
      <c r="A63" s="30"/>
      <c r="B63" s="30"/>
      <c r="C63" s="29"/>
      <c r="D63" s="29"/>
      <c r="E63" s="29"/>
      <c r="F63" s="29"/>
      <c r="G63" s="29"/>
      <c r="H63" s="29"/>
      <c r="I63" s="28"/>
    </row>
    <row r="64" spans="1:9" x14ac:dyDescent="0.2">
      <c r="A64" s="30"/>
      <c r="B64" s="30"/>
      <c r="C64" s="29"/>
      <c r="D64" s="29"/>
      <c r="E64" s="29"/>
      <c r="F64" s="29"/>
      <c r="G64" s="29"/>
      <c r="H64" s="29"/>
      <c r="I64" s="28"/>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CDD7FA927480C42BB4B34ACEA85960B" ma:contentTypeVersion="7" ma:contentTypeDescription="Create a new document." ma:contentTypeScope="" ma:versionID="88ade61acda6bd2d4168d2c82fd7dcb0">
  <xsd:schema xmlns:xsd="http://www.w3.org/2001/XMLSchema" xmlns:xs="http://www.w3.org/2001/XMLSchema" xmlns:p="http://schemas.microsoft.com/office/2006/metadata/properties" xmlns:ns3="f4262bcc-e96e-4c3d-aaf2-ed9451967f76" xmlns:ns4="745a7f5c-918e-48c1-9931-cfa28080352d" targetNamespace="http://schemas.microsoft.com/office/2006/metadata/properties" ma:root="true" ma:fieldsID="a606b5d584b46b5efc510ea179e622ea" ns3:_="" ns4:_="">
    <xsd:import namespace="f4262bcc-e96e-4c3d-aaf2-ed9451967f76"/>
    <xsd:import namespace="745a7f5c-918e-48c1-9931-cfa28080352d"/>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4262bcc-e96e-4c3d-aaf2-ed9451967f7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45a7f5c-918e-48c1-9931-cfa28080352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AF6F871-20E8-4B77-8A9B-BF7F35EE22FA}">
  <ds:schemaRefs>
    <ds:schemaRef ds:uri="http://purl.org/dc/dcmitype/"/>
    <ds:schemaRef ds:uri="f4262bcc-e96e-4c3d-aaf2-ed9451967f76"/>
    <ds:schemaRef ds:uri="745a7f5c-918e-48c1-9931-cfa28080352d"/>
    <ds:schemaRef ds:uri="http://purl.org/dc/terms/"/>
    <ds:schemaRef ds:uri="http://www.w3.org/XML/1998/namespace"/>
    <ds:schemaRef ds:uri="http://schemas.openxmlformats.org/package/2006/metadata/core-properties"/>
    <ds:schemaRef ds:uri="http://schemas.microsoft.com/office/infopath/2007/PartnerControls"/>
    <ds:schemaRef ds:uri="http://schemas.microsoft.com/office/2006/documentManagement/types"/>
    <ds:schemaRef ds:uri="http://schemas.microsoft.com/office/2006/metadata/properties"/>
    <ds:schemaRef ds:uri="http://purl.org/dc/elements/1.1/"/>
  </ds:schemaRefs>
</ds:datastoreItem>
</file>

<file path=customXml/itemProps2.xml><?xml version="1.0" encoding="utf-8"?>
<ds:datastoreItem xmlns:ds="http://schemas.openxmlformats.org/officeDocument/2006/customXml" ds:itemID="{C7FDA2BF-89D8-42ED-95B6-9B8A483BB94B}">
  <ds:schemaRefs>
    <ds:schemaRef ds:uri="http://schemas.microsoft.com/sharepoint/v3/contenttype/forms"/>
  </ds:schemaRefs>
</ds:datastoreItem>
</file>

<file path=customXml/itemProps3.xml><?xml version="1.0" encoding="utf-8"?>
<ds:datastoreItem xmlns:ds="http://schemas.openxmlformats.org/officeDocument/2006/customXml" ds:itemID="{3F893EC3-D520-4470-82E2-F67C2CE0C1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4262bcc-e96e-4c3d-aaf2-ed9451967f76"/>
    <ds:schemaRef ds:uri="745a7f5c-918e-48c1-9931-cfa28080352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Tear Sheet</vt:lpstr>
      <vt:lpstr>Operating Model</vt:lpstr>
      <vt:lpstr>Comparable Valuation</vt:lpstr>
      <vt:lpstr>DCF Valuation </vt:lpstr>
      <vt:lpstr>Beta</vt:lpstr>
      <vt:lpstr>Supporting Trends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Amir Khan</dc:creator>
  <cp:keywords/>
  <dc:description/>
  <cp:lastModifiedBy>Erica Li</cp:lastModifiedBy>
  <cp:revision/>
  <cp:lastPrinted>2021-11-04T02:21:53Z</cp:lastPrinted>
  <dcterms:created xsi:type="dcterms:W3CDTF">2021-10-06T01:55:40Z</dcterms:created>
  <dcterms:modified xsi:type="dcterms:W3CDTF">2022-02-27T03:57:32Z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0x0101008CDD7FA927480C42BB4B34ACEA85960B</vt:lpwstr>
  </property>
</Properties>
</file>